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590" windowHeight="11445" tabRatio="682" activeTab="6"/>
  </bookViews>
  <sheets>
    <sheet name="Summary" sheetId="12" r:id="rId1"/>
    <sheet name="Propose to buy now" sheetId="11" r:id="rId2"/>
    <sheet name="Not yet ordered" sheetId="9" r:id="rId3"/>
    <sheet name="Parts on-order" sheetId="6" r:id="rId4"/>
    <sheet name="Parts on-hand" sheetId="5" r:id="rId5"/>
    <sheet name="Multi-level BOM" sheetId="2" r:id="rId6"/>
    <sheet name="Parts" sheetId="1" r:id="rId7"/>
    <sheet name="Sheet3" sheetId="3" r:id="rId8"/>
    <sheet name="2020 cost analysis" sheetId="4" r:id="rId9"/>
  </sheets>
  <definedNames>
    <definedName name="_xlnm._FilterDatabase" localSheetId="5" hidden="1">'Multi-level BOM'!$A$2:$F$377</definedName>
    <definedName name="asasas" localSheetId="1">Table1[]</definedName>
    <definedName name="asasas">Table1[]</definedName>
    <definedName name="asdasdasdasdasdasdasd" localSheetId="2">Table1[Part Number]</definedName>
    <definedName name="asdasdasdasdasdasdasd" localSheetId="1">Table1[Part Number]</definedName>
    <definedName name="asdasdasdasdasdasdasd">Table1[Part Number]</definedName>
    <definedName name="part_details" localSheetId="2">Table1[]</definedName>
    <definedName name="part_details" localSheetId="3">Table1[]</definedName>
    <definedName name="part_details" localSheetId="1">Table1[]</definedName>
    <definedName name="part_details">Table1[]</definedName>
    <definedName name="Part_number" localSheetId="2">Table1[Part Number]</definedName>
    <definedName name="Part_number" localSheetId="3">Table1[Part Number]</definedName>
    <definedName name="Part_number" localSheetId="1">Table1[Part Number]</definedName>
    <definedName name="Part_number">Table1[Part Number]</definedName>
    <definedName name="zccXCZXCZXCZXC" localSheetId="2">Table1[]</definedName>
    <definedName name="zccXCZXCZXCZXC" localSheetId="1">Table1[]</definedName>
    <definedName name="zccXCZXCZXCZXC">Table1[]</definedName>
  </definedNames>
  <calcPr calcId="145621" iterateDelta="1E-4"/>
  <pivotCaches>
    <pivotCache cacheId="0" r:id="rId10"/>
  </pivotCaches>
</workbook>
</file>

<file path=xl/calcChain.xml><?xml version="1.0" encoding="utf-8"?>
<calcChain xmlns="http://schemas.openxmlformats.org/spreadsheetml/2006/main">
  <c r="E103" i="1" l="1"/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4" i="5"/>
  <c r="J5" i="5"/>
  <c r="J2" i="5" l="1"/>
  <c r="X89" i="1"/>
  <c r="X5" i="1"/>
  <c r="X4" i="1"/>
  <c r="E5" i="1"/>
  <c r="E4" i="1"/>
  <c r="D89" i="1" l="1"/>
  <c r="X96" i="1" l="1"/>
  <c r="R19" i="1" l="1"/>
  <c r="R20" i="1"/>
  <c r="R40" i="1"/>
  <c r="R57" i="1"/>
  <c r="R58" i="1"/>
  <c r="R59" i="1"/>
  <c r="R76" i="1"/>
  <c r="P19" i="1"/>
  <c r="P20" i="1"/>
  <c r="P40" i="1"/>
  <c r="P57" i="1"/>
  <c r="P58" i="1"/>
  <c r="P59" i="1"/>
  <c r="P76" i="1"/>
  <c r="C4" i="12"/>
  <c r="C6" i="12"/>
  <c r="B5" i="12"/>
  <c r="B6" i="12"/>
  <c r="C5" i="12"/>
  <c r="D4" i="12"/>
  <c r="B4" i="12"/>
  <c r="E4" i="12" l="1"/>
  <c r="D5" i="12"/>
  <c r="D6" i="12"/>
  <c r="F88" i="1"/>
  <c r="E88" i="1"/>
  <c r="F14" i="1"/>
  <c r="R14" i="1" s="1"/>
  <c r="X88" i="1" l="1"/>
  <c r="D2" i="12"/>
  <c r="P14" i="1"/>
  <c r="P88" i="1"/>
  <c r="R88" i="1"/>
  <c r="D21" i="1"/>
  <c r="G258" i="2" l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F101" i="1"/>
  <c r="D98" i="1"/>
  <c r="D97" i="1"/>
  <c r="D93" i="1"/>
  <c r="D94" i="1"/>
  <c r="D95" i="1"/>
  <c r="D92" i="1"/>
  <c r="D91" i="1"/>
  <c r="D90" i="1"/>
  <c r="D83" i="1"/>
  <c r="D82" i="1"/>
  <c r="E90" i="1" l="1"/>
  <c r="F90" i="1"/>
  <c r="E91" i="1"/>
  <c r="F91" i="1"/>
  <c r="P101" i="1"/>
  <c r="R101" i="1"/>
  <c r="E17" i="1"/>
  <c r="X91" i="1" l="1"/>
  <c r="X90" i="1"/>
  <c r="R90" i="1"/>
  <c r="P91" i="1"/>
  <c r="R91" i="1"/>
  <c r="P90" i="1"/>
  <c r="P17" i="1"/>
  <c r="R17" i="1"/>
  <c r="D28" i="1"/>
  <c r="E28" i="1" s="1"/>
  <c r="F21" i="1"/>
  <c r="X21" i="1" s="1"/>
  <c r="P21" i="1" l="1"/>
  <c r="R21" i="1"/>
  <c r="F28" i="1"/>
  <c r="R28" i="1" s="1"/>
  <c r="F74" i="1"/>
  <c r="F66" i="1"/>
  <c r="F64" i="1"/>
  <c r="F35" i="1"/>
  <c r="F34" i="1"/>
  <c r="F33" i="1"/>
  <c r="F32" i="1"/>
  <c r="F29" i="1"/>
  <c r="F18" i="1"/>
  <c r="F13" i="1"/>
  <c r="F9" i="1"/>
  <c r="E74" i="1"/>
  <c r="E66" i="1"/>
  <c r="E64" i="1"/>
  <c r="E35" i="1"/>
  <c r="E34" i="1"/>
  <c r="E33" i="1"/>
  <c r="E32" i="1"/>
  <c r="E29" i="1"/>
  <c r="E18" i="1"/>
  <c r="E13" i="1"/>
  <c r="E9" i="1"/>
  <c r="D25" i="1"/>
  <c r="E25" i="1" s="1"/>
  <c r="D43" i="1"/>
  <c r="F43" i="1" s="1"/>
  <c r="D36" i="1"/>
  <c r="E36" i="1" s="1"/>
  <c r="X13" i="1" l="1"/>
  <c r="X33" i="1"/>
  <c r="X66" i="1"/>
  <c r="X9" i="1"/>
  <c r="X32" i="1"/>
  <c r="X64" i="1"/>
  <c r="X18" i="1"/>
  <c r="X74" i="1"/>
  <c r="X29" i="1"/>
  <c r="X35" i="1"/>
  <c r="X34" i="1"/>
  <c r="R29" i="1"/>
  <c r="P29" i="1"/>
  <c r="R9" i="1"/>
  <c r="P9" i="1"/>
  <c r="R64" i="1"/>
  <c r="P64" i="1"/>
  <c r="R13" i="1"/>
  <c r="P13" i="1"/>
  <c r="R33" i="1"/>
  <c r="P33" i="1"/>
  <c r="R66" i="1"/>
  <c r="P66" i="1"/>
  <c r="R35" i="1"/>
  <c r="P35" i="1"/>
  <c r="R32" i="1"/>
  <c r="P32" i="1"/>
  <c r="R18" i="1"/>
  <c r="P18" i="1"/>
  <c r="R34" i="1"/>
  <c r="P34" i="1"/>
  <c r="R74" i="1"/>
  <c r="P74" i="1"/>
  <c r="P28" i="1"/>
  <c r="E43" i="1"/>
  <c r="X43" i="1" s="1"/>
  <c r="F25" i="1"/>
  <c r="P25" i="1" s="1"/>
  <c r="F36" i="1"/>
  <c r="R36" i="1" s="1"/>
  <c r="E63" i="1"/>
  <c r="D23" i="1"/>
  <c r="E23" i="1" s="1"/>
  <c r="X25" i="1" l="1"/>
  <c r="X36" i="1"/>
  <c r="P36" i="1"/>
  <c r="R25" i="1"/>
  <c r="R43" i="1"/>
  <c r="P43" i="1"/>
  <c r="G231" i="2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U265" i="2"/>
  <c r="V265" i="2"/>
  <c r="U266" i="2"/>
  <c r="V266" i="2"/>
  <c r="U267" i="2"/>
  <c r="V267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X37" i="1" s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X38" i="1" l="1"/>
  <c r="X65" i="1"/>
  <c r="X44" i="1"/>
  <c r="X15" i="1"/>
  <c r="R37" i="1"/>
  <c r="P37" i="1"/>
  <c r="R38" i="1"/>
  <c r="P38" i="1"/>
  <c r="R65" i="1"/>
  <c r="P65" i="1"/>
  <c r="R44" i="1"/>
  <c r="P44" i="1"/>
  <c r="R15" i="1"/>
  <c r="P15" i="1"/>
  <c r="AC122" i="1"/>
  <c r="L122" i="1" s="1"/>
  <c r="AC623" i="1"/>
  <c r="L623" i="1" s="1"/>
  <c r="AC591" i="1"/>
  <c r="L591" i="1" s="1"/>
  <c r="AC559" i="1"/>
  <c r="L559" i="1" s="1"/>
  <c r="AC518" i="1"/>
  <c r="L518" i="1" s="1"/>
  <c r="AC475" i="1"/>
  <c r="L475" i="1" s="1"/>
  <c r="AC433" i="1"/>
  <c r="L433" i="1" s="1"/>
  <c r="AC390" i="1"/>
  <c r="L390" i="1" s="1"/>
  <c r="AC338" i="1"/>
  <c r="L338" i="1" s="1"/>
  <c r="AC273" i="1"/>
  <c r="L273" i="1" s="1"/>
  <c r="AC186" i="1"/>
  <c r="L186" i="1" s="1"/>
  <c r="AC615" i="1"/>
  <c r="L615" i="1" s="1"/>
  <c r="AC583" i="1"/>
  <c r="L583" i="1" s="1"/>
  <c r="AC550" i="1"/>
  <c r="L550" i="1" s="1"/>
  <c r="AC507" i="1"/>
  <c r="L507" i="1" s="1"/>
  <c r="AC465" i="1"/>
  <c r="L465" i="1" s="1"/>
  <c r="AC422" i="1"/>
  <c r="L422" i="1" s="1"/>
  <c r="AC379" i="1"/>
  <c r="L379" i="1" s="1"/>
  <c r="AC325" i="1"/>
  <c r="L325" i="1" s="1"/>
  <c r="AC250" i="1"/>
  <c r="L250" i="1" s="1"/>
  <c r="AC165" i="1"/>
  <c r="L165" i="1" s="1"/>
  <c r="AC607" i="1"/>
  <c r="L607" i="1" s="1"/>
  <c r="AC575" i="1"/>
  <c r="L575" i="1" s="1"/>
  <c r="AC539" i="1"/>
  <c r="L539" i="1" s="1"/>
  <c r="AC497" i="1"/>
  <c r="L497" i="1" s="1"/>
  <c r="AC454" i="1"/>
  <c r="L454" i="1" s="1"/>
  <c r="AC411" i="1"/>
  <c r="L411" i="1" s="1"/>
  <c r="AC368" i="1"/>
  <c r="L368" i="1" s="1"/>
  <c r="AC310" i="1"/>
  <c r="L310" i="1" s="1"/>
  <c r="AC229" i="1"/>
  <c r="L229" i="1" s="1"/>
  <c r="AC145" i="1"/>
  <c r="L145" i="1" s="1"/>
  <c r="AC631" i="1"/>
  <c r="L631" i="1" s="1"/>
  <c r="AC599" i="1"/>
  <c r="L599" i="1" s="1"/>
  <c r="AC567" i="1"/>
  <c r="L567" i="1" s="1"/>
  <c r="AC529" i="1"/>
  <c r="L529" i="1" s="1"/>
  <c r="AC486" i="1"/>
  <c r="L486" i="1" s="1"/>
  <c r="AC443" i="1"/>
  <c r="L443" i="1" s="1"/>
  <c r="AC401" i="1"/>
  <c r="L401" i="1" s="1"/>
  <c r="AC353" i="1"/>
  <c r="L353" i="1" s="1"/>
  <c r="AC293" i="1"/>
  <c r="L293" i="1" s="1"/>
  <c r="AC209" i="1"/>
  <c r="L209" i="1" s="1"/>
  <c r="AC17" i="1"/>
  <c r="L17" i="1" s="1"/>
  <c r="AC27" i="1"/>
  <c r="L27" i="1" s="1"/>
  <c r="AC41" i="1"/>
  <c r="L41" i="1" s="1"/>
  <c r="AC47" i="1"/>
  <c r="L47" i="1" s="1"/>
  <c r="AC51" i="1"/>
  <c r="L51" i="1" s="1"/>
  <c r="AC55" i="1"/>
  <c r="AC68" i="1"/>
  <c r="L68" i="1" s="1"/>
  <c r="AC72" i="1"/>
  <c r="L72" i="1" s="1"/>
  <c r="AC76" i="1"/>
  <c r="L76" i="1" s="1"/>
  <c r="AC80" i="1"/>
  <c r="L80" i="1" s="1"/>
  <c r="AC84" i="1"/>
  <c r="AC100" i="1"/>
  <c r="L100" i="1" s="1"/>
  <c r="AC104" i="1"/>
  <c r="L104" i="1" s="1"/>
  <c r="AC108" i="1"/>
  <c r="L108" i="1" s="1"/>
  <c r="AC112" i="1"/>
  <c r="L112" i="1" s="1"/>
  <c r="AC116" i="1"/>
  <c r="L116" i="1" s="1"/>
  <c r="AC120" i="1"/>
  <c r="L120" i="1" s="1"/>
  <c r="AC124" i="1"/>
  <c r="L124" i="1" s="1"/>
  <c r="AC128" i="1"/>
  <c r="L128" i="1" s="1"/>
  <c r="AC132" i="1"/>
  <c r="L132" i="1" s="1"/>
  <c r="AC136" i="1"/>
  <c r="L136" i="1" s="1"/>
  <c r="AC140" i="1"/>
  <c r="L140" i="1" s="1"/>
  <c r="AC144" i="1"/>
  <c r="L144" i="1" s="1"/>
  <c r="AC148" i="1"/>
  <c r="L148" i="1" s="1"/>
  <c r="AC152" i="1"/>
  <c r="L152" i="1" s="1"/>
  <c r="AC156" i="1"/>
  <c r="L156" i="1" s="1"/>
  <c r="AC160" i="1"/>
  <c r="L160" i="1" s="1"/>
  <c r="AC164" i="1"/>
  <c r="L164" i="1" s="1"/>
  <c r="AC168" i="1"/>
  <c r="L168" i="1" s="1"/>
  <c r="AC172" i="1"/>
  <c r="L172" i="1" s="1"/>
  <c r="AC176" i="1"/>
  <c r="L176" i="1" s="1"/>
  <c r="AC180" i="1"/>
  <c r="L180" i="1" s="1"/>
  <c r="AC184" i="1"/>
  <c r="L184" i="1" s="1"/>
  <c r="AC188" i="1"/>
  <c r="L188" i="1" s="1"/>
  <c r="AC192" i="1"/>
  <c r="L192" i="1" s="1"/>
  <c r="AC196" i="1"/>
  <c r="L196" i="1" s="1"/>
  <c r="AC200" i="1"/>
  <c r="L200" i="1" s="1"/>
  <c r="AC204" i="1"/>
  <c r="L204" i="1" s="1"/>
  <c r="AC208" i="1"/>
  <c r="L208" i="1" s="1"/>
  <c r="AC212" i="1"/>
  <c r="L212" i="1" s="1"/>
  <c r="AC216" i="1"/>
  <c r="L216" i="1" s="1"/>
  <c r="AC220" i="1"/>
  <c r="L220" i="1" s="1"/>
  <c r="AC224" i="1"/>
  <c r="L224" i="1" s="1"/>
  <c r="AC228" i="1"/>
  <c r="L228" i="1" s="1"/>
  <c r="AC232" i="1"/>
  <c r="L232" i="1" s="1"/>
  <c r="AC236" i="1"/>
  <c r="L236" i="1" s="1"/>
  <c r="AC240" i="1"/>
  <c r="L240" i="1" s="1"/>
  <c r="AC244" i="1"/>
  <c r="L244" i="1" s="1"/>
  <c r="AC248" i="1"/>
  <c r="L248" i="1" s="1"/>
  <c r="AC252" i="1"/>
  <c r="L252" i="1" s="1"/>
  <c r="AC256" i="1"/>
  <c r="L256" i="1" s="1"/>
  <c r="AC260" i="1"/>
  <c r="L260" i="1" s="1"/>
  <c r="AC264" i="1"/>
  <c r="L264" i="1" s="1"/>
  <c r="AC268" i="1"/>
  <c r="L268" i="1" s="1"/>
  <c r="AC272" i="1"/>
  <c r="L272" i="1" s="1"/>
  <c r="AC276" i="1"/>
  <c r="L276" i="1" s="1"/>
  <c r="AC280" i="1"/>
  <c r="L280" i="1" s="1"/>
  <c r="AC284" i="1"/>
  <c r="L284" i="1" s="1"/>
  <c r="AC288" i="1"/>
  <c r="L288" i="1" s="1"/>
  <c r="AC292" i="1"/>
  <c r="L292" i="1" s="1"/>
  <c r="AC296" i="1"/>
  <c r="L296" i="1" s="1"/>
  <c r="AC300" i="1"/>
  <c r="L300" i="1" s="1"/>
  <c r="AC10" i="1"/>
  <c r="L10" i="1" s="1"/>
  <c r="AC31" i="1"/>
  <c r="L31" i="1" s="1"/>
  <c r="AC42" i="1"/>
  <c r="L42" i="1" s="1"/>
  <c r="AC48" i="1"/>
  <c r="L48" i="1" s="1"/>
  <c r="AC52" i="1"/>
  <c r="AC56" i="1"/>
  <c r="AC61" i="1"/>
  <c r="AC69" i="1"/>
  <c r="L69" i="1" s="1"/>
  <c r="AC73" i="1"/>
  <c r="L73" i="1" s="1"/>
  <c r="AC77" i="1"/>
  <c r="L77" i="1" s="1"/>
  <c r="AC81" i="1"/>
  <c r="L81" i="1" s="1"/>
  <c r="AC85" i="1"/>
  <c r="L85" i="1" s="1"/>
  <c r="AC6" i="1"/>
  <c r="L6" i="1" s="1"/>
  <c r="AC20" i="1"/>
  <c r="L20" i="1" s="1"/>
  <c r="AC45" i="1"/>
  <c r="L45" i="1" s="1"/>
  <c r="AC49" i="1"/>
  <c r="L49" i="1" s="1"/>
  <c r="AC53" i="1"/>
  <c r="AC62" i="1"/>
  <c r="L62" i="1" s="1"/>
  <c r="AC70" i="1"/>
  <c r="L70" i="1" s="1"/>
  <c r="AC78" i="1"/>
  <c r="L78" i="1" s="1"/>
  <c r="AC82" i="1"/>
  <c r="L82" i="1" s="1"/>
  <c r="AC7" i="1"/>
  <c r="L7" i="1" s="1"/>
  <c r="AC12" i="1"/>
  <c r="L12" i="1" s="1"/>
  <c r="AC24" i="1"/>
  <c r="L24" i="1" s="1"/>
  <c r="AC40" i="1"/>
  <c r="L40" i="1" s="1"/>
  <c r="AC46" i="1"/>
  <c r="L46" i="1" s="1"/>
  <c r="AC50" i="1"/>
  <c r="L50" i="1" s="1"/>
  <c r="AC54" i="1"/>
  <c r="AC58" i="1"/>
  <c r="L58" i="1" s="1"/>
  <c r="AC67" i="1"/>
  <c r="L67" i="1" s="1"/>
  <c r="AC71" i="1"/>
  <c r="L71" i="1" s="1"/>
  <c r="AC75" i="1"/>
  <c r="L75" i="1" s="1"/>
  <c r="AC79" i="1"/>
  <c r="L79" i="1" s="1"/>
  <c r="AC83" i="1"/>
  <c r="L83" i="1" s="1"/>
  <c r="AC99" i="1"/>
  <c r="L99" i="1" s="1"/>
  <c r="AC103" i="1"/>
  <c r="L103" i="1" s="1"/>
  <c r="AC107" i="1"/>
  <c r="L107" i="1" s="1"/>
  <c r="AC111" i="1"/>
  <c r="L111" i="1" s="1"/>
  <c r="AC115" i="1"/>
  <c r="L115" i="1" s="1"/>
  <c r="AC119" i="1"/>
  <c r="L119" i="1" s="1"/>
  <c r="AC123" i="1"/>
  <c r="L123" i="1" s="1"/>
  <c r="AC127" i="1"/>
  <c r="L127" i="1" s="1"/>
  <c r="AC131" i="1"/>
  <c r="L131" i="1" s="1"/>
  <c r="AC135" i="1"/>
  <c r="L135" i="1" s="1"/>
  <c r="AC139" i="1"/>
  <c r="L139" i="1" s="1"/>
  <c r="AC143" i="1"/>
  <c r="L143" i="1" s="1"/>
  <c r="AC147" i="1"/>
  <c r="L147" i="1" s="1"/>
  <c r="AC151" i="1"/>
  <c r="L151" i="1" s="1"/>
  <c r="AC155" i="1"/>
  <c r="L155" i="1" s="1"/>
  <c r="AC159" i="1"/>
  <c r="L159" i="1" s="1"/>
  <c r="AC163" i="1"/>
  <c r="L163" i="1" s="1"/>
  <c r="AC167" i="1"/>
  <c r="L167" i="1" s="1"/>
  <c r="AC171" i="1"/>
  <c r="L171" i="1" s="1"/>
  <c r="AC175" i="1"/>
  <c r="L175" i="1" s="1"/>
  <c r="AC179" i="1"/>
  <c r="L179" i="1" s="1"/>
  <c r="AC183" i="1"/>
  <c r="L183" i="1" s="1"/>
  <c r="AC187" i="1"/>
  <c r="L187" i="1" s="1"/>
  <c r="AC191" i="1"/>
  <c r="L191" i="1" s="1"/>
  <c r="AC195" i="1"/>
  <c r="L195" i="1" s="1"/>
  <c r="AC199" i="1"/>
  <c r="L199" i="1" s="1"/>
  <c r="AC203" i="1"/>
  <c r="L203" i="1" s="1"/>
  <c r="AC207" i="1"/>
  <c r="L207" i="1" s="1"/>
  <c r="AC211" i="1"/>
  <c r="L211" i="1" s="1"/>
  <c r="AC215" i="1"/>
  <c r="L215" i="1" s="1"/>
  <c r="AC219" i="1"/>
  <c r="L219" i="1" s="1"/>
  <c r="AC223" i="1"/>
  <c r="L223" i="1" s="1"/>
  <c r="AC227" i="1"/>
  <c r="L227" i="1" s="1"/>
  <c r="AC231" i="1"/>
  <c r="L231" i="1" s="1"/>
  <c r="AC235" i="1"/>
  <c r="L235" i="1" s="1"/>
  <c r="AC239" i="1"/>
  <c r="L239" i="1" s="1"/>
  <c r="AC243" i="1"/>
  <c r="L243" i="1" s="1"/>
  <c r="AC247" i="1"/>
  <c r="L247" i="1" s="1"/>
  <c r="AC251" i="1"/>
  <c r="L251" i="1" s="1"/>
  <c r="AC255" i="1"/>
  <c r="L255" i="1" s="1"/>
  <c r="AC259" i="1"/>
  <c r="L259" i="1" s="1"/>
  <c r="AC263" i="1"/>
  <c r="L263" i="1" s="1"/>
  <c r="AC267" i="1"/>
  <c r="L267" i="1" s="1"/>
  <c r="AC271" i="1"/>
  <c r="L271" i="1" s="1"/>
  <c r="AC275" i="1"/>
  <c r="L275" i="1" s="1"/>
  <c r="AC279" i="1"/>
  <c r="L279" i="1" s="1"/>
  <c r="AC283" i="1"/>
  <c r="L283" i="1" s="1"/>
  <c r="AC287" i="1"/>
  <c r="L287" i="1" s="1"/>
  <c r="AC291" i="1"/>
  <c r="L291" i="1" s="1"/>
  <c r="AC295" i="1"/>
  <c r="L295" i="1" s="1"/>
  <c r="AC299" i="1"/>
  <c r="L299" i="1" s="1"/>
  <c r="AC303" i="1"/>
  <c r="L303" i="1" s="1"/>
  <c r="AC307" i="1"/>
  <c r="L307" i="1" s="1"/>
  <c r="AC311" i="1"/>
  <c r="L311" i="1" s="1"/>
  <c r="AC315" i="1"/>
  <c r="L315" i="1" s="1"/>
  <c r="AC319" i="1"/>
  <c r="L319" i="1" s="1"/>
  <c r="AC323" i="1"/>
  <c r="L323" i="1" s="1"/>
  <c r="AC327" i="1"/>
  <c r="L327" i="1" s="1"/>
  <c r="AC331" i="1"/>
  <c r="L331" i="1" s="1"/>
  <c r="AC335" i="1"/>
  <c r="L335" i="1" s="1"/>
  <c r="AC339" i="1"/>
  <c r="L339" i="1" s="1"/>
  <c r="AC343" i="1"/>
  <c r="L343" i="1" s="1"/>
  <c r="AC347" i="1"/>
  <c r="L347" i="1" s="1"/>
  <c r="AC351" i="1"/>
  <c r="L351" i="1" s="1"/>
  <c r="AC355" i="1"/>
  <c r="L355" i="1" s="1"/>
  <c r="AC359" i="1"/>
  <c r="L359" i="1" s="1"/>
  <c r="AC363" i="1"/>
  <c r="L363" i="1" s="1"/>
  <c r="AC367" i="1"/>
  <c r="L367" i="1" s="1"/>
  <c r="AC371" i="1"/>
  <c r="L371" i="1" s="1"/>
  <c r="AC102" i="1"/>
  <c r="L102" i="1" s="1"/>
  <c r="AC110" i="1"/>
  <c r="L110" i="1" s="1"/>
  <c r="AC118" i="1"/>
  <c r="L118" i="1" s="1"/>
  <c r="AC126" i="1"/>
  <c r="L126" i="1" s="1"/>
  <c r="AC134" i="1"/>
  <c r="L134" i="1" s="1"/>
  <c r="AC142" i="1"/>
  <c r="L142" i="1" s="1"/>
  <c r="AC150" i="1"/>
  <c r="L150" i="1" s="1"/>
  <c r="AC158" i="1"/>
  <c r="L158" i="1" s="1"/>
  <c r="AC166" i="1"/>
  <c r="L166" i="1" s="1"/>
  <c r="AC174" i="1"/>
  <c r="L174" i="1" s="1"/>
  <c r="AC182" i="1"/>
  <c r="L182" i="1" s="1"/>
  <c r="AC190" i="1"/>
  <c r="L190" i="1" s="1"/>
  <c r="AC198" i="1"/>
  <c r="L198" i="1" s="1"/>
  <c r="AC206" i="1"/>
  <c r="L206" i="1" s="1"/>
  <c r="AC214" i="1"/>
  <c r="L214" i="1" s="1"/>
  <c r="AC222" i="1"/>
  <c r="L222" i="1" s="1"/>
  <c r="AC230" i="1"/>
  <c r="L230" i="1" s="1"/>
  <c r="AC238" i="1"/>
  <c r="L238" i="1" s="1"/>
  <c r="AC246" i="1"/>
  <c r="L246" i="1" s="1"/>
  <c r="AC254" i="1"/>
  <c r="L254" i="1" s="1"/>
  <c r="AC262" i="1"/>
  <c r="L262" i="1" s="1"/>
  <c r="AC270" i="1"/>
  <c r="L270" i="1" s="1"/>
  <c r="AC278" i="1"/>
  <c r="L278" i="1" s="1"/>
  <c r="AC286" i="1"/>
  <c r="L286" i="1" s="1"/>
  <c r="AC294" i="1"/>
  <c r="L294" i="1" s="1"/>
  <c r="AC302" i="1"/>
  <c r="L302" i="1" s="1"/>
  <c r="AC308" i="1"/>
  <c r="L308" i="1" s="1"/>
  <c r="AC313" i="1"/>
  <c r="L313" i="1" s="1"/>
  <c r="AC318" i="1"/>
  <c r="L318" i="1" s="1"/>
  <c r="AC324" i="1"/>
  <c r="L324" i="1" s="1"/>
  <c r="AC329" i="1"/>
  <c r="L329" i="1" s="1"/>
  <c r="AC334" i="1"/>
  <c r="L334" i="1" s="1"/>
  <c r="AC340" i="1"/>
  <c r="L340" i="1" s="1"/>
  <c r="AC345" i="1"/>
  <c r="L345" i="1" s="1"/>
  <c r="AC350" i="1"/>
  <c r="L350" i="1" s="1"/>
  <c r="AC356" i="1"/>
  <c r="L356" i="1" s="1"/>
  <c r="AC361" i="1"/>
  <c r="L361" i="1" s="1"/>
  <c r="AC366" i="1"/>
  <c r="L366" i="1" s="1"/>
  <c r="AC372" i="1"/>
  <c r="L372" i="1" s="1"/>
  <c r="AC376" i="1"/>
  <c r="L376" i="1" s="1"/>
  <c r="AC380" i="1"/>
  <c r="L380" i="1" s="1"/>
  <c r="AC384" i="1"/>
  <c r="L384" i="1" s="1"/>
  <c r="AC388" i="1"/>
  <c r="L388" i="1" s="1"/>
  <c r="AC392" i="1"/>
  <c r="L392" i="1" s="1"/>
  <c r="AC396" i="1"/>
  <c r="L396" i="1" s="1"/>
  <c r="AC400" i="1"/>
  <c r="L400" i="1" s="1"/>
  <c r="AC404" i="1"/>
  <c r="L404" i="1" s="1"/>
  <c r="AC408" i="1"/>
  <c r="L408" i="1" s="1"/>
  <c r="AC412" i="1"/>
  <c r="L412" i="1" s="1"/>
  <c r="AC416" i="1"/>
  <c r="L416" i="1" s="1"/>
  <c r="AC420" i="1"/>
  <c r="L420" i="1" s="1"/>
  <c r="AC424" i="1"/>
  <c r="L424" i="1" s="1"/>
  <c r="AC428" i="1"/>
  <c r="L428" i="1" s="1"/>
  <c r="AC432" i="1"/>
  <c r="L432" i="1" s="1"/>
  <c r="AC436" i="1"/>
  <c r="L436" i="1" s="1"/>
  <c r="AC440" i="1"/>
  <c r="L440" i="1" s="1"/>
  <c r="AC444" i="1"/>
  <c r="L444" i="1" s="1"/>
  <c r="AC448" i="1"/>
  <c r="L448" i="1" s="1"/>
  <c r="AC452" i="1"/>
  <c r="L452" i="1" s="1"/>
  <c r="AC456" i="1"/>
  <c r="L456" i="1" s="1"/>
  <c r="AC460" i="1"/>
  <c r="L460" i="1" s="1"/>
  <c r="AC464" i="1"/>
  <c r="L464" i="1" s="1"/>
  <c r="AC468" i="1"/>
  <c r="L468" i="1" s="1"/>
  <c r="AC472" i="1"/>
  <c r="L472" i="1" s="1"/>
  <c r="AC476" i="1"/>
  <c r="L476" i="1" s="1"/>
  <c r="AC480" i="1"/>
  <c r="L480" i="1" s="1"/>
  <c r="AC484" i="1"/>
  <c r="L484" i="1" s="1"/>
  <c r="AC488" i="1"/>
  <c r="L488" i="1" s="1"/>
  <c r="AC492" i="1"/>
  <c r="L492" i="1" s="1"/>
  <c r="AC496" i="1"/>
  <c r="L496" i="1" s="1"/>
  <c r="AC500" i="1"/>
  <c r="L500" i="1" s="1"/>
  <c r="AC504" i="1"/>
  <c r="L504" i="1" s="1"/>
  <c r="AC508" i="1"/>
  <c r="L508" i="1" s="1"/>
  <c r="AC512" i="1"/>
  <c r="L512" i="1" s="1"/>
  <c r="AC516" i="1"/>
  <c r="L516" i="1" s="1"/>
  <c r="AC520" i="1"/>
  <c r="L520" i="1" s="1"/>
  <c r="AC524" i="1"/>
  <c r="L524" i="1" s="1"/>
  <c r="AC528" i="1"/>
  <c r="L528" i="1" s="1"/>
  <c r="AC532" i="1"/>
  <c r="L532" i="1" s="1"/>
  <c r="AC536" i="1"/>
  <c r="L536" i="1" s="1"/>
  <c r="AC540" i="1"/>
  <c r="L540" i="1" s="1"/>
  <c r="AC544" i="1"/>
  <c r="L544" i="1" s="1"/>
  <c r="AC548" i="1"/>
  <c r="L548" i="1" s="1"/>
  <c r="AC552" i="1"/>
  <c r="L552" i="1" s="1"/>
  <c r="AC97" i="1"/>
  <c r="L97" i="1" s="1"/>
  <c r="AC106" i="1"/>
  <c r="L106" i="1" s="1"/>
  <c r="AC117" i="1"/>
  <c r="L117" i="1" s="1"/>
  <c r="AC129" i="1"/>
  <c r="L129" i="1" s="1"/>
  <c r="AC138" i="1"/>
  <c r="L138" i="1" s="1"/>
  <c r="AC149" i="1"/>
  <c r="L149" i="1" s="1"/>
  <c r="AC161" i="1"/>
  <c r="L161" i="1" s="1"/>
  <c r="AC170" i="1"/>
  <c r="L170" i="1" s="1"/>
  <c r="AC181" i="1"/>
  <c r="L181" i="1" s="1"/>
  <c r="AC193" i="1"/>
  <c r="L193" i="1" s="1"/>
  <c r="AC202" i="1"/>
  <c r="L202" i="1" s="1"/>
  <c r="AC213" i="1"/>
  <c r="L213" i="1" s="1"/>
  <c r="AC225" i="1"/>
  <c r="L225" i="1" s="1"/>
  <c r="AC234" i="1"/>
  <c r="L234" i="1" s="1"/>
  <c r="AC245" i="1"/>
  <c r="L245" i="1" s="1"/>
  <c r="AC257" i="1"/>
  <c r="L257" i="1" s="1"/>
  <c r="AC266" i="1"/>
  <c r="L266" i="1" s="1"/>
  <c r="AC277" i="1"/>
  <c r="L277" i="1" s="1"/>
  <c r="AC289" i="1"/>
  <c r="L289" i="1" s="1"/>
  <c r="AC298" i="1"/>
  <c r="L298" i="1" s="1"/>
  <c r="AC306" i="1"/>
  <c r="L306" i="1" s="1"/>
  <c r="AC314" i="1"/>
  <c r="L314" i="1" s="1"/>
  <c r="AC321" i="1"/>
  <c r="L321" i="1" s="1"/>
  <c r="AC328" i="1"/>
  <c r="L328" i="1" s="1"/>
  <c r="AC336" i="1"/>
  <c r="L336" i="1" s="1"/>
  <c r="AC342" i="1"/>
  <c r="L342" i="1" s="1"/>
  <c r="AC349" i="1"/>
  <c r="L349" i="1" s="1"/>
  <c r="AC357" i="1"/>
  <c r="L357" i="1" s="1"/>
  <c r="AC364" i="1"/>
  <c r="L364" i="1" s="1"/>
  <c r="AC370" i="1"/>
  <c r="L370" i="1" s="1"/>
  <c r="AC377" i="1"/>
  <c r="L377" i="1" s="1"/>
  <c r="AC382" i="1"/>
  <c r="L382" i="1" s="1"/>
  <c r="AC387" i="1"/>
  <c r="L387" i="1" s="1"/>
  <c r="AC393" i="1"/>
  <c r="L393" i="1" s="1"/>
  <c r="AC398" i="1"/>
  <c r="L398" i="1" s="1"/>
  <c r="AC403" i="1"/>
  <c r="L403" i="1" s="1"/>
  <c r="AC409" i="1"/>
  <c r="L409" i="1" s="1"/>
  <c r="AC414" i="1"/>
  <c r="L414" i="1" s="1"/>
  <c r="AC419" i="1"/>
  <c r="L419" i="1" s="1"/>
  <c r="AC425" i="1"/>
  <c r="L425" i="1" s="1"/>
  <c r="AC430" i="1"/>
  <c r="L430" i="1" s="1"/>
  <c r="AC435" i="1"/>
  <c r="L435" i="1" s="1"/>
  <c r="AC441" i="1"/>
  <c r="L441" i="1" s="1"/>
  <c r="AC446" i="1"/>
  <c r="L446" i="1" s="1"/>
  <c r="AC451" i="1"/>
  <c r="L451" i="1" s="1"/>
  <c r="AC457" i="1"/>
  <c r="L457" i="1" s="1"/>
  <c r="AC462" i="1"/>
  <c r="L462" i="1" s="1"/>
  <c r="AC467" i="1"/>
  <c r="L467" i="1" s="1"/>
  <c r="AC473" i="1"/>
  <c r="L473" i="1" s="1"/>
  <c r="AC478" i="1"/>
  <c r="L478" i="1" s="1"/>
  <c r="AC483" i="1"/>
  <c r="L483" i="1" s="1"/>
  <c r="AC489" i="1"/>
  <c r="L489" i="1" s="1"/>
  <c r="AC494" i="1"/>
  <c r="L494" i="1" s="1"/>
  <c r="AC499" i="1"/>
  <c r="L499" i="1" s="1"/>
  <c r="AC505" i="1"/>
  <c r="L505" i="1" s="1"/>
  <c r="AC510" i="1"/>
  <c r="L510" i="1" s="1"/>
  <c r="AC515" i="1"/>
  <c r="L515" i="1" s="1"/>
  <c r="AC521" i="1"/>
  <c r="L521" i="1" s="1"/>
  <c r="AC526" i="1"/>
  <c r="L526" i="1" s="1"/>
  <c r="AC531" i="1"/>
  <c r="L531" i="1" s="1"/>
  <c r="AC537" i="1"/>
  <c r="L537" i="1" s="1"/>
  <c r="AC542" i="1"/>
  <c r="L542" i="1" s="1"/>
  <c r="AC547" i="1"/>
  <c r="L547" i="1" s="1"/>
  <c r="AC553" i="1"/>
  <c r="L553" i="1" s="1"/>
  <c r="AC557" i="1"/>
  <c r="L557" i="1" s="1"/>
  <c r="AC561" i="1"/>
  <c r="L561" i="1" s="1"/>
  <c r="AC565" i="1"/>
  <c r="L565" i="1" s="1"/>
  <c r="AC569" i="1"/>
  <c r="L569" i="1" s="1"/>
  <c r="AC573" i="1"/>
  <c r="L573" i="1" s="1"/>
  <c r="AC577" i="1"/>
  <c r="L577" i="1" s="1"/>
  <c r="AC581" i="1"/>
  <c r="L581" i="1" s="1"/>
  <c r="AC585" i="1"/>
  <c r="L585" i="1" s="1"/>
  <c r="AC589" i="1"/>
  <c r="L589" i="1" s="1"/>
  <c r="AC593" i="1"/>
  <c r="L593" i="1" s="1"/>
  <c r="AC597" i="1"/>
  <c r="L597" i="1" s="1"/>
  <c r="AC601" i="1"/>
  <c r="L601" i="1" s="1"/>
  <c r="AC605" i="1"/>
  <c r="L605" i="1" s="1"/>
  <c r="AC609" i="1"/>
  <c r="L609" i="1" s="1"/>
  <c r="AC613" i="1"/>
  <c r="L613" i="1" s="1"/>
  <c r="AC617" i="1"/>
  <c r="L617" i="1" s="1"/>
  <c r="AC621" i="1"/>
  <c r="L621" i="1" s="1"/>
  <c r="AC625" i="1"/>
  <c r="L625" i="1" s="1"/>
  <c r="AC629" i="1"/>
  <c r="L629" i="1" s="1"/>
  <c r="AC633" i="1"/>
  <c r="L633" i="1" s="1"/>
  <c r="AC98" i="1"/>
  <c r="L98" i="1" s="1"/>
  <c r="AC109" i="1"/>
  <c r="L109" i="1" s="1"/>
  <c r="AC121" i="1"/>
  <c r="L121" i="1" s="1"/>
  <c r="AC130" i="1"/>
  <c r="L130" i="1" s="1"/>
  <c r="AC141" i="1"/>
  <c r="L141" i="1" s="1"/>
  <c r="AC153" i="1"/>
  <c r="L153" i="1" s="1"/>
  <c r="AC162" i="1"/>
  <c r="L162" i="1" s="1"/>
  <c r="AC173" i="1"/>
  <c r="L173" i="1" s="1"/>
  <c r="AC185" i="1"/>
  <c r="L185" i="1" s="1"/>
  <c r="AC194" i="1"/>
  <c r="L194" i="1" s="1"/>
  <c r="AC205" i="1"/>
  <c r="L205" i="1" s="1"/>
  <c r="AC217" i="1"/>
  <c r="L217" i="1" s="1"/>
  <c r="AC226" i="1"/>
  <c r="L226" i="1" s="1"/>
  <c r="AC237" i="1"/>
  <c r="L237" i="1" s="1"/>
  <c r="AC249" i="1"/>
  <c r="L249" i="1" s="1"/>
  <c r="AC258" i="1"/>
  <c r="L258" i="1" s="1"/>
  <c r="AC269" i="1"/>
  <c r="L269" i="1" s="1"/>
  <c r="AC281" i="1"/>
  <c r="L281" i="1" s="1"/>
  <c r="AC290" i="1"/>
  <c r="L290" i="1" s="1"/>
  <c r="AC301" i="1"/>
  <c r="L301" i="1" s="1"/>
  <c r="AC309" i="1"/>
  <c r="L309" i="1" s="1"/>
  <c r="AC316" i="1"/>
  <c r="L316" i="1" s="1"/>
  <c r="AC322" i="1"/>
  <c r="L322" i="1" s="1"/>
  <c r="AC330" i="1"/>
  <c r="L330" i="1" s="1"/>
  <c r="AC337" i="1"/>
  <c r="L337" i="1" s="1"/>
  <c r="AC344" i="1"/>
  <c r="L344" i="1" s="1"/>
  <c r="AC352" i="1"/>
  <c r="L352" i="1" s="1"/>
  <c r="AC358" i="1"/>
  <c r="L358" i="1" s="1"/>
  <c r="AC365" i="1"/>
  <c r="L365" i="1" s="1"/>
  <c r="AC373" i="1"/>
  <c r="L373" i="1" s="1"/>
  <c r="AC378" i="1"/>
  <c r="L378" i="1" s="1"/>
  <c r="AC383" i="1"/>
  <c r="L383" i="1" s="1"/>
  <c r="AC389" i="1"/>
  <c r="L389" i="1" s="1"/>
  <c r="AC394" i="1"/>
  <c r="L394" i="1" s="1"/>
  <c r="AC399" i="1"/>
  <c r="L399" i="1" s="1"/>
  <c r="AC405" i="1"/>
  <c r="L405" i="1" s="1"/>
  <c r="AC410" i="1"/>
  <c r="L410" i="1" s="1"/>
  <c r="AC415" i="1"/>
  <c r="L415" i="1" s="1"/>
  <c r="AC421" i="1"/>
  <c r="L421" i="1" s="1"/>
  <c r="AC426" i="1"/>
  <c r="L426" i="1" s="1"/>
  <c r="AC431" i="1"/>
  <c r="L431" i="1" s="1"/>
  <c r="AC437" i="1"/>
  <c r="L437" i="1" s="1"/>
  <c r="AC442" i="1"/>
  <c r="L442" i="1" s="1"/>
  <c r="AC447" i="1"/>
  <c r="L447" i="1" s="1"/>
  <c r="AC453" i="1"/>
  <c r="L453" i="1" s="1"/>
  <c r="AC458" i="1"/>
  <c r="L458" i="1" s="1"/>
  <c r="AC463" i="1"/>
  <c r="L463" i="1" s="1"/>
  <c r="AC469" i="1"/>
  <c r="L469" i="1" s="1"/>
  <c r="AC474" i="1"/>
  <c r="L474" i="1" s="1"/>
  <c r="AC479" i="1"/>
  <c r="L479" i="1" s="1"/>
  <c r="AC485" i="1"/>
  <c r="L485" i="1" s="1"/>
  <c r="AC490" i="1"/>
  <c r="L490" i="1" s="1"/>
  <c r="AC495" i="1"/>
  <c r="L495" i="1" s="1"/>
  <c r="AC501" i="1"/>
  <c r="L501" i="1" s="1"/>
  <c r="AC506" i="1"/>
  <c r="L506" i="1" s="1"/>
  <c r="AC511" i="1"/>
  <c r="L511" i="1" s="1"/>
  <c r="AC517" i="1"/>
  <c r="L517" i="1" s="1"/>
  <c r="AC522" i="1"/>
  <c r="L522" i="1" s="1"/>
  <c r="AC527" i="1"/>
  <c r="L527" i="1" s="1"/>
  <c r="AC533" i="1"/>
  <c r="L533" i="1" s="1"/>
  <c r="AC538" i="1"/>
  <c r="L538" i="1" s="1"/>
  <c r="AC543" i="1"/>
  <c r="L543" i="1" s="1"/>
  <c r="AC549" i="1"/>
  <c r="L549" i="1" s="1"/>
  <c r="AC554" i="1"/>
  <c r="L554" i="1" s="1"/>
  <c r="AC558" i="1"/>
  <c r="L558" i="1" s="1"/>
  <c r="AC562" i="1"/>
  <c r="L562" i="1" s="1"/>
  <c r="AC566" i="1"/>
  <c r="L566" i="1" s="1"/>
  <c r="AC570" i="1"/>
  <c r="L570" i="1" s="1"/>
  <c r="AC574" i="1"/>
  <c r="L574" i="1" s="1"/>
  <c r="AC578" i="1"/>
  <c r="L578" i="1" s="1"/>
  <c r="AC582" i="1"/>
  <c r="L582" i="1" s="1"/>
  <c r="AC586" i="1"/>
  <c r="L586" i="1" s="1"/>
  <c r="AC590" i="1"/>
  <c r="L590" i="1" s="1"/>
  <c r="AC594" i="1"/>
  <c r="L594" i="1" s="1"/>
  <c r="AC598" i="1"/>
  <c r="L598" i="1" s="1"/>
  <c r="AC602" i="1"/>
  <c r="L602" i="1" s="1"/>
  <c r="AC606" i="1"/>
  <c r="L606" i="1" s="1"/>
  <c r="AC610" i="1"/>
  <c r="L610" i="1" s="1"/>
  <c r="AC614" i="1"/>
  <c r="L614" i="1" s="1"/>
  <c r="AC618" i="1"/>
  <c r="L618" i="1" s="1"/>
  <c r="AC622" i="1"/>
  <c r="L622" i="1" s="1"/>
  <c r="AC626" i="1"/>
  <c r="L626" i="1" s="1"/>
  <c r="AC630" i="1"/>
  <c r="L630" i="1" s="1"/>
  <c r="AC634" i="1"/>
  <c r="L634" i="1" s="1"/>
  <c r="AC101" i="1"/>
  <c r="L101" i="1" s="1"/>
  <c r="AC628" i="1"/>
  <c r="L628" i="1" s="1"/>
  <c r="AC620" i="1"/>
  <c r="L620" i="1" s="1"/>
  <c r="AC612" i="1"/>
  <c r="L612" i="1" s="1"/>
  <c r="AC604" i="1"/>
  <c r="L604" i="1" s="1"/>
  <c r="AC596" i="1"/>
  <c r="L596" i="1" s="1"/>
  <c r="AC588" i="1"/>
  <c r="L588" i="1" s="1"/>
  <c r="AC580" i="1"/>
  <c r="L580" i="1" s="1"/>
  <c r="AC572" i="1"/>
  <c r="L572" i="1" s="1"/>
  <c r="AC564" i="1"/>
  <c r="L564" i="1" s="1"/>
  <c r="AC556" i="1"/>
  <c r="L556" i="1" s="1"/>
  <c r="AC546" i="1"/>
  <c r="L546" i="1" s="1"/>
  <c r="AC535" i="1"/>
  <c r="L535" i="1" s="1"/>
  <c r="AC525" i="1"/>
  <c r="L525" i="1" s="1"/>
  <c r="AC514" i="1"/>
  <c r="L514" i="1" s="1"/>
  <c r="AC503" i="1"/>
  <c r="L503" i="1" s="1"/>
  <c r="AC493" i="1"/>
  <c r="L493" i="1" s="1"/>
  <c r="AC482" i="1"/>
  <c r="L482" i="1" s="1"/>
  <c r="AC471" i="1"/>
  <c r="L471" i="1" s="1"/>
  <c r="AC461" i="1"/>
  <c r="L461" i="1" s="1"/>
  <c r="AC450" i="1"/>
  <c r="L450" i="1" s="1"/>
  <c r="AC439" i="1"/>
  <c r="L439" i="1" s="1"/>
  <c r="AC429" i="1"/>
  <c r="L429" i="1" s="1"/>
  <c r="AC418" i="1"/>
  <c r="L418" i="1" s="1"/>
  <c r="AC407" i="1"/>
  <c r="L407" i="1" s="1"/>
  <c r="AC397" i="1"/>
  <c r="L397" i="1" s="1"/>
  <c r="AC386" i="1"/>
  <c r="L386" i="1" s="1"/>
  <c r="AC375" i="1"/>
  <c r="L375" i="1" s="1"/>
  <c r="AC362" i="1"/>
  <c r="L362" i="1" s="1"/>
  <c r="AC348" i="1"/>
  <c r="L348" i="1" s="1"/>
  <c r="AC333" i="1"/>
  <c r="L333" i="1" s="1"/>
  <c r="AC320" i="1"/>
  <c r="L320" i="1" s="1"/>
  <c r="AC305" i="1"/>
  <c r="L305" i="1" s="1"/>
  <c r="AC285" i="1"/>
  <c r="L285" i="1" s="1"/>
  <c r="AC265" i="1"/>
  <c r="L265" i="1" s="1"/>
  <c r="AC242" i="1"/>
  <c r="L242" i="1" s="1"/>
  <c r="AC221" i="1"/>
  <c r="L221" i="1" s="1"/>
  <c r="AC201" i="1"/>
  <c r="L201" i="1" s="1"/>
  <c r="AC178" i="1"/>
  <c r="L178" i="1" s="1"/>
  <c r="AC157" i="1"/>
  <c r="L157" i="1" s="1"/>
  <c r="AC137" i="1"/>
  <c r="L137" i="1" s="1"/>
  <c r="AC114" i="1"/>
  <c r="L114" i="1" s="1"/>
  <c r="AC635" i="1"/>
  <c r="L635" i="1" s="1"/>
  <c r="AC611" i="1"/>
  <c r="L611" i="1" s="1"/>
  <c r="AC595" i="1"/>
  <c r="L595" i="1" s="1"/>
  <c r="AC579" i="1"/>
  <c r="L579" i="1" s="1"/>
  <c r="AC563" i="1"/>
  <c r="L563" i="1" s="1"/>
  <c r="AC555" i="1"/>
  <c r="L555" i="1" s="1"/>
  <c r="AC534" i="1"/>
  <c r="L534" i="1" s="1"/>
  <c r="AC523" i="1"/>
  <c r="L523" i="1" s="1"/>
  <c r="AC513" i="1"/>
  <c r="L513" i="1" s="1"/>
  <c r="AC502" i="1"/>
  <c r="L502" i="1" s="1"/>
  <c r="AC491" i="1"/>
  <c r="L491" i="1" s="1"/>
  <c r="AC481" i="1"/>
  <c r="L481" i="1" s="1"/>
  <c r="AC470" i="1"/>
  <c r="L470" i="1" s="1"/>
  <c r="AC459" i="1"/>
  <c r="L459" i="1" s="1"/>
  <c r="AC449" i="1"/>
  <c r="L449" i="1" s="1"/>
  <c r="AC438" i="1"/>
  <c r="L438" i="1" s="1"/>
  <c r="AC427" i="1"/>
  <c r="L427" i="1" s="1"/>
  <c r="AC417" i="1"/>
  <c r="L417" i="1" s="1"/>
  <c r="AC406" i="1"/>
  <c r="L406" i="1" s="1"/>
  <c r="AC395" i="1"/>
  <c r="L395" i="1" s="1"/>
  <c r="AC385" i="1"/>
  <c r="L385" i="1" s="1"/>
  <c r="AC374" i="1"/>
  <c r="L374" i="1" s="1"/>
  <c r="AC360" i="1"/>
  <c r="L360" i="1" s="1"/>
  <c r="AC346" i="1"/>
  <c r="L346" i="1" s="1"/>
  <c r="AC332" i="1"/>
  <c r="L332" i="1" s="1"/>
  <c r="AC317" i="1"/>
  <c r="L317" i="1" s="1"/>
  <c r="AC304" i="1"/>
  <c r="L304" i="1" s="1"/>
  <c r="AC282" i="1"/>
  <c r="L282" i="1" s="1"/>
  <c r="AC261" i="1"/>
  <c r="L261" i="1" s="1"/>
  <c r="AC241" i="1"/>
  <c r="L241" i="1" s="1"/>
  <c r="AC218" i="1"/>
  <c r="L218" i="1" s="1"/>
  <c r="AC197" i="1"/>
  <c r="L197" i="1" s="1"/>
  <c r="AC177" i="1"/>
  <c r="L177" i="1" s="1"/>
  <c r="AC154" i="1"/>
  <c r="L154" i="1" s="1"/>
  <c r="AC133" i="1"/>
  <c r="L133" i="1" s="1"/>
  <c r="AC113" i="1"/>
  <c r="L113" i="1" s="1"/>
  <c r="AC627" i="1"/>
  <c r="L627" i="1" s="1"/>
  <c r="AC619" i="1"/>
  <c r="L619" i="1" s="1"/>
  <c r="AC603" i="1"/>
  <c r="L603" i="1" s="1"/>
  <c r="AC587" i="1"/>
  <c r="L587" i="1" s="1"/>
  <c r="AC571" i="1"/>
  <c r="L571" i="1" s="1"/>
  <c r="AC545" i="1"/>
  <c r="L545" i="1" s="1"/>
  <c r="AC632" i="1"/>
  <c r="L632" i="1" s="1"/>
  <c r="AC624" i="1"/>
  <c r="L624" i="1" s="1"/>
  <c r="AC616" i="1"/>
  <c r="L616" i="1" s="1"/>
  <c r="AC608" i="1"/>
  <c r="L608" i="1" s="1"/>
  <c r="AC600" i="1"/>
  <c r="L600" i="1" s="1"/>
  <c r="AC592" i="1"/>
  <c r="L592" i="1" s="1"/>
  <c r="AC584" i="1"/>
  <c r="L584" i="1" s="1"/>
  <c r="AC576" i="1"/>
  <c r="L576" i="1" s="1"/>
  <c r="AC568" i="1"/>
  <c r="L568" i="1" s="1"/>
  <c r="AC560" i="1"/>
  <c r="L560" i="1" s="1"/>
  <c r="AC551" i="1"/>
  <c r="L551" i="1" s="1"/>
  <c r="AC541" i="1"/>
  <c r="L541" i="1" s="1"/>
  <c r="AC530" i="1"/>
  <c r="L530" i="1" s="1"/>
  <c r="AC519" i="1"/>
  <c r="L519" i="1" s="1"/>
  <c r="AC509" i="1"/>
  <c r="L509" i="1" s="1"/>
  <c r="AC498" i="1"/>
  <c r="L498" i="1" s="1"/>
  <c r="AC487" i="1"/>
  <c r="L487" i="1" s="1"/>
  <c r="AC477" i="1"/>
  <c r="L477" i="1" s="1"/>
  <c r="AC466" i="1"/>
  <c r="L466" i="1" s="1"/>
  <c r="AC455" i="1"/>
  <c r="L455" i="1" s="1"/>
  <c r="AC445" i="1"/>
  <c r="L445" i="1" s="1"/>
  <c r="AC434" i="1"/>
  <c r="L434" i="1" s="1"/>
  <c r="AC423" i="1"/>
  <c r="L423" i="1" s="1"/>
  <c r="AC413" i="1"/>
  <c r="L413" i="1" s="1"/>
  <c r="AC402" i="1"/>
  <c r="L402" i="1" s="1"/>
  <c r="AC391" i="1"/>
  <c r="L391" i="1" s="1"/>
  <c r="AC381" i="1"/>
  <c r="L381" i="1" s="1"/>
  <c r="AC369" i="1"/>
  <c r="L369" i="1" s="1"/>
  <c r="AC354" i="1"/>
  <c r="L354" i="1" s="1"/>
  <c r="AC341" i="1"/>
  <c r="L341" i="1" s="1"/>
  <c r="AC326" i="1"/>
  <c r="L326" i="1" s="1"/>
  <c r="AC312" i="1"/>
  <c r="L312" i="1" s="1"/>
  <c r="AC297" i="1"/>
  <c r="L297" i="1" s="1"/>
  <c r="AC274" i="1"/>
  <c r="L274" i="1" s="1"/>
  <c r="AC253" i="1"/>
  <c r="L253" i="1" s="1"/>
  <c r="AC233" i="1"/>
  <c r="L233" i="1" s="1"/>
  <c r="AC210" i="1"/>
  <c r="L210" i="1" s="1"/>
  <c r="AC189" i="1"/>
  <c r="L189" i="1" s="1"/>
  <c r="AC169" i="1"/>
  <c r="L169" i="1" s="1"/>
  <c r="AC146" i="1"/>
  <c r="L146" i="1" s="1"/>
  <c r="AC125" i="1"/>
  <c r="L125" i="1" s="1"/>
  <c r="AC105" i="1"/>
  <c r="L105" i="1" s="1"/>
  <c r="A8" i="3"/>
  <c r="A7" i="3"/>
  <c r="E73" i="1" l="1"/>
  <c r="D73" i="1" l="1"/>
  <c r="R73" i="1" l="1"/>
  <c r="P73" i="1"/>
  <c r="A6" i="4"/>
  <c r="A10" i="4" s="1"/>
  <c r="D15" i="4" l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U14" i="2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8" i="2"/>
  <c r="U9" i="2"/>
  <c r="U11" i="2"/>
  <c r="D48" i="1" l="1"/>
  <c r="I201" i="2" l="1"/>
  <c r="I202" i="2"/>
  <c r="I203" i="2"/>
  <c r="I207" i="2"/>
  <c r="I211" i="2"/>
  <c r="U211" i="2" s="1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U240" i="2" s="1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P27" i="1" l="1"/>
  <c r="R27" i="1"/>
  <c r="K134" i="2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J72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S629" i="1" l="1"/>
  <c r="T629" i="1" s="1"/>
  <c r="S617" i="1"/>
  <c r="T617" i="1" s="1"/>
  <c r="S605" i="1"/>
  <c r="T605" i="1" s="1"/>
  <c r="S593" i="1"/>
  <c r="T593" i="1" s="1"/>
  <c r="S581" i="1"/>
  <c r="T581" i="1" s="1"/>
  <c r="S569" i="1"/>
  <c r="T569" i="1" s="1"/>
  <c r="S557" i="1"/>
  <c r="T557" i="1" s="1"/>
  <c r="S545" i="1"/>
  <c r="T545" i="1" s="1"/>
  <c r="S533" i="1"/>
  <c r="T533" i="1" s="1"/>
  <c r="S521" i="1"/>
  <c r="T521" i="1" s="1"/>
  <c r="S509" i="1"/>
  <c r="T509" i="1" s="1"/>
  <c r="S497" i="1"/>
  <c r="T497" i="1" s="1"/>
  <c r="S485" i="1"/>
  <c r="T485" i="1" s="1"/>
  <c r="S473" i="1"/>
  <c r="T473" i="1" s="1"/>
  <c r="S461" i="1"/>
  <c r="T461" i="1" s="1"/>
  <c r="S449" i="1"/>
  <c r="T449" i="1" s="1"/>
  <c r="S437" i="1"/>
  <c r="T437" i="1" s="1"/>
  <c r="S425" i="1"/>
  <c r="T425" i="1" s="1"/>
  <c r="S413" i="1"/>
  <c r="T413" i="1" s="1"/>
  <c r="S401" i="1"/>
  <c r="T401" i="1" s="1"/>
  <c r="S389" i="1"/>
  <c r="T38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09" i="1"/>
  <c r="T109" i="1" s="1"/>
  <c r="S632" i="1"/>
  <c r="T632" i="1" s="1"/>
  <c r="S620" i="1"/>
  <c r="T620" i="1" s="1"/>
  <c r="S612" i="1"/>
  <c r="T612" i="1" s="1"/>
  <c r="S600" i="1"/>
  <c r="T600" i="1" s="1"/>
  <c r="S596" i="1"/>
  <c r="T596" i="1" s="1"/>
  <c r="S592" i="1"/>
  <c r="T592" i="1" s="1"/>
  <c r="S588" i="1"/>
  <c r="T588" i="1" s="1"/>
  <c r="S584" i="1"/>
  <c r="T584" i="1" s="1"/>
  <c r="S580" i="1"/>
  <c r="T580" i="1" s="1"/>
  <c r="S576" i="1"/>
  <c r="T576" i="1" s="1"/>
  <c r="S572" i="1"/>
  <c r="T572" i="1" s="1"/>
  <c r="S568" i="1"/>
  <c r="T568" i="1" s="1"/>
  <c r="S564" i="1"/>
  <c r="T564" i="1" s="1"/>
  <c r="S560" i="1"/>
  <c r="T560" i="1" s="1"/>
  <c r="S556" i="1"/>
  <c r="T556" i="1" s="1"/>
  <c r="S552" i="1"/>
  <c r="T552" i="1" s="1"/>
  <c r="S548" i="1"/>
  <c r="T548" i="1" s="1"/>
  <c r="S544" i="1"/>
  <c r="T544" i="1" s="1"/>
  <c r="S540" i="1"/>
  <c r="T540" i="1" s="1"/>
  <c r="S536" i="1"/>
  <c r="T536" i="1" s="1"/>
  <c r="S532" i="1"/>
  <c r="T532" i="1" s="1"/>
  <c r="S528" i="1"/>
  <c r="T528" i="1" s="1"/>
  <c r="S524" i="1"/>
  <c r="T524" i="1" s="1"/>
  <c r="S520" i="1"/>
  <c r="T520" i="1" s="1"/>
  <c r="S516" i="1"/>
  <c r="T516" i="1" s="1"/>
  <c r="S512" i="1"/>
  <c r="T512" i="1" s="1"/>
  <c r="S508" i="1"/>
  <c r="T508" i="1" s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308" i="1"/>
  <c r="T308" i="1" s="1"/>
  <c r="S304" i="1"/>
  <c r="T304" i="1" s="1"/>
  <c r="S300" i="1"/>
  <c r="T300" i="1" s="1"/>
  <c r="S296" i="1"/>
  <c r="T296" i="1" s="1"/>
  <c r="S292" i="1"/>
  <c r="T292" i="1" s="1"/>
  <c r="S288" i="1"/>
  <c r="T288" i="1" s="1"/>
  <c r="S284" i="1"/>
  <c r="T284" i="1" s="1"/>
  <c r="S280" i="1"/>
  <c r="T280" i="1" s="1"/>
  <c r="S276" i="1"/>
  <c r="T276" i="1" s="1"/>
  <c r="S272" i="1"/>
  <c r="T272" i="1" s="1"/>
  <c r="S268" i="1"/>
  <c r="T268" i="1" s="1"/>
  <c r="S264" i="1"/>
  <c r="T264" i="1" s="1"/>
  <c r="S260" i="1"/>
  <c r="T260" i="1" s="1"/>
  <c r="S256" i="1"/>
  <c r="T256" i="1" s="1"/>
  <c r="S252" i="1"/>
  <c r="T252" i="1" s="1"/>
  <c r="S248" i="1"/>
  <c r="T248" i="1" s="1"/>
  <c r="S244" i="1"/>
  <c r="T244" i="1" s="1"/>
  <c r="S240" i="1"/>
  <c r="T240" i="1" s="1"/>
  <c r="S236" i="1"/>
  <c r="T236" i="1" s="1"/>
  <c r="S232" i="1"/>
  <c r="T232" i="1" s="1"/>
  <c r="S228" i="1"/>
  <c r="T228" i="1" s="1"/>
  <c r="S224" i="1"/>
  <c r="T224" i="1" s="1"/>
  <c r="S220" i="1"/>
  <c r="T220" i="1" s="1"/>
  <c r="S216" i="1"/>
  <c r="T216" i="1" s="1"/>
  <c r="S212" i="1"/>
  <c r="T212" i="1" s="1"/>
  <c r="S208" i="1"/>
  <c r="T208" i="1" s="1"/>
  <c r="S204" i="1"/>
  <c r="T204" i="1" s="1"/>
  <c r="S200" i="1"/>
  <c r="T200" i="1" s="1"/>
  <c r="S196" i="1"/>
  <c r="T196" i="1" s="1"/>
  <c r="S192" i="1"/>
  <c r="T192" i="1" s="1"/>
  <c r="S188" i="1"/>
  <c r="T188" i="1" s="1"/>
  <c r="S184" i="1"/>
  <c r="T184" i="1" s="1"/>
  <c r="S180" i="1"/>
  <c r="T180" i="1" s="1"/>
  <c r="S176" i="1"/>
  <c r="T176" i="1" s="1"/>
  <c r="S172" i="1"/>
  <c r="T172" i="1" s="1"/>
  <c r="S168" i="1"/>
  <c r="T168" i="1" s="1"/>
  <c r="S164" i="1"/>
  <c r="T164" i="1" s="1"/>
  <c r="S160" i="1"/>
  <c r="T160" i="1" s="1"/>
  <c r="S156" i="1"/>
  <c r="T156" i="1" s="1"/>
  <c r="S152" i="1"/>
  <c r="T152" i="1" s="1"/>
  <c r="S148" i="1"/>
  <c r="T148" i="1" s="1"/>
  <c r="S144" i="1"/>
  <c r="T144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625" i="1"/>
  <c r="T625" i="1" s="1"/>
  <c r="S613" i="1"/>
  <c r="T613" i="1" s="1"/>
  <c r="S601" i="1"/>
  <c r="T601" i="1" s="1"/>
  <c r="S589" i="1"/>
  <c r="T589" i="1" s="1"/>
  <c r="S577" i="1"/>
  <c r="T577" i="1" s="1"/>
  <c r="S565" i="1"/>
  <c r="T565" i="1" s="1"/>
  <c r="S553" i="1"/>
  <c r="T553" i="1" s="1"/>
  <c r="S541" i="1"/>
  <c r="T541" i="1" s="1"/>
  <c r="S529" i="1"/>
  <c r="T529" i="1" s="1"/>
  <c r="S513" i="1"/>
  <c r="T513" i="1" s="1"/>
  <c r="S501" i="1"/>
  <c r="T501" i="1" s="1"/>
  <c r="S489" i="1"/>
  <c r="T489" i="1" s="1"/>
  <c r="S477" i="1"/>
  <c r="T477" i="1" s="1"/>
  <c r="S469" i="1"/>
  <c r="T469" i="1" s="1"/>
  <c r="S453" i="1"/>
  <c r="T453" i="1" s="1"/>
  <c r="S441" i="1"/>
  <c r="T441" i="1" s="1"/>
  <c r="S429" i="1"/>
  <c r="T429" i="1" s="1"/>
  <c r="S417" i="1"/>
  <c r="T417" i="1" s="1"/>
  <c r="S409" i="1"/>
  <c r="T409" i="1" s="1"/>
  <c r="S397" i="1"/>
  <c r="T397" i="1" s="1"/>
  <c r="S385" i="1"/>
  <c r="T385" i="1" s="1"/>
  <c r="S373" i="1"/>
  <c r="T373" i="1" s="1"/>
  <c r="S357" i="1"/>
  <c r="T357" i="1" s="1"/>
  <c r="S345" i="1"/>
  <c r="T345" i="1" s="1"/>
  <c r="S333" i="1"/>
  <c r="T333" i="1" s="1"/>
  <c r="S325" i="1"/>
  <c r="T325" i="1" s="1"/>
  <c r="S313" i="1"/>
  <c r="T313" i="1" s="1"/>
  <c r="S301" i="1"/>
  <c r="T301" i="1" s="1"/>
  <c r="S289" i="1"/>
  <c r="T289" i="1" s="1"/>
  <c r="S277" i="1"/>
  <c r="T277" i="1" s="1"/>
  <c r="S265" i="1"/>
  <c r="T265" i="1" s="1"/>
  <c r="S249" i="1"/>
  <c r="T249" i="1" s="1"/>
  <c r="S241" i="1"/>
  <c r="T241" i="1" s="1"/>
  <c r="S229" i="1"/>
  <c r="T229" i="1" s="1"/>
  <c r="S217" i="1"/>
  <c r="T217" i="1" s="1"/>
  <c r="S201" i="1"/>
  <c r="T201" i="1" s="1"/>
  <c r="S193" i="1"/>
  <c r="T193" i="1" s="1"/>
  <c r="S181" i="1"/>
  <c r="T181" i="1" s="1"/>
  <c r="S169" i="1"/>
  <c r="T169" i="1" s="1"/>
  <c r="S153" i="1"/>
  <c r="T153" i="1" s="1"/>
  <c r="S145" i="1"/>
  <c r="T145" i="1" s="1"/>
  <c r="S133" i="1"/>
  <c r="T133" i="1" s="1"/>
  <c r="S121" i="1"/>
  <c r="T121" i="1" s="1"/>
  <c r="S105" i="1"/>
  <c r="T105" i="1" s="1"/>
  <c r="S624" i="1"/>
  <c r="T624" i="1" s="1"/>
  <c r="S608" i="1"/>
  <c r="T608" i="1" s="1"/>
  <c r="S635" i="1"/>
  <c r="T635" i="1" s="1"/>
  <c r="S631" i="1"/>
  <c r="T631" i="1" s="1"/>
  <c r="S627" i="1"/>
  <c r="T627" i="1" s="1"/>
  <c r="S623" i="1"/>
  <c r="T623" i="1" s="1"/>
  <c r="S619" i="1"/>
  <c r="T619" i="1" s="1"/>
  <c r="S615" i="1"/>
  <c r="T615" i="1" s="1"/>
  <c r="S611" i="1"/>
  <c r="T611" i="1" s="1"/>
  <c r="S607" i="1"/>
  <c r="T607" i="1" s="1"/>
  <c r="S603" i="1"/>
  <c r="T603" i="1" s="1"/>
  <c r="S599" i="1"/>
  <c r="T599" i="1" s="1"/>
  <c r="S595" i="1"/>
  <c r="T595" i="1" s="1"/>
  <c r="S591" i="1"/>
  <c r="T591" i="1" s="1"/>
  <c r="S587" i="1"/>
  <c r="T587" i="1" s="1"/>
  <c r="S583" i="1"/>
  <c r="T583" i="1" s="1"/>
  <c r="S579" i="1"/>
  <c r="T579" i="1" s="1"/>
  <c r="S575" i="1"/>
  <c r="T575" i="1" s="1"/>
  <c r="S571" i="1"/>
  <c r="T571" i="1" s="1"/>
  <c r="S567" i="1"/>
  <c r="T567" i="1" s="1"/>
  <c r="S563" i="1"/>
  <c r="T563" i="1" s="1"/>
  <c r="S559" i="1"/>
  <c r="T559" i="1" s="1"/>
  <c r="S555" i="1"/>
  <c r="T555" i="1" s="1"/>
  <c r="S551" i="1"/>
  <c r="T551" i="1" s="1"/>
  <c r="S547" i="1"/>
  <c r="T547" i="1" s="1"/>
  <c r="S543" i="1"/>
  <c r="T543" i="1" s="1"/>
  <c r="S539" i="1"/>
  <c r="T539" i="1" s="1"/>
  <c r="S535" i="1"/>
  <c r="T535" i="1" s="1"/>
  <c r="S531" i="1"/>
  <c r="T531" i="1" s="1"/>
  <c r="S527" i="1"/>
  <c r="T527" i="1" s="1"/>
  <c r="S523" i="1"/>
  <c r="T523" i="1" s="1"/>
  <c r="S519" i="1"/>
  <c r="T519" i="1" s="1"/>
  <c r="S515" i="1"/>
  <c r="T515" i="1" s="1"/>
  <c r="S511" i="1"/>
  <c r="T511" i="1" s="1"/>
  <c r="S507" i="1"/>
  <c r="T507" i="1" s="1"/>
  <c r="S503" i="1"/>
  <c r="T503" i="1" s="1"/>
  <c r="S499" i="1"/>
  <c r="T499" i="1" s="1"/>
  <c r="S495" i="1"/>
  <c r="T495" i="1" s="1"/>
  <c r="S491" i="1"/>
  <c r="T491" i="1" s="1"/>
  <c r="S487" i="1"/>
  <c r="T487" i="1" s="1"/>
  <c r="S483" i="1"/>
  <c r="T483" i="1" s="1"/>
  <c r="S479" i="1"/>
  <c r="T479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367" i="1"/>
  <c r="T367" i="1" s="1"/>
  <c r="S363" i="1"/>
  <c r="T363" i="1" s="1"/>
  <c r="S359" i="1"/>
  <c r="T359" i="1" s="1"/>
  <c r="S355" i="1"/>
  <c r="T355" i="1" s="1"/>
  <c r="S351" i="1"/>
  <c r="T351" i="1" s="1"/>
  <c r="S347" i="1"/>
  <c r="T347" i="1" s="1"/>
  <c r="S343" i="1"/>
  <c r="T343" i="1" s="1"/>
  <c r="S339" i="1"/>
  <c r="T339" i="1" s="1"/>
  <c r="S335" i="1"/>
  <c r="T335" i="1" s="1"/>
  <c r="S331" i="1"/>
  <c r="T331" i="1" s="1"/>
  <c r="S327" i="1"/>
  <c r="T327" i="1" s="1"/>
  <c r="S323" i="1"/>
  <c r="T323" i="1" s="1"/>
  <c r="S319" i="1"/>
  <c r="T319" i="1" s="1"/>
  <c r="S315" i="1"/>
  <c r="T315" i="1" s="1"/>
  <c r="S311" i="1"/>
  <c r="T311" i="1" s="1"/>
  <c r="S307" i="1"/>
  <c r="T307" i="1" s="1"/>
  <c r="S303" i="1"/>
  <c r="T303" i="1" s="1"/>
  <c r="S299" i="1"/>
  <c r="T299" i="1" s="1"/>
  <c r="S295" i="1"/>
  <c r="T295" i="1" s="1"/>
  <c r="S291" i="1"/>
  <c r="T291" i="1" s="1"/>
  <c r="S287" i="1"/>
  <c r="T287" i="1" s="1"/>
  <c r="S283" i="1"/>
  <c r="T283" i="1" s="1"/>
  <c r="S279" i="1"/>
  <c r="T279" i="1" s="1"/>
  <c r="S275" i="1"/>
  <c r="T275" i="1" s="1"/>
  <c r="S271" i="1"/>
  <c r="T271" i="1" s="1"/>
  <c r="S267" i="1"/>
  <c r="T267" i="1" s="1"/>
  <c r="S263" i="1"/>
  <c r="T263" i="1" s="1"/>
  <c r="S259" i="1"/>
  <c r="T259" i="1" s="1"/>
  <c r="S255" i="1"/>
  <c r="T255" i="1" s="1"/>
  <c r="S251" i="1"/>
  <c r="T251" i="1" s="1"/>
  <c r="S247" i="1"/>
  <c r="T247" i="1" s="1"/>
  <c r="S243" i="1"/>
  <c r="T243" i="1" s="1"/>
  <c r="S239" i="1"/>
  <c r="T239" i="1" s="1"/>
  <c r="S235" i="1"/>
  <c r="T235" i="1" s="1"/>
  <c r="S231" i="1"/>
  <c r="T231" i="1" s="1"/>
  <c r="S227" i="1"/>
  <c r="T227" i="1" s="1"/>
  <c r="S223" i="1"/>
  <c r="T223" i="1" s="1"/>
  <c r="S219" i="1"/>
  <c r="T219" i="1" s="1"/>
  <c r="S215" i="1"/>
  <c r="T215" i="1" s="1"/>
  <c r="S211" i="1"/>
  <c r="T211" i="1" s="1"/>
  <c r="S207" i="1"/>
  <c r="T207" i="1" s="1"/>
  <c r="S203" i="1"/>
  <c r="T203" i="1" s="1"/>
  <c r="S199" i="1"/>
  <c r="T199" i="1" s="1"/>
  <c r="S195" i="1"/>
  <c r="T195" i="1" s="1"/>
  <c r="S191" i="1"/>
  <c r="T191" i="1" s="1"/>
  <c r="S187" i="1"/>
  <c r="T187" i="1" s="1"/>
  <c r="S183" i="1"/>
  <c r="T183" i="1" s="1"/>
  <c r="S179" i="1"/>
  <c r="T179" i="1" s="1"/>
  <c r="S175" i="1"/>
  <c r="T175" i="1" s="1"/>
  <c r="S171" i="1"/>
  <c r="T171" i="1" s="1"/>
  <c r="S167" i="1"/>
  <c r="T167" i="1" s="1"/>
  <c r="S163" i="1"/>
  <c r="T163" i="1" s="1"/>
  <c r="S159" i="1"/>
  <c r="T159" i="1" s="1"/>
  <c r="S155" i="1"/>
  <c r="T155" i="1" s="1"/>
  <c r="S151" i="1"/>
  <c r="T151" i="1" s="1"/>
  <c r="S147" i="1"/>
  <c r="T147" i="1" s="1"/>
  <c r="S143" i="1"/>
  <c r="T143" i="1" s="1"/>
  <c r="S139" i="1"/>
  <c r="T139" i="1" s="1"/>
  <c r="S135" i="1"/>
  <c r="T135" i="1" s="1"/>
  <c r="S131" i="1"/>
  <c r="T131" i="1" s="1"/>
  <c r="S127" i="1"/>
  <c r="T127" i="1" s="1"/>
  <c r="S123" i="1"/>
  <c r="T123" i="1" s="1"/>
  <c r="S119" i="1"/>
  <c r="T119" i="1" s="1"/>
  <c r="S115" i="1"/>
  <c r="T115" i="1" s="1"/>
  <c r="S111" i="1"/>
  <c r="T111" i="1" s="1"/>
  <c r="S107" i="1"/>
  <c r="T107" i="1" s="1"/>
  <c r="S72" i="1"/>
  <c r="T72" i="1" s="1"/>
  <c r="S633" i="1"/>
  <c r="T633" i="1" s="1"/>
  <c r="S621" i="1"/>
  <c r="T621" i="1" s="1"/>
  <c r="S609" i="1"/>
  <c r="T609" i="1" s="1"/>
  <c r="S597" i="1"/>
  <c r="T597" i="1" s="1"/>
  <c r="S585" i="1"/>
  <c r="T585" i="1" s="1"/>
  <c r="S573" i="1"/>
  <c r="T573" i="1" s="1"/>
  <c r="S561" i="1"/>
  <c r="T561" i="1" s="1"/>
  <c r="S549" i="1"/>
  <c r="T549" i="1" s="1"/>
  <c r="S537" i="1"/>
  <c r="T537" i="1" s="1"/>
  <c r="S525" i="1"/>
  <c r="T525" i="1" s="1"/>
  <c r="S517" i="1"/>
  <c r="T517" i="1" s="1"/>
  <c r="S505" i="1"/>
  <c r="T505" i="1" s="1"/>
  <c r="S493" i="1"/>
  <c r="T493" i="1" s="1"/>
  <c r="S481" i="1"/>
  <c r="T481" i="1" s="1"/>
  <c r="S465" i="1"/>
  <c r="T465" i="1" s="1"/>
  <c r="S457" i="1"/>
  <c r="T457" i="1" s="1"/>
  <c r="S445" i="1"/>
  <c r="T445" i="1" s="1"/>
  <c r="S433" i="1"/>
  <c r="T433" i="1" s="1"/>
  <c r="S421" i="1"/>
  <c r="T421" i="1" s="1"/>
  <c r="S405" i="1"/>
  <c r="T405" i="1" s="1"/>
  <c r="S393" i="1"/>
  <c r="T393" i="1" s="1"/>
  <c r="S381" i="1"/>
  <c r="T381" i="1" s="1"/>
  <c r="S369" i="1"/>
  <c r="T369" i="1" s="1"/>
  <c r="S361" i="1"/>
  <c r="T361" i="1" s="1"/>
  <c r="S349" i="1"/>
  <c r="T349" i="1" s="1"/>
  <c r="S337" i="1"/>
  <c r="T337" i="1" s="1"/>
  <c r="S321" i="1"/>
  <c r="T321" i="1" s="1"/>
  <c r="S309" i="1"/>
  <c r="T309" i="1" s="1"/>
  <c r="S297" i="1"/>
  <c r="T297" i="1" s="1"/>
  <c r="S285" i="1"/>
  <c r="T285" i="1" s="1"/>
  <c r="S273" i="1"/>
  <c r="T273" i="1" s="1"/>
  <c r="S261" i="1"/>
  <c r="T261" i="1" s="1"/>
  <c r="S253" i="1"/>
  <c r="T253" i="1" s="1"/>
  <c r="S237" i="1"/>
  <c r="T237" i="1" s="1"/>
  <c r="S225" i="1"/>
  <c r="T225" i="1" s="1"/>
  <c r="S213" i="1"/>
  <c r="T213" i="1" s="1"/>
  <c r="S205" i="1"/>
  <c r="T205" i="1" s="1"/>
  <c r="S189" i="1"/>
  <c r="T189" i="1" s="1"/>
  <c r="S177" i="1"/>
  <c r="T177" i="1" s="1"/>
  <c r="S165" i="1"/>
  <c r="T165" i="1" s="1"/>
  <c r="S157" i="1"/>
  <c r="T157" i="1" s="1"/>
  <c r="S141" i="1"/>
  <c r="T141" i="1" s="1"/>
  <c r="S129" i="1"/>
  <c r="T129" i="1" s="1"/>
  <c r="S117" i="1"/>
  <c r="T117" i="1" s="1"/>
  <c r="S113" i="1"/>
  <c r="T113" i="1" s="1"/>
  <c r="S628" i="1"/>
  <c r="T628" i="1" s="1"/>
  <c r="S616" i="1"/>
  <c r="T616" i="1" s="1"/>
  <c r="S604" i="1"/>
  <c r="T604" i="1" s="1"/>
  <c r="S634" i="1"/>
  <c r="T634" i="1" s="1"/>
  <c r="S630" i="1"/>
  <c r="T630" i="1" s="1"/>
  <c r="S626" i="1"/>
  <c r="T626" i="1" s="1"/>
  <c r="S622" i="1"/>
  <c r="T622" i="1" s="1"/>
  <c r="S618" i="1"/>
  <c r="T618" i="1" s="1"/>
  <c r="S614" i="1"/>
  <c r="T614" i="1" s="1"/>
  <c r="S610" i="1"/>
  <c r="T610" i="1" s="1"/>
  <c r="S606" i="1"/>
  <c r="T606" i="1" s="1"/>
  <c r="S602" i="1"/>
  <c r="T602" i="1" s="1"/>
  <c r="S598" i="1"/>
  <c r="T598" i="1" s="1"/>
  <c r="S594" i="1"/>
  <c r="T594" i="1" s="1"/>
  <c r="S590" i="1"/>
  <c r="T590" i="1" s="1"/>
  <c r="S586" i="1"/>
  <c r="T586" i="1" s="1"/>
  <c r="S582" i="1"/>
  <c r="T582" i="1" s="1"/>
  <c r="S578" i="1"/>
  <c r="T578" i="1" s="1"/>
  <c r="S574" i="1"/>
  <c r="T574" i="1" s="1"/>
  <c r="S570" i="1"/>
  <c r="T570" i="1" s="1"/>
  <c r="S566" i="1"/>
  <c r="T566" i="1" s="1"/>
  <c r="S562" i="1"/>
  <c r="T562" i="1" s="1"/>
  <c r="S558" i="1"/>
  <c r="T558" i="1" s="1"/>
  <c r="S554" i="1"/>
  <c r="T554" i="1" s="1"/>
  <c r="S550" i="1"/>
  <c r="T550" i="1" s="1"/>
  <c r="S546" i="1"/>
  <c r="T546" i="1" s="1"/>
  <c r="S542" i="1"/>
  <c r="T542" i="1" s="1"/>
  <c r="S538" i="1"/>
  <c r="T538" i="1" s="1"/>
  <c r="S534" i="1"/>
  <c r="T534" i="1" s="1"/>
  <c r="S530" i="1"/>
  <c r="T530" i="1" s="1"/>
  <c r="S526" i="1"/>
  <c r="T526" i="1" s="1"/>
  <c r="S522" i="1"/>
  <c r="T522" i="1" s="1"/>
  <c r="S518" i="1"/>
  <c r="T518" i="1" s="1"/>
  <c r="S514" i="1"/>
  <c r="T514" i="1" s="1"/>
  <c r="S510" i="1"/>
  <c r="T510" i="1" s="1"/>
  <c r="S506" i="1"/>
  <c r="T506" i="1" s="1"/>
  <c r="S502" i="1"/>
  <c r="T502" i="1" s="1"/>
  <c r="S498" i="1"/>
  <c r="T498" i="1" s="1"/>
  <c r="S494" i="1"/>
  <c r="T494" i="1" s="1"/>
  <c r="S490" i="1"/>
  <c r="T490" i="1" s="1"/>
  <c r="S486" i="1"/>
  <c r="T486" i="1" s="1"/>
  <c r="S482" i="1"/>
  <c r="T482" i="1" s="1"/>
  <c r="S478" i="1"/>
  <c r="T478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38" i="1"/>
  <c r="T438" i="1" s="1"/>
  <c r="S434" i="1"/>
  <c r="T434" i="1" s="1"/>
  <c r="S430" i="1"/>
  <c r="T430" i="1" s="1"/>
  <c r="S426" i="1"/>
  <c r="T426" i="1" s="1"/>
  <c r="S422" i="1"/>
  <c r="T422" i="1" s="1"/>
  <c r="S418" i="1"/>
  <c r="T418" i="1" s="1"/>
  <c r="S414" i="1"/>
  <c r="T414" i="1" s="1"/>
  <c r="S410" i="1"/>
  <c r="T410" i="1" s="1"/>
  <c r="S406" i="1"/>
  <c r="T406" i="1" s="1"/>
  <c r="S402" i="1"/>
  <c r="T402" i="1" s="1"/>
  <c r="S398" i="1"/>
  <c r="T398" i="1" s="1"/>
  <c r="S394" i="1"/>
  <c r="T394" i="1" s="1"/>
  <c r="S390" i="1"/>
  <c r="T390" i="1" s="1"/>
  <c r="S386" i="1"/>
  <c r="T386" i="1" s="1"/>
  <c r="S382" i="1"/>
  <c r="T382" i="1" s="1"/>
  <c r="S378" i="1"/>
  <c r="T378" i="1" s="1"/>
  <c r="S374" i="1"/>
  <c r="T374" i="1" s="1"/>
  <c r="S370" i="1"/>
  <c r="T370" i="1" s="1"/>
  <c r="S366" i="1"/>
  <c r="T366" i="1" s="1"/>
  <c r="S362" i="1"/>
  <c r="T362" i="1" s="1"/>
  <c r="S358" i="1"/>
  <c r="T358" i="1" s="1"/>
  <c r="S354" i="1"/>
  <c r="T354" i="1" s="1"/>
  <c r="S350" i="1"/>
  <c r="T350" i="1" s="1"/>
  <c r="S346" i="1"/>
  <c r="T346" i="1" s="1"/>
  <c r="S342" i="1"/>
  <c r="T342" i="1" s="1"/>
  <c r="S338" i="1"/>
  <c r="T338" i="1" s="1"/>
  <c r="S334" i="1"/>
  <c r="T334" i="1" s="1"/>
  <c r="S330" i="1"/>
  <c r="T330" i="1" s="1"/>
  <c r="S326" i="1"/>
  <c r="T326" i="1" s="1"/>
  <c r="S322" i="1"/>
  <c r="T322" i="1" s="1"/>
  <c r="S318" i="1"/>
  <c r="T318" i="1" s="1"/>
  <c r="S314" i="1"/>
  <c r="T314" i="1" s="1"/>
  <c r="S310" i="1"/>
  <c r="T310" i="1" s="1"/>
  <c r="S306" i="1"/>
  <c r="T306" i="1" s="1"/>
  <c r="S302" i="1"/>
  <c r="T302" i="1" s="1"/>
  <c r="S298" i="1"/>
  <c r="T298" i="1" s="1"/>
  <c r="S294" i="1"/>
  <c r="T294" i="1" s="1"/>
  <c r="S290" i="1"/>
  <c r="T290" i="1" s="1"/>
  <c r="S286" i="1"/>
  <c r="T286" i="1" s="1"/>
  <c r="S282" i="1"/>
  <c r="T282" i="1" s="1"/>
  <c r="S278" i="1"/>
  <c r="T278" i="1" s="1"/>
  <c r="S274" i="1"/>
  <c r="T274" i="1" s="1"/>
  <c r="S270" i="1"/>
  <c r="T270" i="1" s="1"/>
  <c r="S266" i="1"/>
  <c r="T266" i="1" s="1"/>
  <c r="S262" i="1"/>
  <c r="T262" i="1" s="1"/>
  <c r="S258" i="1"/>
  <c r="T258" i="1" s="1"/>
  <c r="S254" i="1"/>
  <c r="T254" i="1" s="1"/>
  <c r="S250" i="1"/>
  <c r="T250" i="1" s="1"/>
  <c r="S246" i="1"/>
  <c r="T246" i="1" s="1"/>
  <c r="S242" i="1"/>
  <c r="T242" i="1" s="1"/>
  <c r="S238" i="1"/>
  <c r="T238" i="1" s="1"/>
  <c r="S234" i="1"/>
  <c r="T234" i="1" s="1"/>
  <c r="S230" i="1"/>
  <c r="T230" i="1" s="1"/>
  <c r="S226" i="1"/>
  <c r="T226" i="1" s="1"/>
  <c r="S222" i="1"/>
  <c r="T222" i="1" s="1"/>
  <c r="S218" i="1"/>
  <c r="T218" i="1" s="1"/>
  <c r="S214" i="1"/>
  <c r="T214" i="1" s="1"/>
  <c r="S210" i="1"/>
  <c r="T210" i="1" s="1"/>
  <c r="S206" i="1"/>
  <c r="T206" i="1" s="1"/>
  <c r="S202" i="1"/>
  <c r="T202" i="1" s="1"/>
  <c r="S198" i="1"/>
  <c r="T198" i="1" s="1"/>
  <c r="S194" i="1"/>
  <c r="T194" i="1" s="1"/>
  <c r="S190" i="1"/>
  <c r="T190" i="1" s="1"/>
  <c r="S186" i="1"/>
  <c r="T186" i="1" s="1"/>
  <c r="S182" i="1"/>
  <c r="T182" i="1" s="1"/>
  <c r="S178" i="1"/>
  <c r="T178" i="1" s="1"/>
  <c r="S174" i="1"/>
  <c r="T174" i="1" s="1"/>
  <c r="S170" i="1"/>
  <c r="T170" i="1" s="1"/>
  <c r="S166" i="1"/>
  <c r="T166" i="1" s="1"/>
  <c r="S162" i="1"/>
  <c r="T162" i="1" s="1"/>
  <c r="S158" i="1"/>
  <c r="T158" i="1" s="1"/>
  <c r="S154" i="1"/>
  <c r="T154" i="1" s="1"/>
  <c r="S150" i="1"/>
  <c r="T150" i="1" s="1"/>
  <c r="S146" i="1"/>
  <c r="T146" i="1" s="1"/>
  <c r="S142" i="1"/>
  <c r="T142" i="1" s="1"/>
  <c r="S138" i="1"/>
  <c r="T138" i="1" s="1"/>
  <c r="S134" i="1"/>
  <c r="T134" i="1" s="1"/>
  <c r="S130" i="1"/>
  <c r="T130" i="1" s="1"/>
  <c r="S126" i="1"/>
  <c r="T126" i="1" s="1"/>
  <c r="S122" i="1"/>
  <c r="T122" i="1" s="1"/>
  <c r="S118" i="1"/>
  <c r="T118" i="1" s="1"/>
  <c r="S114" i="1"/>
  <c r="T114" i="1" s="1"/>
  <c r="S110" i="1"/>
  <c r="T110" i="1" s="1"/>
  <c r="S106" i="1"/>
  <c r="T106" i="1" s="1"/>
  <c r="S62" i="1"/>
  <c r="T62" i="1" s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U194" i="1" l="1"/>
  <c r="U206" i="1"/>
  <c r="U222" i="1"/>
  <c r="U270" i="1"/>
  <c r="U318" i="1"/>
  <c r="U366" i="1"/>
  <c r="U414" i="1"/>
  <c r="U462" i="1"/>
  <c r="U510" i="1"/>
  <c r="U574" i="1"/>
  <c r="U622" i="1"/>
  <c r="U165" i="1"/>
  <c r="U309" i="1"/>
  <c r="U457" i="1"/>
  <c r="U72" i="1"/>
  <c r="U151" i="1"/>
  <c r="U199" i="1"/>
  <c r="U247" i="1"/>
  <c r="U311" i="1"/>
  <c r="U359" i="1"/>
  <c r="U423" i="1"/>
  <c r="U471" i="1"/>
  <c r="U519" i="1"/>
  <c r="U567" i="1"/>
  <c r="U615" i="1"/>
  <c r="U153" i="1"/>
  <c r="U301" i="1"/>
  <c r="U441" i="1"/>
  <c r="U589" i="1"/>
  <c r="U136" i="1"/>
  <c r="U184" i="1"/>
  <c r="U216" i="1"/>
  <c r="U264" i="1"/>
  <c r="U312" i="1"/>
  <c r="U360" i="1"/>
  <c r="U408" i="1"/>
  <c r="U472" i="1"/>
  <c r="U504" i="1"/>
  <c r="U536" i="1"/>
  <c r="U568" i="1"/>
  <c r="U600" i="1"/>
  <c r="U209" i="1"/>
  <c r="U305" i="1"/>
  <c r="U401" i="1"/>
  <c r="U593" i="1"/>
  <c r="U106" i="1"/>
  <c r="U138" i="1"/>
  <c r="U154" i="1"/>
  <c r="U170" i="1"/>
  <c r="U210" i="1"/>
  <c r="U226" i="1"/>
  <c r="U242" i="1"/>
  <c r="U258" i="1"/>
  <c r="U274" i="1"/>
  <c r="U290" i="1"/>
  <c r="U306" i="1"/>
  <c r="U322" i="1"/>
  <c r="U338" i="1"/>
  <c r="U354" i="1"/>
  <c r="U370" i="1"/>
  <c r="U386" i="1"/>
  <c r="U402" i="1"/>
  <c r="U418" i="1"/>
  <c r="U434" i="1"/>
  <c r="U450" i="1"/>
  <c r="U466" i="1"/>
  <c r="U482" i="1"/>
  <c r="U498" i="1"/>
  <c r="U514" i="1"/>
  <c r="U530" i="1"/>
  <c r="U546" i="1"/>
  <c r="U562" i="1"/>
  <c r="U578" i="1"/>
  <c r="U594" i="1"/>
  <c r="U610" i="1"/>
  <c r="U626" i="1"/>
  <c r="U616" i="1"/>
  <c r="U129" i="1"/>
  <c r="U177" i="1"/>
  <c r="U225" i="1"/>
  <c r="U273" i="1"/>
  <c r="U321" i="1"/>
  <c r="U369" i="1"/>
  <c r="U421" i="1"/>
  <c r="U465" i="1"/>
  <c r="U517" i="1"/>
  <c r="U561" i="1"/>
  <c r="U609" i="1"/>
  <c r="U107" i="1"/>
  <c r="U123" i="1"/>
  <c r="U139" i="1"/>
  <c r="U155" i="1"/>
  <c r="U171" i="1"/>
  <c r="U187" i="1"/>
  <c r="U203" i="1"/>
  <c r="U219" i="1"/>
  <c r="U235" i="1"/>
  <c r="U251" i="1"/>
  <c r="U267" i="1"/>
  <c r="U283" i="1"/>
  <c r="U299" i="1"/>
  <c r="U315" i="1"/>
  <c r="U331" i="1"/>
  <c r="U347" i="1"/>
  <c r="U363" i="1"/>
  <c r="U379" i="1"/>
  <c r="U395" i="1"/>
  <c r="U411" i="1"/>
  <c r="U427" i="1"/>
  <c r="U443" i="1"/>
  <c r="U459" i="1"/>
  <c r="U475" i="1"/>
  <c r="U491" i="1"/>
  <c r="U507" i="1"/>
  <c r="U523" i="1"/>
  <c r="U539" i="1"/>
  <c r="U555" i="1"/>
  <c r="U571" i="1"/>
  <c r="U587" i="1"/>
  <c r="U603" i="1"/>
  <c r="U619" i="1"/>
  <c r="U635" i="1"/>
  <c r="U121" i="1"/>
  <c r="U169" i="1"/>
  <c r="U217" i="1"/>
  <c r="U265" i="1"/>
  <c r="U313" i="1"/>
  <c r="U357" i="1"/>
  <c r="U409" i="1"/>
  <c r="U453" i="1"/>
  <c r="U501" i="1"/>
  <c r="U553" i="1"/>
  <c r="U601" i="1"/>
  <c r="U108" i="1"/>
  <c r="U124" i="1"/>
  <c r="U140" i="1"/>
  <c r="U156" i="1"/>
  <c r="U172" i="1"/>
  <c r="U188" i="1"/>
  <c r="U204" i="1"/>
  <c r="U220" i="1"/>
  <c r="U236" i="1"/>
  <c r="U252" i="1"/>
  <c r="U268" i="1"/>
  <c r="U284" i="1"/>
  <c r="U300" i="1"/>
  <c r="U316" i="1"/>
  <c r="U332" i="1"/>
  <c r="U348" i="1"/>
  <c r="U364" i="1"/>
  <c r="U380" i="1"/>
  <c r="U396" i="1"/>
  <c r="U412" i="1"/>
  <c r="U428" i="1"/>
  <c r="U444" i="1"/>
  <c r="U460" i="1"/>
  <c r="U476" i="1"/>
  <c r="U492" i="1"/>
  <c r="U508" i="1"/>
  <c r="U524" i="1"/>
  <c r="U540" i="1"/>
  <c r="U556" i="1"/>
  <c r="U572" i="1"/>
  <c r="U588" i="1"/>
  <c r="U612" i="1"/>
  <c r="U125" i="1"/>
  <c r="U173" i="1"/>
  <c r="U221" i="1"/>
  <c r="U269" i="1"/>
  <c r="U317" i="1"/>
  <c r="U365" i="1"/>
  <c r="U413" i="1"/>
  <c r="U461" i="1"/>
  <c r="U509" i="1"/>
  <c r="U557" i="1"/>
  <c r="U605" i="1"/>
  <c r="U254" i="1"/>
  <c r="U302" i="1"/>
  <c r="U350" i="1"/>
  <c r="U382" i="1"/>
  <c r="U430" i="1"/>
  <c r="U478" i="1"/>
  <c r="U526" i="1"/>
  <c r="U558" i="1"/>
  <c r="U606" i="1"/>
  <c r="U117" i="1"/>
  <c r="U261" i="1"/>
  <c r="U405" i="1"/>
  <c r="U549" i="1"/>
  <c r="U119" i="1"/>
  <c r="U167" i="1"/>
  <c r="U215" i="1"/>
  <c r="U263" i="1"/>
  <c r="U295" i="1"/>
  <c r="U343" i="1"/>
  <c r="U407" i="1"/>
  <c r="U455" i="1"/>
  <c r="U503" i="1"/>
  <c r="U551" i="1"/>
  <c r="U599" i="1"/>
  <c r="U105" i="1"/>
  <c r="U249" i="1"/>
  <c r="U397" i="1"/>
  <c r="U541" i="1"/>
  <c r="U120" i="1"/>
  <c r="U168" i="1"/>
  <c r="U232" i="1"/>
  <c r="U280" i="1"/>
  <c r="U328" i="1"/>
  <c r="U376" i="1"/>
  <c r="U424" i="1"/>
  <c r="U456" i="1"/>
  <c r="U520" i="1"/>
  <c r="U552" i="1"/>
  <c r="U584" i="1"/>
  <c r="U109" i="1"/>
  <c r="U161" i="1"/>
  <c r="U257" i="1"/>
  <c r="U353" i="1"/>
  <c r="U449" i="1"/>
  <c r="U545" i="1"/>
  <c r="U110" i="1"/>
  <c r="U126" i="1"/>
  <c r="U142" i="1"/>
  <c r="U158" i="1"/>
  <c r="U174" i="1"/>
  <c r="U190" i="1"/>
  <c r="U202" i="1"/>
  <c r="U214" i="1"/>
  <c r="U230" i="1"/>
  <c r="U246" i="1"/>
  <c r="U262" i="1"/>
  <c r="U278" i="1"/>
  <c r="U294" i="1"/>
  <c r="U310" i="1"/>
  <c r="U326" i="1"/>
  <c r="U342" i="1"/>
  <c r="U358" i="1"/>
  <c r="U374" i="1"/>
  <c r="U390" i="1"/>
  <c r="U406" i="1"/>
  <c r="U422" i="1"/>
  <c r="U438" i="1"/>
  <c r="U454" i="1"/>
  <c r="U470" i="1"/>
  <c r="U486" i="1"/>
  <c r="U502" i="1"/>
  <c r="U518" i="1"/>
  <c r="U534" i="1"/>
  <c r="U550" i="1"/>
  <c r="U566" i="1"/>
  <c r="U582" i="1"/>
  <c r="U598" i="1"/>
  <c r="U614" i="1"/>
  <c r="U630" i="1"/>
  <c r="U628" i="1"/>
  <c r="U141" i="1"/>
  <c r="U189" i="1"/>
  <c r="U237" i="1"/>
  <c r="U285" i="1"/>
  <c r="U337" i="1"/>
  <c r="U381" i="1"/>
  <c r="U433" i="1"/>
  <c r="U481" i="1"/>
  <c r="U525" i="1"/>
  <c r="U573" i="1"/>
  <c r="U621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08" i="1"/>
  <c r="U133" i="1"/>
  <c r="U181" i="1"/>
  <c r="U229" i="1"/>
  <c r="U277" i="1"/>
  <c r="U325" i="1"/>
  <c r="U373" i="1"/>
  <c r="U417" i="1"/>
  <c r="U469" i="1"/>
  <c r="U513" i="1"/>
  <c r="U565" i="1"/>
  <c r="U613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20" i="1"/>
  <c r="U137" i="1"/>
  <c r="U185" i="1"/>
  <c r="U233" i="1"/>
  <c r="U281" i="1"/>
  <c r="U329" i="1"/>
  <c r="U377" i="1"/>
  <c r="U425" i="1"/>
  <c r="U473" i="1"/>
  <c r="U521" i="1"/>
  <c r="U569" i="1"/>
  <c r="U617" i="1"/>
  <c r="U238" i="1"/>
  <c r="U286" i="1"/>
  <c r="U334" i="1"/>
  <c r="U398" i="1"/>
  <c r="U446" i="1"/>
  <c r="U494" i="1"/>
  <c r="U542" i="1"/>
  <c r="U590" i="1"/>
  <c r="U604" i="1"/>
  <c r="U213" i="1"/>
  <c r="U361" i="1"/>
  <c r="U505" i="1"/>
  <c r="U597" i="1"/>
  <c r="U135" i="1"/>
  <c r="U183" i="1"/>
  <c r="U231" i="1"/>
  <c r="U279" i="1"/>
  <c r="U327" i="1"/>
  <c r="U375" i="1"/>
  <c r="U391" i="1"/>
  <c r="U439" i="1"/>
  <c r="U487" i="1"/>
  <c r="U535" i="1"/>
  <c r="U583" i="1"/>
  <c r="U631" i="1"/>
  <c r="U201" i="1"/>
  <c r="U345" i="1"/>
  <c r="U489" i="1"/>
  <c r="U104" i="1"/>
  <c r="U152" i="1"/>
  <c r="U200" i="1"/>
  <c r="U248" i="1"/>
  <c r="U296" i="1"/>
  <c r="U344" i="1"/>
  <c r="U392" i="1"/>
  <c r="U440" i="1"/>
  <c r="U488" i="1"/>
  <c r="U497" i="1"/>
  <c r="U114" i="1"/>
  <c r="U130" i="1"/>
  <c r="U146" i="1"/>
  <c r="U162" i="1"/>
  <c r="U178" i="1"/>
  <c r="U218" i="1"/>
  <c r="U234" i="1"/>
  <c r="U250" i="1"/>
  <c r="U266" i="1"/>
  <c r="U282" i="1"/>
  <c r="U298" i="1"/>
  <c r="U314" i="1"/>
  <c r="U330" i="1"/>
  <c r="U346" i="1"/>
  <c r="U362" i="1"/>
  <c r="U378" i="1"/>
  <c r="U394" i="1"/>
  <c r="U410" i="1"/>
  <c r="U426" i="1"/>
  <c r="U442" i="1"/>
  <c r="U458" i="1"/>
  <c r="U474" i="1"/>
  <c r="U490" i="1"/>
  <c r="U506" i="1"/>
  <c r="U522" i="1"/>
  <c r="U538" i="1"/>
  <c r="U554" i="1"/>
  <c r="U570" i="1"/>
  <c r="U586" i="1"/>
  <c r="U602" i="1"/>
  <c r="U618" i="1"/>
  <c r="U634" i="1"/>
  <c r="U113" i="1"/>
  <c r="U157" i="1"/>
  <c r="U205" i="1"/>
  <c r="U253" i="1"/>
  <c r="U297" i="1"/>
  <c r="U349" i="1"/>
  <c r="U393" i="1"/>
  <c r="U445" i="1"/>
  <c r="U493" i="1"/>
  <c r="U537" i="1"/>
  <c r="U585" i="1"/>
  <c r="U633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24" i="1"/>
  <c r="U145" i="1"/>
  <c r="U193" i="1"/>
  <c r="U241" i="1"/>
  <c r="U289" i="1"/>
  <c r="U333" i="1"/>
  <c r="U385" i="1"/>
  <c r="U429" i="1"/>
  <c r="U477" i="1"/>
  <c r="U529" i="1"/>
  <c r="U577" i="1"/>
  <c r="U625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32" i="1"/>
  <c r="U149" i="1"/>
  <c r="U197" i="1"/>
  <c r="U245" i="1"/>
  <c r="U293" i="1"/>
  <c r="U341" i="1"/>
  <c r="U389" i="1"/>
  <c r="U437" i="1"/>
  <c r="U485" i="1"/>
  <c r="U533" i="1"/>
  <c r="U581" i="1"/>
  <c r="U629" i="1"/>
  <c r="U122" i="1"/>
  <c r="U186" i="1"/>
  <c r="U62" i="1"/>
  <c r="U118" i="1"/>
  <c r="U134" i="1"/>
  <c r="U150" i="1"/>
  <c r="U166" i="1"/>
  <c r="U182" i="1"/>
  <c r="U198" i="1"/>
  <c r="L241" i="2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R26" i="1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22" i="1"/>
  <c r="F23" i="1"/>
  <c r="R24" i="1"/>
  <c r="I108" i="2"/>
  <c r="F30" i="1"/>
  <c r="R30" i="1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R41" i="1" s="1"/>
  <c r="F42" i="1"/>
  <c r="F45" i="1"/>
  <c r="R45" i="1" s="1"/>
  <c r="F46" i="1"/>
  <c r="R46" i="1" s="1"/>
  <c r="F47" i="1"/>
  <c r="F48" i="1"/>
  <c r="R48" i="1" s="1"/>
  <c r="F49" i="1"/>
  <c r="R49" i="1" s="1"/>
  <c r="F50" i="1"/>
  <c r="R50" i="1" s="1"/>
  <c r="F51" i="1"/>
  <c r="R52" i="1"/>
  <c r="F53" i="1"/>
  <c r="R53" i="1" s="1"/>
  <c r="F54" i="1"/>
  <c r="R54" i="1" s="1"/>
  <c r="F55" i="1"/>
  <c r="F56" i="1"/>
  <c r="F60" i="1"/>
  <c r="F61" i="1"/>
  <c r="R61" i="1" s="1"/>
  <c r="F62" i="1"/>
  <c r="F63" i="1"/>
  <c r="F67" i="1"/>
  <c r="F68" i="1"/>
  <c r="F69" i="1"/>
  <c r="F70" i="1"/>
  <c r="F71" i="1"/>
  <c r="F72" i="1"/>
  <c r="F75" i="1"/>
  <c r="F77" i="1"/>
  <c r="R77" i="1" s="1"/>
  <c r="F78" i="1"/>
  <c r="R78" i="1" s="1"/>
  <c r="F79" i="1"/>
  <c r="R79" i="1" s="1"/>
  <c r="F80" i="1"/>
  <c r="R80" i="1" s="1"/>
  <c r="F81" i="1"/>
  <c r="R81" i="1" s="1"/>
  <c r="F82" i="1"/>
  <c r="R82" i="1" s="1"/>
  <c r="F83" i="1"/>
  <c r="R83" i="1" s="1"/>
  <c r="F84" i="1"/>
  <c r="R84" i="1" s="1"/>
  <c r="F85" i="1"/>
  <c r="R85" i="1" s="1"/>
  <c r="F86" i="1"/>
  <c r="F87" i="1"/>
  <c r="I256" i="2"/>
  <c r="U256" i="2" s="1"/>
  <c r="F89" i="1"/>
  <c r="R89" i="1" s="1"/>
  <c r="I258" i="2"/>
  <c r="U258" i="2" s="1"/>
  <c r="I259" i="2"/>
  <c r="U259" i="2" s="1"/>
  <c r="F92" i="1"/>
  <c r="F93" i="1"/>
  <c r="F94" i="1"/>
  <c r="F95" i="1"/>
  <c r="R96" i="1"/>
  <c r="F97" i="1"/>
  <c r="R97" i="1" s="1"/>
  <c r="F98" i="1"/>
  <c r="R98" i="1" s="1"/>
  <c r="F99" i="1"/>
  <c r="R99" i="1" s="1"/>
  <c r="F100" i="1"/>
  <c r="R100" i="1" s="1"/>
  <c r="F102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B3" i="3"/>
  <c r="B2" i="3"/>
  <c r="E2" i="3" s="1"/>
  <c r="R55" i="1" l="1"/>
  <c r="X55" i="1"/>
  <c r="R56" i="1"/>
  <c r="X56" i="1"/>
  <c r="R92" i="1"/>
  <c r="X92" i="1"/>
  <c r="R95" i="1"/>
  <c r="X95" i="1"/>
  <c r="R87" i="1"/>
  <c r="X87" i="1"/>
  <c r="R93" i="1"/>
  <c r="X93" i="1"/>
  <c r="R94" i="1"/>
  <c r="X94" i="1"/>
  <c r="R86" i="1"/>
  <c r="X86" i="1"/>
  <c r="I94" i="2"/>
  <c r="U94" i="2" s="1"/>
  <c r="R5" i="1"/>
  <c r="P5" i="1"/>
  <c r="I7" i="2"/>
  <c r="U7" i="2" s="1"/>
  <c r="R4" i="1"/>
  <c r="P4" i="1"/>
  <c r="P630" i="1"/>
  <c r="R630" i="1"/>
  <c r="P614" i="1"/>
  <c r="R614" i="1"/>
  <c r="P602" i="1"/>
  <c r="R602" i="1"/>
  <c r="P590" i="1"/>
  <c r="R590" i="1"/>
  <c r="P578" i="1"/>
  <c r="R578" i="1"/>
  <c r="P566" i="1"/>
  <c r="R566" i="1"/>
  <c r="P550" i="1"/>
  <c r="R550" i="1"/>
  <c r="P534" i="1"/>
  <c r="R534" i="1"/>
  <c r="P518" i="1"/>
  <c r="R518" i="1"/>
  <c r="P506" i="1"/>
  <c r="R506" i="1"/>
  <c r="P494" i="1"/>
  <c r="R494" i="1"/>
  <c r="P482" i="1"/>
  <c r="R482" i="1"/>
  <c r="P470" i="1"/>
  <c r="R470" i="1"/>
  <c r="P462" i="1"/>
  <c r="R462" i="1"/>
  <c r="P450" i="1"/>
  <c r="R450" i="1"/>
  <c r="P438" i="1"/>
  <c r="R438" i="1"/>
  <c r="P426" i="1"/>
  <c r="R426" i="1"/>
  <c r="P414" i="1"/>
  <c r="R414" i="1"/>
  <c r="P402" i="1"/>
  <c r="R402" i="1"/>
  <c r="P390" i="1"/>
  <c r="R390" i="1"/>
  <c r="P378" i="1"/>
  <c r="R378" i="1"/>
  <c r="P374" i="1"/>
  <c r="R374" i="1"/>
  <c r="P362" i="1"/>
  <c r="R362" i="1"/>
  <c r="P354" i="1"/>
  <c r="R354" i="1"/>
  <c r="P338" i="1"/>
  <c r="R338" i="1"/>
  <c r="P322" i="1"/>
  <c r="R322" i="1"/>
  <c r="P310" i="1"/>
  <c r="R310" i="1"/>
  <c r="P298" i="1"/>
  <c r="R298" i="1"/>
  <c r="P286" i="1"/>
  <c r="R286" i="1"/>
  <c r="P258" i="1"/>
  <c r="R258" i="1"/>
  <c r="P246" i="1"/>
  <c r="R246" i="1"/>
  <c r="P238" i="1"/>
  <c r="R238" i="1"/>
  <c r="P226" i="1"/>
  <c r="R226" i="1"/>
  <c r="P210" i="1"/>
  <c r="R210" i="1"/>
  <c r="P198" i="1"/>
  <c r="R198" i="1"/>
  <c r="P178" i="1"/>
  <c r="R178" i="1"/>
  <c r="P174" i="1"/>
  <c r="R174" i="1"/>
  <c r="P162" i="1"/>
  <c r="R162" i="1"/>
  <c r="P154" i="1"/>
  <c r="R154" i="1"/>
  <c r="P146" i="1"/>
  <c r="R146" i="1"/>
  <c r="P138" i="1"/>
  <c r="R138" i="1"/>
  <c r="P126" i="1"/>
  <c r="R126" i="1"/>
  <c r="P118" i="1"/>
  <c r="R118" i="1"/>
  <c r="P110" i="1"/>
  <c r="R110" i="1"/>
  <c r="P106" i="1"/>
  <c r="R106" i="1"/>
  <c r="P102" i="1"/>
  <c r="R102" i="1"/>
  <c r="P63" i="1"/>
  <c r="R63" i="1"/>
  <c r="P633" i="1"/>
  <c r="R633" i="1"/>
  <c r="P629" i="1"/>
  <c r="R629" i="1"/>
  <c r="P625" i="1"/>
  <c r="R625" i="1"/>
  <c r="P621" i="1"/>
  <c r="R621" i="1"/>
  <c r="P617" i="1"/>
  <c r="R617" i="1"/>
  <c r="P613" i="1"/>
  <c r="R613" i="1"/>
  <c r="P609" i="1"/>
  <c r="R609" i="1"/>
  <c r="P605" i="1"/>
  <c r="R605" i="1"/>
  <c r="P601" i="1"/>
  <c r="R601" i="1"/>
  <c r="P597" i="1"/>
  <c r="R597" i="1"/>
  <c r="P593" i="1"/>
  <c r="R593" i="1"/>
  <c r="P589" i="1"/>
  <c r="R589" i="1"/>
  <c r="P585" i="1"/>
  <c r="R585" i="1"/>
  <c r="P581" i="1"/>
  <c r="R581" i="1"/>
  <c r="P577" i="1"/>
  <c r="R577" i="1"/>
  <c r="P573" i="1"/>
  <c r="R573" i="1"/>
  <c r="P569" i="1"/>
  <c r="R569" i="1"/>
  <c r="P565" i="1"/>
  <c r="R565" i="1"/>
  <c r="P561" i="1"/>
  <c r="R561" i="1"/>
  <c r="P557" i="1"/>
  <c r="R557" i="1"/>
  <c r="P553" i="1"/>
  <c r="R553" i="1"/>
  <c r="P549" i="1"/>
  <c r="R549" i="1"/>
  <c r="P545" i="1"/>
  <c r="R545" i="1"/>
  <c r="P541" i="1"/>
  <c r="R541" i="1"/>
  <c r="P537" i="1"/>
  <c r="R537" i="1"/>
  <c r="P533" i="1"/>
  <c r="R533" i="1"/>
  <c r="P529" i="1"/>
  <c r="R529" i="1"/>
  <c r="P525" i="1"/>
  <c r="R525" i="1"/>
  <c r="P521" i="1"/>
  <c r="R521" i="1"/>
  <c r="P517" i="1"/>
  <c r="R517" i="1"/>
  <c r="P513" i="1"/>
  <c r="R513" i="1"/>
  <c r="P509" i="1"/>
  <c r="R509" i="1"/>
  <c r="P505" i="1"/>
  <c r="R505" i="1"/>
  <c r="P501" i="1"/>
  <c r="R501" i="1"/>
  <c r="P497" i="1"/>
  <c r="R497" i="1"/>
  <c r="P493" i="1"/>
  <c r="R493" i="1"/>
  <c r="P489" i="1"/>
  <c r="R489" i="1"/>
  <c r="P485" i="1"/>
  <c r="R485" i="1"/>
  <c r="P481" i="1"/>
  <c r="R481" i="1"/>
  <c r="P477" i="1"/>
  <c r="R477" i="1"/>
  <c r="P473" i="1"/>
  <c r="R473" i="1"/>
  <c r="P469" i="1"/>
  <c r="R469" i="1"/>
  <c r="P465" i="1"/>
  <c r="R465" i="1"/>
  <c r="P461" i="1"/>
  <c r="R461" i="1"/>
  <c r="P457" i="1"/>
  <c r="R457" i="1"/>
  <c r="P453" i="1"/>
  <c r="R453" i="1"/>
  <c r="P449" i="1"/>
  <c r="R449" i="1"/>
  <c r="P445" i="1"/>
  <c r="R445" i="1"/>
  <c r="P441" i="1"/>
  <c r="R441" i="1"/>
  <c r="P437" i="1"/>
  <c r="R437" i="1"/>
  <c r="P433" i="1"/>
  <c r="R433" i="1"/>
  <c r="P429" i="1"/>
  <c r="R429" i="1"/>
  <c r="P425" i="1"/>
  <c r="R425" i="1"/>
  <c r="P421" i="1"/>
  <c r="R421" i="1"/>
  <c r="P417" i="1"/>
  <c r="R417" i="1"/>
  <c r="P413" i="1"/>
  <c r="R413" i="1"/>
  <c r="P409" i="1"/>
  <c r="R409" i="1"/>
  <c r="P405" i="1"/>
  <c r="R405" i="1"/>
  <c r="P401" i="1"/>
  <c r="R401" i="1"/>
  <c r="P397" i="1"/>
  <c r="R397" i="1"/>
  <c r="P393" i="1"/>
  <c r="R393" i="1"/>
  <c r="P389" i="1"/>
  <c r="R389" i="1"/>
  <c r="P385" i="1"/>
  <c r="R385" i="1"/>
  <c r="P381" i="1"/>
  <c r="R381" i="1"/>
  <c r="P377" i="1"/>
  <c r="R377" i="1"/>
  <c r="P373" i="1"/>
  <c r="R373" i="1"/>
  <c r="P369" i="1"/>
  <c r="R369" i="1"/>
  <c r="P365" i="1"/>
  <c r="R365" i="1"/>
  <c r="P361" i="1"/>
  <c r="R361" i="1"/>
  <c r="P357" i="1"/>
  <c r="R357" i="1"/>
  <c r="P353" i="1"/>
  <c r="R353" i="1"/>
  <c r="P349" i="1"/>
  <c r="R349" i="1"/>
  <c r="P345" i="1"/>
  <c r="R345" i="1"/>
  <c r="P341" i="1"/>
  <c r="R341" i="1"/>
  <c r="P337" i="1"/>
  <c r="R337" i="1"/>
  <c r="P333" i="1"/>
  <c r="R333" i="1"/>
  <c r="P329" i="1"/>
  <c r="R329" i="1"/>
  <c r="P325" i="1"/>
  <c r="R325" i="1"/>
  <c r="P321" i="1"/>
  <c r="R321" i="1"/>
  <c r="P317" i="1"/>
  <c r="R317" i="1"/>
  <c r="P313" i="1"/>
  <c r="R313" i="1"/>
  <c r="P309" i="1"/>
  <c r="R309" i="1"/>
  <c r="P305" i="1"/>
  <c r="R305" i="1"/>
  <c r="P301" i="1"/>
  <c r="R301" i="1"/>
  <c r="P297" i="1"/>
  <c r="R297" i="1"/>
  <c r="P293" i="1"/>
  <c r="R293" i="1"/>
  <c r="P289" i="1"/>
  <c r="R289" i="1"/>
  <c r="P285" i="1"/>
  <c r="R285" i="1"/>
  <c r="P281" i="1"/>
  <c r="R281" i="1"/>
  <c r="P277" i="1"/>
  <c r="R277" i="1"/>
  <c r="P273" i="1"/>
  <c r="R273" i="1"/>
  <c r="P269" i="1"/>
  <c r="R269" i="1"/>
  <c r="P265" i="1"/>
  <c r="R265" i="1"/>
  <c r="P261" i="1"/>
  <c r="R261" i="1"/>
  <c r="P257" i="1"/>
  <c r="R257" i="1"/>
  <c r="P253" i="1"/>
  <c r="R253" i="1"/>
  <c r="P249" i="1"/>
  <c r="R249" i="1"/>
  <c r="P245" i="1"/>
  <c r="R245" i="1"/>
  <c r="P241" i="1"/>
  <c r="R241" i="1"/>
  <c r="P237" i="1"/>
  <c r="R237" i="1"/>
  <c r="P233" i="1"/>
  <c r="R233" i="1"/>
  <c r="P229" i="1"/>
  <c r="R229" i="1"/>
  <c r="P225" i="1"/>
  <c r="R225" i="1"/>
  <c r="P221" i="1"/>
  <c r="R221" i="1"/>
  <c r="P217" i="1"/>
  <c r="R217" i="1"/>
  <c r="P213" i="1"/>
  <c r="R213" i="1"/>
  <c r="P209" i="1"/>
  <c r="R209" i="1"/>
  <c r="P205" i="1"/>
  <c r="R205" i="1"/>
  <c r="P201" i="1"/>
  <c r="R201" i="1"/>
  <c r="P197" i="1"/>
  <c r="R197" i="1"/>
  <c r="P193" i="1"/>
  <c r="R193" i="1"/>
  <c r="P189" i="1"/>
  <c r="R189" i="1"/>
  <c r="P185" i="1"/>
  <c r="R185" i="1"/>
  <c r="P181" i="1"/>
  <c r="R181" i="1"/>
  <c r="P177" i="1"/>
  <c r="R177" i="1"/>
  <c r="P173" i="1"/>
  <c r="R173" i="1"/>
  <c r="P169" i="1"/>
  <c r="R169" i="1"/>
  <c r="P165" i="1"/>
  <c r="R165" i="1"/>
  <c r="P161" i="1"/>
  <c r="R161" i="1"/>
  <c r="P157" i="1"/>
  <c r="R157" i="1"/>
  <c r="P153" i="1"/>
  <c r="R153" i="1"/>
  <c r="P149" i="1"/>
  <c r="R149" i="1"/>
  <c r="P145" i="1"/>
  <c r="R145" i="1"/>
  <c r="P141" i="1"/>
  <c r="R141" i="1"/>
  <c r="P137" i="1"/>
  <c r="R137" i="1"/>
  <c r="P133" i="1"/>
  <c r="R133" i="1"/>
  <c r="P129" i="1"/>
  <c r="R129" i="1"/>
  <c r="P125" i="1"/>
  <c r="R125" i="1"/>
  <c r="P121" i="1"/>
  <c r="R121" i="1"/>
  <c r="P117" i="1"/>
  <c r="R117" i="1"/>
  <c r="P113" i="1"/>
  <c r="R113" i="1"/>
  <c r="P109" i="1"/>
  <c r="R109" i="1"/>
  <c r="P105" i="1"/>
  <c r="R105" i="1"/>
  <c r="P75" i="1"/>
  <c r="R75" i="1"/>
  <c r="P69" i="1"/>
  <c r="R69" i="1"/>
  <c r="P62" i="1"/>
  <c r="R62" i="1"/>
  <c r="P51" i="1"/>
  <c r="R51" i="1"/>
  <c r="P47" i="1"/>
  <c r="R47" i="1"/>
  <c r="P22" i="1"/>
  <c r="R22" i="1"/>
  <c r="P622" i="1"/>
  <c r="R622" i="1"/>
  <c r="P610" i="1"/>
  <c r="R610" i="1"/>
  <c r="P598" i="1"/>
  <c r="R598" i="1"/>
  <c r="P586" i="1"/>
  <c r="R586" i="1"/>
  <c r="P574" i="1"/>
  <c r="R574" i="1"/>
  <c r="P558" i="1"/>
  <c r="R558" i="1"/>
  <c r="P546" i="1"/>
  <c r="R546" i="1"/>
  <c r="P538" i="1"/>
  <c r="R538" i="1"/>
  <c r="P526" i="1"/>
  <c r="R526" i="1"/>
  <c r="P510" i="1"/>
  <c r="R510" i="1"/>
  <c r="P498" i="1"/>
  <c r="R498" i="1"/>
  <c r="P486" i="1"/>
  <c r="R486" i="1"/>
  <c r="P474" i="1"/>
  <c r="R474" i="1"/>
  <c r="P458" i="1"/>
  <c r="R458" i="1"/>
  <c r="P446" i="1"/>
  <c r="R446" i="1"/>
  <c r="P430" i="1"/>
  <c r="R430" i="1"/>
  <c r="P418" i="1"/>
  <c r="R418" i="1"/>
  <c r="P398" i="1"/>
  <c r="R398" i="1"/>
  <c r="P386" i="1"/>
  <c r="R386" i="1"/>
  <c r="P366" i="1"/>
  <c r="R366" i="1"/>
  <c r="P350" i="1"/>
  <c r="R350" i="1"/>
  <c r="P342" i="1"/>
  <c r="R342" i="1"/>
  <c r="P330" i="1"/>
  <c r="R330" i="1"/>
  <c r="P318" i="1"/>
  <c r="R318" i="1"/>
  <c r="P306" i="1"/>
  <c r="R306" i="1"/>
  <c r="P290" i="1"/>
  <c r="R290" i="1"/>
  <c r="P278" i="1"/>
  <c r="R278" i="1"/>
  <c r="P274" i="1"/>
  <c r="R274" i="1"/>
  <c r="P266" i="1"/>
  <c r="R266" i="1"/>
  <c r="P254" i="1"/>
  <c r="R254" i="1"/>
  <c r="P242" i="1"/>
  <c r="R242" i="1"/>
  <c r="P230" i="1"/>
  <c r="R230" i="1"/>
  <c r="P218" i="1"/>
  <c r="R218" i="1"/>
  <c r="P206" i="1"/>
  <c r="R206" i="1"/>
  <c r="P190" i="1"/>
  <c r="R190" i="1"/>
  <c r="P182" i="1"/>
  <c r="R182" i="1"/>
  <c r="P170" i="1"/>
  <c r="R170" i="1"/>
  <c r="P158" i="1"/>
  <c r="R158" i="1"/>
  <c r="P142" i="1"/>
  <c r="R142" i="1"/>
  <c r="P134" i="1"/>
  <c r="R134" i="1"/>
  <c r="P122" i="1"/>
  <c r="R122" i="1"/>
  <c r="P114" i="1"/>
  <c r="R114" i="1"/>
  <c r="P70" i="1"/>
  <c r="R70" i="1"/>
  <c r="P42" i="1"/>
  <c r="R42" i="1"/>
  <c r="P632" i="1"/>
  <c r="R632" i="1"/>
  <c r="P628" i="1"/>
  <c r="R628" i="1"/>
  <c r="P624" i="1"/>
  <c r="R624" i="1"/>
  <c r="P620" i="1"/>
  <c r="R620" i="1"/>
  <c r="P616" i="1"/>
  <c r="R616" i="1"/>
  <c r="P612" i="1"/>
  <c r="R612" i="1"/>
  <c r="P608" i="1"/>
  <c r="R608" i="1"/>
  <c r="P604" i="1"/>
  <c r="R604" i="1"/>
  <c r="P600" i="1"/>
  <c r="R600" i="1"/>
  <c r="P596" i="1"/>
  <c r="R596" i="1"/>
  <c r="P592" i="1"/>
  <c r="R592" i="1"/>
  <c r="P588" i="1"/>
  <c r="R588" i="1"/>
  <c r="P584" i="1"/>
  <c r="R584" i="1"/>
  <c r="P580" i="1"/>
  <c r="R580" i="1"/>
  <c r="P576" i="1"/>
  <c r="R576" i="1"/>
  <c r="P572" i="1"/>
  <c r="R572" i="1"/>
  <c r="P568" i="1"/>
  <c r="R568" i="1"/>
  <c r="P564" i="1"/>
  <c r="R564" i="1"/>
  <c r="P560" i="1"/>
  <c r="R560" i="1"/>
  <c r="P556" i="1"/>
  <c r="R556" i="1"/>
  <c r="P552" i="1"/>
  <c r="R552" i="1"/>
  <c r="P548" i="1"/>
  <c r="R548" i="1"/>
  <c r="P544" i="1"/>
  <c r="R544" i="1"/>
  <c r="P540" i="1"/>
  <c r="R540" i="1"/>
  <c r="P536" i="1"/>
  <c r="R536" i="1"/>
  <c r="P532" i="1"/>
  <c r="R532" i="1"/>
  <c r="P528" i="1"/>
  <c r="R528" i="1"/>
  <c r="P524" i="1"/>
  <c r="R524" i="1"/>
  <c r="P520" i="1"/>
  <c r="R520" i="1"/>
  <c r="P516" i="1"/>
  <c r="R516" i="1"/>
  <c r="P512" i="1"/>
  <c r="R512" i="1"/>
  <c r="P508" i="1"/>
  <c r="R508" i="1"/>
  <c r="P504" i="1"/>
  <c r="R504" i="1"/>
  <c r="P500" i="1"/>
  <c r="R500" i="1"/>
  <c r="P496" i="1"/>
  <c r="R496" i="1"/>
  <c r="P492" i="1"/>
  <c r="R492" i="1"/>
  <c r="P488" i="1"/>
  <c r="R488" i="1"/>
  <c r="P484" i="1"/>
  <c r="R484" i="1"/>
  <c r="P480" i="1"/>
  <c r="R480" i="1"/>
  <c r="P476" i="1"/>
  <c r="R476" i="1"/>
  <c r="P472" i="1"/>
  <c r="R472" i="1"/>
  <c r="P468" i="1"/>
  <c r="R468" i="1"/>
  <c r="P464" i="1"/>
  <c r="R464" i="1"/>
  <c r="P460" i="1"/>
  <c r="R460" i="1"/>
  <c r="P456" i="1"/>
  <c r="R456" i="1"/>
  <c r="P452" i="1"/>
  <c r="R452" i="1"/>
  <c r="P448" i="1"/>
  <c r="R448" i="1"/>
  <c r="P444" i="1"/>
  <c r="R444" i="1"/>
  <c r="P440" i="1"/>
  <c r="R440" i="1"/>
  <c r="P436" i="1"/>
  <c r="R436" i="1"/>
  <c r="P432" i="1"/>
  <c r="R432" i="1"/>
  <c r="P428" i="1"/>
  <c r="R428" i="1"/>
  <c r="P424" i="1"/>
  <c r="R424" i="1"/>
  <c r="P420" i="1"/>
  <c r="R420" i="1"/>
  <c r="P416" i="1"/>
  <c r="R416" i="1"/>
  <c r="P412" i="1"/>
  <c r="R412" i="1"/>
  <c r="P408" i="1"/>
  <c r="R408" i="1"/>
  <c r="P404" i="1"/>
  <c r="R404" i="1"/>
  <c r="P400" i="1"/>
  <c r="R400" i="1"/>
  <c r="P396" i="1"/>
  <c r="R396" i="1"/>
  <c r="P392" i="1"/>
  <c r="R392" i="1"/>
  <c r="P388" i="1"/>
  <c r="R388" i="1"/>
  <c r="P384" i="1"/>
  <c r="R384" i="1"/>
  <c r="P380" i="1"/>
  <c r="R380" i="1"/>
  <c r="P376" i="1"/>
  <c r="R376" i="1"/>
  <c r="P372" i="1"/>
  <c r="R372" i="1"/>
  <c r="P368" i="1"/>
  <c r="R368" i="1"/>
  <c r="P364" i="1"/>
  <c r="R364" i="1"/>
  <c r="P360" i="1"/>
  <c r="R360" i="1"/>
  <c r="P356" i="1"/>
  <c r="R356" i="1"/>
  <c r="P352" i="1"/>
  <c r="R352" i="1"/>
  <c r="P348" i="1"/>
  <c r="R348" i="1"/>
  <c r="P344" i="1"/>
  <c r="R344" i="1"/>
  <c r="P340" i="1"/>
  <c r="R340" i="1"/>
  <c r="P336" i="1"/>
  <c r="R336" i="1"/>
  <c r="P332" i="1"/>
  <c r="R332" i="1"/>
  <c r="P328" i="1"/>
  <c r="R328" i="1"/>
  <c r="P324" i="1"/>
  <c r="R324" i="1"/>
  <c r="P320" i="1"/>
  <c r="R320" i="1"/>
  <c r="P316" i="1"/>
  <c r="R316" i="1"/>
  <c r="P312" i="1"/>
  <c r="R312" i="1"/>
  <c r="P308" i="1"/>
  <c r="R308" i="1"/>
  <c r="P304" i="1"/>
  <c r="R304" i="1"/>
  <c r="P300" i="1"/>
  <c r="R300" i="1"/>
  <c r="P296" i="1"/>
  <c r="R296" i="1"/>
  <c r="P292" i="1"/>
  <c r="R292" i="1"/>
  <c r="P288" i="1"/>
  <c r="R288" i="1"/>
  <c r="P284" i="1"/>
  <c r="R284" i="1"/>
  <c r="P280" i="1"/>
  <c r="R280" i="1"/>
  <c r="P276" i="1"/>
  <c r="R276" i="1"/>
  <c r="P272" i="1"/>
  <c r="R272" i="1"/>
  <c r="P268" i="1"/>
  <c r="R268" i="1"/>
  <c r="P264" i="1"/>
  <c r="R264" i="1"/>
  <c r="P260" i="1"/>
  <c r="R260" i="1"/>
  <c r="P256" i="1"/>
  <c r="R256" i="1"/>
  <c r="P252" i="1"/>
  <c r="R252" i="1"/>
  <c r="P248" i="1"/>
  <c r="R248" i="1"/>
  <c r="P244" i="1"/>
  <c r="R244" i="1"/>
  <c r="P240" i="1"/>
  <c r="R240" i="1"/>
  <c r="P236" i="1"/>
  <c r="R236" i="1"/>
  <c r="P232" i="1"/>
  <c r="R232" i="1"/>
  <c r="P228" i="1"/>
  <c r="R228" i="1"/>
  <c r="P224" i="1"/>
  <c r="R224" i="1"/>
  <c r="P220" i="1"/>
  <c r="R220" i="1"/>
  <c r="P216" i="1"/>
  <c r="R216" i="1"/>
  <c r="P212" i="1"/>
  <c r="R212" i="1"/>
  <c r="P208" i="1"/>
  <c r="R208" i="1"/>
  <c r="P204" i="1"/>
  <c r="R204" i="1"/>
  <c r="P200" i="1"/>
  <c r="R200" i="1"/>
  <c r="P196" i="1"/>
  <c r="R196" i="1"/>
  <c r="P192" i="1"/>
  <c r="R192" i="1"/>
  <c r="P188" i="1"/>
  <c r="R188" i="1"/>
  <c r="P184" i="1"/>
  <c r="R184" i="1"/>
  <c r="P180" i="1"/>
  <c r="R180" i="1"/>
  <c r="P176" i="1"/>
  <c r="R176" i="1"/>
  <c r="P172" i="1"/>
  <c r="R172" i="1"/>
  <c r="P168" i="1"/>
  <c r="R168" i="1"/>
  <c r="P164" i="1"/>
  <c r="R164" i="1"/>
  <c r="P160" i="1"/>
  <c r="R160" i="1"/>
  <c r="P156" i="1"/>
  <c r="R156" i="1"/>
  <c r="P152" i="1"/>
  <c r="R152" i="1"/>
  <c r="P148" i="1"/>
  <c r="R148" i="1"/>
  <c r="P144" i="1"/>
  <c r="R144" i="1"/>
  <c r="P140" i="1"/>
  <c r="R140" i="1"/>
  <c r="P136" i="1"/>
  <c r="R136" i="1"/>
  <c r="P132" i="1"/>
  <c r="R132" i="1"/>
  <c r="P128" i="1"/>
  <c r="R128" i="1"/>
  <c r="P124" i="1"/>
  <c r="R124" i="1"/>
  <c r="P120" i="1"/>
  <c r="R120" i="1"/>
  <c r="P116" i="1"/>
  <c r="R116" i="1"/>
  <c r="P112" i="1"/>
  <c r="R112" i="1"/>
  <c r="P108" i="1"/>
  <c r="R108" i="1"/>
  <c r="P104" i="1"/>
  <c r="R104" i="1"/>
  <c r="P72" i="1"/>
  <c r="R72" i="1"/>
  <c r="P68" i="1"/>
  <c r="R68" i="1"/>
  <c r="P39" i="1"/>
  <c r="R39" i="1"/>
  <c r="P11" i="1"/>
  <c r="R11" i="1"/>
  <c r="P12" i="1"/>
  <c r="R12" i="1"/>
  <c r="P634" i="1"/>
  <c r="R634" i="1"/>
  <c r="P626" i="1"/>
  <c r="R626" i="1"/>
  <c r="P618" i="1"/>
  <c r="R618" i="1"/>
  <c r="P606" i="1"/>
  <c r="R606" i="1"/>
  <c r="P594" i="1"/>
  <c r="R594" i="1"/>
  <c r="P582" i="1"/>
  <c r="R582" i="1"/>
  <c r="P570" i="1"/>
  <c r="R570" i="1"/>
  <c r="P562" i="1"/>
  <c r="R562" i="1"/>
  <c r="P554" i="1"/>
  <c r="R554" i="1"/>
  <c r="P542" i="1"/>
  <c r="R542" i="1"/>
  <c r="P530" i="1"/>
  <c r="R530" i="1"/>
  <c r="P522" i="1"/>
  <c r="R522" i="1"/>
  <c r="P514" i="1"/>
  <c r="R514" i="1"/>
  <c r="P502" i="1"/>
  <c r="R502" i="1"/>
  <c r="P490" i="1"/>
  <c r="R490" i="1"/>
  <c r="P478" i="1"/>
  <c r="R478" i="1"/>
  <c r="P466" i="1"/>
  <c r="R466" i="1"/>
  <c r="P454" i="1"/>
  <c r="R454" i="1"/>
  <c r="P442" i="1"/>
  <c r="R442" i="1"/>
  <c r="P434" i="1"/>
  <c r="R434" i="1"/>
  <c r="P422" i="1"/>
  <c r="R422" i="1"/>
  <c r="P410" i="1"/>
  <c r="R410" i="1"/>
  <c r="P406" i="1"/>
  <c r="R406" i="1"/>
  <c r="P394" i="1"/>
  <c r="R394" i="1"/>
  <c r="P382" i="1"/>
  <c r="R382" i="1"/>
  <c r="P370" i="1"/>
  <c r="R370" i="1"/>
  <c r="P358" i="1"/>
  <c r="R358" i="1"/>
  <c r="P346" i="1"/>
  <c r="R346" i="1"/>
  <c r="P334" i="1"/>
  <c r="R334" i="1"/>
  <c r="P326" i="1"/>
  <c r="R326" i="1"/>
  <c r="P314" i="1"/>
  <c r="R314" i="1"/>
  <c r="P302" i="1"/>
  <c r="R302" i="1"/>
  <c r="P294" i="1"/>
  <c r="R294" i="1"/>
  <c r="P282" i="1"/>
  <c r="R282" i="1"/>
  <c r="P270" i="1"/>
  <c r="R270" i="1"/>
  <c r="P262" i="1"/>
  <c r="R262" i="1"/>
  <c r="P250" i="1"/>
  <c r="R250" i="1"/>
  <c r="P234" i="1"/>
  <c r="R234" i="1"/>
  <c r="P222" i="1"/>
  <c r="R222" i="1"/>
  <c r="P214" i="1"/>
  <c r="R214" i="1"/>
  <c r="P202" i="1"/>
  <c r="R202" i="1"/>
  <c r="P194" i="1"/>
  <c r="R194" i="1"/>
  <c r="P186" i="1"/>
  <c r="R186" i="1"/>
  <c r="P166" i="1"/>
  <c r="R166" i="1"/>
  <c r="P150" i="1"/>
  <c r="R150" i="1"/>
  <c r="P130" i="1"/>
  <c r="R130" i="1"/>
  <c r="P31" i="1"/>
  <c r="R31" i="1"/>
  <c r="P23" i="1"/>
  <c r="R23" i="1"/>
  <c r="P635" i="1"/>
  <c r="R635" i="1"/>
  <c r="P631" i="1"/>
  <c r="R631" i="1"/>
  <c r="P627" i="1"/>
  <c r="R627" i="1"/>
  <c r="P623" i="1"/>
  <c r="R623" i="1"/>
  <c r="P619" i="1"/>
  <c r="R619" i="1"/>
  <c r="P615" i="1"/>
  <c r="R615" i="1"/>
  <c r="P611" i="1"/>
  <c r="R611" i="1"/>
  <c r="P607" i="1"/>
  <c r="R607" i="1"/>
  <c r="P603" i="1"/>
  <c r="R603" i="1"/>
  <c r="P599" i="1"/>
  <c r="R599" i="1"/>
  <c r="P595" i="1"/>
  <c r="R595" i="1"/>
  <c r="P591" i="1"/>
  <c r="R591" i="1"/>
  <c r="P587" i="1"/>
  <c r="R587" i="1"/>
  <c r="P583" i="1"/>
  <c r="R583" i="1"/>
  <c r="P579" i="1"/>
  <c r="R579" i="1"/>
  <c r="P575" i="1"/>
  <c r="R575" i="1"/>
  <c r="P571" i="1"/>
  <c r="R571" i="1"/>
  <c r="P567" i="1"/>
  <c r="R567" i="1"/>
  <c r="P563" i="1"/>
  <c r="R563" i="1"/>
  <c r="P559" i="1"/>
  <c r="R559" i="1"/>
  <c r="P555" i="1"/>
  <c r="R555" i="1"/>
  <c r="P551" i="1"/>
  <c r="R551" i="1"/>
  <c r="P547" i="1"/>
  <c r="R547" i="1"/>
  <c r="P543" i="1"/>
  <c r="R543" i="1"/>
  <c r="P539" i="1"/>
  <c r="R539" i="1"/>
  <c r="P535" i="1"/>
  <c r="R535" i="1"/>
  <c r="P531" i="1"/>
  <c r="R531" i="1"/>
  <c r="P527" i="1"/>
  <c r="R527" i="1"/>
  <c r="P523" i="1"/>
  <c r="R523" i="1"/>
  <c r="P519" i="1"/>
  <c r="R519" i="1"/>
  <c r="P515" i="1"/>
  <c r="R515" i="1"/>
  <c r="P511" i="1"/>
  <c r="R511" i="1"/>
  <c r="P507" i="1"/>
  <c r="R507" i="1"/>
  <c r="P503" i="1"/>
  <c r="R503" i="1"/>
  <c r="P499" i="1"/>
  <c r="R499" i="1"/>
  <c r="P495" i="1"/>
  <c r="R495" i="1"/>
  <c r="P491" i="1"/>
  <c r="R491" i="1"/>
  <c r="P487" i="1"/>
  <c r="R487" i="1"/>
  <c r="P483" i="1"/>
  <c r="R483" i="1"/>
  <c r="P479" i="1"/>
  <c r="R479" i="1"/>
  <c r="P475" i="1"/>
  <c r="R475" i="1"/>
  <c r="P471" i="1"/>
  <c r="R471" i="1"/>
  <c r="P467" i="1"/>
  <c r="R467" i="1"/>
  <c r="P463" i="1"/>
  <c r="R463" i="1"/>
  <c r="P459" i="1"/>
  <c r="R459" i="1"/>
  <c r="P455" i="1"/>
  <c r="R455" i="1"/>
  <c r="P451" i="1"/>
  <c r="R451" i="1"/>
  <c r="P447" i="1"/>
  <c r="R447" i="1"/>
  <c r="P443" i="1"/>
  <c r="R443" i="1"/>
  <c r="P439" i="1"/>
  <c r="R439" i="1"/>
  <c r="P435" i="1"/>
  <c r="R435" i="1"/>
  <c r="P431" i="1"/>
  <c r="R431" i="1"/>
  <c r="P427" i="1"/>
  <c r="R427" i="1"/>
  <c r="P423" i="1"/>
  <c r="R423" i="1"/>
  <c r="P419" i="1"/>
  <c r="R419" i="1"/>
  <c r="P415" i="1"/>
  <c r="R415" i="1"/>
  <c r="P411" i="1"/>
  <c r="R411" i="1"/>
  <c r="P407" i="1"/>
  <c r="R407" i="1"/>
  <c r="P403" i="1"/>
  <c r="R403" i="1"/>
  <c r="P399" i="1"/>
  <c r="R399" i="1"/>
  <c r="P395" i="1"/>
  <c r="R395" i="1"/>
  <c r="P391" i="1"/>
  <c r="R391" i="1"/>
  <c r="P387" i="1"/>
  <c r="R387" i="1"/>
  <c r="P383" i="1"/>
  <c r="R383" i="1"/>
  <c r="P379" i="1"/>
  <c r="R379" i="1"/>
  <c r="P375" i="1"/>
  <c r="R375" i="1"/>
  <c r="P371" i="1"/>
  <c r="R371" i="1"/>
  <c r="P367" i="1"/>
  <c r="R367" i="1"/>
  <c r="P363" i="1"/>
  <c r="R363" i="1"/>
  <c r="P359" i="1"/>
  <c r="R359" i="1"/>
  <c r="P355" i="1"/>
  <c r="R355" i="1"/>
  <c r="P351" i="1"/>
  <c r="R351" i="1"/>
  <c r="P347" i="1"/>
  <c r="R347" i="1"/>
  <c r="P343" i="1"/>
  <c r="R343" i="1"/>
  <c r="P339" i="1"/>
  <c r="R339" i="1"/>
  <c r="P335" i="1"/>
  <c r="R335" i="1"/>
  <c r="P331" i="1"/>
  <c r="R331" i="1"/>
  <c r="P327" i="1"/>
  <c r="R327" i="1"/>
  <c r="P323" i="1"/>
  <c r="R323" i="1"/>
  <c r="P319" i="1"/>
  <c r="R319" i="1"/>
  <c r="P315" i="1"/>
  <c r="R315" i="1"/>
  <c r="P311" i="1"/>
  <c r="R311" i="1"/>
  <c r="P307" i="1"/>
  <c r="R307" i="1"/>
  <c r="P303" i="1"/>
  <c r="R303" i="1"/>
  <c r="P299" i="1"/>
  <c r="R299" i="1"/>
  <c r="P295" i="1"/>
  <c r="R295" i="1"/>
  <c r="P291" i="1"/>
  <c r="R291" i="1"/>
  <c r="P287" i="1"/>
  <c r="R287" i="1"/>
  <c r="P283" i="1"/>
  <c r="R283" i="1"/>
  <c r="P279" i="1"/>
  <c r="R279" i="1"/>
  <c r="P275" i="1"/>
  <c r="R275" i="1"/>
  <c r="P271" i="1"/>
  <c r="R271" i="1"/>
  <c r="P267" i="1"/>
  <c r="R267" i="1"/>
  <c r="P263" i="1"/>
  <c r="R263" i="1"/>
  <c r="P259" i="1"/>
  <c r="R259" i="1"/>
  <c r="P255" i="1"/>
  <c r="R255" i="1"/>
  <c r="P251" i="1"/>
  <c r="R251" i="1"/>
  <c r="P247" i="1"/>
  <c r="R247" i="1"/>
  <c r="P243" i="1"/>
  <c r="R243" i="1"/>
  <c r="P239" i="1"/>
  <c r="R239" i="1"/>
  <c r="P235" i="1"/>
  <c r="R235" i="1"/>
  <c r="P231" i="1"/>
  <c r="R231" i="1"/>
  <c r="P227" i="1"/>
  <c r="R227" i="1"/>
  <c r="P223" i="1"/>
  <c r="R223" i="1"/>
  <c r="P219" i="1"/>
  <c r="R219" i="1"/>
  <c r="P215" i="1"/>
  <c r="R215" i="1"/>
  <c r="P211" i="1"/>
  <c r="R211" i="1"/>
  <c r="P207" i="1"/>
  <c r="R207" i="1"/>
  <c r="P203" i="1"/>
  <c r="R203" i="1"/>
  <c r="P199" i="1"/>
  <c r="R199" i="1"/>
  <c r="P195" i="1"/>
  <c r="R195" i="1"/>
  <c r="P191" i="1"/>
  <c r="R191" i="1"/>
  <c r="P187" i="1"/>
  <c r="R187" i="1"/>
  <c r="P183" i="1"/>
  <c r="R183" i="1"/>
  <c r="P179" i="1"/>
  <c r="R179" i="1"/>
  <c r="P175" i="1"/>
  <c r="R175" i="1"/>
  <c r="P171" i="1"/>
  <c r="R171" i="1"/>
  <c r="P167" i="1"/>
  <c r="R167" i="1"/>
  <c r="P163" i="1"/>
  <c r="R163" i="1"/>
  <c r="P159" i="1"/>
  <c r="R159" i="1"/>
  <c r="P155" i="1"/>
  <c r="R155" i="1"/>
  <c r="P151" i="1"/>
  <c r="R151" i="1"/>
  <c r="P147" i="1"/>
  <c r="R147" i="1"/>
  <c r="P143" i="1"/>
  <c r="R143" i="1"/>
  <c r="P139" i="1"/>
  <c r="R139" i="1"/>
  <c r="P135" i="1"/>
  <c r="R135" i="1"/>
  <c r="P131" i="1"/>
  <c r="R131" i="1"/>
  <c r="P127" i="1"/>
  <c r="R127" i="1"/>
  <c r="P123" i="1"/>
  <c r="R123" i="1"/>
  <c r="P119" i="1"/>
  <c r="R119" i="1"/>
  <c r="P115" i="1"/>
  <c r="R115" i="1"/>
  <c r="P111" i="1"/>
  <c r="R111" i="1"/>
  <c r="P107" i="1"/>
  <c r="R107" i="1"/>
  <c r="P103" i="1"/>
  <c r="R103" i="1"/>
  <c r="P71" i="1"/>
  <c r="R71" i="1"/>
  <c r="P67" i="1"/>
  <c r="R67" i="1"/>
  <c r="P60" i="1"/>
  <c r="R60" i="1"/>
  <c r="I265" i="2"/>
  <c r="P97" i="1"/>
  <c r="I261" i="2"/>
  <c r="U261" i="2" s="1"/>
  <c r="P93" i="1"/>
  <c r="I257" i="2"/>
  <c r="U257" i="2" s="1"/>
  <c r="P89" i="1"/>
  <c r="I253" i="2"/>
  <c r="P85" i="1"/>
  <c r="I249" i="2"/>
  <c r="P81" i="1"/>
  <c r="I245" i="2"/>
  <c r="P77" i="1"/>
  <c r="I210" i="2"/>
  <c r="U210" i="2" s="1"/>
  <c r="P56" i="1"/>
  <c r="I204" i="2"/>
  <c r="P52" i="1"/>
  <c r="I152" i="2"/>
  <c r="P48" i="1"/>
  <c r="I188" i="2"/>
  <c r="U188" i="2" s="1"/>
  <c r="P26" i="1"/>
  <c r="I268" i="2"/>
  <c r="P100" i="1"/>
  <c r="I264" i="2"/>
  <c r="U264" i="2" s="1"/>
  <c r="P96" i="1"/>
  <c r="I260" i="2"/>
  <c r="U260" i="2" s="1"/>
  <c r="P92" i="1"/>
  <c r="I252" i="2"/>
  <c r="P84" i="1"/>
  <c r="I248" i="2"/>
  <c r="P80" i="1"/>
  <c r="I209" i="2"/>
  <c r="U209" i="2" s="1"/>
  <c r="P55" i="1"/>
  <c r="I66" i="2"/>
  <c r="P41" i="1"/>
  <c r="I149" i="2"/>
  <c r="U149" i="2" s="1"/>
  <c r="P30" i="1"/>
  <c r="I267" i="2"/>
  <c r="P99" i="1"/>
  <c r="I263" i="2"/>
  <c r="U263" i="2" s="1"/>
  <c r="P95" i="1"/>
  <c r="I255" i="2"/>
  <c r="U255" i="2" s="1"/>
  <c r="P87" i="1"/>
  <c r="I251" i="2"/>
  <c r="P83" i="1"/>
  <c r="I247" i="2"/>
  <c r="P79" i="1"/>
  <c r="I242" i="2"/>
  <c r="P61" i="1"/>
  <c r="I206" i="2"/>
  <c r="P54" i="1"/>
  <c r="I236" i="2"/>
  <c r="P50" i="1"/>
  <c r="I230" i="2"/>
  <c r="P46" i="1"/>
  <c r="I266" i="2"/>
  <c r="P98" i="1"/>
  <c r="I262" i="2"/>
  <c r="U262" i="2" s="1"/>
  <c r="P94" i="1"/>
  <c r="I254" i="2"/>
  <c r="U254" i="2" s="1"/>
  <c r="P86" i="1"/>
  <c r="I250" i="2"/>
  <c r="P82" i="1"/>
  <c r="I246" i="2"/>
  <c r="P78" i="1"/>
  <c r="I205" i="2"/>
  <c r="P53" i="1"/>
  <c r="I233" i="2"/>
  <c r="P49" i="1"/>
  <c r="I229" i="2"/>
  <c r="P45" i="1"/>
  <c r="I87" i="2"/>
  <c r="P24" i="1"/>
  <c r="W626" i="1"/>
  <c r="W614" i="1"/>
  <c r="W606" i="1"/>
  <c r="W590" i="1"/>
  <c r="W578" i="1"/>
  <c r="W566" i="1"/>
  <c r="W554" i="1"/>
  <c r="W542" i="1"/>
  <c r="W526" i="1"/>
  <c r="W514" i="1"/>
  <c r="W498" i="1"/>
  <c r="W486" i="1"/>
  <c r="W478" i="1"/>
  <c r="W470" i="1"/>
  <c r="W458" i="1"/>
  <c r="W446" i="1"/>
  <c r="W438" i="1"/>
  <c r="W422" i="1"/>
  <c r="W406" i="1"/>
  <c r="W394" i="1"/>
  <c r="W382" i="1"/>
  <c r="W374" i="1"/>
  <c r="W366" i="1"/>
  <c r="W354" i="1"/>
  <c r="W342" i="1"/>
  <c r="W330" i="1"/>
  <c r="W318" i="1"/>
  <c r="W306" i="1"/>
  <c r="W298" i="1"/>
  <c r="W286" i="1"/>
  <c r="W274" i="1"/>
  <c r="W266" i="1"/>
  <c r="W254" i="1"/>
  <c r="W246" i="1"/>
  <c r="W234" i="1"/>
  <c r="W222" i="1"/>
  <c r="W210" i="1"/>
  <c r="W202" i="1"/>
  <c r="W194" i="1"/>
  <c r="W182" i="1"/>
  <c r="W174" i="1"/>
  <c r="W166" i="1"/>
  <c r="W158" i="1"/>
  <c r="W146" i="1"/>
  <c r="W130" i="1"/>
  <c r="W633" i="1"/>
  <c r="W629" i="1"/>
  <c r="W625" i="1"/>
  <c r="W621" i="1"/>
  <c r="W617" i="1"/>
  <c r="W613" i="1"/>
  <c r="W609" i="1"/>
  <c r="W605" i="1"/>
  <c r="W601" i="1"/>
  <c r="W597" i="1"/>
  <c r="W593" i="1"/>
  <c r="W589" i="1"/>
  <c r="W585" i="1"/>
  <c r="W581" i="1"/>
  <c r="W577" i="1"/>
  <c r="W573" i="1"/>
  <c r="W569" i="1"/>
  <c r="W565" i="1"/>
  <c r="W561" i="1"/>
  <c r="W557" i="1"/>
  <c r="W553" i="1"/>
  <c r="W549" i="1"/>
  <c r="W545" i="1"/>
  <c r="W541" i="1"/>
  <c r="W537" i="1"/>
  <c r="W533" i="1"/>
  <c r="W529" i="1"/>
  <c r="W525" i="1"/>
  <c r="W521" i="1"/>
  <c r="W517" i="1"/>
  <c r="W513" i="1"/>
  <c r="W509" i="1"/>
  <c r="W505" i="1"/>
  <c r="W501" i="1"/>
  <c r="W497" i="1"/>
  <c r="W493" i="1"/>
  <c r="W489" i="1"/>
  <c r="W485" i="1"/>
  <c r="W481" i="1"/>
  <c r="W477" i="1"/>
  <c r="W473" i="1"/>
  <c r="W469" i="1"/>
  <c r="W465" i="1"/>
  <c r="W461" i="1"/>
  <c r="W457" i="1"/>
  <c r="W453" i="1"/>
  <c r="W449" i="1"/>
  <c r="W445" i="1"/>
  <c r="W441" i="1"/>
  <c r="W437" i="1"/>
  <c r="W433" i="1"/>
  <c r="W429" i="1"/>
  <c r="W425" i="1"/>
  <c r="W421" i="1"/>
  <c r="W417" i="1"/>
  <c r="W413" i="1"/>
  <c r="W409" i="1"/>
  <c r="W405" i="1"/>
  <c r="W401" i="1"/>
  <c r="W397" i="1"/>
  <c r="W393" i="1"/>
  <c r="W389" i="1"/>
  <c r="W385" i="1"/>
  <c r="W381" i="1"/>
  <c r="W377" i="1"/>
  <c r="W373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277" i="1"/>
  <c r="W273" i="1"/>
  <c r="W269" i="1"/>
  <c r="W265" i="1"/>
  <c r="W261" i="1"/>
  <c r="W257" i="1"/>
  <c r="W253" i="1"/>
  <c r="W249" i="1"/>
  <c r="W245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5" i="1"/>
  <c r="W161" i="1"/>
  <c r="W157" i="1"/>
  <c r="W153" i="1"/>
  <c r="W149" i="1"/>
  <c r="W145" i="1"/>
  <c r="W141" i="1"/>
  <c r="W137" i="1"/>
  <c r="W133" i="1"/>
  <c r="W129" i="1"/>
  <c r="W125" i="1"/>
  <c r="W121" i="1"/>
  <c r="W117" i="1"/>
  <c r="W113" i="1"/>
  <c r="W109" i="1"/>
  <c r="W105" i="1"/>
  <c r="W62" i="1"/>
  <c r="W630" i="1"/>
  <c r="W618" i="1"/>
  <c r="W602" i="1"/>
  <c r="W586" i="1"/>
  <c r="W574" i="1"/>
  <c r="W562" i="1"/>
  <c r="W550" i="1"/>
  <c r="W538" i="1"/>
  <c r="W530" i="1"/>
  <c r="W518" i="1"/>
  <c r="W506" i="1"/>
  <c r="W494" i="1"/>
  <c r="W474" i="1"/>
  <c r="W462" i="1"/>
  <c r="W450" i="1"/>
  <c r="W430" i="1"/>
  <c r="W418" i="1"/>
  <c r="W410" i="1"/>
  <c r="W398" i="1"/>
  <c r="W386" i="1"/>
  <c r="W378" i="1"/>
  <c r="W362" i="1"/>
  <c r="W350" i="1"/>
  <c r="W346" i="1"/>
  <c r="W334" i="1"/>
  <c r="W322" i="1"/>
  <c r="W310" i="1"/>
  <c r="W294" i="1"/>
  <c r="W278" i="1"/>
  <c r="W262" i="1"/>
  <c r="W242" i="1"/>
  <c r="W206" i="1"/>
  <c r="W632" i="1"/>
  <c r="W628" i="1"/>
  <c r="W624" i="1"/>
  <c r="W620" i="1"/>
  <c r="W616" i="1"/>
  <c r="W612" i="1"/>
  <c r="W608" i="1"/>
  <c r="W604" i="1"/>
  <c r="W600" i="1"/>
  <c r="W596" i="1"/>
  <c r="W592" i="1"/>
  <c r="W588" i="1"/>
  <c r="W584" i="1"/>
  <c r="W580" i="1"/>
  <c r="W576" i="1"/>
  <c r="W572" i="1"/>
  <c r="W568" i="1"/>
  <c r="W564" i="1"/>
  <c r="W560" i="1"/>
  <c r="W556" i="1"/>
  <c r="W552" i="1"/>
  <c r="W548" i="1"/>
  <c r="W544" i="1"/>
  <c r="W540" i="1"/>
  <c r="W536" i="1"/>
  <c r="W532" i="1"/>
  <c r="W528" i="1"/>
  <c r="W524" i="1"/>
  <c r="W520" i="1"/>
  <c r="W516" i="1"/>
  <c r="W512" i="1"/>
  <c r="W508" i="1"/>
  <c r="W504" i="1"/>
  <c r="W500" i="1"/>
  <c r="W496" i="1"/>
  <c r="W492" i="1"/>
  <c r="W488" i="1"/>
  <c r="W484" i="1"/>
  <c r="W480" i="1"/>
  <c r="W476" i="1"/>
  <c r="W472" i="1"/>
  <c r="W468" i="1"/>
  <c r="W464" i="1"/>
  <c r="W460" i="1"/>
  <c r="W456" i="1"/>
  <c r="W452" i="1"/>
  <c r="W448" i="1"/>
  <c r="W444" i="1"/>
  <c r="W440" i="1"/>
  <c r="W436" i="1"/>
  <c r="W432" i="1"/>
  <c r="W428" i="1"/>
  <c r="W424" i="1"/>
  <c r="W420" i="1"/>
  <c r="W416" i="1"/>
  <c r="W412" i="1"/>
  <c r="W408" i="1"/>
  <c r="W404" i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8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72" i="1"/>
  <c r="W634" i="1"/>
  <c r="W622" i="1"/>
  <c r="W610" i="1"/>
  <c r="W598" i="1"/>
  <c r="W594" i="1"/>
  <c r="W582" i="1"/>
  <c r="W570" i="1"/>
  <c r="W558" i="1"/>
  <c r="W546" i="1"/>
  <c r="W534" i="1"/>
  <c r="W522" i="1"/>
  <c r="W510" i="1"/>
  <c r="W502" i="1"/>
  <c r="W490" i="1"/>
  <c r="W482" i="1"/>
  <c r="W466" i="1"/>
  <c r="W454" i="1"/>
  <c r="W442" i="1"/>
  <c r="W434" i="1"/>
  <c r="W426" i="1"/>
  <c r="W414" i="1"/>
  <c r="W402" i="1"/>
  <c r="W390" i="1"/>
  <c r="W370" i="1"/>
  <c r="W358" i="1"/>
  <c r="W338" i="1"/>
  <c r="W326" i="1"/>
  <c r="W314" i="1"/>
  <c r="W302" i="1"/>
  <c r="W290" i="1"/>
  <c r="W282" i="1"/>
  <c r="W270" i="1"/>
  <c r="W258" i="1"/>
  <c r="W250" i="1"/>
  <c r="W238" i="1"/>
  <c r="W230" i="1"/>
  <c r="W226" i="1"/>
  <c r="W218" i="1"/>
  <c r="W214" i="1"/>
  <c r="W198" i="1"/>
  <c r="W190" i="1"/>
  <c r="W186" i="1"/>
  <c r="W178" i="1"/>
  <c r="W170" i="1"/>
  <c r="W162" i="1"/>
  <c r="W154" i="1"/>
  <c r="W150" i="1"/>
  <c r="W142" i="1"/>
  <c r="W138" i="1"/>
  <c r="W134" i="1"/>
  <c r="W126" i="1"/>
  <c r="W122" i="1"/>
  <c r="W118" i="1"/>
  <c r="W114" i="1"/>
  <c r="W110" i="1"/>
  <c r="W106" i="1"/>
  <c r="W635" i="1"/>
  <c r="W631" i="1"/>
  <c r="W627" i="1"/>
  <c r="W623" i="1"/>
  <c r="W619" i="1"/>
  <c r="W615" i="1"/>
  <c r="W611" i="1"/>
  <c r="W607" i="1"/>
  <c r="W603" i="1"/>
  <c r="W599" i="1"/>
  <c r="W595" i="1"/>
  <c r="W591" i="1"/>
  <c r="W587" i="1"/>
  <c r="W583" i="1"/>
  <c r="W579" i="1"/>
  <c r="W575" i="1"/>
  <c r="W571" i="1"/>
  <c r="W567" i="1"/>
  <c r="W563" i="1"/>
  <c r="W559" i="1"/>
  <c r="W555" i="1"/>
  <c r="W551" i="1"/>
  <c r="W547" i="1"/>
  <c r="W543" i="1"/>
  <c r="W539" i="1"/>
  <c r="W535" i="1"/>
  <c r="W531" i="1"/>
  <c r="W527" i="1"/>
  <c r="W523" i="1"/>
  <c r="W519" i="1"/>
  <c r="W515" i="1"/>
  <c r="W511" i="1"/>
  <c r="W507" i="1"/>
  <c r="W503" i="1"/>
  <c r="W499" i="1"/>
  <c r="W495" i="1"/>
  <c r="W491" i="1"/>
  <c r="W487" i="1"/>
  <c r="W483" i="1"/>
  <c r="W479" i="1"/>
  <c r="W475" i="1"/>
  <c r="W471" i="1"/>
  <c r="W467" i="1"/>
  <c r="W463" i="1"/>
  <c r="W459" i="1"/>
  <c r="W455" i="1"/>
  <c r="W451" i="1"/>
  <c r="W447" i="1"/>
  <c r="W443" i="1"/>
  <c r="W439" i="1"/>
  <c r="W435" i="1"/>
  <c r="W431" i="1"/>
  <c r="W427" i="1"/>
  <c r="W423" i="1"/>
  <c r="W419" i="1"/>
  <c r="W415" i="1"/>
  <c r="W411" i="1"/>
  <c r="W407" i="1"/>
  <c r="W403" i="1"/>
  <c r="W399" i="1"/>
  <c r="W395" i="1"/>
  <c r="W391" i="1"/>
  <c r="W387" i="1"/>
  <c r="W383" i="1"/>
  <c r="W379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7" i="1"/>
  <c r="W323" i="1"/>
  <c r="W319" i="1"/>
  <c r="W315" i="1"/>
  <c r="W311" i="1"/>
  <c r="W307" i="1"/>
  <c r="W303" i="1"/>
  <c r="W299" i="1"/>
  <c r="W295" i="1"/>
  <c r="W291" i="1"/>
  <c r="W287" i="1"/>
  <c r="W283" i="1"/>
  <c r="W279" i="1"/>
  <c r="W275" i="1"/>
  <c r="W271" i="1"/>
  <c r="W267" i="1"/>
  <c r="W263" i="1"/>
  <c r="W259" i="1"/>
  <c r="W255" i="1"/>
  <c r="W251" i="1"/>
  <c r="W247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I241" i="2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R16" i="1" s="1"/>
  <c r="F6" i="1"/>
  <c r="R6" i="1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R7" i="1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R8" i="1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R10" i="1" s="1"/>
  <c r="I55" i="2"/>
  <c r="I47" i="2"/>
  <c r="I180" i="2"/>
  <c r="U180" i="2" s="1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V634" i="1"/>
  <c r="K634" i="1"/>
  <c r="K610" i="1"/>
  <c r="V610" i="1"/>
  <c r="K590" i="1"/>
  <c r="V590" i="1"/>
  <c r="V566" i="1"/>
  <c r="K566" i="1"/>
  <c r="K546" i="1"/>
  <c r="V546" i="1"/>
  <c r="K526" i="1"/>
  <c r="V526" i="1"/>
  <c r="K510" i="1"/>
  <c r="V510" i="1"/>
  <c r="K502" i="1"/>
  <c r="V502" i="1"/>
  <c r="V498" i="1"/>
  <c r="K498" i="1"/>
  <c r="K494" i="1"/>
  <c r="V494" i="1"/>
  <c r="K490" i="1"/>
  <c r="V490" i="1"/>
  <c r="K482" i="1"/>
  <c r="V482" i="1"/>
  <c r="K470" i="1"/>
  <c r="V470" i="1"/>
  <c r="V466" i="1"/>
  <c r="K466" i="1"/>
  <c r="V462" i="1"/>
  <c r="K462" i="1"/>
  <c r="V458" i="1"/>
  <c r="K458" i="1"/>
  <c r="V454" i="1"/>
  <c r="K454" i="1"/>
  <c r="K450" i="1"/>
  <c r="V450" i="1"/>
  <c r="K446" i="1"/>
  <c r="V446" i="1"/>
  <c r="K442" i="1"/>
  <c r="V442" i="1"/>
  <c r="K438" i="1"/>
  <c r="V438" i="1"/>
  <c r="K434" i="1"/>
  <c r="V434" i="1"/>
  <c r="K430" i="1"/>
  <c r="V430" i="1"/>
  <c r="K426" i="1"/>
  <c r="V426" i="1"/>
  <c r="K422" i="1"/>
  <c r="V422" i="1"/>
  <c r="K418" i="1"/>
  <c r="V418" i="1"/>
  <c r="K414" i="1"/>
  <c r="V414" i="1"/>
  <c r="K410" i="1"/>
  <c r="V410" i="1"/>
  <c r="K406" i="1"/>
  <c r="V406" i="1"/>
  <c r="V402" i="1"/>
  <c r="K402" i="1"/>
  <c r="K398" i="1"/>
  <c r="V398" i="1"/>
  <c r="K394" i="1"/>
  <c r="V394" i="1"/>
  <c r="K390" i="1"/>
  <c r="V390" i="1"/>
  <c r="V386" i="1"/>
  <c r="K386" i="1"/>
  <c r="K382" i="1"/>
  <c r="V382" i="1"/>
  <c r="V378" i="1"/>
  <c r="K378" i="1"/>
  <c r="K374" i="1"/>
  <c r="V374" i="1"/>
  <c r="V370" i="1"/>
  <c r="K370" i="1"/>
  <c r="K366" i="1"/>
  <c r="V366" i="1"/>
  <c r="K362" i="1"/>
  <c r="V362" i="1"/>
  <c r="K358" i="1"/>
  <c r="V358" i="1"/>
  <c r="K354" i="1"/>
  <c r="V354" i="1"/>
  <c r="K350" i="1"/>
  <c r="V350" i="1"/>
  <c r="K346" i="1"/>
  <c r="V346" i="1"/>
  <c r="K342" i="1"/>
  <c r="V342" i="1"/>
  <c r="K338" i="1"/>
  <c r="V338" i="1"/>
  <c r="K334" i="1"/>
  <c r="V334" i="1"/>
  <c r="K330" i="1"/>
  <c r="V330" i="1"/>
  <c r="K326" i="1"/>
  <c r="V326" i="1"/>
  <c r="K322" i="1"/>
  <c r="V322" i="1"/>
  <c r="K318" i="1"/>
  <c r="V318" i="1"/>
  <c r="K314" i="1"/>
  <c r="V314" i="1"/>
  <c r="K310" i="1"/>
  <c r="V310" i="1"/>
  <c r="K306" i="1"/>
  <c r="V306" i="1"/>
  <c r="K302" i="1"/>
  <c r="V302" i="1"/>
  <c r="V298" i="1"/>
  <c r="K298" i="1"/>
  <c r="V294" i="1"/>
  <c r="K294" i="1"/>
  <c r="V290" i="1"/>
  <c r="K290" i="1"/>
  <c r="V286" i="1"/>
  <c r="K286" i="1"/>
  <c r="V282" i="1"/>
  <c r="K282" i="1"/>
  <c r="V278" i="1"/>
  <c r="K278" i="1"/>
  <c r="V274" i="1"/>
  <c r="K274" i="1"/>
  <c r="V270" i="1"/>
  <c r="K270" i="1"/>
  <c r="K266" i="1"/>
  <c r="V266" i="1"/>
  <c r="K262" i="1"/>
  <c r="V262" i="1"/>
  <c r="V258" i="1"/>
  <c r="K258" i="1"/>
  <c r="V254" i="1"/>
  <c r="K254" i="1"/>
  <c r="K250" i="1"/>
  <c r="V250" i="1"/>
  <c r="K246" i="1"/>
  <c r="V246" i="1"/>
  <c r="K242" i="1"/>
  <c r="V242" i="1"/>
  <c r="K238" i="1"/>
  <c r="V238" i="1"/>
  <c r="K234" i="1"/>
  <c r="V234" i="1"/>
  <c r="K230" i="1"/>
  <c r="V230" i="1"/>
  <c r="K226" i="1"/>
  <c r="V226" i="1"/>
  <c r="K222" i="1"/>
  <c r="V222" i="1"/>
  <c r="K218" i="1"/>
  <c r="V218" i="1"/>
  <c r="K214" i="1"/>
  <c r="V214" i="1"/>
  <c r="K210" i="1"/>
  <c r="V210" i="1"/>
  <c r="K206" i="1"/>
  <c r="V206" i="1"/>
  <c r="K202" i="1"/>
  <c r="V202" i="1"/>
  <c r="K198" i="1"/>
  <c r="V198" i="1"/>
  <c r="K194" i="1"/>
  <c r="V194" i="1"/>
  <c r="K190" i="1"/>
  <c r="V190" i="1"/>
  <c r="K186" i="1"/>
  <c r="V186" i="1"/>
  <c r="K182" i="1"/>
  <c r="V182" i="1"/>
  <c r="K178" i="1"/>
  <c r="V178" i="1"/>
  <c r="K174" i="1"/>
  <c r="V174" i="1"/>
  <c r="K170" i="1"/>
  <c r="V170" i="1"/>
  <c r="K166" i="1"/>
  <c r="V166" i="1"/>
  <c r="K162" i="1"/>
  <c r="V162" i="1"/>
  <c r="K158" i="1"/>
  <c r="V158" i="1"/>
  <c r="K154" i="1"/>
  <c r="V154" i="1"/>
  <c r="K150" i="1"/>
  <c r="V150" i="1"/>
  <c r="K146" i="1"/>
  <c r="V146" i="1"/>
  <c r="K142" i="1"/>
  <c r="V142" i="1"/>
  <c r="K138" i="1"/>
  <c r="V138" i="1"/>
  <c r="V134" i="1"/>
  <c r="K134" i="1"/>
  <c r="K130" i="1"/>
  <c r="V130" i="1"/>
  <c r="V126" i="1"/>
  <c r="K126" i="1"/>
  <c r="K122" i="1"/>
  <c r="V122" i="1"/>
  <c r="K118" i="1"/>
  <c r="V118" i="1"/>
  <c r="V114" i="1"/>
  <c r="K114" i="1"/>
  <c r="K110" i="1"/>
  <c r="V110" i="1"/>
  <c r="K106" i="1"/>
  <c r="V106" i="1"/>
  <c r="K622" i="1"/>
  <c r="V622" i="1"/>
  <c r="K606" i="1"/>
  <c r="V606" i="1"/>
  <c r="K594" i="1"/>
  <c r="V594" i="1"/>
  <c r="K578" i="1"/>
  <c r="V578" i="1"/>
  <c r="V558" i="1"/>
  <c r="K558" i="1"/>
  <c r="K538" i="1"/>
  <c r="V538" i="1"/>
  <c r="K522" i="1"/>
  <c r="V522" i="1"/>
  <c r="K506" i="1"/>
  <c r="V506" i="1"/>
  <c r="K486" i="1"/>
  <c r="V486" i="1"/>
  <c r="K633" i="1"/>
  <c r="V633" i="1"/>
  <c r="K621" i="1"/>
  <c r="V621" i="1"/>
  <c r="K609" i="1"/>
  <c r="V609" i="1"/>
  <c r="K589" i="1"/>
  <c r="V589" i="1"/>
  <c r="V577" i="1"/>
  <c r="K577" i="1"/>
  <c r="K569" i="1"/>
  <c r="V569" i="1"/>
  <c r="V565" i="1"/>
  <c r="K565" i="1"/>
  <c r="V557" i="1"/>
  <c r="K557" i="1"/>
  <c r="V549" i="1"/>
  <c r="K549" i="1"/>
  <c r="V545" i="1"/>
  <c r="K545" i="1"/>
  <c r="K541" i="1"/>
  <c r="V541" i="1"/>
  <c r="V537" i="1"/>
  <c r="K537" i="1"/>
  <c r="V533" i="1"/>
  <c r="K533" i="1"/>
  <c r="K529" i="1"/>
  <c r="V529" i="1"/>
  <c r="V525" i="1"/>
  <c r="K525" i="1"/>
  <c r="K521" i="1"/>
  <c r="V521" i="1"/>
  <c r="K517" i="1"/>
  <c r="V517" i="1"/>
  <c r="V513" i="1"/>
  <c r="K513" i="1"/>
  <c r="V509" i="1"/>
  <c r="K509" i="1"/>
  <c r="K505" i="1"/>
  <c r="V505" i="1"/>
  <c r="V501" i="1"/>
  <c r="K501" i="1"/>
  <c r="K497" i="1"/>
  <c r="V497" i="1"/>
  <c r="V493" i="1"/>
  <c r="K493" i="1"/>
  <c r="K489" i="1"/>
  <c r="V489" i="1"/>
  <c r="K485" i="1"/>
  <c r="V485" i="1"/>
  <c r="V481" i="1"/>
  <c r="K481" i="1"/>
  <c r="K477" i="1"/>
  <c r="V477" i="1"/>
  <c r="V473" i="1"/>
  <c r="K473" i="1"/>
  <c r="K469" i="1"/>
  <c r="V469" i="1"/>
  <c r="K465" i="1"/>
  <c r="V465" i="1"/>
  <c r="K461" i="1"/>
  <c r="V461" i="1"/>
  <c r="K457" i="1"/>
  <c r="V457" i="1"/>
  <c r="K453" i="1"/>
  <c r="V453" i="1"/>
  <c r="K449" i="1"/>
  <c r="V449" i="1"/>
  <c r="K445" i="1"/>
  <c r="V445" i="1"/>
  <c r="K441" i="1"/>
  <c r="V441" i="1"/>
  <c r="K437" i="1"/>
  <c r="V437" i="1"/>
  <c r="K433" i="1"/>
  <c r="V433" i="1"/>
  <c r="K429" i="1"/>
  <c r="V429" i="1"/>
  <c r="K425" i="1"/>
  <c r="V425" i="1"/>
  <c r="K421" i="1"/>
  <c r="V421" i="1"/>
  <c r="K417" i="1"/>
  <c r="V417" i="1"/>
  <c r="K413" i="1"/>
  <c r="V413" i="1"/>
  <c r="K409" i="1"/>
  <c r="V409" i="1"/>
  <c r="K405" i="1"/>
  <c r="V405" i="1"/>
  <c r="K401" i="1"/>
  <c r="V401" i="1"/>
  <c r="K397" i="1"/>
  <c r="V397" i="1"/>
  <c r="K393" i="1"/>
  <c r="V393" i="1"/>
  <c r="K389" i="1"/>
  <c r="V389" i="1"/>
  <c r="K385" i="1"/>
  <c r="V385" i="1"/>
  <c r="K381" i="1"/>
  <c r="V381" i="1"/>
  <c r="K377" i="1"/>
  <c r="V377" i="1"/>
  <c r="K373" i="1"/>
  <c r="V373" i="1"/>
  <c r="K369" i="1"/>
  <c r="V369" i="1"/>
  <c r="K365" i="1"/>
  <c r="V365" i="1"/>
  <c r="K361" i="1"/>
  <c r="V361" i="1"/>
  <c r="K357" i="1"/>
  <c r="V357" i="1"/>
  <c r="K353" i="1"/>
  <c r="V353" i="1"/>
  <c r="K349" i="1"/>
  <c r="V349" i="1"/>
  <c r="K345" i="1"/>
  <c r="V345" i="1"/>
  <c r="K341" i="1"/>
  <c r="V341" i="1"/>
  <c r="K337" i="1"/>
  <c r="V337" i="1"/>
  <c r="K333" i="1"/>
  <c r="V333" i="1"/>
  <c r="K329" i="1"/>
  <c r="V329" i="1"/>
  <c r="K325" i="1"/>
  <c r="V325" i="1"/>
  <c r="K321" i="1"/>
  <c r="V321" i="1"/>
  <c r="K317" i="1"/>
  <c r="V317" i="1"/>
  <c r="K313" i="1"/>
  <c r="V313" i="1"/>
  <c r="K309" i="1"/>
  <c r="V309" i="1"/>
  <c r="K305" i="1"/>
  <c r="V305" i="1"/>
  <c r="K301" i="1"/>
  <c r="V301" i="1"/>
  <c r="K297" i="1"/>
  <c r="V297" i="1"/>
  <c r="K293" i="1"/>
  <c r="V293" i="1"/>
  <c r="K289" i="1"/>
  <c r="V289" i="1"/>
  <c r="K285" i="1"/>
  <c r="V285" i="1"/>
  <c r="K281" i="1"/>
  <c r="V281" i="1"/>
  <c r="K277" i="1"/>
  <c r="V277" i="1"/>
  <c r="K273" i="1"/>
  <c r="V273" i="1"/>
  <c r="K269" i="1"/>
  <c r="V269" i="1"/>
  <c r="K265" i="1"/>
  <c r="V265" i="1"/>
  <c r="K261" i="1"/>
  <c r="V261" i="1"/>
  <c r="K257" i="1"/>
  <c r="V257" i="1"/>
  <c r="K253" i="1"/>
  <c r="V253" i="1"/>
  <c r="K249" i="1"/>
  <c r="V249" i="1"/>
  <c r="K245" i="1"/>
  <c r="V245" i="1"/>
  <c r="K241" i="1"/>
  <c r="V241" i="1"/>
  <c r="K237" i="1"/>
  <c r="V237" i="1"/>
  <c r="K233" i="1"/>
  <c r="V233" i="1"/>
  <c r="K229" i="1"/>
  <c r="V229" i="1"/>
  <c r="K225" i="1"/>
  <c r="V225" i="1"/>
  <c r="K221" i="1"/>
  <c r="V221" i="1"/>
  <c r="K217" i="1"/>
  <c r="V217" i="1"/>
  <c r="K213" i="1"/>
  <c r="V213" i="1"/>
  <c r="K209" i="1"/>
  <c r="V209" i="1"/>
  <c r="K205" i="1"/>
  <c r="V205" i="1"/>
  <c r="K201" i="1"/>
  <c r="V201" i="1"/>
  <c r="K197" i="1"/>
  <c r="V197" i="1"/>
  <c r="K193" i="1"/>
  <c r="V193" i="1"/>
  <c r="V189" i="1"/>
  <c r="K189" i="1"/>
  <c r="V185" i="1"/>
  <c r="K185" i="1"/>
  <c r="V181" i="1"/>
  <c r="K181" i="1"/>
  <c r="V177" i="1"/>
  <c r="K177" i="1"/>
  <c r="K173" i="1"/>
  <c r="V173" i="1"/>
  <c r="K169" i="1"/>
  <c r="V169" i="1"/>
  <c r="K165" i="1"/>
  <c r="V165" i="1"/>
  <c r="K161" i="1"/>
  <c r="V161" i="1"/>
  <c r="K157" i="1"/>
  <c r="V157" i="1"/>
  <c r="K153" i="1"/>
  <c r="V153" i="1"/>
  <c r="K149" i="1"/>
  <c r="V149" i="1"/>
  <c r="K145" i="1"/>
  <c r="V145" i="1"/>
  <c r="K141" i="1"/>
  <c r="V141" i="1"/>
  <c r="K137" i="1"/>
  <c r="V137" i="1"/>
  <c r="K133" i="1"/>
  <c r="V133" i="1"/>
  <c r="K129" i="1"/>
  <c r="V129" i="1"/>
  <c r="K125" i="1"/>
  <c r="V125" i="1"/>
  <c r="K121" i="1"/>
  <c r="V121" i="1"/>
  <c r="K117" i="1"/>
  <c r="V117" i="1"/>
  <c r="K113" i="1"/>
  <c r="V113" i="1"/>
  <c r="K109" i="1"/>
  <c r="V109" i="1"/>
  <c r="K105" i="1"/>
  <c r="V105" i="1"/>
  <c r="K626" i="1"/>
  <c r="V626" i="1"/>
  <c r="K618" i="1"/>
  <c r="V618" i="1"/>
  <c r="K602" i="1"/>
  <c r="V602" i="1"/>
  <c r="K586" i="1"/>
  <c r="V586" i="1"/>
  <c r="V574" i="1"/>
  <c r="K574" i="1"/>
  <c r="V562" i="1"/>
  <c r="K562" i="1"/>
  <c r="K550" i="1"/>
  <c r="V550" i="1"/>
  <c r="V534" i="1"/>
  <c r="K534" i="1"/>
  <c r="K514" i="1"/>
  <c r="V514" i="1"/>
  <c r="K478" i="1"/>
  <c r="V478" i="1"/>
  <c r="K629" i="1"/>
  <c r="V629" i="1"/>
  <c r="K613" i="1"/>
  <c r="V613" i="1"/>
  <c r="K601" i="1"/>
  <c r="V601" i="1"/>
  <c r="K593" i="1"/>
  <c r="V593" i="1"/>
  <c r="K581" i="1"/>
  <c r="V581" i="1"/>
  <c r="K561" i="1"/>
  <c r="V561" i="1"/>
  <c r="K624" i="1"/>
  <c r="V624" i="1"/>
  <c r="V616" i="1"/>
  <c r="K616" i="1"/>
  <c r="K604" i="1"/>
  <c r="V604" i="1"/>
  <c r="K592" i="1"/>
  <c r="V592" i="1"/>
  <c r="K580" i="1"/>
  <c r="V580" i="1"/>
  <c r="V572" i="1"/>
  <c r="K572" i="1"/>
  <c r="K560" i="1"/>
  <c r="V560" i="1"/>
  <c r="K548" i="1"/>
  <c r="V548" i="1"/>
  <c r="K540" i="1"/>
  <c r="V540" i="1"/>
  <c r="K532" i="1"/>
  <c r="V532" i="1"/>
  <c r="K520" i="1"/>
  <c r="V520" i="1"/>
  <c r="K512" i="1"/>
  <c r="V512" i="1"/>
  <c r="K504" i="1"/>
  <c r="V504" i="1"/>
  <c r="K500" i="1"/>
  <c r="V500" i="1"/>
  <c r="K496" i="1"/>
  <c r="V496" i="1"/>
  <c r="K492" i="1"/>
  <c r="V492" i="1"/>
  <c r="K484" i="1"/>
  <c r="V484" i="1"/>
  <c r="K480" i="1"/>
  <c r="V480" i="1"/>
  <c r="K476" i="1"/>
  <c r="V476" i="1"/>
  <c r="V472" i="1"/>
  <c r="K472" i="1"/>
  <c r="K468" i="1"/>
  <c r="V468" i="1"/>
  <c r="K464" i="1"/>
  <c r="V464" i="1"/>
  <c r="K460" i="1"/>
  <c r="V460" i="1"/>
  <c r="K456" i="1"/>
  <c r="V456" i="1"/>
  <c r="K452" i="1"/>
  <c r="V452" i="1"/>
  <c r="K448" i="1"/>
  <c r="V448" i="1"/>
  <c r="K444" i="1"/>
  <c r="V444" i="1"/>
  <c r="K440" i="1"/>
  <c r="V440" i="1"/>
  <c r="K436" i="1"/>
  <c r="V436" i="1"/>
  <c r="K432" i="1"/>
  <c r="V432" i="1"/>
  <c r="K428" i="1"/>
  <c r="V428" i="1"/>
  <c r="V424" i="1"/>
  <c r="K424" i="1"/>
  <c r="K420" i="1"/>
  <c r="V420" i="1"/>
  <c r="V416" i="1"/>
  <c r="K416" i="1"/>
  <c r="K412" i="1"/>
  <c r="V412" i="1"/>
  <c r="K408" i="1"/>
  <c r="V408" i="1"/>
  <c r="K404" i="1"/>
  <c r="V404" i="1"/>
  <c r="K400" i="1"/>
  <c r="V400" i="1"/>
  <c r="V396" i="1"/>
  <c r="K396" i="1"/>
  <c r="K392" i="1"/>
  <c r="V392" i="1"/>
  <c r="K388" i="1"/>
  <c r="V388" i="1"/>
  <c r="V384" i="1"/>
  <c r="K384" i="1"/>
  <c r="K380" i="1"/>
  <c r="V380" i="1"/>
  <c r="K376" i="1"/>
  <c r="V376" i="1"/>
  <c r="K372" i="1"/>
  <c r="V372" i="1"/>
  <c r="K368" i="1"/>
  <c r="V368" i="1"/>
  <c r="K364" i="1"/>
  <c r="V364" i="1"/>
  <c r="K360" i="1"/>
  <c r="V360" i="1"/>
  <c r="V356" i="1"/>
  <c r="K356" i="1"/>
  <c r="V352" i="1"/>
  <c r="K352" i="1"/>
  <c r="K348" i="1"/>
  <c r="V348" i="1"/>
  <c r="V344" i="1"/>
  <c r="K344" i="1"/>
  <c r="K340" i="1"/>
  <c r="V340" i="1"/>
  <c r="V336" i="1"/>
  <c r="K336" i="1"/>
  <c r="K332" i="1"/>
  <c r="V332" i="1"/>
  <c r="V328" i="1"/>
  <c r="K328" i="1"/>
  <c r="K324" i="1"/>
  <c r="V324" i="1"/>
  <c r="V320" i="1"/>
  <c r="K320" i="1"/>
  <c r="K316" i="1"/>
  <c r="V316" i="1"/>
  <c r="V312" i="1"/>
  <c r="K312" i="1"/>
  <c r="K308" i="1"/>
  <c r="V308" i="1"/>
  <c r="V304" i="1"/>
  <c r="K304" i="1"/>
  <c r="K300" i="1"/>
  <c r="V300" i="1"/>
  <c r="K296" i="1"/>
  <c r="V296" i="1"/>
  <c r="K292" i="1"/>
  <c r="V292" i="1"/>
  <c r="K288" i="1"/>
  <c r="V288" i="1"/>
  <c r="K284" i="1"/>
  <c r="V284" i="1"/>
  <c r="K280" i="1"/>
  <c r="V280" i="1"/>
  <c r="K276" i="1"/>
  <c r="V276" i="1"/>
  <c r="K272" i="1"/>
  <c r="V272" i="1"/>
  <c r="V268" i="1"/>
  <c r="K268" i="1"/>
  <c r="K264" i="1"/>
  <c r="V264" i="1"/>
  <c r="V260" i="1"/>
  <c r="K260" i="1"/>
  <c r="K256" i="1"/>
  <c r="V256" i="1"/>
  <c r="K252" i="1"/>
  <c r="V252" i="1"/>
  <c r="V248" i="1"/>
  <c r="K248" i="1"/>
  <c r="K244" i="1"/>
  <c r="V244" i="1"/>
  <c r="K240" i="1"/>
  <c r="V240" i="1"/>
  <c r="K236" i="1"/>
  <c r="V236" i="1"/>
  <c r="K232" i="1"/>
  <c r="V232" i="1"/>
  <c r="K228" i="1"/>
  <c r="V228" i="1"/>
  <c r="K224" i="1"/>
  <c r="V224" i="1"/>
  <c r="K220" i="1"/>
  <c r="V220" i="1"/>
  <c r="K216" i="1"/>
  <c r="V216" i="1"/>
  <c r="K212" i="1"/>
  <c r="V212" i="1"/>
  <c r="K208" i="1"/>
  <c r="V208" i="1"/>
  <c r="V204" i="1"/>
  <c r="K204" i="1"/>
  <c r="V200" i="1"/>
  <c r="K200" i="1"/>
  <c r="K196" i="1"/>
  <c r="V196" i="1"/>
  <c r="K192" i="1"/>
  <c r="V192" i="1"/>
  <c r="V188" i="1"/>
  <c r="K188" i="1"/>
  <c r="V184" i="1"/>
  <c r="K184" i="1"/>
  <c r="K180" i="1"/>
  <c r="V180" i="1"/>
  <c r="K176" i="1"/>
  <c r="V176" i="1"/>
  <c r="K172" i="1"/>
  <c r="V172" i="1"/>
  <c r="K168" i="1"/>
  <c r="V168" i="1"/>
  <c r="K164" i="1"/>
  <c r="V164" i="1"/>
  <c r="K160" i="1"/>
  <c r="V160" i="1"/>
  <c r="K156" i="1"/>
  <c r="V156" i="1"/>
  <c r="K152" i="1"/>
  <c r="V152" i="1"/>
  <c r="K148" i="1"/>
  <c r="V148" i="1"/>
  <c r="K144" i="1"/>
  <c r="V144" i="1"/>
  <c r="K140" i="1"/>
  <c r="V140" i="1"/>
  <c r="K136" i="1"/>
  <c r="V136" i="1"/>
  <c r="K132" i="1"/>
  <c r="V132" i="1"/>
  <c r="V128" i="1"/>
  <c r="K128" i="1"/>
  <c r="K124" i="1"/>
  <c r="V124" i="1"/>
  <c r="K120" i="1"/>
  <c r="V120" i="1"/>
  <c r="V116" i="1"/>
  <c r="K116" i="1"/>
  <c r="K112" i="1"/>
  <c r="V112" i="1"/>
  <c r="K108" i="1"/>
  <c r="V108" i="1"/>
  <c r="V104" i="1"/>
  <c r="K104" i="1"/>
  <c r="V72" i="1"/>
  <c r="K72" i="1"/>
  <c r="K630" i="1"/>
  <c r="V630" i="1"/>
  <c r="V614" i="1"/>
  <c r="K614" i="1"/>
  <c r="K598" i="1"/>
  <c r="V598" i="1"/>
  <c r="K582" i="1"/>
  <c r="V582" i="1"/>
  <c r="K570" i="1"/>
  <c r="V570" i="1"/>
  <c r="V554" i="1"/>
  <c r="K554" i="1"/>
  <c r="V542" i="1"/>
  <c r="K542" i="1"/>
  <c r="K530" i="1"/>
  <c r="V530" i="1"/>
  <c r="K518" i="1"/>
  <c r="V518" i="1"/>
  <c r="K474" i="1"/>
  <c r="V474" i="1"/>
  <c r="K625" i="1"/>
  <c r="V625" i="1"/>
  <c r="K617" i="1"/>
  <c r="V617" i="1"/>
  <c r="K605" i="1"/>
  <c r="V605" i="1"/>
  <c r="K597" i="1"/>
  <c r="V597" i="1"/>
  <c r="K585" i="1"/>
  <c r="V585" i="1"/>
  <c r="K573" i="1"/>
  <c r="V573" i="1"/>
  <c r="K553" i="1"/>
  <c r="V553" i="1"/>
  <c r="K632" i="1"/>
  <c r="V632" i="1"/>
  <c r="K628" i="1"/>
  <c r="V628" i="1"/>
  <c r="K620" i="1"/>
  <c r="V620" i="1"/>
  <c r="K612" i="1"/>
  <c r="V612" i="1"/>
  <c r="K608" i="1"/>
  <c r="V608" i="1"/>
  <c r="K600" i="1"/>
  <c r="V600" i="1"/>
  <c r="K596" i="1"/>
  <c r="V596" i="1"/>
  <c r="K588" i="1"/>
  <c r="V588" i="1"/>
  <c r="V584" i="1"/>
  <c r="K584" i="1"/>
  <c r="K576" i="1"/>
  <c r="V576" i="1"/>
  <c r="K568" i="1"/>
  <c r="V568" i="1"/>
  <c r="K564" i="1"/>
  <c r="V564" i="1"/>
  <c r="K556" i="1"/>
  <c r="V556" i="1"/>
  <c r="K552" i="1"/>
  <c r="V552" i="1"/>
  <c r="K544" i="1"/>
  <c r="V544" i="1"/>
  <c r="K536" i="1"/>
  <c r="V536" i="1"/>
  <c r="K528" i="1"/>
  <c r="V528" i="1"/>
  <c r="K524" i="1"/>
  <c r="V524" i="1"/>
  <c r="K516" i="1"/>
  <c r="V516" i="1"/>
  <c r="K508" i="1"/>
  <c r="V508" i="1"/>
  <c r="K488" i="1"/>
  <c r="V488" i="1"/>
  <c r="K635" i="1"/>
  <c r="V635" i="1"/>
  <c r="K631" i="1"/>
  <c r="V631" i="1"/>
  <c r="K627" i="1"/>
  <c r="V627" i="1"/>
  <c r="K623" i="1"/>
  <c r="V623" i="1"/>
  <c r="K619" i="1"/>
  <c r="V619" i="1"/>
  <c r="K615" i="1"/>
  <c r="V615" i="1"/>
  <c r="K611" i="1"/>
  <c r="V611" i="1"/>
  <c r="K607" i="1"/>
  <c r="V607" i="1"/>
  <c r="K603" i="1"/>
  <c r="V603" i="1"/>
  <c r="K599" i="1"/>
  <c r="V599" i="1"/>
  <c r="K595" i="1"/>
  <c r="V595" i="1"/>
  <c r="K591" i="1"/>
  <c r="V591" i="1"/>
  <c r="K587" i="1"/>
  <c r="V587" i="1"/>
  <c r="V583" i="1"/>
  <c r="K583" i="1"/>
  <c r="K579" i="1"/>
  <c r="V579" i="1"/>
  <c r="V575" i="1"/>
  <c r="K575" i="1"/>
  <c r="K571" i="1"/>
  <c r="V571" i="1"/>
  <c r="K567" i="1"/>
  <c r="V567" i="1"/>
  <c r="V563" i="1"/>
  <c r="K563" i="1"/>
  <c r="K559" i="1"/>
  <c r="V559" i="1"/>
  <c r="V555" i="1"/>
  <c r="K555" i="1"/>
  <c r="K551" i="1"/>
  <c r="V551" i="1"/>
  <c r="K547" i="1"/>
  <c r="V547" i="1"/>
  <c r="K543" i="1"/>
  <c r="V543" i="1"/>
  <c r="V539" i="1"/>
  <c r="K539" i="1"/>
  <c r="K535" i="1"/>
  <c r="V535" i="1"/>
  <c r="K531" i="1"/>
  <c r="V531" i="1"/>
  <c r="K527" i="1"/>
  <c r="V527" i="1"/>
  <c r="V523" i="1"/>
  <c r="K523" i="1"/>
  <c r="K519" i="1"/>
  <c r="V519" i="1"/>
  <c r="V515" i="1"/>
  <c r="K515" i="1"/>
  <c r="K511" i="1"/>
  <c r="V511" i="1"/>
  <c r="V507" i="1"/>
  <c r="K507" i="1"/>
  <c r="K503" i="1"/>
  <c r="V503" i="1"/>
  <c r="V499" i="1"/>
  <c r="K499" i="1"/>
  <c r="K495" i="1"/>
  <c r="V495" i="1"/>
  <c r="V491" i="1"/>
  <c r="K491" i="1"/>
  <c r="K487" i="1"/>
  <c r="V487" i="1"/>
  <c r="V483" i="1"/>
  <c r="K483" i="1"/>
  <c r="K479" i="1"/>
  <c r="V479" i="1"/>
  <c r="V475" i="1"/>
  <c r="K475" i="1"/>
  <c r="K471" i="1"/>
  <c r="V471" i="1"/>
  <c r="K467" i="1"/>
  <c r="V467" i="1"/>
  <c r="K463" i="1"/>
  <c r="V463" i="1"/>
  <c r="K459" i="1"/>
  <c r="V459" i="1"/>
  <c r="K455" i="1"/>
  <c r="V455" i="1"/>
  <c r="K451" i="1"/>
  <c r="V451" i="1"/>
  <c r="K447" i="1"/>
  <c r="V447" i="1"/>
  <c r="V443" i="1"/>
  <c r="K443" i="1"/>
  <c r="V439" i="1"/>
  <c r="K439" i="1"/>
  <c r="V435" i="1"/>
  <c r="K435" i="1"/>
  <c r="V431" i="1"/>
  <c r="K431" i="1"/>
  <c r="V427" i="1"/>
  <c r="K427" i="1"/>
  <c r="V423" i="1"/>
  <c r="K423" i="1"/>
  <c r="V419" i="1"/>
  <c r="K419" i="1"/>
  <c r="K415" i="1"/>
  <c r="V415" i="1"/>
  <c r="K411" i="1"/>
  <c r="V411" i="1"/>
  <c r="K407" i="1"/>
  <c r="V407" i="1"/>
  <c r="K403" i="1"/>
  <c r="V403" i="1"/>
  <c r="K399" i="1"/>
  <c r="V399" i="1"/>
  <c r="K395" i="1"/>
  <c r="V395" i="1"/>
  <c r="K391" i="1"/>
  <c r="V391" i="1"/>
  <c r="K387" i="1"/>
  <c r="V387" i="1"/>
  <c r="K383" i="1"/>
  <c r="V383" i="1"/>
  <c r="K379" i="1"/>
  <c r="V379" i="1"/>
  <c r="K375" i="1"/>
  <c r="V375" i="1"/>
  <c r="K371" i="1"/>
  <c r="V371" i="1"/>
  <c r="V367" i="1"/>
  <c r="K367" i="1"/>
  <c r="V363" i="1"/>
  <c r="K363" i="1"/>
  <c r="V359" i="1"/>
  <c r="K359" i="1"/>
  <c r="V355" i="1"/>
  <c r="K355" i="1"/>
  <c r="K351" i="1"/>
  <c r="V351" i="1"/>
  <c r="K347" i="1"/>
  <c r="V347" i="1"/>
  <c r="K343" i="1"/>
  <c r="V343" i="1"/>
  <c r="K339" i="1"/>
  <c r="V339" i="1"/>
  <c r="K335" i="1"/>
  <c r="V335" i="1"/>
  <c r="K331" i="1"/>
  <c r="V331" i="1"/>
  <c r="K327" i="1"/>
  <c r="V327" i="1"/>
  <c r="K323" i="1"/>
  <c r="V323" i="1"/>
  <c r="K319" i="1"/>
  <c r="V319" i="1"/>
  <c r="K315" i="1"/>
  <c r="V315" i="1"/>
  <c r="K311" i="1"/>
  <c r="V311" i="1"/>
  <c r="K307" i="1"/>
  <c r="V307" i="1"/>
  <c r="K303" i="1"/>
  <c r="V303" i="1"/>
  <c r="K299" i="1"/>
  <c r="V299" i="1"/>
  <c r="K295" i="1"/>
  <c r="V295" i="1"/>
  <c r="K291" i="1"/>
  <c r="V291" i="1"/>
  <c r="K287" i="1"/>
  <c r="V287" i="1"/>
  <c r="K283" i="1"/>
  <c r="V283" i="1"/>
  <c r="K279" i="1"/>
  <c r="V279" i="1"/>
  <c r="K275" i="1"/>
  <c r="V275" i="1"/>
  <c r="K271" i="1"/>
  <c r="V271" i="1"/>
  <c r="K267" i="1"/>
  <c r="V267" i="1"/>
  <c r="K263" i="1"/>
  <c r="V263" i="1"/>
  <c r="K259" i="1"/>
  <c r="V259" i="1"/>
  <c r="K255" i="1"/>
  <c r="V255" i="1"/>
  <c r="K251" i="1"/>
  <c r="V251" i="1"/>
  <c r="K247" i="1"/>
  <c r="V247" i="1"/>
  <c r="K243" i="1"/>
  <c r="V243" i="1"/>
  <c r="K239" i="1"/>
  <c r="V239" i="1"/>
  <c r="K235" i="1"/>
  <c r="V235" i="1"/>
  <c r="K231" i="1"/>
  <c r="V231" i="1"/>
  <c r="K227" i="1"/>
  <c r="V227" i="1"/>
  <c r="V223" i="1"/>
  <c r="K223" i="1"/>
  <c r="K219" i="1"/>
  <c r="V219" i="1"/>
  <c r="V215" i="1"/>
  <c r="K215" i="1"/>
  <c r="K211" i="1"/>
  <c r="V211" i="1"/>
  <c r="V207" i="1"/>
  <c r="K207" i="1"/>
  <c r="K203" i="1"/>
  <c r="V203" i="1"/>
  <c r="V199" i="1"/>
  <c r="K199" i="1"/>
  <c r="K195" i="1"/>
  <c r="V195" i="1"/>
  <c r="K191" i="1"/>
  <c r="V191" i="1"/>
  <c r="K187" i="1"/>
  <c r="V187" i="1"/>
  <c r="K183" i="1"/>
  <c r="V183" i="1"/>
  <c r="V179" i="1"/>
  <c r="K179" i="1"/>
  <c r="K175" i="1"/>
  <c r="V175" i="1"/>
  <c r="K171" i="1"/>
  <c r="V171" i="1"/>
  <c r="K167" i="1"/>
  <c r="V167" i="1"/>
  <c r="V163" i="1"/>
  <c r="K163" i="1"/>
  <c r="K159" i="1"/>
  <c r="V159" i="1"/>
  <c r="V155" i="1"/>
  <c r="K155" i="1"/>
  <c r="K151" i="1"/>
  <c r="V151" i="1"/>
  <c r="V147" i="1"/>
  <c r="K147" i="1"/>
  <c r="K143" i="1"/>
  <c r="V143" i="1"/>
  <c r="V139" i="1"/>
  <c r="K139" i="1"/>
  <c r="K135" i="1"/>
  <c r="V135" i="1"/>
  <c r="K131" i="1"/>
  <c r="V131" i="1"/>
  <c r="K127" i="1"/>
  <c r="V127" i="1"/>
  <c r="K123" i="1"/>
  <c r="V123" i="1"/>
  <c r="K119" i="1"/>
  <c r="V119" i="1"/>
  <c r="K115" i="1"/>
  <c r="V115" i="1"/>
  <c r="K111" i="1"/>
  <c r="V111" i="1"/>
  <c r="V107" i="1"/>
  <c r="K107" i="1"/>
  <c r="K62" i="1"/>
  <c r="V62" i="1"/>
  <c r="K22" i="2"/>
  <c r="K24" i="2" s="1"/>
  <c r="K23" i="2"/>
  <c r="R2" i="1" l="1"/>
  <c r="I19" i="2"/>
  <c r="P7" i="1"/>
  <c r="I18" i="2"/>
  <c r="P6" i="1"/>
  <c r="I57" i="2"/>
  <c r="U57" i="2" s="1"/>
  <c r="P16" i="1"/>
  <c r="I75" i="2"/>
  <c r="P10" i="1"/>
  <c r="I38" i="2"/>
  <c r="U38" i="2" s="1"/>
  <c r="P8" i="1"/>
  <c r="J13" i="2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U10" i="2" s="1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P2" i="1" l="1"/>
  <c r="U1" i="2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S9" i="1" l="1"/>
  <c r="T9" i="1" s="1"/>
  <c r="S4" i="1"/>
  <c r="T4" i="1" s="1"/>
  <c r="K9" i="1"/>
  <c r="J16" i="2"/>
  <c r="J17" i="2" s="1"/>
  <c r="H14" i="2"/>
  <c r="K46" i="2"/>
  <c r="K35" i="2"/>
  <c r="K36" i="2" s="1"/>
  <c r="K37" i="2" s="1"/>
  <c r="K38" i="2" s="1"/>
  <c r="K39" i="2" s="1"/>
  <c r="K4" i="1"/>
  <c r="U9" i="1" l="1"/>
  <c r="W9" i="1"/>
  <c r="V4" i="1"/>
  <c r="AC4" i="1" s="1"/>
  <c r="L4" i="1" s="1"/>
  <c r="U4" i="1"/>
  <c r="W4" i="1"/>
  <c r="J18" i="2"/>
  <c r="H17" i="2"/>
  <c r="I17" i="2" s="1"/>
  <c r="V9" i="1"/>
  <c r="AC9" i="1" s="1"/>
  <c r="L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J37" i="2"/>
  <c r="H36" i="2"/>
  <c r="S13" i="1" l="1"/>
  <c r="T13" i="1" s="1"/>
  <c r="H37" i="2"/>
  <c r="J38" i="2"/>
  <c r="K13" i="1"/>
  <c r="H49" i="2"/>
  <c r="J50" i="2"/>
  <c r="U13" i="1" l="1"/>
  <c r="W13" i="1"/>
  <c r="V13" i="1"/>
  <c r="AC13" i="1" s="1"/>
  <c r="L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J55" i="2"/>
  <c r="J44" i="2"/>
  <c r="H42" i="2"/>
  <c r="J67" i="1" s="1"/>
  <c r="S67" i="1" l="1"/>
  <c r="T67" i="1" s="1"/>
  <c r="S11" i="1"/>
  <c r="T11" i="1" s="1"/>
  <c r="K11" i="1"/>
  <c r="K67" i="1"/>
  <c r="J56" i="2"/>
  <c r="H55" i="2"/>
  <c r="J12" i="1" s="1"/>
  <c r="W11" i="1" l="1"/>
  <c r="U67" i="1"/>
  <c r="W67" i="1"/>
  <c r="U11" i="1"/>
  <c r="S12" i="1"/>
  <c r="T12" i="1" s="1"/>
  <c r="V67" i="1"/>
  <c r="K12" i="1"/>
  <c r="H56" i="2"/>
  <c r="J57" i="2"/>
  <c r="V11" i="1"/>
  <c r="AC11" i="1" s="1"/>
  <c r="L11" i="1" s="1"/>
  <c r="W12" i="1" l="1"/>
  <c r="U12" i="1"/>
  <c r="V12" i="1"/>
  <c r="J58" i="2"/>
  <c r="H57" i="2"/>
  <c r="J16" i="1" s="1"/>
  <c r="S16" i="1" l="1"/>
  <c r="T16" i="1" s="1"/>
  <c r="H58" i="2"/>
  <c r="J59" i="2"/>
  <c r="K16" i="1"/>
  <c r="W16" i="1" l="1"/>
  <c r="U16" i="1"/>
  <c r="V16" i="1"/>
  <c r="AC16" i="1" s="1"/>
  <c r="L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S41" i="1" l="1"/>
  <c r="T41" i="1" s="1"/>
  <c r="J96" i="2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K41" i="1"/>
  <c r="H94" i="2"/>
  <c r="J5" i="1" s="1"/>
  <c r="U41" i="1" l="1"/>
  <c r="S5" i="1"/>
  <c r="T5" i="1" s="1"/>
  <c r="W41" i="1"/>
  <c r="J74" i="1"/>
  <c r="J132" i="2"/>
  <c r="J133" i="2"/>
  <c r="H133" i="2" s="1"/>
  <c r="V41" i="1"/>
  <c r="K5" i="1"/>
  <c r="H95" i="2"/>
  <c r="J17" i="1" s="1"/>
  <c r="U5" i="1" l="1"/>
  <c r="W5" i="1"/>
  <c r="S17" i="1"/>
  <c r="T17" i="1" s="1"/>
  <c r="S74" i="1"/>
  <c r="T74" i="1" s="1"/>
  <c r="K74" i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96" i="2"/>
  <c r="K17" i="1"/>
  <c r="V5" i="1"/>
  <c r="AC5" i="1" s="1"/>
  <c r="L5" i="1" s="1"/>
  <c r="W74" i="1" l="1"/>
  <c r="U17" i="1"/>
  <c r="W17" i="1"/>
  <c r="U74" i="1"/>
  <c r="V74" i="1"/>
  <c r="AC74" i="1" s="1"/>
  <c r="L74" i="1" s="1"/>
  <c r="J153" i="2"/>
  <c r="J154" i="2" s="1"/>
  <c r="H152" i="2"/>
  <c r="V17" i="1"/>
  <c r="H132" i="2" l="1"/>
  <c r="J18" i="1" l="1"/>
  <c r="S18" i="1" s="1"/>
  <c r="T18" i="1" s="1"/>
  <c r="U18" i="1" l="1"/>
  <c r="K18" i="1"/>
  <c r="H68" i="2"/>
  <c r="W18" i="1" l="1"/>
  <c r="V18" i="1"/>
  <c r="AC18" i="1" s="1"/>
  <c r="L18" i="1" s="1"/>
  <c r="H69" i="2"/>
  <c r="J20" i="1" s="1"/>
  <c r="S20" i="1" l="1"/>
  <c r="T20" i="1" s="1"/>
  <c r="K20" i="1"/>
  <c r="W20" i="1" l="1"/>
  <c r="U20" i="1"/>
  <c r="V20" i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S19" i="1" l="1"/>
  <c r="T19" i="1" s="1"/>
  <c r="K19" i="1"/>
  <c r="H87" i="2"/>
  <c r="J24" i="1" s="1"/>
  <c r="W19" i="1" l="1"/>
  <c r="S24" i="1"/>
  <c r="T24" i="1" s="1"/>
  <c r="U19" i="1"/>
  <c r="K24" i="1"/>
  <c r="H88" i="2"/>
  <c r="V19" i="1"/>
  <c r="AC19" i="1" s="1"/>
  <c r="L19" i="1" s="1"/>
  <c r="W24" i="1" l="1"/>
  <c r="U24" i="1"/>
  <c r="H89" i="2"/>
  <c r="J36" i="1" s="1"/>
  <c r="V24" i="1"/>
  <c r="S36" i="1" l="1"/>
  <c r="T36" i="1" s="1"/>
  <c r="K36" i="1"/>
  <c r="H90" i="2"/>
  <c r="U36" i="1" l="1"/>
  <c r="W36" i="1"/>
  <c r="V36" i="1"/>
  <c r="AC36" i="1" s="1"/>
  <c r="L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S70" i="1" l="1"/>
  <c r="T70" i="1" s="1"/>
  <c r="H127" i="2"/>
  <c r="K70" i="1"/>
  <c r="U70" i="1" l="1"/>
  <c r="W70" i="1"/>
  <c r="V70" i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S48" i="1" l="1"/>
  <c r="T48" i="1" s="1"/>
  <c r="K48" i="1"/>
  <c r="H153" i="2"/>
  <c r="U48" i="1" l="1"/>
  <c r="W48" i="1"/>
  <c r="V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S32" i="1" l="1"/>
  <c r="T32" i="1" s="1"/>
  <c r="K32" i="1"/>
  <c r="J162" i="2"/>
  <c r="H161" i="2"/>
  <c r="J33" i="1" s="1"/>
  <c r="U32" i="1" l="1"/>
  <c r="W32" i="1"/>
  <c r="S33" i="1"/>
  <c r="T33" i="1" s="1"/>
  <c r="K33" i="1"/>
  <c r="V32" i="1"/>
  <c r="AC32" i="1" s="1"/>
  <c r="L32" i="1" s="1"/>
  <c r="H162" i="2"/>
  <c r="J34" i="1" s="1"/>
  <c r="J163" i="2"/>
  <c r="U33" i="1" l="1"/>
  <c r="S34" i="1"/>
  <c r="T34" i="1" s="1"/>
  <c r="W33" i="1"/>
  <c r="K34" i="1"/>
  <c r="V33" i="1"/>
  <c r="AC33" i="1" s="1"/>
  <c r="L33" i="1" s="1"/>
  <c r="H163" i="2"/>
  <c r="J164" i="2"/>
  <c r="U34" i="1" l="1"/>
  <c r="W34" i="1"/>
  <c r="V34" i="1"/>
  <c r="AC34" i="1" s="1"/>
  <c r="L34" i="1" s="1"/>
  <c r="J165" i="2"/>
  <c r="H164" i="2"/>
  <c r="J35" i="1" s="1"/>
  <c r="S35" i="1" l="1"/>
  <c r="T35" i="1" s="1"/>
  <c r="K35" i="1"/>
  <c r="H165" i="2"/>
  <c r="J37" i="1" s="1"/>
  <c r="J166" i="2"/>
  <c r="U35" i="1" l="1"/>
  <c r="W35" i="1"/>
  <c r="S37" i="1"/>
  <c r="T37" i="1" s="1"/>
  <c r="K37" i="1"/>
  <c r="V35" i="1"/>
  <c r="AC35" i="1" s="1"/>
  <c r="L35" i="1" s="1"/>
  <c r="J167" i="2"/>
  <c r="H166" i="2"/>
  <c r="J38" i="1" s="1"/>
  <c r="U37" i="1" l="1"/>
  <c r="W37" i="1"/>
  <c r="S38" i="1"/>
  <c r="T38" i="1" s="1"/>
  <c r="K38" i="1"/>
  <c r="V37" i="1"/>
  <c r="AC37" i="1" s="1"/>
  <c r="L37" i="1" s="1"/>
  <c r="H167" i="2"/>
  <c r="J168" i="2"/>
  <c r="U38" i="1" l="1"/>
  <c r="W38" i="1"/>
  <c r="V38" i="1"/>
  <c r="AC38" i="1" s="1"/>
  <c r="L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J183" i="2"/>
  <c r="S21" i="1" l="1"/>
  <c r="T21" i="1" s="1"/>
  <c r="J184" i="2"/>
  <c r="H183" i="2"/>
  <c r="J22" i="1" s="1"/>
  <c r="K21" i="1"/>
  <c r="U21" i="1" l="1"/>
  <c r="W21" i="1"/>
  <c r="S22" i="1"/>
  <c r="T22" i="1" s="1"/>
  <c r="V21" i="1"/>
  <c r="AC21" i="1" s="1"/>
  <c r="L21" i="1" s="1"/>
  <c r="K22" i="1"/>
  <c r="H184" i="2"/>
  <c r="J185" i="2"/>
  <c r="U22" i="1" l="1"/>
  <c r="W22" i="1"/>
  <c r="V22" i="1"/>
  <c r="AC22" i="1" s="1"/>
  <c r="L22" i="1" s="1"/>
  <c r="H185" i="2"/>
  <c r="J186" i="2"/>
  <c r="J187" i="2" l="1"/>
  <c r="H186" i="2"/>
  <c r="J23" i="1" s="1"/>
  <c r="S23" i="1" l="1"/>
  <c r="T23" i="1" s="1"/>
  <c r="K23" i="1"/>
  <c r="H187" i="2"/>
  <c r="J63" i="1" s="1"/>
  <c r="J188" i="2"/>
  <c r="U23" i="1" l="1"/>
  <c r="W23" i="1"/>
  <c r="S63" i="1"/>
  <c r="T63" i="1" s="1"/>
  <c r="H188" i="2"/>
  <c r="J189" i="2"/>
  <c r="K63" i="1"/>
  <c r="V23" i="1"/>
  <c r="AC23" i="1" s="1"/>
  <c r="L23" i="1" s="1"/>
  <c r="U63" i="1" l="1"/>
  <c r="W63" i="1"/>
  <c r="J64" i="1"/>
  <c r="V63" i="1"/>
  <c r="AC63" i="1" s="1"/>
  <c r="L63" i="1" s="1"/>
  <c r="H189" i="2"/>
  <c r="J29" i="1" s="1"/>
  <c r="J190" i="2"/>
  <c r="J31" i="1"/>
  <c r="S31" i="1" l="1"/>
  <c r="T31" i="1" s="1"/>
  <c r="S29" i="1"/>
  <c r="T29" i="1" s="1"/>
  <c r="S64" i="1"/>
  <c r="T64" i="1" s="1"/>
  <c r="K64" i="1"/>
  <c r="H190" i="2"/>
  <c r="J191" i="2"/>
  <c r="J192" i="2" s="1"/>
  <c r="K29" i="1"/>
  <c r="K31" i="1"/>
  <c r="U29" i="1" l="1"/>
  <c r="U64" i="1"/>
  <c r="W64" i="1"/>
  <c r="U31" i="1"/>
  <c r="W31" i="1"/>
  <c r="W29" i="1"/>
  <c r="V64" i="1"/>
  <c r="AC64" i="1" s="1"/>
  <c r="L64" i="1" s="1"/>
  <c r="H192" i="2"/>
  <c r="J71" i="1" s="1"/>
  <c r="J193" i="2"/>
  <c r="V29" i="1"/>
  <c r="AC29" i="1" s="1"/>
  <c r="L29" i="1" s="1"/>
  <c r="H191" i="2"/>
  <c r="J30" i="1" s="1"/>
  <c r="V31" i="1"/>
  <c r="S30" i="1" l="1"/>
  <c r="T30" i="1" s="1"/>
  <c r="S71" i="1"/>
  <c r="T71" i="1" s="1"/>
  <c r="K71" i="1"/>
  <c r="H193" i="2"/>
  <c r="J194" i="2"/>
  <c r="K30" i="1"/>
  <c r="W71" i="1" l="1"/>
  <c r="U30" i="1"/>
  <c r="U71" i="1"/>
  <c r="W30" i="1"/>
  <c r="J28" i="1"/>
  <c r="S28" i="1" s="1"/>
  <c r="T28" i="1" s="1"/>
  <c r="J65" i="1"/>
  <c r="V71" i="1"/>
  <c r="H194" i="2"/>
  <c r="J195" i="2"/>
  <c r="V30" i="1"/>
  <c r="AC30" i="1" s="1"/>
  <c r="L30" i="1" s="1"/>
  <c r="S65" i="1" l="1"/>
  <c r="T65" i="1" s="1"/>
  <c r="K28" i="1"/>
  <c r="U28" i="1"/>
  <c r="J39" i="1"/>
  <c r="J66" i="1"/>
  <c r="K65" i="1"/>
  <c r="H195" i="2"/>
  <c r="J196" i="2"/>
  <c r="S39" i="1" l="1"/>
  <c r="T39" i="1" s="1"/>
  <c r="U65" i="1"/>
  <c r="W65" i="1"/>
  <c r="S66" i="1"/>
  <c r="T66" i="1" s="1"/>
  <c r="W28" i="1"/>
  <c r="V28" i="1"/>
  <c r="AC28" i="1" s="1"/>
  <c r="L28" i="1" s="1"/>
  <c r="U39" i="1"/>
  <c r="V65" i="1"/>
  <c r="AC65" i="1" s="1"/>
  <c r="L65" i="1" s="1"/>
  <c r="K66" i="1"/>
  <c r="K39" i="1"/>
  <c r="H196" i="2"/>
  <c r="J43" i="1" s="1"/>
  <c r="J197" i="2"/>
  <c r="U66" i="1" l="1"/>
  <c r="W66" i="1"/>
  <c r="S43" i="1"/>
  <c r="T43" i="1" s="1"/>
  <c r="W39" i="1"/>
  <c r="V39" i="1"/>
  <c r="AC39" i="1" s="1"/>
  <c r="L39" i="1" s="1"/>
  <c r="V66" i="1"/>
  <c r="AC66" i="1" s="1"/>
  <c r="L66" i="1" s="1"/>
  <c r="K43" i="1"/>
  <c r="H197" i="2"/>
  <c r="J44" i="1" s="1"/>
  <c r="J198" i="2"/>
  <c r="U43" i="1" l="1"/>
  <c r="S44" i="1"/>
  <c r="T44" i="1" s="1"/>
  <c r="W43" i="1"/>
  <c r="J199" i="2"/>
  <c r="K44" i="1"/>
  <c r="V43" i="1"/>
  <c r="AC43" i="1" s="1"/>
  <c r="L43" i="1" s="1"/>
  <c r="U44" i="1" l="1"/>
  <c r="W44" i="1"/>
  <c r="V44" i="1"/>
  <c r="AC44" i="1" s="1"/>
  <c r="L44" i="1" s="1"/>
  <c r="H199" i="2"/>
  <c r="I199" i="2" s="1"/>
  <c r="J200" i="2"/>
  <c r="J201" i="2" l="1"/>
  <c r="H200" i="2"/>
  <c r="J40" i="1" s="1"/>
  <c r="S40" i="1" l="1"/>
  <c r="T40" i="1" s="1"/>
  <c r="K40" i="1"/>
  <c r="H201" i="2"/>
  <c r="J73" i="1" s="1"/>
  <c r="J202" i="2"/>
  <c r="U40" i="1" l="1"/>
  <c r="W40" i="1"/>
  <c r="S73" i="1"/>
  <c r="T73" i="1" s="1"/>
  <c r="K73" i="1"/>
  <c r="J203" i="2"/>
  <c r="H202" i="2"/>
  <c r="V40" i="1"/>
  <c r="W73" i="1" l="1"/>
  <c r="U73" i="1"/>
  <c r="V73" i="1"/>
  <c r="H203" i="2"/>
  <c r="J204" i="2"/>
  <c r="H204" i="2" l="1"/>
  <c r="J52" i="1" s="1"/>
  <c r="J205" i="2"/>
  <c r="S52" i="1" l="1"/>
  <c r="T52" i="1" s="1"/>
  <c r="H205" i="2"/>
  <c r="J53" i="1" s="1"/>
  <c r="J206" i="2"/>
  <c r="K52" i="1"/>
  <c r="U52" i="1" l="1"/>
  <c r="W52" i="1"/>
  <c r="S53" i="1"/>
  <c r="T53" i="1" s="1"/>
  <c r="V52" i="1"/>
  <c r="J207" i="2"/>
  <c r="H206" i="2"/>
  <c r="J54" i="1" s="1"/>
  <c r="K53" i="1"/>
  <c r="U53" i="1" l="1"/>
  <c r="W53" i="1"/>
  <c r="S54" i="1"/>
  <c r="T54" i="1" s="1"/>
  <c r="K54" i="1"/>
  <c r="J208" i="2"/>
  <c r="V53" i="1"/>
  <c r="U54" i="1" l="1"/>
  <c r="W54" i="1"/>
  <c r="H208" i="2"/>
  <c r="I208" i="2" s="1"/>
  <c r="J209" i="2"/>
  <c r="V54" i="1"/>
  <c r="J210" i="2" l="1"/>
  <c r="H209" i="2"/>
  <c r="J55" i="1" s="1"/>
  <c r="S55" i="1" s="1"/>
  <c r="T55" i="1" l="1"/>
  <c r="K55" i="1"/>
  <c r="H210" i="2"/>
  <c r="J56" i="1" s="1"/>
  <c r="J211" i="2"/>
  <c r="U55" i="1" l="1"/>
  <c r="W55" i="1"/>
  <c r="S56" i="1"/>
  <c r="T56" i="1" s="1"/>
  <c r="H211" i="2"/>
  <c r="J57" i="1" s="1"/>
  <c r="S57" i="1" s="1"/>
  <c r="J212" i="2"/>
  <c r="K56" i="1"/>
  <c r="V55" i="1"/>
  <c r="J10" i="1"/>
  <c r="J25" i="1"/>
  <c r="J6" i="1"/>
  <c r="J8" i="1"/>
  <c r="J14" i="1"/>
  <c r="J15" i="1"/>
  <c r="J27" i="1"/>
  <c r="U56" i="1" l="1"/>
  <c r="W56" i="1"/>
  <c r="S14" i="1"/>
  <c r="T14" i="1" s="1"/>
  <c r="S8" i="1"/>
  <c r="T8" i="1" s="1"/>
  <c r="S27" i="1"/>
  <c r="T27" i="1" s="1"/>
  <c r="S6" i="1"/>
  <c r="T6" i="1" s="1"/>
  <c r="S15" i="1"/>
  <c r="T15" i="1" s="1"/>
  <c r="S25" i="1"/>
  <c r="T25" i="1" s="1"/>
  <c r="S10" i="1"/>
  <c r="T10" i="1" s="1"/>
  <c r="T57" i="1"/>
  <c r="V56" i="1"/>
  <c r="J213" i="2"/>
  <c r="K57" i="1"/>
  <c r="K8" i="1"/>
  <c r="K27" i="1"/>
  <c r="K6" i="1"/>
  <c r="K15" i="1"/>
  <c r="K25" i="1"/>
  <c r="K14" i="1"/>
  <c r="K10" i="1"/>
  <c r="U57" i="1" l="1"/>
  <c r="U6" i="1"/>
  <c r="W6" i="1"/>
  <c r="U14" i="1"/>
  <c r="W14" i="1"/>
  <c r="U27" i="1"/>
  <c r="W8" i="1"/>
  <c r="U25" i="1"/>
  <c r="U15" i="1"/>
  <c r="W15" i="1"/>
  <c r="U10" i="1"/>
  <c r="W10" i="1"/>
  <c r="W27" i="1"/>
  <c r="W25" i="1"/>
  <c r="W57" i="1"/>
  <c r="U8" i="1"/>
  <c r="J214" i="2"/>
  <c r="V57" i="1"/>
  <c r="AC57" i="1" s="1"/>
  <c r="L57" i="1" s="1"/>
  <c r="V14" i="1"/>
  <c r="AC14" i="1" s="1"/>
  <c r="L14" i="1" s="1"/>
  <c r="V15" i="1"/>
  <c r="AC15" i="1" s="1"/>
  <c r="L15" i="1" s="1"/>
  <c r="V27" i="1"/>
  <c r="V10" i="1"/>
  <c r="V25" i="1"/>
  <c r="AC25" i="1" s="1"/>
  <c r="L25" i="1" s="1"/>
  <c r="V6" i="1"/>
  <c r="V8" i="1"/>
  <c r="AC8" i="1" s="1"/>
  <c r="L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J222" i="2"/>
  <c r="S42" i="1" l="1"/>
  <c r="T42" i="1" s="1"/>
  <c r="H222" i="2"/>
  <c r="J223" i="2"/>
  <c r="K42" i="1"/>
  <c r="U42" i="1" l="1"/>
  <c r="W42" i="1"/>
  <c r="V42" i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J230" i="2"/>
  <c r="S45" i="1" l="1"/>
  <c r="T45" i="1" s="1"/>
  <c r="J231" i="2"/>
  <c r="H230" i="2"/>
  <c r="J46" i="1" s="1"/>
  <c r="K45" i="1"/>
  <c r="U45" i="1" l="1"/>
  <c r="S46" i="1"/>
  <c r="T46" i="1" s="1"/>
  <c r="W45" i="1"/>
  <c r="V45" i="1"/>
  <c r="K46" i="1"/>
  <c r="J232" i="2"/>
  <c r="H231" i="2"/>
  <c r="U46" i="1" l="1"/>
  <c r="W46" i="1"/>
  <c r="V46" i="1"/>
  <c r="H232" i="2"/>
  <c r="J47" i="1" s="1"/>
  <c r="J233" i="2"/>
  <c r="S47" i="1" l="1"/>
  <c r="T47" i="1" s="1"/>
  <c r="J234" i="2"/>
  <c r="H233" i="2"/>
  <c r="J49" i="1" s="1"/>
  <c r="K47" i="1"/>
  <c r="U47" i="1" l="1"/>
  <c r="W47" i="1"/>
  <c r="S49" i="1"/>
  <c r="T49" i="1" s="1"/>
  <c r="V47" i="1"/>
  <c r="K49" i="1"/>
  <c r="H234" i="2"/>
  <c r="J235" i="2"/>
  <c r="U49" i="1" l="1"/>
  <c r="W49" i="1"/>
  <c r="V49" i="1"/>
  <c r="J236" i="2"/>
  <c r="H235" i="2"/>
  <c r="J51" i="1"/>
  <c r="S51" i="1" l="1"/>
  <c r="T51" i="1" s="1"/>
  <c r="H236" i="2"/>
  <c r="J50" i="1" s="1"/>
  <c r="J237" i="2"/>
  <c r="K51" i="1"/>
  <c r="U51" i="1" l="1"/>
  <c r="W51" i="1"/>
  <c r="S50" i="1"/>
  <c r="T50" i="1" s="1"/>
  <c r="V51" i="1"/>
  <c r="H237" i="2"/>
  <c r="J238" i="2"/>
  <c r="K50" i="1"/>
  <c r="U50" i="1" l="1"/>
  <c r="W50" i="1"/>
  <c r="H238" i="2"/>
  <c r="I238" i="2" s="1"/>
  <c r="I4" i="2" s="1"/>
  <c r="J239" i="2"/>
  <c r="V50" i="1"/>
  <c r="J240" i="2" l="1"/>
  <c r="H239" i="2"/>
  <c r="J58" i="1" s="1"/>
  <c r="S58" i="1" l="1"/>
  <c r="T58" i="1" s="1"/>
  <c r="K58" i="1"/>
  <c r="H240" i="2"/>
  <c r="J59" i="1" s="1"/>
  <c r="S59" i="1" s="1"/>
  <c r="J241" i="2"/>
  <c r="U58" i="1" l="1"/>
  <c r="W58" i="1"/>
  <c r="T59" i="1"/>
  <c r="J242" i="2"/>
  <c r="J243" i="2" s="1"/>
  <c r="H241" i="2"/>
  <c r="J60" i="1" s="1"/>
  <c r="K59" i="1"/>
  <c r="V58" i="1"/>
  <c r="U59" i="1" l="1"/>
  <c r="W59" i="1"/>
  <c r="S60" i="1"/>
  <c r="T60" i="1" s="1"/>
  <c r="K60" i="1"/>
  <c r="J244" i="2"/>
  <c r="H243" i="2"/>
  <c r="J75" i="1" s="1"/>
  <c r="V59" i="1"/>
  <c r="AC59" i="1" s="1"/>
  <c r="L59" i="1" s="1"/>
  <c r="H242" i="2"/>
  <c r="J61" i="1" s="1"/>
  <c r="U60" i="1" l="1"/>
  <c r="W60" i="1"/>
  <c r="S75" i="1"/>
  <c r="T75" i="1" s="1"/>
  <c r="S61" i="1"/>
  <c r="T61" i="1" s="1"/>
  <c r="K75" i="1"/>
  <c r="J245" i="2"/>
  <c r="H244" i="2"/>
  <c r="J76" i="1" s="1"/>
  <c r="V60" i="1"/>
  <c r="AC60" i="1" s="1"/>
  <c r="L60" i="1" s="1"/>
  <c r="K61" i="1"/>
  <c r="W75" i="1" l="1"/>
  <c r="W61" i="1"/>
  <c r="U61" i="1"/>
  <c r="S76" i="1"/>
  <c r="T76" i="1" s="1"/>
  <c r="U75" i="1"/>
  <c r="K76" i="1"/>
  <c r="J246" i="2"/>
  <c r="H245" i="2"/>
  <c r="J77" i="1" s="1"/>
  <c r="V75" i="1"/>
  <c r="V61" i="1"/>
  <c r="U76" i="1" l="1"/>
  <c r="W76" i="1"/>
  <c r="S77" i="1"/>
  <c r="T77" i="1" s="1"/>
  <c r="K77" i="1"/>
  <c r="V76" i="1"/>
  <c r="H246" i="2"/>
  <c r="J78" i="1" s="1"/>
  <c r="J247" i="2"/>
  <c r="J26" i="1"/>
  <c r="J68" i="1"/>
  <c r="J69" i="1"/>
  <c r="U77" i="1" l="1"/>
  <c r="W77" i="1"/>
  <c r="S26" i="1"/>
  <c r="S69" i="1"/>
  <c r="T69" i="1" s="1"/>
  <c r="S78" i="1"/>
  <c r="T78" i="1" s="1"/>
  <c r="S68" i="1"/>
  <c r="T68" i="1" s="1"/>
  <c r="K78" i="1"/>
  <c r="V77" i="1"/>
  <c r="J248" i="2"/>
  <c r="H247" i="2"/>
  <c r="J79" i="1" s="1"/>
  <c r="K26" i="1"/>
  <c r="K69" i="1"/>
  <c r="K68" i="1"/>
  <c r="V26" i="1" l="1"/>
  <c r="AC26" i="1" s="1"/>
  <c r="L26" i="1" s="1"/>
  <c r="T26" i="1"/>
  <c r="W68" i="1"/>
  <c r="U78" i="1"/>
  <c r="W78" i="1"/>
  <c r="U26" i="1"/>
  <c r="W26" i="1"/>
  <c r="U69" i="1"/>
  <c r="W69" i="1"/>
  <c r="U68" i="1"/>
  <c r="S79" i="1"/>
  <c r="T79" i="1" s="1"/>
  <c r="K79" i="1"/>
  <c r="V78" i="1"/>
  <c r="J249" i="2"/>
  <c r="H248" i="2"/>
  <c r="J80" i="1" s="1"/>
  <c r="V68" i="1"/>
  <c r="V69" i="1"/>
  <c r="W79" i="1" l="1"/>
  <c r="U79" i="1"/>
  <c r="S80" i="1"/>
  <c r="T80" i="1" s="1"/>
  <c r="K80" i="1"/>
  <c r="V79" i="1"/>
  <c r="J250" i="2"/>
  <c r="H249" i="2"/>
  <c r="J81" i="1" s="1"/>
  <c r="J7" i="1"/>
  <c r="U80" i="1" l="1"/>
  <c r="W80" i="1"/>
  <c r="S81" i="1"/>
  <c r="T81" i="1" s="1"/>
  <c r="S7" i="1"/>
  <c r="T7" i="1" s="1"/>
  <c r="K81" i="1"/>
  <c r="V80" i="1"/>
  <c r="J251" i="2"/>
  <c r="H250" i="2"/>
  <c r="J82" i="1" s="1"/>
  <c r="K7" i="1"/>
  <c r="U81" i="1" l="1"/>
  <c r="W81" i="1"/>
  <c r="W7" i="1"/>
  <c r="U7" i="1"/>
  <c r="S82" i="1"/>
  <c r="T82" i="1" s="1"/>
  <c r="K82" i="1"/>
  <c r="V81" i="1"/>
  <c r="J252" i="2"/>
  <c r="H251" i="2"/>
  <c r="J83" i="1" s="1"/>
  <c r="V7" i="1"/>
  <c r="U82" i="1" l="1"/>
  <c r="S83" i="1"/>
  <c r="T83" i="1" s="1"/>
  <c r="W82" i="1"/>
  <c r="K83" i="1"/>
  <c r="V82" i="1"/>
  <c r="J253" i="2"/>
  <c r="H252" i="2"/>
  <c r="J84" i="1" s="1"/>
  <c r="U83" i="1" l="1"/>
  <c r="S84" i="1"/>
  <c r="T84" i="1" s="1"/>
  <c r="W83" i="1"/>
  <c r="K84" i="1"/>
  <c r="V83" i="1"/>
  <c r="J254" i="2"/>
  <c r="H253" i="2"/>
  <c r="J85" i="1" s="1"/>
  <c r="U84" i="1" l="1"/>
  <c r="S85" i="1"/>
  <c r="T85" i="1" s="1"/>
  <c r="W84" i="1"/>
  <c r="V84" i="1"/>
  <c r="K85" i="1"/>
  <c r="J255" i="2"/>
  <c r="H254" i="2"/>
  <c r="J86" i="1" s="1"/>
  <c r="U85" i="1" l="1"/>
  <c r="W85" i="1"/>
  <c r="S86" i="1"/>
  <c r="T86" i="1" s="1"/>
  <c r="K86" i="1"/>
  <c r="V85" i="1"/>
  <c r="J256" i="2"/>
  <c r="H255" i="2"/>
  <c r="J87" i="1" s="1"/>
  <c r="U86" i="1" l="1"/>
  <c r="W86" i="1"/>
  <c r="S87" i="1"/>
  <c r="T87" i="1" s="1"/>
  <c r="K87" i="1"/>
  <c r="V86" i="1"/>
  <c r="AC86" i="1" s="1"/>
  <c r="L86" i="1" s="1"/>
  <c r="J257" i="2"/>
  <c r="H256" i="2"/>
  <c r="J88" i="1" s="1"/>
  <c r="U87" i="1" l="1"/>
  <c r="W87" i="1"/>
  <c r="S88" i="1"/>
  <c r="T88" i="1" s="1"/>
  <c r="K88" i="1"/>
  <c r="V87" i="1"/>
  <c r="AC87" i="1" s="1"/>
  <c r="L87" i="1" s="1"/>
  <c r="J258" i="2"/>
  <c r="H257" i="2"/>
  <c r="J89" i="1" s="1"/>
  <c r="U88" i="1" l="1"/>
  <c r="W88" i="1"/>
  <c r="S89" i="1"/>
  <c r="T89" i="1" s="1"/>
  <c r="K89" i="1"/>
  <c r="V88" i="1"/>
  <c r="AC88" i="1" s="1"/>
  <c r="L88" i="1" s="1"/>
  <c r="J259" i="2"/>
  <c r="H258" i="2"/>
  <c r="J90" i="1" s="1"/>
  <c r="U89" i="1" l="1"/>
  <c r="W89" i="1"/>
  <c r="S90" i="1"/>
  <c r="T90" i="1" s="1"/>
  <c r="K90" i="1"/>
  <c r="V89" i="1"/>
  <c r="AC89" i="1" s="1"/>
  <c r="L89" i="1" s="1"/>
  <c r="J260" i="2"/>
  <c r="H259" i="2"/>
  <c r="J91" i="1" s="1"/>
  <c r="U90" i="1" l="1"/>
  <c r="W90" i="1"/>
  <c r="S91" i="1"/>
  <c r="T91" i="1" s="1"/>
  <c r="V90" i="1"/>
  <c r="AC90" i="1" s="1"/>
  <c r="L90" i="1" s="1"/>
  <c r="K91" i="1"/>
  <c r="J261" i="2"/>
  <c r="H260" i="2"/>
  <c r="J92" i="1" s="1"/>
  <c r="U91" i="1" l="1"/>
  <c r="W91" i="1"/>
  <c r="S92" i="1"/>
  <c r="T92" i="1" s="1"/>
  <c r="V91" i="1"/>
  <c r="AC91" i="1" s="1"/>
  <c r="L91" i="1" s="1"/>
  <c r="K92" i="1"/>
  <c r="J262" i="2"/>
  <c r="H261" i="2"/>
  <c r="J93" i="1" s="1"/>
  <c r="U92" i="1" l="1"/>
  <c r="W92" i="1"/>
  <c r="S93" i="1"/>
  <c r="T93" i="1" s="1"/>
  <c r="V92" i="1"/>
  <c r="AC92" i="1" s="1"/>
  <c r="L92" i="1" s="1"/>
  <c r="K93" i="1"/>
  <c r="J263" i="2"/>
  <c r="H262" i="2"/>
  <c r="J94" i="1" s="1"/>
  <c r="U93" i="1" l="1"/>
  <c r="W93" i="1"/>
  <c r="S94" i="1"/>
  <c r="T94" i="1" s="1"/>
  <c r="V93" i="1"/>
  <c r="AC93" i="1" s="1"/>
  <c r="L93" i="1" s="1"/>
  <c r="K94" i="1"/>
  <c r="J264" i="2"/>
  <c r="H263" i="2"/>
  <c r="J95" i="1" s="1"/>
  <c r="U94" i="1" l="1"/>
  <c r="W94" i="1"/>
  <c r="S95" i="1"/>
  <c r="T95" i="1" s="1"/>
  <c r="V94" i="1"/>
  <c r="AC94" i="1" s="1"/>
  <c r="L94" i="1" s="1"/>
  <c r="K95" i="1"/>
  <c r="J265" i="2"/>
  <c r="H264" i="2"/>
  <c r="J96" i="1" s="1"/>
  <c r="U95" i="1" l="1"/>
  <c r="W95" i="1"/>
  <c r="S96" i="1"/>
  <c r="T96" i="1" s="1"/>
  <c r="V95" i="1"/>
  <c r="AC95" i="1" s="1"/>
  <c r="L95" i="1" s="1"/>
  <c r="K96" i="1"/>
  <c r="J266" i="2"/>
  <c r="H265" i="2"/>
  <c r="J97" i="1" s="1"/>
  <c r="U96" i="1" l="1"/>
  <c r="W96" i="1"/>
  <c r="S97" i="1"/>
  <c r="T97" i="1" s="1"/>
  <c r="V96" i="1"/>
  <c r="AC96" i="1" s="1"/>
  <c r="K97" i="1"/>
  <c r="J267" i="2"/>
  <c r="H266" i="2"/>
  <c r="J98" i="1" s="1"/>
  <c r="U97" i="1" l="1"/>
  <c r="W97" i="1"/>
  <c r="S98" i="1"/>
  <c r="T98" i="1" s="1"/>
  <c r="AC2" i="1"/>
  <c r="L96" i="1"/>
  <c r="V97" i="1"/>
  <c r="K98" i="1"/>
  <c r="J268" i="2"/>
  <c r="H267" i="2"/>
  <c r="J99" i="1" s="1"/>
  <c r="U98" i="1" l="1"/>
  <c r="W98" i="1"/>
  <c r="S99" i="1"/>
  <c r="T99" i="1" s="1"/>
  <c r="V98" i="1"/>
  <c r="K99" i="1"/>
  <c r="J269" i="2"/>
  <c r="H268" i="2"/>
  <c r="J100" i="1" s="1"/>
  <c r="U99" i="1" l="1"/>
  <c r="W99" i="1"/>
  <c r="S100" i="1"/>
  <c r="T100" i="1" s="1"/>
  <c r="V99" i="1"/>
  <c r="K100" i="1"/>
  <c r="J270" i="2"/>
  <c r="H269" i="2"/>
  <c r="J101" i="1" s="1"/>
  <c r="W100" i="1" l="1"/>
  <c r="S101" i="1"/>
  <c r="T101" i="1" s="1"/>
  <c r="U100" i="1"/>
  <c r="V100" i="1"/>
  <c r="K101" i="1"/>
  <c r="J271" i="2"/>
  <c r="H270" i="2"/>
  <c r="U101" i="1" l="1"/>
  <c r="W101" i="1"/>
  <c r="S102" i="1"/>
  <c r="T102" i="1" s="1"/>
  <c r="V101" i="1"/>
  <c r="K102" i="1"/>
  <c r="J272" i="2"/>
  <c r="H271" i="2"/>
  <c r="U102" i="1" l="1"/>
  <c r="S103" i="1"/>
  <c r="T103" i="1" s="1"/>
  <c r="W102" i="1"/>
  <c r="V102" i="1"/>
  <c r="K103" i="1"/>
  <c r="K2" i="1" s="1"/>
  <c r="B2" i="12" s="1"/>
  <c r="J273" i="2"/>
  <c r="H272" i="2"/>
  <c r="U103" i="1" l="1"/>
  <c r="U2" i="1" s="1"/>
  <c r="W103" i="1"/>
  <c r="W2" i="1" s="1"/>
  <c r="C2" i="12" s="1"/>
  <c r="V103" i="1"/>
  <c r="V2" i="1" s="1"/>
  <c r="J274" i="2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<sst xmlns="http://schemas.openxmlformats.org/spreadsheetml/2006/main" count="1855" uniqueCount="1107">
  <si>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</si>
  <si>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</si>
  <si>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</si>
  <si>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</si>
  <si>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</si>
  <si>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</si>
  <si>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</si>
  <si>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</si>
  <si>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</si>
  <si>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</si>
  <si>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</si>
  <si>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</si>
  <si>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</si>
  <si>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</si>
  <si>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</si>
  <si>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</si>
  <si>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</si>
  <si>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</si>
  <si>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</si>
  <si>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</si>
  <si>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</si>
  <si>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</si>
  <si>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</si>
  <si>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</si>
  <si>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</si>
  <si>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</si>
  <si>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</si>
  <si>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</si>
  <si>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</si>
  <si>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</si>
  <si>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</si>
  <si>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</si>
  <si>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</si>
  <si>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</si>
  <si>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</si>
  <si>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</si>
  <si>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</si>
  <si>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</si>
  <si>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</si>
  <si>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</si>
  <si>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</si>
  <si>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</si>
  <si>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</si>
  <si>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</si>
  <si>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</si>
  <si>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</si>
  <si>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</si>
  <si>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</si>
  <si>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</si>
  <si>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</si>
  <si>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</si>
  <si>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</si>
  <si>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</si>
  <si>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</si>
  <si>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</si>
  <si>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</si>
  <si>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</si>
  <si>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</si>
  <si>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</si>
  <si>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</si>
  <si>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</si>
  <si>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</si>
  <si>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</si>
  <si>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</si>
  <si>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</si>
  <si>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</si>
  <si>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</si>
  <si>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</si>
  <si>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</si>
  <si>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</si>
  <si>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</si>
  <si>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</si>
  <si>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</si>
  <si>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</si>
  <si>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</si>
  <si>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</si>
  <si>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</si>
  <si>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</si>
  <si>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</si>
  <si>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</si>
  <si>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</si>
  <si>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</si>
  <si>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</si>
  <si>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</si>
  <si>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</si>
  <si>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</si>
  <si>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</si>
  <si>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</si>
  <si>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</si>
  <si>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</si>
  <si>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</si>
  <si>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</si>
  <si>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</si>
  <si>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</si>
  <si>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</si>
  <si>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</si>
  <si>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</si>
  <si>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</si>
  <si>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</si>
  <si>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</si>
  <si>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</si>
  <si>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</si>
  <si>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</si>
  <si>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</si>
  <si>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</si>
  <si>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</si>
  <si>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</si>
  <si>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</si>
  <si>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</si>
  <si>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</si>
  <si>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</si>
  <si>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</si>
  <si>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</si>
  <si>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</si>
  <si>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</si>
  <si>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</si>
  <si>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</si>
  <si>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</si>
  <si>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</si>
  <si>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</si>
  <si>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</si>
  <si>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</si>
  <si>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</si>
  <si>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</si>
  <si>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</si>
  <si>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</si>
  <si>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</si>
  <si>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</si>
  <si>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</si>
  <si>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</si>
  <si>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</si>
  <si>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</si>
  <si>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</si>
  <si>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</si>
  <si>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</si>
  <si>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</si>
  <si>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</si>
  <si>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</si>
  <si>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</si>
  <si>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</si>
  <si>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</si>
  <si>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</si>
  <si>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</si>
  <si>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</si>
  <si>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</si>
  <si>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</si>
  <si>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</si>
  <si>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</si>
  <si>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</si>
  <si>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</si>
  <si>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</si>
  <si>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</si>
  <si>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</si>
  <si>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</si>
  <si>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</si>
  <si>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</si>
  <si>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</si>
  <si>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</si>
  <si>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</si>
  <si>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</si>
  <si>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</si>
  <si>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</si>
  <si>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</si>
  <si>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</si>
  <si>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</si>
  <si>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</si>
  <si>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</si>
  <si>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</si>
  <si>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</si>
  <si>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</si>
  <si>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</si>
  <si>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</si>
  <si>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</si>
  <si>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</si>
  <si>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</si>
  <si>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</si>
  <si>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</si>
  <si>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</si>
  <si>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</si>
  <si>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</si>
  <si>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</si>
  <si>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</si>
  <si>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</si>
  <si>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</si>
  <si>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</si>
  <si>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</si>
  <si>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</si>
  <si>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</si>
  <si>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</si>
  <si>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</si>
  <si>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</si>
  <si>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</si>
  <si>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</si>
  <si>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</si>
  <si>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</si>
  <si>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</si>
  <si>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</si>
  <si>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</si>
  <si>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</si>
  <si>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</si>
  <si>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</si>
  <si>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</si>
  <si>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</si>
  <si>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</si>
  <si>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</si>
  <si>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</si>
  <si>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</si>
  <si>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</si>
  <si>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</si>
  <si>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</si>
  <si>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</si>
  <si>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</si>
  <si>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</si>
  <si>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</si>
  <si>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</si>
  <si>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</si>
  <si>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</si>
  <si>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</si>
  <si>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</si>
  <si>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</si>
  <si>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</si>
  <si>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</si>
  <si>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</si>
  <si>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</si>
  <si>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</si>
  <si>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</si>
  <si>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</si>
  <si>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</si>
  <si>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</si>
  <si>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</si>
  <si>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</si>
  <si>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</si>
  <si>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</si>
  <si>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</si>
  <si>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</si>
  <si>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</si>
  <si>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</si>
  <si>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</si>
  <si>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</si>
  <si>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</si>
  <si>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</si>
  <si>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</si>
  <si>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</si>
  <si>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</si>
  <si>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</si>
  <si>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</si>
  <si>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</si>
  <si>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</si>
  <si>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</si>
  <si>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</si>
  <si>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</si>
  <si>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</si>
  <si>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</si>
  <si>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</si>
  <si>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</si>
  <si>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</si>
  <si>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</si>
  <si>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</si>
  <si>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</si>
  <si>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</si>
  <si>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</si>
  <si>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</si>
  <si>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</si>
  <si>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</si>
  <si>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</si>
  <si>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</si>
  <si>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</si>
  <si>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</si>
  <si>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</si>
  <si>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</si>
  <si>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</si>
  <si>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</si>
  <si>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</si>
  <si>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</si>
  <si>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</si>
  <si>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</si>
  <si>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</si>
  <si>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</si>
  <si>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</si>
  <si>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</si>
  <si>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</si>
  <si>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</si>
  <si>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</si>
  <si>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</si>
  <si>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</si>
  <si>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</si>
  <si>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</si>
  <si>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</si>
  <si>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</si>
  <si>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</si>
  <si>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</si>
  <si>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</si>
  <si>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</si>
  <si>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</si>
  <si>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</si>
  <si>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</si>
  <si>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</si>
  <si>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</si>
  <si>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</si>
  <si>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</si>
  <si>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</si>
  <si>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</si>
  <si>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</si>
  <si>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</si>
  <si>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</si>
  <si>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</si>
  <si>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</si>
  <si>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</si>
  <si>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</si>
  <si>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</si>
  <si>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</si>
  <si>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</si>
  <si>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</si>
  <si>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</si>
  <si>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</si>
  <si>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</si>
  <si>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</si>
  <si>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</si>
  <si>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</si>
  <si>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</si>
  <si>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</si>
  <si>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</si>
  <si>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</si>
  <si>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</si>
  <si>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</si>
  <si>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</si>
  <si>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</si>
  <si>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</si>
  <si>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</si>
  <si>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</si>
  <si>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</si>
  <si>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</si>
  <si>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</si>
  <si>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</si>
  <si>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</si>
  <si>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</si>
  <si>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</si>
  <si>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</si>
  <si>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</si>
  <si>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</si>
  <si>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</si>
  <si>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</si>
  <si>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</si>
  <si>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</si>
  <si>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</si>
  <si>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</si>
  <si>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</si>
  <si>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</si>
  <si>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</si>
  <si>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</si>
  <si>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</si>
  <si>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</si>
  <si>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</si>
  <si>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</si>
  <si>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</si>
  <si>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</si>
  <si>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</si>
  <si>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</si>
  <si>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</si>
  <si>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</si>
  <si>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</si>
  <si>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</si>
  <si>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</si>
  <si>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</si>
  <si>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</si>
  <si>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</si>
  <si>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</si>
  <si>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</si>
  <si>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</si>
  <si>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</si>
  <si>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</si>
  <si>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</si>
  <si>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</si>
  <si>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</si>
  <si>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</si>
  <si>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</si>
  <si>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</si>
  <si>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</si>
  <si>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</si>
  <si>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</si>
  <si>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</si>
  <si>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</si>
  <si>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</si>
  <si>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</si>
  <si>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</si>
  <si>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</si>
  <si>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</si>
  <si>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</si>
  <si>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</si>
  <si>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</si>
  <si>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</si>
  <si>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</si>
  <si>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</si>
  <si>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</si>
  <si>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</si>
  <si>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</si>
  <si>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</si>
  <si>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</si>
  <si>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</si>
  <si>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</si>
  <si>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</si>
  <si>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</si>
  <si>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</si>
  <si>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</si>
  <si>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</si>
  <si>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</si>
  <si>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</si>
  <si>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</si>
  <si>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</si>
  <si>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</si>
  <si>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</si>
  <si>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</si>
  <si>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</si>
  <si>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</si>
  <si>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</si>
  <si>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</si>
  <si>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</si>
  <si>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</si>
  <si>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</si>
  <si>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</si>
  <si>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</si>
  <si>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</si>
  <si>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</si>
  <si>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</si>
  <si>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</si>
  <si>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</si>
  <si>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</si>
  <si>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</si>
  <si>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</si>
  <si>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</si>
  <si>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</si>
  <si>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</si>
  <si>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</si>
  <si>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</si>
  <si>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</si>
  <si>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</si>
  <si>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</si>
  <si>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</si>
  <si>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</si>
  <si>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</si>
  <si>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</si>
  <si>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</si>
  <si>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</si>
  <si>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</si>
  <si>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</si>
  <si>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</si>
  <si>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</si>
  <si>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</si>
  <si>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</si>
  <si>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</si>
  <si>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</si>
  <si>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</si>
  <si>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</si>
  <si>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</si>
  <si>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</si>
  <si>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</si>
  <si>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</si>
  <si>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</si>
  <si>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</si>
  <si>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</si>
  <si>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</si>
  <si>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</si>
  <si>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</si>
  <si>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</si>
  <si>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</si>
  <si>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</si>
  <si>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</si>
  <si>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</si>
  <si>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</si>
  <si>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</si>
  <si>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</si>
  <si>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</si>
  <si>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</si>
  <si>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</si>
  <si>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</si>
  <si>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</si>
  <si>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</si>
  <si>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</si>
  <si>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</si>
  <si>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</si>
  <si>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</si>
  <si>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</si>
  <si>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</si>
  <si>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</si>
  <si>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</si>
  <si>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</si>
  <si>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</si>
  <si>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</si>
  <si>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</si>
  <si>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</si>
  <si>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</si>
  <si>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</si>
  <si>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</si>
  <si>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</si>
  <si>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</si>
  <si>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</si>
  <si>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</si>
  <si>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</si>
  <si>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</si>
  <si>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</si>
  <si>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</si>
  <si>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</si>
  <si>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</si>
  <si>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</si>
  <si>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</si>
  <si>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</si>
  <si>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</si>
  <si>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</si>
  <si>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</si>
  <si>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</si>
  <si>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</si>
  <si>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</si>
  <si>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</si>
  <si>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</si>
  <si>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</si>
  <si>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</si>
  <si>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</si>
  <si>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</si>
  <si>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</si>
  <si>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</si>
  <si>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</si>
  <si>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</si>
  <si>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</si>
  <si>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</si>
  <si>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</si>
  <si>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</si>
  <si>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</si>
  <si>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</si>
  <si>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</si>
  <si>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</si>
  <si>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</si>
  <si>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</si>
  <si>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</si>
  <si>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</si>
  <si>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</si>
  <si>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</si>
  <si>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</si>
  <si>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</si>
  <si>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</si>
  <si>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</si>
  <si>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</si>
  <si>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</si>
  <si>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</si>
  <si>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</si>
  <si>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</si>
  <si>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</si>
  <si>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</si>
  <si>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</si>
  <si>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</si>
  <si>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</si>
  <si>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</si>
  <si>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</si>
  <si>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</si>
  <si>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</si>
  <si>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</si>
  <si>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</si>
  <si>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</si>
  <si>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</si>
  <si>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</si>
  <si>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</si>
  <si>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</si>
  <si>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</si>
  <si>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</si>
  <si>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</si>
  <si>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</si>
  <si>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</si>
  <si>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</si>
  <si>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</si>
  <si>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</si>
  <si>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</si>
  <si>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</si>
  <si>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</si>
  <si>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</si>
  <si>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</si>
  <si>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</si>
  <si>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</si>
  <si>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</si>
  <si>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</si>
  <si>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</si>
  <si>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</si>
  <si>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</si>
  <si>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</si>
  <si>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</si>
  <si>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</si>
  <si>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</si>
  <si>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</si>
  <si>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</si>
  <si>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</si>
  <si>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</si>
  <si>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</si>
  <si>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</si>
  <si>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</si>
  <si>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</si>
  <si>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</si>
  <si>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</si>
  <si>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</si>
  <si>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</si>
  <si>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</si>
  <si>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</si>
  <si>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</si>
  <si>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</si>
  <si>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</si>
  <si>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</si>
  <si>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</si>
  <si>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</si>
  <si>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</si>
  <si>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</si>
  <si>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</si>
  <si>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</si>
  <si>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</si>
  <si>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</si>
  <si>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</si>
  <si>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</si>
  <si>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</si>
  <si>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</si>
  <si>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</si>
  <si>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</si>
  <si>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</si>
  <si>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</si>
  <si>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</si>
  <si>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</si>
  <si>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</si>
  <si>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</si>
  <si>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</si>
  <si>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</si>
  <si>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</si>
  <si>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</si>
  <si>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</si>
  <si>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</si>
  <si>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</si>
  <si>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</si>
  <si>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</si>
  <si>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</si>
  <si>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</si>
  <si>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</si>
  <si>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</si>
  <si>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</si>
  <si>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</si>
  <si>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</si>
  <si>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</si>
  <si>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</si>
  <si>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</si>
  <si>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</si>
  <si>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</si>
  <si>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</si>
  <si>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</si>
  <si>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</si>
  <si>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</si>
  <si>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</si>
  <si>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</si>
  <si>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</si>
  <si>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</si>
  <si>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</si>
  <si>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</si>
  <si>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</si>
  <si>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</si>
  <si>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</si>
  <si>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</si>
  <si>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</si>
  <si>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</si>
  <si>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</si>
  <si>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</si>
  <si>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</si>
  <si>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</si>
  <si>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</si>
  <si>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</si>
  <si>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</si>
  <si>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</si>
  <si>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</si>
  <si>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</si>
  <si>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</si>
  <si>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</si>
  <si>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</si>
  <si>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</si>
  <si>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</si>
  <si>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</si>
  <si>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</si>
  <si>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</si>
  <si>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</si>
  <si>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</si>
  <si>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</si>
  <si>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</si>
  <si>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</si>
  <si>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</si>
  <si>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</si>
  <si>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</si>
  <si>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</si>
  <si>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</si>
  <si>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</si>
  <si>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</si>
  <si>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</si>
  <si>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</si>
  <si>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</si>
  <si>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</si>
  <si>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</si>
  <si>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</si>
  <si>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Extended cost</t>
  </si>
  <si>
    <t>total cost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</si>
  <si>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</si>
  <si>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</si>
  <si>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</si>
  <si>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</si>
  <si>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Shipping estimated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</si>
  <si>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</si>
  <si>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</si>
  <si>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</si>
  <si>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</si>
  <si>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</si>
  <si>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</si>
  <si>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</si>
  <si>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</si>
  <si>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</si>
  <si>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</si>
  <si>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</si>
  <si>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</si>
  <si>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</si>
  <si>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</si>
  <si>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</si>
  <si>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</si>
  <si>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</si>
  <si>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</si>
  <si>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</si>
  <si>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</si>
  <si>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</si>
  <si>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</si>
  <si>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</si>
  <si>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</si>
  <si>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</si>
  <si>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</si>
  <si>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</si>
  <si>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</si>
  <si>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</si>
  <si>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</si>
  <si>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</si>
  <si>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</si>
  <si>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</si>
  <si>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</si>
  <si>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</si>
  <si>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</si>
  <si>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</si>
  <si>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</si>
  <si>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</si>
  <si>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</si>
  <si>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</si>
  <si>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</si>
  <si>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</si>
  <si>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</si>
  <si>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</si>
  <si>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</si>
  <si>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</si>
  <si>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</si>
  <si>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</si>
  <si>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</si>
  <si>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</si>
  <si>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</si>
  <si>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</si>
  <si>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</si>
  <si>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</si>
  <si>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</si>
  <si>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</si>
  <si>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</si>
  <si>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</si>
  <si>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</si>
  <si>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</si>
  <si>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</si>
  <si>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</si>
  <si>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</si>
  <si>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</si>
  <si>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</si>
  <si>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</si>
  <si>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</si>
  <si>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</si>
  <si>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</si>
  <si>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</si>
  <si>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</si>
  <si>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</si>
  <si>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</si>
  <si>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</si>
  <si>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</si>
  <si>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</si>
  <si>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</si>
  <si>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</si>
  <si>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</si>
  <si>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</si>
  <si>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</si>
  <si>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</si>
  <si>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</si>
  <si>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</si>
  <si>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</si>
  <si>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</si>
  <si>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</si>
  <si>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</si>
  <si>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</si>
  <si>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</si>
  <si>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</si>
  <si>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</si>
  <si>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</si>
  <si>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</si>
  <si>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</si>
  <si>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</si>
  <si>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</si>
  <si>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</si>
  <si>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</si>
  <si>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</si>
  <si>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</si>
  <si>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</si>
  <si>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</si>
  <si>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</si>
  <si>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</si>
  <si>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</si>
  <si>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</si>
  <si>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</si>
  <si>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</si>
  <si>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</si>
  <si>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</si>
  <si>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</si>
  <si>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</si>
  <si>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</si>
  <si>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</si>
  <si>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</si>
  <si>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</si>
  <si>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</si>
  <si>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</si>
  <si>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</si>
  <si>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</si>
  <si>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</si>
  <si>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</si>
  <si>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</si>
  <si>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</si>
  <si>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</si>
  <si>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</si>
  <si>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</si>
  <si>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</si>
  <si>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</si>
  <si>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</si>
  <si>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</si>
  <si>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</si>
  <si>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</si>
  <si>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</si>
  <si>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</si>
  <si>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</si>
  <si>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</si>
  <si>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</si>
  <si>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</si>
  <si>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</si>
  <si>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</si>
  <si>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</si>
  <si>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</si>
  <si>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</si>
  <si>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</si>
  <si>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</si>
  <si>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</si>
  <si>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</si>
  <si>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</si>
  <si>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</si>
  <si>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</si>
  <si>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</si>
  <si>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</si>
  <si>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</si>
  <si>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</si>
  <si>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</si>
  <si>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</si>
  <si>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</si>
  <si>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</si>
  <si>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</si>
  <si>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</si>
  <si>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</si>
  <si>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</si>
  <si>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</si>
  <si>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</si>
  <si>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</si>
  <si>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</si>
  <si>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</si>
  <si>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</si>
  <si>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</si>
  <si>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</si>
  <si>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</si>
  <si>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</si>
  <si>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</si>
  <si>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</si>
  <si>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</si>
  <si>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</si>
  <si>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</si>
  <si>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</si>
  <si>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</si>
  <si>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</si>
  <si>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</si>
  <si>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</si>
  <si>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</si>
  <si>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</si>
  <si>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</si>
  <si>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</si>
  <si>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</si>
  <si>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</si>
  <si>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</si>
  <si>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</si>
  <si>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</si>
  <si>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</si>
  <si>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</si>
  <si>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</si>
  <si>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</si>
  <si>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</si>
  <si>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</si>
  <si>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</si>
  <si>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</si>
  <si>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</si>
  <si>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</si>
  <si>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</si>
  <si>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</si>
  <si>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</si>
  <si>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</si>
  <si>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</si>
  <si>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</si>
  <si>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</si>
  <si>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</si>
  <si>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</si>
  <si>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</si>
  <si>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</si>
  <si>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</si>
  <si>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</si>
  <si>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</si>
  <si>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</si>
  <si>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</si>
  <si>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</si>
  <si>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</si>
  <si>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</si>
  <si>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</si>
  <si>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</si>
  <si>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</si>
  <si>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</si>
  <si>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</si>
  <si>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</si>
  <si>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</si>
  <si>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</si>
  <si>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</si>
  <si>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</si>
  <si>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</si>
  <si>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</si>
  <si>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</si>
  <si>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</si>
  <si>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</si>
  <si>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</si>
  <si>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</si>
  <si>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</si>
  <si>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</si>
  <si>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</si>
  <si>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</si>
  <si>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</si>
  <si>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</si>
  <si>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</si>
  <si>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</si>
  <si>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</si>
  <si>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</si>
  <si>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</si>
  <si>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</si>
  <si>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</si>
  <si>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</si>
  <si>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</si>
  <si>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</si>
  <si>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</si>
  <si>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</si>
  <si>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</si>
  <si>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</si>
  <si>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</si>
  <si>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</si>
  <si>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</si>
  <si>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</si>
  <si>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</si>
  <si>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</si>
  <si>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</si>
  <si>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>Thermal interface for SSR heatsink</t>
  </si>
  <si>
    <t>SSR for bed heater (with heatsink)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</si>
  <si>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</si>
  <si>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</si>
  <si>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</si>
  <si>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</si>
  <si>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</si>
  <si>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</si>
  <si>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</si>
  <si>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</si>
  <si>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</si>
  <si>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</si>
  <si>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</si>
  <si>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</si>
  <si>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</si>
  <si>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</si>
  <si>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</si>
  <si>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</si>
  <si>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</si>
  <si>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</si>
  <si>
    <t>Cloned 7i PanelDue Touch Screen Controller For BLV MGN Cube</t>
  </si>
  <si>
    <t>https://www.aliexpress.com/item/32896949230.html?src=google&amp;src=google&amp;albch=shopping&amp;acnt=494-037-</t>
  </si>
  <si>
    <t>Heated Bed 10K Lug Ring Thermistor (PN NTC/BC2891-ND)</t>
  </si>
  <si>
    <t>https://www.digikey.com/product-detail/en/vishay-bc-components/NTCALUG01A103F/BC2891-ND/4896928</t>
  </si>
  <si>
    <t>digikey</t>
  </si>
  <si>
    <t>https://www.digikey.com/product-detail/en/sensata-crydom/HSP-2/CC1810-ND/2638648</t>
  </si>
  <si>
    <t>SSR Thermal Pad</t>
  </si>
  <si>
    <t>SSR Protective cover</t>
  </si>
  <si>
    <t>https://www.digikey.com/product-detail/en/sensata-crydom/KS-100/CC1070-ND/140630</t>
  </si>
  <si>
    <t>NEMA 11 Stepper with grearing</t>
  </si>
  <si>
    <t>https://www.digikey.com/product-detail/en/e-switch/SS0750300F070P1A/SS0750300F070P1A-ND/3778167</t>
  </si>
  <si>
    <t>Mechanical limit switch ( SS0750300F070P1A )</t>
  </si>
  <si>
    <t xml:space="preserve">E3D High Precision Ceramic Heater Cartridge 24V 30W </t>
  </si>
  <si>
    <t>https://www.filamentone.com/products/e3d-high-precision-ceramic-heater-cartridge-24v-30w?variant=12349726064734&amp;currency=USD&amp;utm_campaign=gs-2019-09-12&amp;utm_source=google&amp;utm_medium=smart_campaign&amp;gclid=EAIaIQobChMI04nqsJnZ5wIVtB-tBh2dPQnKEAQYAiABEgKLIPD_BwE</t>
  </si>
  <si>
    <t>https://www.amazon.com/FYSETC-Printer-Extruder-Radiator-Creality/dp/B07TFFZ2BW</t>
  </si>
  <si>
    <t>FYSETC 3D Printer Ender 3 Parts 4010 DC 24V Cooling Fan</t>
  </si>
  <si>
    <t>Cooling Fan for 3D Printer, 4020 DC 40×40×20mm Turbo Fan</t>
  </si>
  <si>
    <t>https://www.amazon.com/Zerone-Cooling-Printer-40×40×20mm-Accessories/dp/B07K7CB9Q6</t>
  </si>
  <si>
    <t>Hotend thermistor</t>
  </si>
  <si>
    <t>Z-height sensor</t>
  </si>
  <si>
    <t xml:space="preserve"> AC 115/250VAC 10A Noise Suppressing Power Entry Module</t>
  </si>
  <si>
    <t>amazon.com</t>
  </si>
  <si>
    <t>https://www.amazon.com/Suppressor-Single-Phase-Line-Conditioner-JREle-CW2B-10A-T/dp/B073RLXRPB</t>
  </si>
  <si>
    <t>AC Power cord</t>
  </si>
  <si>
    <t>https://www.amazon.com/10-Standard-Computer-Power-Cord/dp/B0002GRUIM</t>
  </si>
  <si>
    <t>Dual Row 4 Position Covered Screw Terminal Strip 600V 25A</t>
  </si>
  <si>
    <t>microswitch  (bridge)</t>
  </si>
  <si>
    <t>Quick Disconnect Terminal, 0.25in x 0.032in, 14-16 AWG (Power Entry Module)</t>
  </si>
  <si>
    <t>https://www.digikey.com/product-detail/en/molex/0190160043/WM6911CT-ND/3044913</t>
  </si>
  <si>
    <t>Ring Terminal Crimp Connector (24 VDC Terminals)</t>
  </si>
  <si>
    <t>https://www.digikey.com/product-detail/en/3m/12-10/3M156232-ND/3837440</t>
  </si>
  <si>
    <t>White Stranded #16 Insulated Wire (120VAC &amp; 24 VDC Distribution)(25 Feet)</t>
  </si>
  <si>
    <t>Black Stranded #16 Insulated Wire (120VAC Distribution)(25 Feet)</t>
  </si>
  <si>
    <t>Green Stranded #16 Insulated Wire (120VAC Distribution)(25 Feet)</t>
  </si>
  <si>
    <t>Red Insulated Stranded #16 Wire (24 VDC Distribution)(25 Feet)</t>
  </si>
  <si>
    <t>https://www.amazon.com/Remington-Industries-16UL1007STRKIT-Stranded-Diameter/dp/B00N51OJJ4</t>
  </si>
  <si>
    <t>White Stranded #26 Insulated Wire (Thermistor, Limit Switches)(100 Feet)</t>
  </si>
  <si>
    <t>mcmaster-carr</t>
  </si>
  <si>
    <t>https://www.mcmaster.com/8054t11-8054T053</t>
  </si>
  <si>
    <t>4" zip ties</t>
  </si>
  <si>
    <t>https://www.amazon.com/dp/B07ZWTT9BH</t>
  </si>
  <si>
    <t>Tie Mount 0.75 Inch 20mm Black Samll Squares Adhesive Mounting</t>
  </si>
  <si>
    <t>https://www.amazon.com/Adhesive-Pieces-perfect-Management-Durability-Pro-grade/dp/B07NYNVHZY</t>
  </si>
  <si>
    <t>https://www.amazon.com/gp/product/B071JH14WZ</t>
  </si>
  <si>
    <t>RGB Wire Line Cord 22AWG 4pin 22 Gauge - 20M</t>
  </si>
  <si>
    <t>https://www.amazon.com/CARLITS-Connector-Electric-Conductor-Extension/dp/B07R7V4Z9Q</t>
  </si>
  <si>
    <t>1/4 inch PET Expandable Braided Sleeving – Black 25 ft</t>
  </si>
  <si>
    <t>1/2 inch PET Expandable Braided Sleeving – Black 25 ft</t>
  </si>
  <si>
    <t>PanelDu 7"</t>
  </si>
  <si>
    <t>Heated bed thermistor</t>
  </si>
  <si>
    <t>Mechanical limit switch in carriage</t>
  </si>
  <si>
    <t>microswitch  (bridge, z-axis)</t>
  </si>
  <si>
    <t xml:space="preserve">Black Stranded #16 Insulated Wire  in kit with white </t>
  </si>
  <si>
    <t>Green Stranded #16 Insulated Wire in kit with white</t>
  </si>
  <si>
    <t>Red Insulated Stranded #16 Wirein kit with white</t>
  </si>
  <si>
    <t>https://www.amazon.com/gp/product/B071ZV6MZ2</t>
  </si>
  <si>
    <t>Quantity on order</t>
  </si>
  <si>
    <t>NEMA 11 Stepper with gearing</t>
  </si>
  <si>
    <t>M3 Thread T-Nut for 40 Series European Aluminium Profile Hammer Head</t>
  </si>
  <si>
    <t>M3  "T-nut" for Z-azis guide rail</t>
  </si>
  <si>
    <t>https://www.amazon.com/gp/product/B07CN161T5</t>
  </si>
  <si>
    <t>Grand Total</t>
  </si>
  <si>
    <t>(blank)</t>
  </si>
  <si>
    <t>Sum of Cost of excess material</t>
  </si>
  <si>
    <t>PARTS NOT YET ORDERED</t>
  </si>
  <si>
    <t>PARTS ON ORDER (but not yet received)</t>
  </si>
  <si>
    <t>PARTS ON HAND</t>
  </si>
  <si>
    <t>Sum of Buy-now costs</t>
  </si>
  <si>
    <t>PARTS PROPOSED FOR PURCHASE NOW</t>
  </si>
  <si>
    <t>Quantity  to  purchase</t>
  </si>
  <si>
    <t>Cost each</t>
  </si>
  <si>
    <t>Actual cost</t>
  </si>
  <si>
    <t>400mm MGN12 Linear Rail Guide with MGN12H Carriage Block</t>
  </si>
  <si>
    <t>ordered 2/14, received 2/20</t>
  </si>
  <si>
    <t>Sum of Actual cost</t>
  </si>
  <si>
    <t>ordered 2/13, received 2/20</t>
  </si>
  <si>
    <t>Order date</t>
  </si>
  <si>
    <t>received date</t>
  </si>
  <si>
    <t>Due date</t>
  </si>
  <si>
    <t xml:space="preserve">Cloned Duet 2 Wifi V1.04 DuetWifi Advanced 32 Bit Electronics </t>
  </si>
  <si>
    <t>https://www.digikey.com/product-detail/en/te-connectivity-amp-connectors/1546306-4/A98505-ND/1277415</t>
  </si>
  <si>
    <t>3/13 - 4/1</t>
  </si>
  <si>
    <t>on order 2/13, shipped 2/19</t>
  </si>
  <si>
    <t xml:space="preserve">Total  cost </t>
  </si>
  <si>
    <t>Actual Cost</t>
  </si>
  <si>
    <t>Ideal Cost</t>
  </si>
  <si>
    <t>Parts on hand</t>
  </si>
  <si>
    <t>Excess material Cost</t>
  </si>
  <si>
    <r>
      <rPr>
        <b/>
        <i/>
        <sz val="11"/>
        <color theme="1"/>
        <rFont val="Calibri"/>
        <family val="2"/>
        <scheme val="minor"/>
      </rPr>
      <t>Ideal Cost</t>
    </r>
    <r>
      <rPr>
        <sz val="11"/>
        <color theme="1"/>
        <rFont val="Calibri"/>
        <family val="2"/>
        <scheme val="minor"/>
      </rPr>
      <t xml:space="preserve"> =  Cost to buy all parts, at the precise quantity required.
</t>
    </r>
    <r>
      <rPr>
        <b/>
        <i/>
        <sz val="11"/>
        <color theme="1"/>
        <rFont val="Calibri"/>
        <family val="2"/>
        <scheme val="minor"/>
      </rPr>
      <t>Excess material  Cost</t>
    </r>
    <r>
      <rPr>
        <sz val="11"/>
        <color theme="1"/>
        <rFont val="Calibri"/>
        <family val="2"/>
        <scheme val="minor"/>
      </rPr>
      <t xml:space="preserve"> = Cost to buy all parts, including excess material purchased dur to minimum order quantities.
</t>
    </r>
    <r>
      <rPr>
        <b/>
        <i/>
        <sz val="11"/>
        <color theme="1"/>
        <rFont val="Calibri"/>
        <family val="2"/>
        <scheme val="minor"/>
      </rPr>
      <t>Actual Cost</t>
    </r>
    <r>
      <rPr>
        <sz val="11"/>
        <color theme="1"/>
        <rFont val="Calibri"/>
        <family val="2"/>
        <scheme val="minor"/>
      </rPr>
      <t xml:space="preserve"> = Money spent. Value of donated items reduces this amount. 
</t>
    </r>
    <r>
      <rPr>
        <sz val="9"/>
        <color theme="1"/>
        <rFont val="Calibri"/>
        <family val="2"/>
        <scheme val="minor"/>
      </rPr>
      <t>Both include shipping and sales tax.</t>
    </r>
  </si>
  <si>
    <t>Parts on order</t>
  </si>
  <si>
    <t>Not Yet ordered</t>
  </si>
  <si>
    <t>Remaining ideal cost</t>
  </si>
  <si>
    <t>Sum of Remaining ideal cost</t>
  </si>
  <si>
    <t>Ideal cost of parts on hand</t>
  </si>
  <si>
    <t>Sum of Ideal cost of parts on hand</t>
  </si>
  <si>
    <t>Free shipping</t>
  </si>
  <si>
    <t>Ideal cost of parts on order</t>
  </si>
  <si>
    <t>Sum of Ideal cost of parts on order</t>
  </si>
  <si>
    <t>Quantity purchased</t>
  </si>
  <si>
    <t>Quantity donated</t>
  </si>
  <si>
    <t>https://www.banggood.com/Machifit-500mm-Length-MGN15-Linear-Rail-Guide-with-MGN15H-Linear-Rail-Block-CNC-Tool-p-1239196.html?akmClientCountry=America&amp;cur_warehouse=US</t>
  </si>
  <si>
    <t>https://www.amazon.com/gp/product/B07PCN6T6F</t>
  </si>
  <si>
    <t>https://www.aliexpress.com/item/4000068939919.html?spm=a2g0o.productlist.0.0.60cdf6bfD6T9rj&amp;algo_pvid=37f494a7-798b-40f4-ba9c-827b942e8aa4&amp;algo_expid=37f494a7-798b-40f4-ba9c-827b942e8aa4-17&amp;btsid=0ab6f82315837918434874489e3a13&amp;ws_ab_test=searchweb0_0,searchweb201602_,searchweb201603_</t>
  </si>
  <si>
    <t xml:space="preserve"> Qty 3 Purchased 12/19</t>
  </si>
  <si>
    <t>Vale of donated items</t>
  </si>
  <si>
    <t xml:space="preserve">350 X 350mm(Approx. 14" x 14"), 110V 800W, with 3M PSA &amp; NTC 100K thermistor, KEENOVO Silicone Heater Mat/Pad, Huge Large 3D Printer HeatBed Build Plate Heater </t>
  </si>
  <si>
    <t>350 x 350mm Flex Spring Steel Sheet Pre-Applied PEI</t>
  </si>
  <si>
    <t xml:space="preserve">dustproof limit switch </t>
  </si>
  <si>
    <t>digikey.com</t>
  </si>
  <si>
    <t>https://www.digikey.com/product-detail/en/omron-electronics-inc-emc-div/D2HW-C201H/SW1153-ND/1811903</t>
  </si>
  <si>
    <t xml:space="preserve">Rear legs -  4040 aluminum </t>
  </si>
  <si>
    <t>Misumi</t>
  </si>
  <si>
    <t>Acrylic sheet - electric panel</t>
  </si>
  <si>
    <t>Bed insulation</t>
  </si>
  <si>
    <t>https://www.amazon.com/gp/product/B07H9NQP8G</t>
  </si>
  <si>
    <t>https://www.amazon.com/gp/product/B07JQCNSK9</t>
  </si>
  <si>
    <t>https://us.misumi-ec.com/vona2/detail/110302689860/?HissuCode=HFS8-4040-625-TPW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</si>
</sst>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10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44" fontId="0" fillId="0" borderId="0" xfId="0" applyNumberFormat="1" applyAlignment="1">
      <alignment wrapText="1"/>
    </xf>
    <xf numFmtId="0" fontId="13" fillId="0" borderId="0" xfId="0" applyFont="1"/>
    <xf numFmtId="0" fontId="2" fillId="0" borderId="0" xfId="0" pivotButton="1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top" wrapText="1"/>
    </xf>
    <xf numFmtId="2" fontId="0" fillId="0" borderId="0" xfId="1" applyNumberFormat="1" applyFont="1" applyAlignment="1">
      <alignment horizontal="center" vertical="center"/>
    </xf>
    <xf numFmtId="1" fontId="0" fillId="0" borderId="0" xfId="0" applyNumberFormat="1"/>
    <xf numFmtId="44" fontId="0" fillId="0" borderId="0" xfId="0" pivotButton="1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14" fontId="7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1" applyNumberFormat="1" applyFont="1" applyAlignment="1">
      <alignment vertical="center"/>
    </xf>
    <xf numFmtId="14" fontId="0" fillId="0" borderId="0" xfId="1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 vertical="top" wrapText="1"/>
    </xf>
    <xf numFmtId="44" fontId="7" fillId="0" borderId="0" xfId="1" applyFont="1" applyAlignment="1">
      <alignment horizontal="center" vertical="center"/>
    </xf>
    <xf numFmtId="44" fontId="0" fillId="0" borderId="0" xfId="1" applyNumberFormat="1" applyFont="1" applyAlignment="1">
      <alignment horizontal="center" vertical="top" wrapText="1"/>
    </xf>
    <xf numFmtId="44" fontId="7" fillId="0" borderId="0" xfId="1" applyNumberFormat="1" applyFont="1" applyAlignment="1">
      <alignment horizontal="center" vertical="center"/>
    </xf>
    <xf numFmtId="44" fontId="0" fillId="0" borderId="0" xfId="1" applyFont="1" applyFill="1" applyAlignment="1">
      <alignment vertical="center"/>
    </xf>
    <xf numFmtId="0" fontId="0" fillId="0" borderId="0" xfId="0" applyFill="1"/>
    <xf numFmtId="0" fontId="0" fillId="0" borderId="0" xfId="0" pivotButton="1" applyAlignment="1">
      <alignment vertical="top" wrapText="1"/>
    </xf>
    <xf numFmtId="0" fontId="2" fillId="0" borderId="0" xfId="0" pivotButton="1" applyFont="1" applyAlignment="1">
      <alignment horizontal="center" vertical="top" wrapText="1"/>
    </xf>
    <xf numFmtId="44" fontId="0" fillId="0" borderId="0" xfId="0" applyNumberFormat="1" applyAlignment="1">
      <alignment vertical="top" wrapText="1"/>
    </xf>
    <xf numFmtId="0" fontId="0" fillId="0" borderId="0" xfId="0" pivotButton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5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border>
        <horizontal/>
      </border>
    </dxf>
    <dxf>
      <border>
        <horizontal/>
      </border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horizontal/>
      </border>
    </dxf>
    <dxf>
      <border>
        <left/>
        <right/>
        <top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92224"/>
        <c:axId val="143493760"/>
      </c:scatterChart>
      <c:valAx>
        <c:axId val="14349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3493760"/>
        <c:crosses val="autoZero"/>
        <c:crossBetween val="midCat"/>
        <c:majorUnit val="100"/>
      </c:valAx>
      <c:valAx>
        <c:axId val="143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9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4101.637865856479" createdVersion="4" refreshedVersion="4" minRefreshableVersion="3" recordCount="632">
  <cacheSource type="worksheet">
    <worksheetSource name="Table1"/>
  </cacheSource>
  <cacheFields count="29">
    <cacheField name="Part Number" numFmtId="0">
      <sharedItems count="632">
        <s v="A-0001"/>
        <s v="A-0002"/>
        <s v="A-0003"/>
        <s v="A-0004"/>
        <s v="A-0005"/>
        <s v="A-0006"/>
        <s v="A-0007"/>
        <s v="A-0008"/>
        <s v="A-0009"/>
        <s v="A-0010"/>
        <s v="A-0011"/>
        <s v="A-0012"/>
        <s v="A-0013"/>
        <s v="A-0014"/>
        <s v="A-0015"/>
        <s v="A-0016"/>
        <s v="A-0017"/>
        <s v="A-0018"/>
        <s v="A-0019"/>
        <s v="A-0020"/>
        <s v="A-0021"/>
        <s v="A-0022"/>
        <s v="A-0023"/>
        <s v="A-0024"/>
        <s v="A-0025"/>
        <s v="A-0026"/>
        <s v="A-0027"/>
        <s v="A-0028"/>
        <s v="A-0029"/>
        <s v="A-0030"/>
        <s v="A-0031"/>
        <s v="A-0032"/>
        <s v="A-0033"/>
        <s v="A-0034"/>
        <s v="A-0035"/>
        <s v="A-0036"/>
        <s v="A-0037"/>
        <s v="A-0038"/>
        <s v="A-0039"/>
        <s v="A-0040"/>
        <s v="A-0041"/>
        <s v="A-0042"/>
        <s v="A-0043"/>
        <s v="A-0044"/>
        <s v="A-0045"/>
        <s v="A-0046"/>
        <s v="A-0047"/>
        <s v="A-0048"/>
        <s v="A-0049"/>
        <s v="A-0050"/>
        <s v="A-0051"/>
        <s v="A-0052"/>
        <s v="A-0053"/>
        <s v="A-0054"/>
        <s v="A-0055"/>
        <s v="A-0056"/>
        <s v="A-0057"/>
        <s v="A-0058"/>
        <s v="A-0059"/>
        <s v="A-0060"/>
        <s v="A-0061"/>
        <s v="A-0062"/>
        <s v="A-0063"/>
        <s v="A-0064"/>
        <s v="A-0065"/>
        <s v="A-0066"/>
        <s v="A-0067"/>
        <s v="A-0068"/>
        <s v="A-0069"/>
        <s v="A-0070"/>
        <s v="A-0071"/>
        <s v="A-0072"/>
        <s v="A-0073"/>
        <s v="A-0074"/>
        <s v="A-0075"/>
        <s v="A-0076"/>
        <s v="A-0077"/>
        <s v="A-0078"/>
        <s v="A-0079"/>
        <s v="A-0080"/>
        <s v="A-0081"/>
        <s v="A-0082"/>
        <s v="A-0083"/>
        <s v="A-0084"/>
        <s v="A-0085"/>
        <s v="A-0086"/>
        <s v="A-0087"/>
        <s v="A-0088"/>
        <s v="A-0089"/>
        <s v="A-0090"/>
        <s v="A-0091"/>
        <s v="A-0092"/>
        <s v="A-0093"/>
        <s v="A-0094"/>
        <s v="A-0095"/>
        <s v="A-0096"/>
        <s v="A-0097"/>
        <s v="A-0098"/>
        <s v="A-0099"/>
        <s v="A-0100"/>
        <s v="A-0101"/>
        <s v="A-0102"/>
        <s v="A-0103"/>
        <s v="A-0104"/>
        <s v="A-0105"/>
        <s v="A-0106"/>
        <s v="A-0107"/>
        <s v="A-0108"/>
        <s v="A-0109"/>
        <s v="A-0110"/>
        <s v="A-0111"/>
        <s v="A-0112"/>
        <s v="A-0113"/>
        <s v="A-0114"/>
        <s v="A-0115"/>
        <s v="A-0116"/>
        <s v="A-0117"/>
        <s v="A-0118"/>
        <s v="A-0119"/>
        <s v="A-0120"/>
        <s v="A-0121"/>
        <s v="A-0122"/>
        <s v="A-0123"/>
        <s v="A-0124"/>
        <s v="A-0125"/>
        <s v="A-0126"/>
        <s v="A-0127"/>
        <s v="A-0128"/>
        <s v="A-0129"/>
        <s v="A-0130"/>
        <s v="A-0131"/>
        <s v="A-0132"/>
        <s v="A-0133"/>
        <s v="A-0134"/>
        <s v="A-0135"/>
        <s v="A-0136"/>
        <s v="A-0137"/>
        <s v="A-0138"/>
        <s v="A-0139"/>
        <s v="A-0140"/>
        <s v="A-0141"/>
        <s v="A-0142"/>
        <s v="A-0143"/>
        <s v="A-0144"/>
        <s v="A-0145"/>
        <s v="A-0146"/>
        <s v="A-0147"/>
        <s v="A-0148"/>
        <s v="A-0149"/>
        <s v="A-0150"/>
        <s v="A-0151"/>
        <s v="A-0152"/>
        <s v="A-0153"/>
        <s v="A-0154"/>
        <s v="A-0155"/>
        <s v="A-0156"/>
        <s v="A-0157"/>
        <s v="A-0158"/>
        <s v="A-0159"/>
        <s v="A-0160"/>
        <s v="A-0161"/>
        <s v="A-0162"/>
        <s v="A-0163"/>
        <s v="A-0164"/>
        <s v="A-0165"/>
        <s v="A-0166"/>
        <s v="A-0167"/>
        <s v="A-0168"/>
        <s v="A-0169"/>
        <s v="A-0170"/>
        <s v="A-0171"/>
        <s v="A-0172"/>
        <s v="A-0173"/>
        <s v="A-0174"/>
        <s v="A-0175"/>
        <s v="A-0176"/>
        <s v="A-0177"/>
        <s v="A-0178"/>
        <s v="A-0179"/>
        <s v="A-0180"/>
        <s v="A-0181"/>
        <s v="A-0182"/>
        <s v="A-0183"/>
        <s v="A-0184"/>
        <s v="A-0185"/>
        <s v="A-0186"/>
        <s v="A-0187"/>
        <s v="A-0188"/>
        <s v="A-0189"/>
        <s v="A-0190"/>
        <s v="A-0191"/>
        <s v="A-0192"/>
        <s v="A-0193"/>
        <s v="A-0194"/>
        <s v="A-0195"/>
        <s v="A-0196"/>
        <s v="A-0197"/>
        <s v="A-0198"/>
        <s v="A-0199"/>
        <s v="A-0200"/>
        <s v="A-0201"/>
        <s v="A-0202"/>
        <s v="A-0203"/>
        <s v="A-0204"/>
        <s v="A-0205"/>
        <s v="A-0206"/>
        <s v="A-0207"/>
        <s v="A-0208"/>
        <s v="A-0209"/>
        <s v="A-0210"/>
        <s v="A-0211"/>
        <s v="A-0212"/>
        <s v="A-0213"/>
        <s v="A-0214"/>
        <s v="A-0215"/>
        <s v="A-0216"/>
        <s v="A-0217"/>
        <s v="A-0218"/>
        <s v="A-0219"/>
        <s v="A-0220"/>
        <s v="A-0221"/>
        <s v="A-0222"/>
        <s v="A-0223"/>
        <s v="A-0224"/>
        <s v="A-0225"/>
        <s v="A-0226"/>
        <s v="A-0227"/>
        <s v="A-0228"/>
        <s v="A-0229"/>
        <s v="A-0230"/>
        <s v="A-0231"/>
        <s v="A-0232"/>
        <s v="A-0233"/>
        <s v="A-0234"/>
        <s v="A-0235"/>
        <s v="A-0236"/>
        <s v="A-0237"/>
        <s v="A-0238"/>
        <s v="A-0239"/>
        <s v="A-0240"/>
        <s v="A-0241"/>
        <s v="A-0242"/>
        <s v="A-0243"/>
        <s v="A-0244"/>
        <s v="A-0245"/>
        <s v="A-0246"/>
        <s v="A-0247"/>
        <s v="A-0248"/>
        <s v="A-0249"/>
        <s v="A-0250"/>
        <s v="A-0251"/>
        <s v="A-0252"/>
        <s v="A-0253"/>
        <s v="A-0254"/>
        <s v="A-0255"/>
        <s v="A-0256"/>
        <s v="A-0257"/>
        <s v="A-0258"/>
        <s v="A-0259"/>
        <s v="A-0260"/>
        <s v="A-0261"/>
        <s v="A-0262"/>
        <s v="A-0263"/>
        <s v="A-0264"/>
        <s v="A-0265"/>
        <s v="A-0266"/>
        <s v="A-0267"/>
        <s v="A-0268"/>
        <s v="A-0269"/>
        <s v="A-0270"/>
        <s v="A-0271"/>
        <s v="A-0272"/>
        <s v="A-0273"/>
        <s v="A-0274"/>
        <s v="A-0275"/>
        <s v="A-0276"/>
        <s v="A-0277"/>
        <s v="A-0278"/>
        <s v="A-0279"/>
        <s v="A-0280"/>
        <s v="A-0281"/>
        <s v="A-0282"/>
        <s v="A-0283"/>
        <s v="A-0284"/>
        <s v="A-0285"/>
        <s v="A-0286"/>
        <s v="A-0287"/>
        <s v="A-0288"/>
        <s v="A-0289"/>
        <s v="A-0290"/>
        <s v="A-0291"/>
        <s v="A-0292"/>
        <s v="A-0293"/>
        <s v="A-0294"/>
        <s v="A-0295"/>
        <s v="A-0296"/>
        <s v="A-0297"/>
        <s v="A-0298"/>
        <s v="A-0299"/>
        <s v="A-0300"/>
        <s v="A-0301"/>
        <s v="A-0302"/>
        <s v="A-0303"/>
        <s v="A-0304"/>
        <s v="A-0305"/>
        <s v="A-0306"/>
        <s v="A-0307"/>
        <s v="A-0308"/>
        <s v="A-0309"/>
        <s v="A-0310"/>
        <s v="A-0311"/>
        <s v="A-0312"/>
        <s v="A-0313"/>
        <s v="A-0314"/>
        <s v="A-0315"/>
        <s v="A-0316"/>
        <s v="A-0317"/>
        <s v="A-0318"/>
        <s v="A-0319"/>
        <s v="A-0320"/>
        <s v="A-0321"/>
        <s v="A-0322"/>
        <s v="A-0323"/>
        <s v="A-0324"/>
        <s v="A-0325"/>
        <s v="A-0326"/>
        <s v="A-0327"/>
        <s v="A-0328"/>
        <s v="A-0329"/>
        <s v="A-0330"/>
        <s v="A-0331"/>
        <s v="A-0332"/>
        <s v="A-0333"/>
        <s v="A-0334"/>
        <s v="A-0335"/>
        <s v="A-0336"/>
        <s v="A-0337"/>
        <s v="A-0338"/>
        <s v="A-0339"/>
        <s v="A-0340"/>
        <s v="A-0341"/>
        <s v="A-0342"/>
        <s v="A-0343"/>
        <s v="A-0344"/>
        <s v="A-0345"/>
        <s v="A-0346"/>
        <s v="A-0347"/>
        <s v="A-0348"/>
        <s v="A-0349"/>
        <s v="A-0350"/>
        <s v="A-0351"/>
        <s v="A-0352"/>
        <s v="A-0353"/>
        <s v="A-0354"/>
        <s v="A-0355"/>
        <s v="A-0356"/>
        <s v="A-0357"/>
        <s v="A-0358"/>
        <s v="A-0359"/>
        <s v="A-0360"/>
        <s v="A-0361"/>
        <s v="A-0362"/>
        <s v="A-0363"/>
        <s v="A-0364"/>
        <s v="A-0365"/>
        <s v="A-0366"/>
        <s v="A-0367"/>
        <s v="A-0368"/>
        <s v="A-0369"/>
        <s v="A-0370"/>
        <s v="A-0371"/>
        <s v="A-0372"/>
        <s v="A-0373"/>
        <s v="A-0374"/>
        <s v="A-0375"/>
        <s v="A-0376"/>
        <s v="A-0377"/>
        <s v="A-0378"/>
        <s v="A-0379"/>
        <s v="A-0380"/>
        <s v="A-0381"/>
        <s v="A-0382"/>
        <s v="A-0383"/>
        <s v="A-0384"/>
        <s v="A-0385"/>
        <s v="A-0386"/>
        <s v="A-0387"/>
        <s v="A-0388"/>
        <s v="A-0389"/>
        <s v="A-0390"/>
        <s v="A-0391"/>
        <s v="A-0392"/>
        <s v="A-0393"/>
        <s v="A-0394"/>
        <s v="A-0395"/>
        <s v="A-0396"/>
        <s v="A-0397"/>
        <s v="A-0398"/>
        <s v="A-0399"/>
        <s v="A-0400"/>
        <s v="A-0401"/>
        <s v="A-0402"/>
        <s v="A-0403"/>
        <s v="A-0404"/>
        <s v="A-0405"/>
        <s v="A-0406"/>
        <s v="A-0407"/>
        <s v="A-0408"/>
        <s v="A-0409"/>
        <s v="A-0410"/>
        <s v="A-0411"/>
        <s v="A-0412"/>
        <s v="A-0413"/>
        <s v="A-0414"/>
        <s v="A-0415"/>
        <s v="A-0416"/>
        <s v="A-0417"/>
        <s v="A-0418"/>
        <s v="A-0419"/>
        <s v="A-0420"/>
        <s v="A-0421"/>
        <s v="A-0422"/>
        <s v="A-0423"/>
        <s v="A-0424"/>
        <s v="A-0425"/>
        <s v="A-0426"/>
        <s v="A-0427"/>
        <s v="A-0428"/>
        <s v="A-0429"/>
        <s v="A-0430"/>
        <s v="A-0431"/>
        <s v="A-0432"/>
        <s v="A-0433"/>
        <s v="A-0434"/>
        <s v="A-0435"/>
        <s v="A-0436"/>
        <s v="A-0437"/>
        <s v="A-0438"/>
        <s v="A-0439"/>
        <s v="A-0440"/>
        <s v="A-0441"/>
        <s v="A-0442"/>
        <s v="A-0443"/>
        <s v="A-0444"/>
        <s v="A-0445"/>
        <s v="A-0446"/>
        <s v="A-0447"/>
        <s v="A-0448"/>
        <s v="A-0449"/>
        <s v="A-0450"/>
        <s v="A-0451"/>
        <s v="A-0452"/>
        <s v="A-0453"/>
        <s v="A-0454"/>
        <s v="A-0455"/>
        <s v="A-0456"/>
        <s v="A-0457"/>
        <s v="A-0458"/>
        <s v="A-0459"/>
        <s v="A-0460"/>
        <s v="A-0461"/>
        <s v="A-0462"/>
        <s v="A-0463"/>
        <s v="A-0464"/>
        <s v="A-0465"/>
        <s v="A-0466"/>
        <s v="A-0467"/>
        <s v="A-0468"/>
        <s v="A-0469"/>
        <s v="A-0470"/>
        <s v="A-0471"/>
        <s v="A-0472"/>
        <s v="A-0473"/>
        <s v="A-0474"/>
        <s v="A-0475"/>
        <s v="A-0476"/>
        <s v="A-0477"/>
        <s v="A-0478"/>
        <s v="A-0479"/>
        <s v="A-0480"/>
        <s v="A-0481"/>
        <s v="A-0482"/>
        <s v="A-0483"/>
        <s v="A-0484"/>
        <s v="A-0485"/>
        <s v="A-0486"/>
        <s v="A-0487"/>
        <s v="A-0488"/>
        <s v="A-0489"/>
        <s v="A-0490"/>
        <s v="A-0491"/>
        <s v="A-0492"/>
        <s v="A-0493"/>
        <s v="A-0494"/>
        <s v="A-0495"/>
        <s v="A-0496"/>
        <s v="A-0497"/>
        <s v="A-0498"/>
        <s v="A-0499"/>
        <s v="A-0500"/>
        <s v="A-0501"/>
        <s v="A-0502"/>
        <s v="A-0503"/>
        <s v="A-0504"/>
        <s v="A-0505"/>
        <s v="A-0506"/>
        <s v="A-0507"/>
        <s v="A-0508"/>
        <s v="A-0509"/>
        <s v="A-0510"/>
        <s v="A-0511"/>
        <s v="A-0512"/>
        <s v="A-0513"/>
        <s v="A-0514"/>
        <s v="A-0515"/>
        <s v="A-0516"/>
        <s v="A-0517"/>
        <s v="A-0518"/>
        <s v="A-0519"/>
        <s v="A-0520"/>
        <s v="A-0521"/>
        <s v="A-0522"/>
        <s v="A-0523"/>
        <s v="A-0524"/>
        <s v="A-0525"/>
        <s v="A-0526"/>
        <s v="A-0527"/>
        <s v="A-0528"/>
        <s v="A-0529"/>
        <s v="A-0530"/>
        <s v="A-0531"/>
        <s v="A-0532"/>
        <s v="A-0533"/>
        <s v="A-0534"/>
        <s v="A-0535"/>
        <s v="A-0536"/>
        <s v="A-0537"/>
        <s v="A-0538"/>
        <s v="A-0539"/>
        <s v="A-0540"/>
        <s v="A-0541"/>
        <s v="A-0542"/>
        <s v="A-0543"/>
        <s v="A-0544"/>
        <s v="A-0545"/>
        <s v="A-0546"/>
        <s v="A-0547"/>
        <s v="A-0548"/>
        <s v="A-0549"/>
        <s v="A-0550"/>
        <s v="A-0551"/>
        <s v="A-0552"/>
        <s v="A-0553"/>
        <s v="A-0554"/>
        <s v="A-0555"/>
        <s v="A-0556"/>
        <s v="A-0557"/>
        <s v="A-0558"/>
        <s v="A-0559"/>
        <s v="A-0560"/>
        <s v="A-0561"/>
        <s v="A-0562"/>
        <s v="A-0563"/>
        <s v="A-0564"/>
        <s v="A-0565"/>
        <s v="A-0566"/>
        <s v="A-0567"/>
        <s v="A-0568"/>
        <s v="A-0569"/>
        <s v="A-0570"/>
        <s v="A-0571"/>
        <s v="A-0572"/>
        <s v="A-0573"/>
        <s v="A-0574"/>
        <s v="A-0575"/>
        <s v="A-0576"/>
        <s v="A-0577"/>
        <s v="A-0578"/>
        <s v="A-0579"/>
        <s v="A-0580"/>
        <s v="A-0581"/>
        <s v="A-0582"/>
        <s v="A-0583"/>
        <s v="A-0584"/>
        <s v="A-0585"/>
        <s v="A-0586"/>
        <s v="A-0587"/>
        <s v="A-0588"/>
        <s v="A-0589"/>
        <s v="A-0590"/>
        <s v="A-0591"/>
        <s v="A-0592"/>
        <s v="A-0593"/>
        <s v="A-0594"/>
        <s v="A-0595"/>
        <s v="A-0596"/>
        <s v="A-0597"/>
        <s v="A-0598"/>
        <s v="A-0599"/>
        <s v="A-0600"/>
        <s v="A-0601"/>
        <s v="A-0602"/>
        <s v="A-0603"/>
        <s v="A-0604"/>
        <s v="A-0605"/>
        <s v="A-0606"/>
        <s v="A-0607"/>
        <s v="A-0608"/>
        <s v="A-0609"/>
        <s v="A-0610"/>
        <s v="A-0611"/>
        <s v="A-0612"/>
        <s v="A-0613"/>
        <s v="A-0614"/>
        <s v="A-0615"/>
        <s v="A-0616"/>
        <s v="A-0617"/>
        <s v="A-0618"/>
        <s v="A-0619"/>
        <s v="A-0620"/>
        <s v="A-0621"/>
        <s v="A-0622"/>
        <s v="A-0623"/>
        <s v="A-0624"/>
        <s v="A-0625"/>
        <s v="A-0626"/>
        <s v="A-0627"/>
        <s v="A-0628"/>
        <s v="A-0629"/>
        <s v="A-0630"/>
        <s v="A-0631"/>
        <s v="A-0632"/>
      </sharedItems>
    </cacheField>
    <cacheField name="Description" numFmtId="0">
      <sharedItems containsBlank="1" count="102">
        <s v="3/8&quot; thick Cast aluminum plate, 28&quot; x 24&quot; "/>
        <s v="3/8&quot; thick T6061 Aluminum plate, 28&quot; x 24&quot; "/>
        <s v="Bearing, Flange F606ZZ, 6mm x 17mm x 6mm "/>
        <s v="uxcell 6063 Aluminum Round Tube 300mm Length 12.7mm OD 6mm Inner Dia Seamless Aluminum Straight Tubing 2 Pcs"/>
        <s v="K &amp; S PRECISION METALS 251 .010x4x10 BRS SHT Metal "/>
        <s v="M6-1.0 x 60mmbutton head  Screw"/>
        <s v="Washer, M6, 304 stainless, OD 12mm, .9mm thick"/>
        <s v="0.9 deg Nema 23 Step Motor Bipolar 1.26Nm(178.4oz.in) 2.8A 4-lead, 6.35 shaft dia"/>
        <s v="uxcell 6063 Aluminum Round Tube 300mm Length 12mm OD 5mm Inner Dia Seamless Aluminum Straight Tubing"/>
        <s v="M5 x 65mm 12.9 Alloy Steel Hex Socket Head Cap Screws Bolt Black"/>
        <s v="_x000a_Machifit 500mm Length MGN15 Linear Rail Guide with MGN15H Linear Rail Block"/>
        <s v="M3-0.5x30mm Socket Head Cap Bolts Screws, 304 Stainless Steel 18-8, Allen Socket Drive, Fully Machine Thread, Bright Finish"/>
        <s v="BALITENSEN 4 pcs 2GT 20 teeth Timing Pulley bore 6.35 for GT2 belt width 10mm for CNC 3D printer(GT2 20teeth) "/>
        <s v="40x80 Aluminum Extrusion - 8 Series, Base 40, 625mm long, both ends tapped, with helicoil inserts"/>
        <s v="M8 x 1.25 socket cap screw, 30mm long"/>
        <s v="400mm MGN12 Linear Rail Guide with MGN12H Carriage Block"/>
        <s v="1/4&quot; cast aluminum plate 3&quot; x 22&quot;"/>
        <s v="M3 Thread T-Nut for 40 Series European Aluminium Profile Hammer Head"/>
        <s v="0.9deg Nema 17 Stepper Motor Bipolar 2A 46Ncm/65oz.in 42x42x48mm 4-Wires DIY CNC"/>
        <s v="8mm T8x2 Lead Screw Trapezoidal ACME w/ Small Delrin Anti-Backlash Nut kit"/>
        <s v="Machifit MGN12C Linear Rail Block for MGN12 Linear Rail Guide"/>
        <s v="M6 x 1.0mm Nylon Inserted Hex Lock Nuts 304 Stainless Steel "/>
        <s v="T6061 Al Angle extrusion 2.5&quot; x 2.5&quot; x .25 thick, 3&quot; long"/>
        <s v="Aluminum angle 2&quot; x 2&quot; x .25&quot; thick, 12&quot; long"/>
        <s v="T 6061 Al Angle extrusion 2&quot; x 2&quot; x .125&quot; 6&quot; aluminum (for side ball mount)"/>
        <s v="M5-0.8 x 16mm Button Head Socket Cap Screws"/>
        <s v="Sliding T Slot Nuts 4040 Series M5 26 Pack T Nuts Carbon Steel"/>
        <s v="M4-0.70 x 14mm Button Head Socket Cap Bolts Screws, 18-8 Stainless Steel, Allen Hex Drive"/>
        <s v="M6 x 65mm Button Head Cap Screws Metric, Grade 12.9 Alloy Steel Black Oxide"/>
        <s v="M5-0.8 X 75MM Socket Head Cap Screws,  Black Oxide Coated Steel"/>
        <s v="M6 Flat/Countersunk Head Socket Screws (M6 x 22mm)"/>
        <s v="M6-1.0 x 35mm Flat Head Socket  Screws"/>
        <s v="M3-0.5x20mm Socket Head Cap Bolts Screws, 304 Stainless Steel 18-8, Allen Socket Drive, Fully Machine Thread, Bright Finish"/>
        <s v="M3 x 0.5mm 304 Stainless Steel Self-Lock Nylon Inserted Hex Lock Nuts,"/>
        <s v="M3x6mmx0.5mm Stainless Steel Flat Washer"/>
        <s v="DIN 319 Ball Knob, .63&quot; diameter, M4 threaded hole"/>
        <s v="1/4&quot; thick Cast aluminum plate, 17&quot; x 19&quot;  Cut from top plate waste)"/>
        <s v="GT2x9 mm Kevlar-reinforced timing belt"/>
        <s v="Polycarbonate sheet (Heat Saver 3-Wall) 10mm, 2' x 2'"/>
        <s v="M4 x 0.7mm 304 Stainless Steel Nylon Lock Nuts"/>
        <s v="M4x12mmx1 mm Stainless Steel Round Flat Washer "/>
        <s v="2020 Series 3-Way End Corner Bracket Connector, with Screws"/>
        <s v="HFS5-2020 aluminum extrusion, 553mm"/>
        <s v="HFS5-2020 aluminum extrusion, 573mm"/>
        <s v="Aluminum angle 2.5&quot; x 2.5&quot; x .25&quot; x 100mm"/>
        <s v="HFS5-2020 aluminum extrusion, 200mm"/>
        <s v="Lexan Sheet - Polycarbonate - .236&quot; - 1/4&quot; Thick, Clear, 24&quot; x 12&quot;"/>
        <s v="350 X 350mm(Approx. 14&quot; x 14&quot;), 110V 800W, with 3M PSA &amp; NTC 100K thermistor, KEENOVO Silicone Heater Mat/Pad, Huge Large 3D Printer HeatBed Build Plate Heater "/>
        <s v="Printer 3D Parts, FYSETC 12&quot; x 12&quot; x 0.3&quot; 3D Printer Heated Bed Insulation Lightweight Foam Foil Self-Adhesive Insulation Mat "/>
        <s v="350 x 350mm Flex Spring Steel Sheet Pre-Applied PEI"/>
        <s v="Redrex Dual Drive BMG Bowden Extruder High Performance Upgrading Parts (no motor)"/>
        <s v="Usongshine Nema 17 Stepper Motor Bipolar Step Motor for Titan Extruder 3D Printer 4.1V 1A 13Ncm"/>
        <s v="Mellow All Metal NF-Crazy Hotend V6 Copper Nozzle For Ender 3 CR10 Prusa I3 MK3S Alfawise Titan/Bmg Extruder 3D Printer Part"/>
        <s v="Cloned Duet 2 Wifi V1.04 DuetWifi Advanced 32 Bit Electronics "/>
        <s v="Cloned Duex5 Expansion Board Controller With TMC2660 Stepper Motor Driver Fit Thermocouple PT100 VS Duet 2 Wifi 3D Printer Parts"/>
        <s v="EAGWELL 24v 15a DC Universal Regulated Switching Power Supply 360w"/>
        <s v="Inkbird Solid State Relay 40DA DC SSR Black Heat Sink for PID Thermostat Temperature Controller"/>
        <s v="500mm T10 Lead Screw and Brass Nut Kit (Acme Thread, 2mm Pitch, 1 Start), with nut"/>
        <s v="Flexible Couplings 5mm to 8mm NEMA 17 Shaft Coupler"/>
        <s v="M4 x 10mm Alloy Steel Hex Bolt Socket Head Cap Screws "/>
        <s v="M5x10mmx1mm Stainless Steel Metric Round Flat Washer"/>
        <s v="M6 x 25mm button head screw"/>
        <s v="Aluminum bar .75 square, 12&quot; long"/>
        <s v="Aluminum plate (T6061).25 thick, 12&quot; x 5&quot; "/>
        <s v="M4 x 20mm Metric Hex Socket Countersunk Head Screw"/>
        <s v="Aluminum plate (T6061).25 thick, 4&quot; x 16&quot; "/>
        <s v="Aluminum angle 2&quot; x 1&quot; x .125 thick, 12&quot; long "/>
        <s v="12mm Diameter M5 Steel Threaded ball"/>
        <s v="1/2&quot; x 1/8&quot; Disc - SmCo - Samarium Cobalt Rare Earth Magnet, Grade N30"/>
        <s v="M8  flat washers, Stainless steel 18-8"/>
        <s v="SSR Thermal Pad"/>
        <s v="Cloned 7i PanelDue Touch Screen Controller For BLV MGN Cube"/>
        <s v="Heated Bed 10K Lug Ring Thermistor (PN NTC/BC2891-ND)"/>
        <s v="SSR Protective cover"/>
        <s v="NEMA 11 Stepper with gearing"/>
        <s v="Mechanical limit switch ( SS0750300F070P1A )"/>
        <s v="E3D High Precision Ceramic Heater Cartridge 24V 30W "/>
        <s v="FYSETC 3D Printer Ender 3 Parts 4010 DC 24V Cooling Fan"/>
        <s v="Cooling Fan for 3D Printer, 4020 DC 40×40×20mm Turbo Fan"/>
        <s v="Hotend thermistor"/>
        <s v="Z-height sensor"/>
        <s v=" AC 115/250VAC 10A Noise Suppressing Power Entry Module"/>
        <s v="AC Power cord"/>
        <s v="Dual Row 4 Position Covered Screw Terminal Strip 600V 25A"/>
        <s v="microswitch  (bridge)"/>
        <s v="Quick Disconnect Terminal, 0.25in x 0.032in, 14-16 AWG (Power Entry Module)"/>
        <s v="Ring Terminal Crimp Connector (24 VDC Terminals)"/>
        <s v="White Stranded #16 Insulated Wire (120VAC &amp; 24 VDC Distribution)(25 Feet)"/>
        <s v="Black Stranded #16 Insulated Wire (120VAC Distribution)(25 Feet)"/>
        <s v="Green Stranded #16 Insulated Wire (120VAC Distribution)(25 Feet)"/>
        <s v="Red Insulated Stranded #16 Wire (24 VDC Distribution)(25 Feet)"/>
        <s v="White Stranded #26 Insulated Wire (Thermistor, Limit Switches)(100 Feet)"/>
        <s v="4&quot; zip ties"/>
        <s v="Tie Mount 0.75 Inch 20mm Black Samll Squares Adhesive Mounting"/>
        <s v="1/4 inch PET Expandable Braided Sleeving – Black 25 ft"/>
        <s v="1/2 inch PET Expandable Braided Sleeving – Black 25 ft"/>
        <s v="RGB Wire Line Cord 22AWG 4pin 22 Gauge - 20M"/>
        <m/>
        <s v="Cloned Duet 2 Wifi V1.04 DuetWifi Advanced 32 Bit Electronics With 4.3&quot; 5&quot; 7&quot; PanelDue Touch Screen Controller" u="1"/>
        <s v="500mm MGN12 Linear Rail Guide with MGN12H Carriage Block" u="1"/>
        <s v="406 x 406mm Flex Spring Steel Sheet Pre-Applied PEI" u="1"/>
        <s v="Wisamic Silicone Rubber Heater 310x310mm 120V 750W, with 3M Tape Screw Holes for 3D Printer CR-10 CR-10S S3" u="1"/>
      </sharedItems>
    </cacheField>
    <cacheField name="Supplier" numFmtId="0">
      <sharedItems containsBlank="1" count="16">
        <s v="midwest steel supply"/>
        <s v="Amazon.com"/>
        <s v="bolt depot"/>
        <s v="banggood"/>
        <s v="misumi"/>
        <s v="zyltech"/>
        <s v="online metals "/>
        <s v="jjwinco.com"/>
        <s v="reprapworld.com"/>
        <s v="Charleys grenhouse"/>
        <s v="aliexpress"/>
        <s v="ebay"/>
        <s v="digikey"/>
        <m/>
        <s v="mcmaster-carr"/>
        <s v="online metals" u="1"/>
      </sharedItems>
    </cacheField>
    <cacheField name="Cost " numFmtId="44">
      <sharedItems containsString="0" containsBlank="1" containsNumber="1" minValue="0" maxValue="106.51" count="104">
        <n v="100.6"/>
        <n v="1.349"/>
        <n v="1.6983333333333333E-2"/>
        <n v="0.21949999999999997"/>
        <n v="0.51"/>
        <n v="4.045E-2"/>
        <n v="35.18"/>
        <n v="3.3633333333333335E-2"/>
        <n v="0.35"/>
        <n v="26.94"/>
        <n v="9.1499999999999998E-2"/>
        <n v="2.875"/>
        <n v="38.68"/>
        <n v="0.24"/>
        <n v="16.989999999999998"/>
        <n v="0"/>
        <n v="0.2266"/>
        <n v="21.5"/>
        <n v="16.95"/>
        <n v="8.99"/>
        <n v="4.9500000000000002E-2"/>
        <n v="3.6875"/>
        <n v="0.62583333333333335"/>
        <n v="2.2949999999999999"/>
        <n v="0.12"/>
        <n v="0.31115384615384617"/>
        <n v="8.8900000000000007E-2"/>
        <n v="0.37"/>
        <n v="0.44"/>
        <n v="0.18"/>
        <n v="0.2"/>
        <n v="5.8600000000000006E-2"/>
        <n v="3.1899999999999998E-2"/>
        <n v="1.1000000000000001E-2"/>
        <n v="5.69"/>
        <n v="2.2000000000000002"/>
        <n v="12.5"/>
        <n v="3.6000000000000004E-2"/>
        <n v="1.2500000000000001E-2"/>
        <n v="2.7475000000000001"/>
        <n v="3.48"/>
        <n v="3.6"/>
        <n v="4.083333333333333"/>
        <n v="3.03"/>
        <n v="34.1"/>
        <n v="17.05"/>
        <n v="69.989999999999995"/>
        <n v="10.99"/>
        <n v="43.37"/>
        <n v="23.99"/>
        <n v="9.98"/>
        <n v="59.2"/>
        <n v="73.959999999999994"/>
        <n v="72"/>
        <n v="28.68"/>
        <n v="13.99"/>
        <n v="20.99"/>
        <n v="3.95"/>
        <n v="0.1"/>
        <n v="1.77E-2"/>
        <n v="0.16"/>
        <n v="0.36076923076923079"/>
        <n v="14.78"/>
        <n v="0.1198"/>
        <n v="11.94"/>
        <m/>
        <n v="1.49"/>
        <n v="1.097"/>
        <n v="0.08"/>
        <n v="1.33"/>
        <n v="63.64"/>
        <n v="3.01"/>
        <n v="5.0999999999999996"/>
        <n v="1.1000000000000001"/>
        <n v="17.98"/>
        <n v="5.4950000000000001"/>
        <n v="4.6950000000000003"/>
        <n v="14.99"/>
        <n v="6.15"/>
        <n v="2.4700000000000002"/>
        <n v="1.5816666666666668"/>
        <n v="0.27599999999999997"/>
        <n v="0.16999999999999998"/>
        <n v="6.8875000000000002"/>
        <n v="9.02"/>
        <n v="2.9950000000000001E-2"/>
        <n v="8.9900000000000008E-2"/>
        <n v="6.81"/>
        <n v="6.93"/>
        <n v="8.6999999999999993"/>
        <n v="8.85" u="1"/>
        <n v="22.99" u="1"/>
        <n v="69.08" u="1"/>
        <n v="48.96" u="1"/>
        <n v="88.99" u="1"/>
        <n v="25.91" u="1"/>
        <n v="106.51" u="1"/>
        <n v="65.510000000000005" u="1"/>
        <n v="2.84" u="1"/>
        <n v="39.99" u="1"/>
        <n v="46.71" u="1"/>
        <n v="30.5" u="1"/>
        <n v="8.5500000000000007" u="1"/>
        <n v="1.798" u="1"/>
      </sharedItems>
    </cacheField>
    <cacheField name="shipping" numFmtId="44">
      <sharedItems containsString="0" containsBlank="1" containsNumber="1" minValue="0" maxValue="30.925000000000001" count="44">
        <n v="21.015000000000001"/>
        <n v="0"/>
        <n v="0.13379249835490237"/>
        <n v="9.1818381223952583E-2"/>
        <n v="2.4003948234261892E-2"/>
        <n v="5.5233333333333334"/>
        <n v="6.2961175696424634E-2"/>
        <n v="2.99"/>
        <n v="3.3617499999999993"/>
        <n v="1.2985742487387581E-2"/>
        <n v="0.75"/>
        <n v="0.25"/>
        <n v="2.0677949999999998"/>
        <n v="3.1480587848212317E-2"/>
        <n v="9.7065145865321306E-2"/>
        <n v="0.11542882211011184"/>
        <n v="4.7220881772318472E-2"/>
        <n v="5.2467646413687202E-2"/>
        <n v="1.537302039921035E-2"/>
        <n v="8.3685896029831071E-3"/>
        <n v="2.8857205527527963E-3"/>
        <n v="1"/>
        <n v="4.8600000000000003"/>
        <n v="5"/>
        <n v="9.4441763544636965E-3"/>
        <n v="3.2792279008554501E-3"/>
        <n v="1.25"/>
        <n v="3.16"/>
        <n v="15"/>
        <n v="0.78341666666666665"/>
        <n v="2.6233823206843601E-2"/>
        <n v="4.643386707611317E-3"/>
        <n v="4.1974117130949756E-2"/>
        <n v="3"/>
        <n v="2"/>
        <n v="2.0987058565474878E-2"/>
        <n v="1.7784"/>
        <n v="0.19871999999999998"/>
        <n v="0.12239999999999998"/>
        <n v="1.48"/>
        <m/>
        <n v="30.925000000000001" u="1"/>
        <n v="6" u="1"/>
        <n v="10" u="1"/>
      </sharedItems>
    </cacheField>
    <cacheField name="Tax" numFmtId="44">
      <sharedItems containsSemiMixedTypes="0" containsString="0" containsNumber="1" minValue="0" maxValue="8.0091000000000001" count="95">
        <n v="0"/>
        <n v="0.12140999999999999"/>
        <n v="1.5284999999999999E-3"/>
        <n v="1.9754999999999998E-2"/>
        <n v="5.7946918183812028E-2"/>
        <n v="3.6404999999999996E-3"/>
        <n v="3.1661999999999999"/>
        <n v="3.0270000000000002E-3"/>
        <n v="3.9767492871243551E-2"/>
        <n v="3.0609607370037182"/>
        <n v="1.03963588506251E-2"/>
        <n v="0.25874999999999998"/>
        <n v="2.7269137968852719E-2"/>
        <n v="2.0393999999999999E-2"/>
        <n v="1.9349999999999998"/>
        <n v="1.5254999999999999"/>
        <n v="5.6242597060758735E-3"/>
        <n v="0.33187499999999998"/>
        <n v="5.6325E-2"/>
        <n v="0.39265155000000002"/>
        <n v="1.363456898442636E-2"/>
        <n v="2.8003846153846153E-2"/>
        <n v="8.0010000000000012E-3"/>
        <n v="4.2039921035314613E-2"/>
        <n v="4.9993419609563321E-2"/>
        <n v="2.0451853476639539E-2"/>
        <n v="2.2724281640710602E-2"/>
        <n v="6.6582145207282062E-3"/>
        <n v="3.6245229216933404E-3"/>
        <n v="1.2498354902390832E-3"/>
        <n v="0.5121"/>
        <n v="0.19800000000000001"/>
        <n v="1.125"/>
        <n v="4.0903706953279084E-3"/>
        <n v="1.4202676025444126E-3"/>
        <n v="0.24727499999999999"/>
        <n v="0.31319999999999998"/>
        <n v="0.32400000000000001"/>
        <n v="0.36749999999999994"/>
        <n v="0.2727"/>
        <n v="3.069"/>
        <n v="1.5345"/>
        <n v="6.3"/>
        <n v="0.98909999999999998"/>
        <n v="3.9032999999999998"/>
        <n v="2.1590999999999996"/>
        <n v="0.8982"/>
        <n v="5.62"/>
        <n v="6.48"/>
        <n v="2.5811999999999999"/>
        <n v="1.2590999999999999"/>
        <n v="1.8890999999999998"/>
        <n v="0.35549999999999998"/>
        <n v="1.1362140820355301E-2"/>
        <n v="2.0110989252028881E-3"/>
        <n v="1.8179425312568481E-2"/>
        <n v="3.2469230769230771E-2"/>
        <n v="1.3301999999999998"/>
        <n v="1.0782E-2"/>
        <n v="1.0746"/>
        <n v="0.1341"/>
        <n v="9.0897126562842403E-3"/>
        <n v="0.1197"/>
        <n v="0.27089999999999997"/>
        <n v="0.45899999999999996"/>
        <n v="9.9000000000000005E-2"/>
        <n v="1.6182000000000001"/>
        <n v="0.49454999999999999"/>
        <n v="0.42255000000000004"/>
        <n v="1.3491"/>
        <n v="0.55349999999999999"/>
        <n v="0.38038000000000005"/>
        <n v="0.14235"/>
        <n v="4.2503999999999993E-2"/>
        <n v="2.6179999999999998E-2"/>
        <n v="0.61987499999999995"/>
        <n v="7.47"/>
        <n v="2.6955E-3"/>
        <n v="8.091000000000001E-3"/>
        <n v="0.61289999999999989"/>
        <n v="0.62369999999999992"/>
        <n v="0.78299999999999992"/>
        <n v="2.4839999999999997E-2" u="1"/>
        <n v="0.81179999999999997" u="1"/>
        <n v="3.5991" u="1"/>
        <n v="0.76950000000000007" u="1"/>
        <n v="1.5299999999999998E-2" u="1"/>
        <n v="2.0690999999999997" u="1"/>
        <n v="4.2039" u="1"/>
        <n v="0.79649999999999999" u="1"/>
        <n v="3.4654529502083666" u="1"/>
        <n v="0.2223" u="1"/>
        <n v="0.25559999999999999" u="1"/>
        <n v="8.0091000000000001" u="1"/>
        <n v="0.16181999999999999" u="1"/>
      </sharedItems>
    </cacheField>
    <cacheField name="Web-link" numFmtId="0">
      <sharedItems containsBlank="1" count="90" longText="1">
        <s v="https://www.midweststeelsupply.com/store/castaluminumplateatp5"/>
        <s v="https://www.amazon.com/gp/product/B07P3HNCCK"/>
        <s v="https://www.amazon.com/uxcell-Aluminum-12-13mm-Seamless-Straight/dp/B07YCHFN8F"/>
        <s v="https://www.amazon.com/PRECISION-METALS-251-010x4x10-Metal/dp/B004QB5Y3C"/>
        <s v="https://www.boltdepot.com/Product-Details.aspx?product=6653"/>
        <s v="https://www.amazon.com/gp/product/B018TG8B8E"/>
        <s v="https://www.amazon.com/STEPPERONLINE-Bipolar-1-26Nm-178-4oz-4-lead/dp/B07DV91Z2M"/>
        <s v="https://www.amazon.com/uxcell-Aluminum-12-13mm-Seamless-Straight/dp/B07YCGPLHV"/>
        <s v="https://www.boltdepot.com/Product-Details.aspx?product=6532"/>
        <s v="https://www.banggood.com/Machifit-500mm-Length-MGN15-Linear-Rail-Guide-with-MGN15H-Linear-Rail-Block-CNC-Tool-p-1239196.html?akmClientCountry=America&amp;cur_warehouse=US"/>
        <s v="https://www.boltdepot.com/Product-Details.aspx?product=13641"/>
        <s v="https://www.amazon.com/BALITENSEN-Timing-Pulley-printer-20teeth/dp/B079BNZDRZ"/>
        <s v="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"/>
        <s v="https://www.boltdepot.com/Product-Details.aspx?product=6563"/>
        <s v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"/>
        <s v="https://www.amazon.com/gp/product/B07CN161T5"/>
        <s v="https://www.amazon.com/gp/product/B00W9A2L3S"/>
        <s v="http://www.zyltech.com/8mm-t8x2-lead-screw-trapezoidal-acme-w-small-delrin-anti-backlash-nut-kit-custom-length-up-to-1000mm/"/>
        <s v="https://www.banggood.com/Machifit-MGN12C-Linear-Rail-Block-for-MGN12-Linear-Rail-Guide-CNC-Tool-p-1240120.html?rmmds=search&amp;cur_warehouse=CN"/>
        <s v="https://www.boltdepot.com/Product-Details.aspx?product=4795"/>
        <m/>
        <s v="https://www.onlinemetals.com/en/buy/angle?q=%3Aname-asc%3AAlloy%3A6061&amp;checkbox=on&amp;sort=name-asc#"/>
        <s v="https://www.boltdepot.com/Product-Details.aspx?product=13345"/>
        <s v="https://www.amazon.com/dp/B082F7B1QH"/>
        <s v="https://www.amazon.com/M4-0-70-Button-Stainless-Fullerkreg-Plastic/dp/B07H14FRRB"/>
        <s v="https://www.boltdepot.com/Product-Details.aspx?product=18967"/>
        <s v="https://www.boltdepot.com/Product-Details.aspx?product=6534"/>
        <s v="https://www.boltdepot.com/Product-Details.aspx?product=13282"/>
        <s v="https://www.boltdepot.com/Product-Details.aspx?product=13284"/>
        <s v="https://www.boltdepot.com/Product-Details.aspx?product=13639"/>
        <s v="https://www.boltdepot.com/Product-Details.aspx?product=4792"/>
        <s v="https://www.boltdepot.com/Product-Details.aspx?product=4513"/>
        <s v="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"/>
        <s v="https://reprapworld.com/products/mechanical/timing_belts/gt2x9_mm_kevlar_reinforced_timing_belt_per_meter/"/>
        <s v="http://www.charleysgreenhouse.com/B12900204-Heat-Saver-3-Wall-10mm---2--39-x-4--39.htm"/>
        <s v="https://www.boltdepot.com/Product-Details.aspx?product=4793"/>
        <s v="https://www.boltdepot.com/Product-Details.aspx?product=4514"/>
        <s v="https://www.amazon.com/PZRT-Connector-Standard-Aluminum-Extrusion/dp/B07BMQZZ2M"/>
        <s v="https://us.misumi-ec.com/vona2/detail/110302683830/?ProductCode=HFS5-2020-200"/>
        <s v="https://www.onlinemetals.com/en/buy/aluminum-angle"/>
        <s v="https://www.amazon.com/Lexan-Sheet-Polycarbonate-Thick-Nominal/dp/B006JP5MXK"/>
        <s v="ebay"/>
        <s v="https://www.amazon.com/FYSETC-Insulation-Lightweight-Self-Adhesive-Ultimaker/dp/B07DWPYQDS"/>
        <s v="https://www.aliexpress.com/item/33058930261.html"/>
        <s v="https://www.amazon.com/Redrex-Extruder-Performance-Upgrading-Geeetech/dp/B07QPWWYYK"/>
        <s v="https://www.amazon.com/Usongshine-Stepper-Bipolar-Extruder-17HS4023/dp/B07TY4BFF2"/>
        <s v="https://www.aliexpress.com/item/4000088018308.html"/>
        <s v="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"/>
        <s v="https://www.aliexpress.com/item/4000068939919.html?spm=a2g0o.productlist.0.0.60cdf6bfD6T9rj&amp;algo_pvid=37f494a7-798b-40f4-ba9c-827b942e8aa4&amp;algo_expid=37f494a7-798b-40f4-ba9c-827b942e8aa4-17&amp;btsid=0ab6f82315837918434874489e3a13&amp;ws_ab_test=searchweb0_0,searchweb201602_,searchweb201603_"/>
        <s v="https://www.amazon.com/EAGWELL-Universal-Regulated-Switching-Computer/dp/B01IOK5FM0"/>
        <s v="https://www.amazon.com/dp/B01MCWO35P"/>
        <s v="https://www.amazon.com/ReliaBot-500mm-Thread-Printer-Machine/dp/B07PVJS888"/>
        <s v="http://www.zyltech.com/flexible-plum-coupler-shaft-various-combinations-from-5mm-to-12-7mm/"/>
        <s v="https://www.boltdepot.com/Product-Details.aspx?product=6506"/>
        <s v="https://www.boltdepot.com/Product-Details.aspx?product=4515"/>
        <s v="https://www.boltdepot.com/Product-Details.aspx?product=13353"/>
        <s v="https://www.onlinemetals.com/en/buy/aluminum-square-bar"/>
        <s v="https://www.amazon.com/Uxcell-a15100700ux0263-Metric-Socket-Countersunk/dp/B018RSSVJS"/>
        <s v="https://www.aliexpress.com/item/32829474364.html?spm=a2g0o.detail.1000060.1.24dd1a2fCW9QQG&amp;gps-id=pcDetailBottomMoreThisSeller&amp;scm=1007.13339.146401.0&amp;scm_id=1007.13339.146401.0&amp;scm-url=1007.13339.146401.0&amp;pvid=fb0378aa-b2ee-493b-bc08-703f824f9585"/>
        <s v="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"/>
        <s v="https://www.boltdepot.com/Product-Details.aspx?product=4518"/>
        <s v="https://www.digikey.com/product-detail/en/sensata-crydom/HSP-2/CC1810-ND/2638648"/>
        <s v="https://www.aliexpress.com/item/32896949230.html?src=google&amp;src=google&amp;albch=shopping&amp;acnt=494-037-"/>
        <s v="https://www.digikey.com/product-detail/en/vishay-bc-components/NTCALUG01A103F/BC2891-ND/4896928"/>
        <s v="https://www.digikey.com/product-detail/en/sensata-crydom/KS-100/CC1070-ND/140630"/>
        <s v="https://www.digikey.com/product-detail/en/e-switch/SS0750300F070P1A/SS0750300F070P1A-ND/3778167"/>
        <s v="https://www.filamentone.com/products/e3d-high-precision-ceramic-heater-cartridge-24v-30w?variant=12349726064734&amp;currency=USD&amp;utm_campaign=gs-2019-09-12&amp;utm_source=google&amp;utm_medium=smart_campaign&amp;gclid=EAIaIQobChMI04nqsJnZ5wIVtB-tBh2dPQnKEAQYAiABEgKLIPD_BwE"/>
        <s v="https://www.amazon.com/FYSETC-Printer-Extruder-Radiator-Creality/dp/B07TFFZ2BW"/>
        <s v="https://www.amazon.com/Zerone-Cooling-Printer-40×40×20mm-Accessories/dp/B07K7CB9Q6"/>
        <s v="https://www.amazon.com/Suppressor-Single-Phase-Line-Conditioner-JREle-CW2B-10A-T/dp/B073RLXRPB"/>
        <s v="https://www.amazon.com/10-Standard-Computer-Power-Cord/dp/B0002GRUIM"/>
        <s v="https://www.digikey.com/product-detail/en/te-connectivity-amp-connectors/1546306-4/A98505-ND/1277415"/>
        <s v="https://www.amazon.com/gp/product/B07PCN6T6F"/>
        <s v="https://www.digikey.com/product-detail/en/molex/0190160043/WM6911CT-ND/3044913"/>
        <s v="https://www.digikey.com/product-detail/en/3m/12-10/3M156232-ND/3837440"/>
        <s v="https://www.amazon.com/Remington-Industries-16UL1007STRKIT-Stranded-Diameter/dp/B00N51OJJ4"/>
        <s v="https://www.mcmaster.com/8054t11-8054T053"/>
        <s v="https://www.amazon.com/dp/B07ZWTT9BH"/>
        <s v="https://www.amazon.com/Adhesive-Pieces-perfect-Management-Durability-Pro-grade/dp/B07NYNVHZY"/>
        <s v="https://www.amazon.com/gp/product/B071JH14WZ"/>
        <s v="https://www.amazon.com/gp/product/B071ZV6MZ2"/>
        <s v="https://www.amazon.com/CARLITS-Connector-Electric-Conductor-Extension/dp/B07R7V4Z9Q"/>
        <s v="https://www.banggood.com/Machifit-500mm-Length-MGN15-Linear-Rail-Guide-with-MGN15H-Linear-Rail-Block-CNC-Tool-p-1239196.html?cur_warehouse=CN" u="1"/>
        <s v="https://www.amazon.com/FYSETC-Controller-Expansion-Thermocouple-Daughter/dp/B07SST65HQ" u="1"/>
        <s v="https://www.banggood.com/Machifit-500mm-Length-MGN15-Linear-Rail-Guide-with-MGN15H-Linear-Rail-Block-CNC-Tool-p-1239196.html?akmClientCountry=America&amp;cur_warehouse=CN" u="1"/>
        <s v="https://www.amazon.com/URBEST5-Position-Covered-Screw-Terminal/dp/B01CG2HI0E" u="1"/>
        <s v="https://smile.amazon.com/approx-thermistor-KEENOVO-Silicone-Printer/dp/B011U919UO" u="1"/>
        <s v="https://www.amazon.com/Wisamic-310x310mm-Silicone-Rubber-Printer/dp/B07C7KBGBB" u="1"/>
        <s v="https://www.amazon.com/Miniature-Guide-Slide-Linear-Sliding/dp/B0797PM8XJ" u="1"/>
        <s v="https://www.digikey.com/product-detail/en/omron-electronics-inc-emc-div/D2HW-C201H/SW1153-ND/1811903" u="1"/>
      </sharedItems>
    </cacheField>
    <cacheField name="Minimum order quantity" numFmtId="0">
      <sharedItems containsString="0" containsBlank="1" containsNumber="1" containsInteger="1" minValue="1" maxValue="300"/>
    </cacheField>
    <cacheField name="Comments" numFmtId="0">
      <sharedItems containsBlank="1" longText="1"/>
    </cacheField>
    <cacheField name="extended quantity" numFmtId="1">
      <sharedItems containsSemiMixedTypes="0" containsString="0" containsNumber="1" minValue="0" maxValue="353" count="22">
        <n v="1"/>
        <n v="28"/>
        <n v="313.8"/>
        <n v="14"/>
        <n v="4"/>
        <n v="36"/>
        <n v="2"/>
        <n v="353"/>
        <n v="5"/>
        <n v="65"/>
        <n v="3"/>
        <n v="12"/>
        <n v="39"/>
        <n v="22"/>
        <n v="0"/>
        <n v="8"/>
        <n v="9"/>
        <n v="20"/>
        <n v="46"/>
        <n v="6"/>
        <n v="30"/>
        <n v="10"/>
      </sharedItems>
    </cacheField>
    <cacheField name="Ideal cost" numFmtId="2">
      <sharedItems containsSemiMixedTypes="0" containsString="0" containsNumber="1" minValue="0" maxValue="150.0048036850186"/>
    </cacheField>
    <cacheField name="propose to buy now" numFmtId="2">
      <sharedItems containsBlank="1" count="3">
        <s v=""/>
        <m/>
        <s v="x"/>
      </sharedItems>
    </cacheField>
    <cacheField name="Quantity purchased" numFmtId="2">
      <sharedItems containsString="0" containsBlank="1" containsNumber="1" containsInteger="1" minValue="0" maxValue="600"/>
    </cacheField>
    <cacheField name="Quantity donated" numFmtId="2">
      <sharedItems containsString="0" containsBlank="1" containsNumber="1" containsInteger="1" minValue="1" maxValue="600" count="8">
        <m/>
        <n v="20"/>
        <n v="15"/>
        <n v="36"/>
        <n v="600"/>
        <n v="3"/>
        <n v="1"/>
        <n v="12"/>
      </sharedItems>
    </cacheField>
    <cacheField name="quantity on-hand" numFmtId="1">
      <sharedItems containsSemiMixedTypes="0" containsString="0" containsNumber="1" containsInteger="1" minValue="0" maxValue="600" count="25">
        <n v="1"/>
        <n v="20"/>
        <n v="314"/>
        <n v="15"/>
        <n v="4"/>
        <n v="36"/>
        <n v="2"/>
        <n v="353"/>
        <n v="5"/>
        <n v="65"/>
        <n v="3"/>
        <n v="12"/>
        <n v="0"/>
        <n v="39"/>
        <n v="22"/>
        <n v="8"/>
        <n v="9"/>
        <n v="46"/>
        <n v="6"/>
        <n v="30"/>
        <n v="10"/>
        <n v="100" u="1"/>
        <n v="600" u="1"/>
        <n v="50" u="1"/>
        <n v="26" u="1"/>
      </sharedItems>
    </cacheField>
    <cacheField name="Ideal cost of parts on hand" numFmtId="44">
      <sharedItems containsSemiMixedTypes="0" containsString="0" containsNumber="1" minValue="0" maxValue="150.0048036850186"/>
    </cacheField>
    <cacheField name="Quantity on order" numFmtId="1">
      <sharedItems containsString="0" containsBlank="1" containsNumber="1" containsInteger="1" minValue="0" maxValue="100" count="12">
        <n v="0"/>
        <m/>
        <n v="100" u="1"/>
        <n v="50" u="1"/>
        <n v="12" u="1"/>
        <n v="26" u="1"/>
        <n v="3" u="1"/>
        <n v="8" u="1"/>
        <n v="4" u="1"/>
        <n v="2" u="1"/>
        <n v="1" u="1"/>
        <n v="10" u="1"/>
      </sharedItems>
    </cacheField>
    <cacheField name="Ideal cost of parts on order" numFmtId="44">
      <sharedItems containsSemiMixedTypes="0" containsString="0" containsNumber="1" containsInteger="1" minValue="0" maxValue="0"/>
    </cacheField>
    <cacheField name="Quantity  to  purchase" numFmtId="1">
      <sharedItems containsSemiMixedTypes="0" containsString="0" containsNumber="1" containsInteger="1" minValue="0" maxValue="200" count="13">
        <n v="0"/>
        <n v="10"/>
        <n v="1"/>
        <n v="5"/>
        <n v="40"/>
        <n v="2"/>
        <n v="200"/>
        <n v="100"/>
        <n v="6" u="1"/>
        <n v="50" u="1"/>
        <n v="3" u="1"/>
        <n v="8" u="1"/>
        <n v="4" u="1"/>
      </sharedItems>
    </cacheField>
    <cacheField name="leftover material" numFmtId="1">
      <sharedItems containsSemiMixedTypes="0" containsString="0" containsNumber="1" minValue="-1" maxValue="286.2"/>
    </cacheField>
    <cacheField name="Remaining ideal cost" numFmtId="44">
      <sharedItems containsSemiMixedTypes="0" containsString="0" containsNumber="1" minValue="0" maxValue="63.64"/>
    </cacheField>
    <cacheField name="Remaining Extended cost" numFmtId="44">
      <sharedItems containsSemiMixedTypes="0" containsString="0" containsNumber="1" minValue="0" maxValue="63.64"/>
    </cacheField>
    <cacheField name="Cost of excess material" numFmtId="44">
      <sharedItems containsSemiMixedTypes="0" containsString="0" containsNumber="1" minValue="-1.4497" maxValue="9.7011090000000006"/>
    </cacheField>
    <cacheField name="Actual cost" numFmtId="44">
      <sharedItems containsString="0" containsBlank="1" containsNumber="1" minValue="0" maxValue="132.61000000000001"/>
    </cacheField>
    <cacheField name="Order date" numFmtId="14">
      <sharedItems containsNonDate="0" containsDate="1" containsString="0" containsBlank="1" minDate="2020-02-13T00:00:00" maxDate="2020-08-06T00:00:00" count="10">
        <d v="2020-03-09T00:00:00"/>
        <m/>
        <d v="2020-02-14T00:00:00"/>
        <d v="2020-02-21T00:00:00"/>
        <d v="2020-02-29T00:00:00"/>
        <d v="2020-02-15T00:00:00"/>
        <d v="2020-02-16T00:00:00"/>
        <d v="2020-02-13T00:00:00"/>
        <d v="2020-08-05T00:00:00"/>
        <d v="2020-03-05T00:00:00"/>
      </sharedItems>
    </cacheField>
    <cacheField name="Due date" numFmtId="14">
      <sharedItems containsDate="1" containsBlank="1" containsMixedTypes="1" minDate="2020-02-24T00:00:00" maxDate="2020-03-24T00:00:00" count="12">
        <d v="2020-03-20T00:00:00"/>
        <m/>
        <d v="2020-02-24T00:00:00"/>
        <s v="3/13 - 4/1"/>
        <d v="2020-02-28T00:00:00"/>
        <d v="2020-03-23T00:00:00"/>
        <d v="2020-03-15T00:00:00"/>
        <d v="2020-03-07T00:00:00"/>
        <s v="4/3 - 4/29" u="1"/>
        <s v="ship on 2/22" u="1"/>
        <s v="2/26 - 3/2" u="1"/>
        <s v="shipped 2/22" u="1"/>
      </sharedItems>
    </cacheField>
    <cacheField name="received date" numFmtId="14">
      <sharedItems containsNonDate="0" containsDate="1" containsString="0" containsBlank="1" minDate="2020-02-18T00:00:00" maxDate="2020-08-18T00:00:00"/>
    </cacheField>
    <cacheField name="comments2" numFmtId="44">
      <sharedItems containsBlank="1"/>
    </cacheField>
    <cacheField name="Buy-now costs" numFmtId="44">
      <sharedItems containsSemiMixedTypes="0" containsString="0" containsNumber="1" minValue="0" maxValue="137.435" count="22">
        <n v="0"/>
        <n v="57.8" u="1"/>
        <n v="12.382399999999999" u="1"/>
        <n v="9.799100000000001" u="1"/>
        <n v="96.435000000000002" u="1"/>
        <n v="9.8317999999999994" u="1"/>
        <n v="1.853" u="1"/>
        <n v="4.6287799999999999" u="1"/>
        <n v="79.08" u="1"/>
        <n v="137.435" u="1"/>
        <n v="3.1857999999999995" u="1"/>
        <n v="3.0083999999999995" u="1"/>
        <n v="16.339100000000002" u="1"/>
        <n v="67.930905900416732" u="1"/>
        <n v="76.692399999999992" u="1"/>
        <n v="2.6923000000000004" u="1"/>
        <n v="58.96" u="1"/>
        <n v="60.001921474007439" u="1"/>
        <n v="6.7035" u="1"/>
        <n v="5.1722399999999986" u="1"/>
        <n v="7.5073749999999997" u="1"/>
        <n v="12.349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x v="0"/>
    <x v="0"/>
    <x v="0"/>
    <x v="0"/>
    <x v="0"/>
    <x v="0"/>
    <x v="0"/>
    <n v="1"/>
    <s v="$102.54 for 23 x 28 (minimum needed)"/>
    <x v="0"/>
    <n v="121.61499999999999"/>
    <x v="0"/>
    <n v="1"/>
    <x v="0"/>
    <x v="0"/>
    <n v="121.61499999999999"/>
    <x v="0"/>
    <n v="0"/>
    <x v="0"/>
    <n v="0"/>
    <n v="0"/>
    <n v="0"/>
    <n v="0"/>
    <n v="121.11499999999999"/>
    <x v="0"/>
    <x v="0"/>
    <d v="2020-03-20T00:00:00"/>
    <m/>
    <x v="0"/>
  </r>
  <r>
    <x v="1"/>
    <x v="1"/>
    <x v="0"/>
    <x v="0"/>
    <x v="0"/>
    <x v="0"/>
    <x v="0"/>
    <n v="1"/>
    <m/>
    <x v="0"/>
    <n v="121.61499999999999"/>
    <x v="0"/>
    <n v="1"/>
    <x v="0"/>
    <x v="0"/>
    <n v="121.61499999999999"/>
    <x v="0"/>
    <n v="0"/>
    <x v="0"/>
    <n v="0"/>
    <n v="0"/>
    <n v="0"/>
    <n v="0"/>
    <n v="121.11499999999999"/>
    <x v="0"/>
    <x v="0"/>
    <d v="2020-03-20T00:00:00"/>
    <m/>
    <x v="0"/>
  </r>
  <r>
    <x v="2"/>
    <x v="2"/>
    <x v="1"/>
    <x v="1"/>
    <x v="1"/>
    <x v="1"/>
    <x v="1"/>
    <n v="10"/>
    <s v="Purchase in packs of 10"/>
    <x v="1"/>
    <n v="41.171480000000003"/>
    <x v="0"/>
    <n v="0"/>
    <x v="1"/>
    <x v="1"/>
    <n v="29.408200000000001"/>
    <x v="0"/>
    <n v="0"/>
    <x v="1"/>
    <n v="2"/>
    <n v="11.76328"/>
    <n v="14.7041"/>
    <n v="2.94082"/>
    <m/>
    <x v="1"/>
    <x v="1"/>
    <m/>
    <s v="Mike donation - 20 pcs"/>
    <x v="0"/>
  </r>
  <r>
    <x v="3"/>
    <x v="3"/>
    <x v="1"/>
    <x v="2"/>
    <x v="1"/>
    <x v="2"/>
    <x v="2"/>
    <n v="300"/>
    <s v="Price per mm"/>
    <x v="2"/>
    <n v="5.8090132999999993"/>
    <x v="0"/>
    <n v="600"/>
    <x v="0"/>
    <x v="2"/>
    <n v="5.8127156666666657"/>
    <x v="0"/>
    <n v="0"/>
    <x v="0"/>
    <n v="286.2"/>
    <n v="0"/>
    <n v="0"/>
    <n v="5.2980866999999989"/>
    <n v="0"/>
    <x v="1"/>
    <x v="1"/>
    <m/>
    <s v="Mike donation"/>
    <x v="0"/>
  </r>
  <r>
    <x v="4"/>
    <x v="4"/>
    <x v="1"/>
    <x v="3"/>
    <x v="1"/>
    <x v="3"/>
    <x v="3"/>
    <n v="40"/>
    <s v="price per sq in"/>
    <x v="3"/>
    <n v="3.3495699999999995"/>
    <x v="0"/>
    <n v="0"/>
    <x v="2"/>
    <x v="3"/>
    <n v="3.5888249999999995"/>
    <x v="0"/>
    <n v="0"/>
    <x v="0"/>
    <n v="1"/>
    <n v="0"/>
    <n v="0"/>
    <n v="0.23925499999999997"/>
    <n v="0"/>
    <x v="1"/>
    <x v="1"/>
    <m/>
    <s v="Mike donation"/>
    <x v="0"/>
  </r>
  <r>
    <x v="5"/>
    <x v="5"/>
    <x v="2"/>
    <x v="4"/>
    <x v="2"/>
    <x v="4"/>
    <x v="4"/>
    <n v="1"/>
    <m/>
    <x v="4"/>
    <n v="2.8069576661548576"/>
    <x v="0"/>
    <n v="4"/>
    <x v="0"/>
    <x v="4"/>
    <n v="2.8069576661548576"/>
    <x v="1"/>
    <n v="0"/>
    <x v="0"/>
    <n v="0"/>
    <n v="0"/>
    <n v="0"/>
    <n v="0"/>
    <n v="2.8069576661548576"/>
    <x v="2"/>
    <x v="2"/>
    <d v="2020-02-24T00:00:00"/>
    <s v="on order 2/14"/>
    <x v="0"/>
  </r>
  <r>
    <x v="6"/>
    <x v="6"/>
    <x v="1"/>
    <x v="5"/>
    <x v="1"/>
    <x v="5"/>
    <x v="5"/>
    <n v="200"/>
    <m/>
    <x v="5"/>
    <n v="1.5872579999999998"/>
    <x v="0"/>
    <n v="0"/>
    <x v="3"/>
    <x v="5"/>
    <n v="1.5872579999999998"/>
    <x v="0"/>
    <n v="0"/>
    <x v="0"/>
    <n v="0"/>
    <n v="0"/>
    <n v="0"/>
    <n v="0"/>
    <n v="0"/>
    <x v="1"/>
    <x v="1"/>
    <m/>
    <s v="Mike donation"/>
    <x v="0"/>
  </r>
  <r>
    <x v="7"/>
    <x v="7"/>
    <x v="1"/>
    <x v="6"/>
    <x v="1"/>
    <x v="6"/>
    <x v="6"/>
    <n v="1"/>
    <m/>
    <x v="6"/>
    <n v="76.692399999999992"/>
    <x v="0"/>
    <n v="2"/>
    <x v="0"/>
    <x v="6"/>
    <n v="76.692399999999992"/>
    <x v="0"/>
    <n v="0"/>
    <x v="0"/>
    <n v="0"/>
    <n v="0"/>
    <n v="0"/>
    <n v="0"/>
    <n v="76.69"/>
    <x v="3"/>
    <x v="3"/>
    <d v="2020-02-28T00:00:00"/>
    <m/>
    <x v="0"/>
  </r>
  <r>
    <x v="8"/>
    <x v="8"/>
    <x v="1"/>
    <x v="7"/>
    <x v="1"/>
    <x v="7"/>
    <x v="7"/>
    <n v="300"/>
    <s v="Price per mm"/>
    <x v="7"/>
    <n v="12.941097666666668"/>
    <x v="0"/>
    <n v="0"/>
    <x v="4"/>
    <x v="7"/>
    <n v="12.941097666666668"/>
    <x v="0"/>
    <n v="0"/>
    <x v="0"/>
    <n v="247"/>
    <n v="0"/>
    <n v="0"/>
    <n v="9.055102333333334"/>
    <n v="0"/>
    <x v="1"/>
    <x v="1"/>
    <m/>
    <s v="Mike donation"/>
    <x v="0"/>
  </r>
  <r>
    <x v="9"/>
    <x v="9"/>
    <x v="2"/>
    <x v="8"/>
    <x v="3"/>
    <x v="8"/>
    <x v="8"/>
    <n v="1"/>
    <m/>
    <x v="4"/>
    <n v="1.9263434963807844"/>
    <x v="0"/>
    <n v="4"/>
    <x v="0"/>
    <x v="4"/>
    <n v="1.9263434963807844"/>
    <x v="1"/>
    <n v="0"/>
    <x v="0"/>
    <n v="0"/>
    <n v="0"/>
    <n v="0"/>
    <n v="0"/>
    <n v="1.9263434963807844"/>
    <x v="2"/>
    <x v="2"/>
    <d v="2020-02-24T00:00:00"/>
    <s v="on order 2/14"/>
    <x v="0"/>
  </r>
  <r>
    <x v="10"/>
    <x v="10"/>
    <x v="3"/>
    <x v="9"/>
    <x v="1"/>
    <x v="9"/>
    <x v="9"/>
    <n v="1"/>
    <s v="Free shipping"/>
    <x v="8"/>
    <n v="150.0048036850186"/>
    <x v="0"/>
    <n v="5"/>
    <x v="0"/>
    <x v="8"/>
    <n v="150.0048036850186"/>
    <x v="0"/>
    <n v="0"/>
    <x v="0"/>
    <n v="0"/>
    <n v="0"/>
    <n v="0"/>
    <n v="0"/>
    <n v="67.62"/>
    <x v="4"/>
    <x v="1"/>
    <d v="2020-03-18T00:00:00"/>
    <s v=" Qty 3 Purchased 12/19"/>
    <x v="0"/>
  </r>
  <r>
    <x v="11"/>
    <x v="11"/>
    <x v="2"/>
    <x v="10"/>
    <x v="4"/>
    <x v="10"/>
    <x v="10"/>
    <n v="100"/>
    <m/>
    <x v="9"/>
    <n v="8.1835199605176534"/>
    <x v="0"/>
    <n v="100"/>
    <x v="0"/>
    <x v="9"/>
    <n v="8.1835199605176534"/>
    <x v="1"/>
    <n v="0"/>
    <x v="0"/>
    <n v="35"/>
    <n v="0"/>
    <n v="0"/>
    <n v="4.4065107479710441"/>
    <n v="12.590030708488698"/>
    <x v="2"/>
    <x v="2"/>
    <d v="2020-02-24T00:00:00"/>
    <s v="on order 2/14"/>
    <x v="0"/>
  </r>
  <r>
    <x v="12"/>
    <x v="12"/>
    <x v="1"/>
    <x v="11"/>
    <x v="1"/>
    <x v="11"/>
    <x v="11"/>
    <n v="4"/>
    <m/>
    <x v="6"/>
    <n v="6.2675000000000001"/>
    <x v="0"/>
    <n v="4"/>
    <x v="0"/>
    <x v="6"/>
    <n v="6.2675000000000001"/>
    <x v="0"/>
    <n v="0"/>
    <x v="0"/>
    <n v="2"/>
    <n v="0"/>
    <n v="0"/>
    <n v="6.2675000000000001"/>
    <n v="12.54"/>
    <x v="5"/>
    <x v="1"/>
    <m/>
    <s v="ordered 2/15"/>
    <x v="0"/>
  </r>
  <r>
    <x v="13"/>
    <x v="13"/>
    <x v="4"/>
    <x v="12"/>
    <x v="5"/>
    <x v="0"/>
    <x v="12"/>
    <n v="1"/>
    <m/>
    <x v="10"/>
    <n v="132.61000000000001"/>
    <x v="0"/>
    <n v="3"/>
    <x v="0"/>
    <x v="10"/>
    <n v="132.61000000000001"/>
    <x v="0"/>
    <n v="0"/>
    <x v="0"/>
    <n v="0"/>
    <n v="0"/>
    <n v="0"/>
    <n v="0"/>
    <n v="132.61000000000001"/>
    <x v="6"/>
    <x v="4"/>
    <d v="2020-02-28T00:00:00"/>
    <s v="on order 2/16"/>
    <x v="0"/>
  </r>
  <r>
    <x v="14"/>
    <x v="14"/>
    <x v="2"/>
    <x v="13"/>
    <x v="6"/>
    <x v="12"/>
    <x v="13"/>
    <n v="1"/>
    <s v="Shipping estimated $5 total"/>
    <x v="11"/>
    <n v="3.962763763983328"/>
    <x v="0"/>
    <n v="12"/>
    <x v="0"/>
    <x v="11"/>
    <n v="3.962763763983328"/>
    <x v="1"/>
    <n v="0"/>
    <x v="0"/>
    <n v="0"/>
    <n v="0"/>
    <n v="0"/>
    <n v="0"/>
    <n v="3.962763763983328"/>
    <x v="2"/>
    <x v="2"/>
    <d v="2020-02-24T00:00:00"/>
    <s v="on order 2/14"/>
    <x v="0"/>
  </r>
  <r>
    <x v="15"/>
    <x v="15"/>
    <x v="3"/>
    <x v="14"/>
    <x v="7"/>
    <x v="0"/>
    <x v="14"/>
    <n v="1"/>
    <s v="ordered 2/13"/>
    <x v="0"/>
    <n v="19.979999999999997"/>
    <x v="0"/>
    <n v="1"/>
    <x v="0"/>
    <x v="0"/>
    <n v="19.979999999999997"/>
    <x v="0"/>
    <n v="0"/>
    <x v="0"/>
    <n v="0"/>
    <n v="0"/>
    <n v="0"/>
    <n v="0"/>
    <n v="19.98"/>
    <x v="2"/>
    <x v="1"/>
    <d v="2020-02-20T00:00:00"/>
    <s v="ordered 2/14, received 2/20"/>
    <x v="0"/>
  </r>
  <r>
    <x v="16"/>
    <x v="16"/>
    <x v="0"/>
    <x v="15"/>
    <x v="1"/>
    <x v="0"/>
    <x v="0"/>
    <n v="1"/>
    <s v="Get out of center offcut of part A-0001"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17"/>
    <x v="17"/>
    <x v="1"/>
    <x v="16"/>
    <x v="1"/>
    <x v="13"/>
    <x v="15"/>
    <n v="50"/>
    <s v="Shipping estimated"/>
    <x v="12"/>
    <n v="9.6327660000000002"/>
    <x v="0"/>
    <n v="50"/>
    <x v="0"/>
    <x v="13"/>
    <n v="9.6327660000000002"/>
    <x v="0"/>
    <n v="0"/>
    <x v="0"/>
    <n v="11"/>
    <n v="0"/>
    <n v="0"/>
    <n v="2.7169339999999997"/>
    <n v="12.3497"/>
    <x v="3"/>
    <x v="5"/>
    <m/>
    <m/>
    <x v="0"/>
  </r>
  <r>
    <x v="18"/>
    <x v="18"/>
    <x v="1"/>
    <x v="17"/>
    <x v="1"/>
    <x v="14"/>
    <x v="16"/>
    <n v="1"/>
    <m/>
    <x v="10"/>
    <n v="70.304999999999993"/>
    <x v="0"/>
    <n v="3"/>
    <x v="0"/>
    <x v="10"/>
    <n v="70.304999999999993"/>
    <x v="0"/>
    <n v="0"/>
    <x v="0"/>
    <n v="0"/>
    <n v="0"/>
    <n v="0"/>
    <n v="0"/>
    <n v="45.7"/>
    <x v="1"/>
    <x v="1"/>
    <m/>
    <s v="Purchased 12/19. ordered 1 more 2/15"/>
    <x v="0"/>
  </r>
  <r>
    <x v="19"/>
    <x v="19"/>
    <x v="5"/>
    <x v="18"/>
    <x v="8"/>
    <x v="15"/>
    <x v="17"/>
    <n v="1"/>
    <m/>
    <x v="10"/>
    <n v="65.511750000000006"/>
    <x v="0"/>
    <n v="3"/>
    <x v="0"/>
    <x v="10"/>
    <n v="65.511750000000006"/>
    <x v="0"/>
    <n v="0"/>
    <x v="0"/>
    <n v="0"/>
    <n v="0"/>
    <n v="0"/>
    <n v="0"/>
    <n v="65.510000000000005"/>
    <x v="1"/>
    <x v="1"/>
    <m/>
    <s v="ordered 2/13, received 2/20"/>
    <x v="0"/>
  </r>
  <r>
    <x v="20"/>
    <x v="20"/>
    <x v="3"/>
    <x v="19"/>
    <x v="1"/>
    <x v="0"/>
    <x v="18"/>
    <n v="1"/>
    <s v="Shipping estimated"/>
    <x v="0"/>
    <n v="8.99"/>
    <x v="0"/>
    <n v="1"/>
    <x v="0"/>
    <x v="0"/>
    <n v="8.99"/>
    <x v="0"/>
    <n v="0"/>
    <x v="0"/>
    <n v="0"/>
    <n v="0"/>
    <n v="0"/>
    <n v="0"/>
    <n v="8.99"/>
    <x v="7"/>
    <x v="6"/>
    <d v="2020-03-20T00:00:00"/>
    <s v="on order 2/13, shipped 2/19"/>
    <x v="0"/>
  </r>
  <r>
    <x v="21"/>
    <x v="21"/>
    <x v="2"/>
    <x v="20"/>
    <x v="9"/>
    <x v="16"/>
    <x v="19"/>
    <n v="100"/>
    <s v="5.9mm tall"/>
    <x v="13"/>
    <n v="1.498420048256196"/>
    <x v="0"/>
    <n v="100"/>
    <x v="0"/>
    <x v="14"/>
    <n v="1.498420048256196"/>
    <x v="1"/>
    <n v="0"/>
    <x v="0"/>
    <n v="78"/>
    <n v="0"/>
    <n v="0"/>
    <n v="5.3125801710901497"/>
    <n v="6.8110002193463455"/>
    <x v="2"/>
    <x v="2"/>
    <d v="2020-02-24T00:00:00"/>
    <s v="on order 2/14"/>
    <x v="0"/>
  </r>
  <r>
    <x v="22"/>
    <x v="22"/>
    <x v="6"/>
    <x v="21"/>
    <x v="10"/>
    <x v="17"/>
    <x v="20"/>
    <n v="4"/>
    <s v="For z-axis motor mounts, shipping estimated"/>
    <x v="6"/>
    <n v="9.5387500000000003"/>
    <x v="0"/>
    <n v="0"/>
    <x v="5"/>
    <x v="10"/>
    <n v="14.308125"/>
    <x v="0"/>
    <n v="0"/>
    <x v="0"/>
    <n v="1"/>
    <n v="0"/>
    <n v="0"/>
    <n v="4.7693750000000001"/>
    <n v="0"/>
    <x v="1"/>
    <x v="1"/>
    <m/>
    <s v="Mike donation"/>
    <x v="0"/>
  </r>
  <r>
    <x v="23"/>
    <x v="23"/>
    <x v="6"/>
    <x v="22"/>
    <x v="11"/>
    <x v="18"/>
    <x v="20"/>
    <n v="12"/>
    <s v="Shipping estimated"/>
    <x v="14"/>
    <n v="0"/>
    <x v="0"/>
    <m/>
    <x v="0"/>
    <x v="0"/>
    <n v="0.93215833333333331"/>
    <x v="0"/>
    <n v="0"/>
    <x v="0"/>
    <n v="0"/>
    <n v="0"/>
    <n v="0"/>
    <n v="0"/>
    <m/>
    <x v="1"/>
    <x v="1"/>
    <m/>
    <m/>
    <x v="0"/>
  </r>
  <r>
    <x v="24"/>
    <x v="24"/>
    <x v="6"/>
    <x v="23"/>
    <x v="12"/>
    <x v="19"/>
    <x v="21"/>
    <n v="2"/>
    <s v="For left and right kinematic ball holders on z-axis"/>
    <x v="6"/>
    <n v="9.5108931000000005"/>
    <x v="0"/>
    <n v="2"/>
    <x v="0"/>
    <x v="6"/>
    <n v="9.5108931000000005"/>
    <x v="0"/>
    <n v="0"/>
    <x v="0"/>
    <n v="0"/>
    <n v="0"/>
    <n v="0"/>
    <n v="0"/>
    <n v="9.51"/>
    <x v="1"/>
    <x v="1"/>
    <m/>
    <s v="on order 2/16"/>
    <x v="0"/>
  </r>
  <r>
    <x v="25"/>
    <x v="25"/>
    <x v="2"/>
    <x v="24"/>
    <x v="13"/>
    <x v="20"/>
    <x v="22"/>
    <n v="1"/>
    <m/>
    <x v="15"/>
    <n v="1.3209212546611093"/>
    <x v="0"/>
    <n v="8"/>
    <x v="0"/>
    <x v="15"/>
    <n v="1.3209212546611093"/>
    <x v="1"/>
    <n v="0"/>
    <x v="0"/>
    <n v="0"/>
    <n v="0"/>
    <n v="0"/>
    <n v="0"/>
    <n v="1.3209212546611093"/>
    <x v="2"/>
    <x v="2"/>
    <d v="2020-02-24T00:00:00"/>
    <s v="on order 2/14"/>
    <x v="0"/>
  </r>
  <r>
    <x v="26"/>
    <x v="26"/>
    <x v="1"/>
    <x v="25"/>
    <x v="1"/>
    <x v="21"/>
    <x v="23"/>
    <n v="26"/>
    <m/>
    <x v="16"/>
    <n v="3.0524192307692308"/>
    <x v="0"/>
    <n v="26"/>
    <x v="0"/>
    <x v="16"/>
    <n v="3.0524192307692308"/>
    <x v="0"/>
    <n v="0"/>
    <x v="0"/>
    <n v="17"/>
    <n v="0"/>
    <n v="0"/>
    <n v="5.7656807692307694"/>
    <n v="8.82"/>
    <x v="5"/>
    <x v="1"/>
    <d v="2020-02-18T00:00:00"/>
    <s v="ordered 2/15"/>
    <x v="0"/>
  </r>
  <r>
    <x v="27"/>
    <x v="27"/>
    <x v="1"/>
    <x v="26"/>
    <x v="1"/>
    <x v="22"/>
    <x v="24"/>
    <n v="100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"/>
    <x v="28"/>
    <x v="2"/>
    <x v="27"/>
    <x v="14"/>
    <x v="23"/>
    <x v="25"/>
    <n v="1"/>
    <m/>
    <x v="4"/>
    <n v="2.0364202676025438"/>
    <x v="0"/>
    <n v="4"/>
    <x v="0"/>
    <x v="4"/>
    <n v="2.0364202676025438"/>
    <x v="1"/>
    <n v="0"/>
    <x v="0"/>
    <n v="0"/>
    <n v="0"/>
    <n v="0"/>
    <n v="0"/>
    <n v="2.0364202676025438"/>
    <x v="2"/>
    <x v="2"/>
    <d v="2020-02-24T00:00:00"/>
    <s v="on order 2/14"/>
    <x v="0"/>
  </r>
  <r>
    <x v="29"/>
    <x v="29"/>
    <x v="2"/>
    <x v="28"/>
    <x v="15"/>
    <x v="24"/>
    <x v="26"/>
    <n v="1"/>
    <m/>
    <x v="4"/>
    <n v="2.4216889668787003"/>
    <x v="0"/>
    <n v="4"/>
    <x v="0"/>
    <x v="4"/>
    <n v="2.4216889668787003"/>
    <x v="1"/>
    <n v="0"/>
    <x v="0"/>
    <n v="0"/>
    <n v="0"/>
    <n v="0"/>
    <n v="0"/>
    <n v="2.4216889668787003"/>
    <x v="2"/>
    <x v="2"/>
    <d v="2020-02-24T00:00:00"/>
    <s v="on order 2/14"/>
    <x v="0"/>
  </r>
  <r>
    <x v="30"/>
    <x v="30"/>
    <x v="2"/>
    <x v="29"/>
    <x v="16"/>
    <x v="25"/>
    <x v="27"/>
    <n v="1"/>
    <m/>
    <x v="6"/>
    <n v="0.495345470497916"/>
    <x v="0"/>
    <n v="2"/>
    <x v="0"/>
    <x v="6"/>
    <n v="0.495345470497916"/>
    <x v="1"/>
    <n v="0"/>
    <x v="0"/>
    <n v="0"/>
    <n v="0"/>
    <n v="0"/>
    <n v="0"/>
    <n v="0.495345470497916"/>
    <x v="2"/>
    <x v="2"/>
    <d v="2020-02-24T00:00:00"/>
    <s v="on order 2/14"/>
    <x v="0"/>
  </r>
  <r>
    <x v="31"/>
    <x v="31"/>
    <x v="2"/>
    <x v="30"/>
    <x v="17"/>
    <x v="26"/>
    <x v="28"/>
    <n v="1"/>
    <m/>
    <x v="6"/>
    <n v="0.5503838561087957"/>
    <x v="0"/>
    <n v="2"/>
    <x v="0"/>
    <x v="6"/>
    <n v="0.5503838561087957"/>
    <x v="1"/>
    <n v="0"/>
    <x v="0"/>
    <n v="0"/>
    <n v="0"/>
    <n v="0"/>
    <n v="0"/>
    <n v="0.5503838561087957"/>
    <x v="2"/>
    <x v="2"/>
    <d v="2020-02-24T00:00:00"/>
    <s v="on order 2/14"/>
    <x v="0"/>
  </r>
  <r>
    <x v="32"/>
    <x v="32"/>
    <x v="2"/>
    <x v="31"/>
    <x v="18"/>
    <x v="27"/>
    <x v="29"/>
    <n v="100"/>
    <m/>
    <x v="17"/>
    <n v="1.6126246983987713"/>
    <x v="0"/>
    <n v="100"/>
    <x v="0"/>
    <x v="1"/>
    <n v="1.6126246983987713"/>
    <x v="1"/>
    <n v="0"/>
    <x v="0"/>
    <n v="80"/>
    <n v="0"/>
    <n v="0"/>
    <n v="6.4504987935950853"/>
    <n v="8.0631234919938564"/>
    <x v="2"/>
    <x v="2"/>
    <d v="2020-02-24T00:00:00"/>
    <s v="on order 2/14"/>
    <x v="0"/>
  </r>
  <r>
    <x v="33"/>
    <x v="33"/>
    <x v="2"/>
    <x v="32"/>
    <x v="19"/>
    <x v="28"/>
    <x v="30"/>
    <n v="100"/>
    <m/>
    <x v="18"/>
    <n v="2.019083176135116"/>
    <x v="0"/>
    <n v="100"/>
    <x v="0"/>
    <x v="17"/>
    <n v="2.019083176135116"/>
    <x v="1"/>
    <n v="0"/>
    <x v="0"/>
    <n v="54"/>
    <n v="0"/>
    <n v="0"/>
    <n v="2.3702280763325279"/>
    <n v="4.3893112524676443"/>
    <x v="2"/>
    <x v="2"/>
    <d v="2020-02-24T00:00:00"/>
    <s v="on order 2/14"/>
    <x v="0"/>
  </r>
  <r>
    <x v="34"/>
    <x v="34"/>
    <x v="2"/>
    <x v="33"/>
    <x v="20"/>
    <x v="29"/>
    <x v="31"/>
    <n v="100"/>
    <m/>
    <x v="18"/>
    <n v="0.69623557797762647"/>
    <x v="0"/>
    <n v="100"/>
    <x v="0"/>
    <x v="17"/>
    <n v="0.69623557797762647"/>
    <x v="1"/>
    <n v="0"/>
    <x v="0"/>
    <n v="54"/>
    <n v="0"/>
    <n v="0"/>
    <n v="0.81732002632156153"/>
    <n v="1.513555604299188"/>
    <x v="2"/>
    <x v="2"/>
    <d v="2020-02-24T00:00:00"/>
    <s v="on order 2/14"/>
    <x v="0"/>
  </r>
  <r>
    <x v="35"/>
    <x v="35"/>
    <x v="7"/>
    <x v="34"/>
    <x v="21"/>
    <x v="30"/>
    <x v="32"/>
    <n v="1"/>
    <s v="Shipping estimated"/>
    <x v="10"/>
    <n v="21.606300000000001"/>
    <x v="0"/>
    <m/>
    <x v="5"/>
    <x v="10"/>
    <n v="21.606300000000001"/>
    <x v="0"/>
    <n v="0"/>
    <x v="0"/>
    <n v="0"/>
    <n v="0"/>
    <n v="0"/>
    <n v="0"/>
    <m/>
    <x v="1"/>
    <x v="1"/>
    <m/>
    <m/>
    <x v="0"/>
  </r>
  <r>
    <x v="36"/>
    <x v="36"/>
    <x v="0"/>
    <x v="15"/>
    <x v="1"/>
    <x v="0"/>
    <x v="0"/>
    <n v="1"/>
    <s v="Shipping estimated"/>
    <x v="0"/>
    <n v="0"/>
    <x v="0"/>
    <m/>
    <x v="0"/>
    <x v="0"/>
    <n v="0"/>
    <x v="0"/>
    <n v="0"/>
    <x v="0"/>
    <n v="-1"/>
    <n v="0"/>
    <n v="0"/>
    <n v="0"/>
    <m/>
    <x v="1"/>
    <x v="1"/>
    <m/>
    <m/>
    <x v="0"/>
  </r>
  <r>
    <x v="37"/>
    <x v="37"/>
    <x v="8"/>
    <x v="35"/>
    <x v="22"/>
    <x v="31"/>
    <x v="33"/>
    <n v="1"/>
    <s v="Outrageous shipping charge"/>
    <x v="8"/>
    <n v="36.290000000000006"/>
    <x v="0"/>
    <m/>
    <x v="0"/>
    <x v="12"/>
    <n v="0"/>
    <x v="0"/>
    <n v="0"/>
    <x v="3"/>
    <n v="0"/>
    <n v="36.290000000000006"/>
    <n v="36.290000000000006"/>
    <n v="0"/>
    <m/>
    <x v="1"/>
    <x v="1"/>
    <m/>
    <m/>
    <x v="0"/>
  </r>
  <r>
    <x v="38"/>
    <x v="38"/>
    <x v="9"/>
    <x v="36"/>
    <x v="23"/>
    <x v="32"/>
    <x v="34"/>
    <n v="2"/>
    <s v="Estimated shipping cost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"/>
    <x v="39"/>
    <x v="2"/>
    <x v="37"/>
    <x v="24"/>
    <x v="33"/>
    <x v="35"/>
    <n v="100"/>
    <m/>
    <x v="19"/>
    <n v="0.29720728229874965"/>
    <x v="0"/>
    <n v="100"/>
    <x v="0"/>
    <x v="18"/>
    <n v="0.29720728229874965"/>
    <x v="1"/>
    <n v="0"/>
    <x v="0"/>
    <n v="94"/>
    <n v="0"/>
    <n v="0"/>
    <n v="4.6562474226804111"/>
    <n v="4.9534547049791611"/>
    <x v="2"/>
    <x v="2"/>
    <d v="2020-02-24T00:00:00"/>
    <s v="on order 2/14"/>
    <x v="0"/>
  </r>
  <r>
    <x v="40"/>
    <x v="40"/>
    <x v="2"/>
    <x v="38"/>
    <x v="25"/>
    <x v="34"/>
    <x v="36"/>
    <n v="100"/>
    <m/>
    <x v="20"/>
    <n v="0.51598486510199593"/>
    <x v="0"/>
    <n v="100"/>
    <x v="0"/>
    <x v="19"/>
    <n v="0.51598486510199593"/>
    <x v="1"/>
    <n v="0"/>
    <x v="0"/>
    <n v="70"/>
    <n v="0"/>
    <n v="0"/>
    <n v="1.2039646852379906"/>
    <n v="1.7199495503399866"/>
    <x v="2"/>
    <x v="2"/>
    <d v="2020-02-24T00:00:00"/>
    <s v="on order 2/14"/>
    <x v="0"/>
  </r>
  <r>
    <x v="41"/>
    <x v="41"/>
    <x v="1"/>
    <x v="39"/>
    <x v="1"/>
    <x v="35"/>
    <x v="37"/>
    <n v="4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"/>
    <x v="42"/>
    <x v="4"/>
    <x v="40"/>
    <x v="26"/>
    <x v="36"/>
    <x v="38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"/>
    <x v="43"/>
    <x v="4"/>
    <x v="41"/>
    <x v="26"/>
    <x v="37"/>
    <x v="38"/>
    <n v="1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"/>
    <x v="44"/>
    <x v="6"/>
    <x v="42"/>
    <x v="21"/>
    <x v="38"/>
    <x v="39"/>
    <n v="3"/>
    <s v="Shipping estimated"/>
    <x v="10"/>
    <n v="16.352499999999999"/>
    <x v="0"/>
    <n v="0"/>
    <x v="5"/>
    <x v="10"/>
    <n v="16.352499999999999"/>
    <x v="0"/>
    <n v="0"/>
    <x v="0"/>
    <n v="0"/>
    <n v="0"/>
    <n v="0"/>
    <n v="0"/>
    <n v="0"/>
    <x v="1"/>
    <x v="1"/>
    <m/>
    <s v="Mike donation"/>
    <x v="0"/>
  </r>
  <r>
    <x v="45"/>
    <x v="45"/>
    <x v="4"/>
    <x v="43"/>
    <x v="26"/>
    <x v="39"/>
    <x v="38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"/>
    <x v="46"/>
    <x v="1"/>
    <x v="44"/>
    <x v="1"/>
    <x v="40"/>
    <x v="40"/>
    <n v="2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"/>
    <x v="46"/>
    <x v="1"/>
    <x v="45"/>
    <x v="1"/>
    <x v="41"/>
    <x v="40"/>
    <n v="2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"/>
    <x v="47"/>
    <x v="1"/>
    <x v="46"/>
    <x v="1"/>
    <x v="42"/>
    <x v="41"/>
    <n v="1"/>
    <m/>
    <x v="0"/>
    <n v="76.289999999999992"/>
    <x v="1"/>
    <n v="1"/>
    <x v="0"/>
    <x v="0"/>
    <n v="76.289999999999992"/>
    <x v="0"/>
    <n v="0"/>
    <x v="0"/>
    <n v="0"/>
    <n v="0"/>
    <n v="0"/>
    <n v="0"/>
    <n v="76.290000000000006"/>
    <x v="8"/>
    <x v="1"/>
    <d v="2020-08-17T00:00:00"/>
    <m/>
    <x v="0"/>
  </r>
  <r>
    <x v="49"/>
    <x v="48"/>
    <x v="1"/>
    <x v="47"/>
    <x v="1"/>
    <x v="43"/>
    <x v="42"/>
    <n v="1"/>
    <m/>
    <x v="0"/>
    <n v="11.979100000000001"/>
    <x v="2"/>
    <m/>
    <x v="0"/>
    <x v="12"/>
    <n v="0"/>
    <x v="0"/>
    <n v="0"/>
    <x v="2"/>
    <n v="0"/>
    <n v="11.979100000000001"/>
    <n v="11.979100000000001"/>
    <n v="0"/>
    <m/>
    <x v="1"/>
    <x v="1"/>
    <m/>
    <m/>
    <x v="0"/>
  </r>
  <r>
    <x v="50"/>
    <x v="49"/>
    <x v="10"/>
    <x v="48"/>
    <x v="1"/>
    <x v="44"/>
    <x v="43"/>
    <n v="1"/>
    <m/>
    <x v="0"/>
    <n v="47.273299999999999"/>
    <x v="1"/>
    <n v="1"/>
    <x v="0"/>
    <x v="0"/>
    <n v="47.273299999999999"/>
    <x v="0"/>
    <n v="0"/>
    <x v="0"/>
    <n v="0"/>
    <n v="0"/>
    <n v="0"/>
    <n v="0"/>
    <n v="47.27"/>
    <x v="8"/>
    <x v="1"/>
    <d v="2020-08-16T00:00:00"/>
    <m/>
    <x v="0"/>
  </r>
  <r>
    <x v="51"/>
    <x v="50"/>
    <x v="1"/>
    <x v="49"/>
    <x v="1"/>
    <x v="45"/>
    <x v="44"/>
    <n v="1"/>
    <m/>
    <x v="0"/>
    <n v="26.149099999999997"/>
    <x v="1"/>
    <n v="1"/>
    <x v="0"/>
    <x v="0"/>
    <n v="26.149099999999997"/>
    <x v="0"/>
    <n v="0"/>
    <x v="0"/>
    <n v="0"/>
    <n v="0"/>
    <n v="0"/>
    <n v="0"/>
    <n v="26.149099999999997"/>
    <x v="8"/>
    <x v="1"/>
    <d v="2020-08-10T00:00:00"/>
    <m/>
    <x v="0"/>
  </r>
  <r>
    <x v="52"/>
    <x v="51"/>
    <x v="1"/>
    <x v="50"/>
    <x v="1"/>
    <x v="46"/>
    <x v="45"/>
    <n v="1"/>
    <m/>
    <x v="0"/>
    <n v="10.8782"/>
    <x v="1"/>
    <n v="1"/>
    <x v="0"/>
    <x v="0"/>
    <n v="10.8782"/>
    <x v="0"/>
    <n v="0"/>
    <x v="0"/>
    <n v="0"/>
    <n v="0"/>
    <n v="0"/>
    <n v="0"/>
    <n v="10.8782"/>
    <x v="8"/>
    <x v="1"/>
    <d v="2020-08-10T00:00:00"/>
    <m/>
    <x v="0"/>
  </r>
  <r>
    <x v="53"/>
    <x v="52"/>
    <x v="10"/>
    <x v="51"/>
    <x v="27"/>
    <x v="47"/>
    <x v="46"/>
    <n v="1"/>
    <m/>
    <x v="0"/>
    <n v="67.98"/>
    <x v="0"/>
    <n v="1"/>
    <x v="0"/>
    <x v="0"/>
    <n v="67.98"/>
    <x v="0"/>
    <n v="0"/>
    <x v="0"/>
    <n v="0"/>
    <n v="0"/>
    <n v="0"/>
    <n v="0"/>
    <n v="67.98"/>
    <x v="0"/>
    <x v="5"/>
    <d v="2020-04-18T00:00:00"/>
    <m/>
    <x v="0"/>
  </r>
  <r>
    <x v="54"/>
    <x v="53"/>
    <x v="10"/>
    <x v="52"/>
    <x v="28"/>
    <x v="0"/>
    <x v="47"/>
    <n v="1"/>
    <s v="Shipping estimated"/>
    <x v="0"/>
    <n v="88.96"/>
    <x v="0"/>
    <n v="0"/>
    <x v="6"/>
    <x v="0"/>
    <n v="88.96"/>
    <x v="0"/>
    <n v="0"/>
    <x v="0"/>
    <n v="0"/>
    <n v="0"/>
    <n v="0"/>
    <n v="0"/>
    <n v="0"/>
    <x v="1"/>
    <x v="1"/>
    <m/>
    <s v="Mark Donation"/>
    <x v="0"/>
  </r>
  <r>
    <x v="55"/>
    <x v="54"/>
    <x v="10"/>
    <x v="53"/>
    <x v="1"/>
    <x v="48"/>
    <x v="48"/>
    <n v="1"/>
    <m/>
    <x v="0"/>
    <n v="78.48"/>
    <x v="0"/>
    <n v="1"/>
    <x v="0"/>
    <x v="0"/>
    <n v="78.48"/>
    <x v="0"/>
    <n v="0"/>
    <x v="0"/>
    <n v="0"/>
    <n v="0"/>
    <n v="0"/>
    <n v="0"/>
    <n v="78.48"/>
    <x v="0"/>
    <x v="5"/>
    <d v="2020-04-18T00:00:00"/>
    <m/>
    <x v="0"/>
  </r>
  <r>
    <x v="56"/>
    <x v="55"/>
    <x v="1"/>
    <x v="54"/>
    <x v="1"/>
    <x v="49"/>
    <x v="49"/>
    <n v="1"/>
    <m/>
    <x v="0"/>
    <n v="31.261199999999999"/>
    <x v="0"/>
    <n v="1"/>
    <x v="0"/>
    <x v="0"/>
    <n v="31.261199999999999"/>
    <x v="0"/>
    <n v="0"/>
    <x v="0"/>
    <n v="0"/>
    <n v="0"/>
    <n v="0"/>
    <n v="0"/>
    <n v="31.26"/>
    <x v="1"/>
    <x v="1"/>
    <m/>
    <s v="ordered 2/15"/>
    <x v="0"/>
  </r>
  <r>
    <x v="57"/>
    <x v="56"/>
    <x v="1"/>
    <x v="55"/>
    <x v="1"/>
    <x v="50"/>
    <x v="50"/>
    <n v="1"/>
    <m/>
    <x v="0"/>
    <n v="15.2491"/>
    <x v="2"/>
    <m/>
    <x v="0"/>
    <x v="12"/>
    <n v="0"/>
    <x v="0"/>
    <n v="0"/>
    <x v="2"/>
    <n v="0"/>
    <n v="15.2491"/>
    <n v="15.2491"/>
    <n v="0"/>
    <m/>
    <x v="1"/>
    <x v="1"/>
    <m/>
    <m/>
    <x v="0"/>
  </r>
  <r>
    <x v="58"/>
    <x v="57"/>
    <x v="1"/>
    <x v="56"/>
    <x v="1"/>
    <x v="51"/>
    <x v="51"/>
    <n v="1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"/>
    <x v="58"/>
    <x v="5"/>
    <x v="57"/>
    <x v="29"/>
    <x v="52"/>
    <x v="52"/>
    <n v="1"/>
    <m/>
    <x v="10"/>
    <n v="15.266750000000002"/>
    <x v="0"/>
    <n v="3"/>
    <x v="0"/>
    <x v="10"/>
    <n v="15.266750000000002"/>
    <x v="0"/>
    <n v="0"/>
    <x v="0"/>
    <n v="0"/>
    <n v="0"/>
    <n v="0"/>
    <n v="0"/>
    <n v="15.27"/>
    <x v="1"/>
    <x v="1"/>
    <m/>
    <s v="ordered 2/13, received 2/20"/>
    <x v="0"/>
  </r>
  <r>
    <x v="60"/>
    <x v="59"/>
    <x v="2"/>
    <x v="58"/>
    <x v="30"/>
    <x v="53"/>
    <x v="53"/>
    <n v="1"/>
    <m/>
    <x v="11"/>
    <n v="1.6511515683263871"/>
    <x v="0"/>
    <n v="12"/>
    <x v="0"/>
    <x v="11"/>
    <n v="1.6511515683263871"/>
    <x v="1"/>
    <n v="0"/>
    <x v="0"/>
    <n v="0"/>
    <n v="0"/>
    <n v="0"/>
    <n v="0"/>
    <n v="1.6511515683263871"/>
    <x v="2"/>
    <x v="2"/>
    <d v="2020-02-24T00:00:00"/>
    <s v="on order 2/14"/>
    <x v="0"/>
  </r>
  <r>
    <x v="61"/>
    <x v="60"/>
    <x v="2"/>
    <x v="59"/>
    <x v="31"/>
    <x v="54"/>
    <x v="54"/>
    <n v="100"/>
    <m/>
    <x v="16"/>
    <n v="0.21919037069532785"/>
    <x v="0"/>
    <n v="100"/>
    <x v="0"/>
    <x v="16"/>
    <n v="0.21919037069532785"/>
    <x v="1"/>
    <n v="0"/>
    <x v="0"/>
    <n v="91"/>
    <n v="0"/>
    <n v="0"/>
    <n v="2.2162581925860927"/>
    <n v="2.4354485632814207"/>
    <x v="2"/>
    <x v="2"/>
    <d v="2020-02-24T00:00:00"/>
    <s v="on order 2/14"/>
    <x v="0"/>
  </r>
  <r>
    <x v="62"/>
    <x v="61"/>
    <x v="2"/>
    <x v="60"/>
    <x v="32"/>
    <x v="55"/>
    <x v="55"/>
    <n v="1"/>
    <m/>
    <x v="15"/>
    <n v="1.7612283395481458"/>
    <x v="0"/>
    <n v="8"/>
    <x v="0"/>
    <x v="15"/>
    <n v="1.7612283395481458"/>
    <x v="1"/>
    <n v="0"/>
    <x v="0"/>
    <n v="0"/>
    <n v="0"/>
    <n v="0"/>
    <n v="0"/>
    <n v="1.7612283395481458"/>
    <x v="2"/>
    <x v="2"/>
    <d v="2020-02-24T00:00:00"/>
    <s v="on order 2/14"/>
    <x v="0"/>
  </r>
  <r>
    <x v="63"/>
    <x v="62"/>
    <x v="6"/>
    <x v="61"/>
    <x v="1"/>
    <x v="56"/>
    <x v="56"/>
    <n v="12"/>
    <s v="cost epr inch"/>
    <x v="15"/>
    <n v="3.1459076923076923"/>
    <x v="0"/>
    <n v="0"/>
    <x v="7"/>
    <x v="11"/>
    <n v="4.7188615384615389"/>
    <x v="0"/>
    <n v="0"/>
    <x v="0"/>
    <n v="4"/>
    <n v="0"/>
    <n v="0"/>
    <n v="1.5729538461538461"/>
    <m/>
    <x v="1"/>
    <x v="1"/>
    <m/>
    <s v="Mike donation"/>
    <x v="0"/>
  </r>
  <r>
    <x v="64"/>
    <x v="63"/>
    <x v="6"/>
    <x v="62"/>
    <x v="33"/>
    <x v="57"/>
    <x v="20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5"/>
    <x v="64"/>
    <x v="1"/>
    <x v="63"/>
    <x v="1"/>
    <x v="58"/>
    <x v="57"/>
    <n v="50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6"/>
    <x v="65"/>
    <x v="6"/>
    <x v="64"/>
    <x v="34"/>
    <x v="59"/>
    <x v="20"/>
    <n v="3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7"/>
    <x v="66"/>
    <x v="6"/>
    <x v="65"/>
    <x v="1"/>
    <x v="0"/>
    <x v="20"/>
    <n v="12"/>
    <m/>
    <x v="10"/>
    <n v="0"/>
    <x v="0"/>
    <n v="0"/>
    <x v="7"/>
    <x v="11"/>
    <n v="0"/>
    <x v="0"/>
    <n v="0"/>
    <x v="0"/>
    <n v="9"/>
    <n v="0"/>
    <n v="0"/>
    <n v="0"/>
    <n v="0"/>
    <x v="1"/>
    <x v="1"/>
    <m/>
    <s v="Mike donation"/>
    <x v="0"/>
  </r>
  <r>
    <x v="68"/>
    <x v="67"/>
    <x v="10"/>
    <x v="66"/>
    <x v="23"/>
    <x v="60"/>
    <x v="58"/>
    <n v="1"/>
    <s v="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9"/>
    <x v="68"/>
    <x v="11"/>
    <x v="67"/>
    <x v="11"/>
    <x v="0"/>
    <x v="59"/>
    <n v="10"/>
    <s v="Shipping estimated"/>
    <x v="5"/>
    <n v="48.491999999999997"/>
    <x v="0"/>
    <m/>
    <x v="0"/>
    <x v="12"/>
    <n v="0"/>
    <x v="0"/>
    <n v="0"/>
    <x v="4"/>
    <n v="4"/>
    <n v="48.491999999999997"/>
    <n v="53.879999999999995"/>
    <n v="5.3879999999999999"/>
    <m/>
    <x v="1"/>
    <x v="1"/>
    <m/>
    <m/>
    <x v="0"/>
  </r>
  <r>
    <x v="70"/>
    <x v="69"/>
    <x v="2"/>
    <x v="68"/>
    <x v="35"/>
    <x v="61"/>
    <x v="60"/>
    <n v="1"/>
    <m/>
    <x v="11"/>
    <n v="1.3209212546611093"/>
    <x v="0"/>
    <n v="12"/>
    <x v="0"/>
    <x v="11"/>
    <n v="1.3209212546611093"/>
    <x v="1"/>
    <n v="0"/>
    <x v="0"/>
    <n v="0"/>
    <n v="0"/>
    <n v="0"/>
    <n v="0"/>
    <n v="1.3209212546611093"/>
    <x v="2"/>
    <x v="2"/>
    <d v="2020-02-24T00:00:00"/>
    <s v="on order 2/14"/>
    <x v="0"/>
  </r>
  <r>
    <x v="71"/>
    <x v="70"/>
    <x v="12"/>
    <x v="69"/>
    <x v="1"/>
    <x v="62"/>
    <x v="61"/>
    <n v="1"/>
    <m/>
    <x v="0"/>
    <n v="1.4497"/>
    <x v="0"/>
    <m/>
    <x v="0"/>
    <x v="0"/>
    <n v="1.4497"/>
    <x v="0"/>
    <n v="0"/>
    <x v="0"/>
    <n v="-1"/>
    <n v="0"/>
    <n v="0"/>
    <n v="-1.4497"/>
    <m/>
    <x v="1"/>
    <x v="1"/>
    <m/>
    <m/>
    <x v="0"/>
  </r>
  <r>
    <x v="72"/>
    <x v="71"/>
    <x v="10"/>
    <x v="70"/>
    <x v="1"/>
    <x v="0"/>
    <x v="62"/>
    <n v="1"/>
    <m/>
    <x v="0"/>
    <n v="63.64"/>
    <x v="0"/>
    <m/>
    <x v="0"/>
    <x v="12"/>
    <n v="0"/>
    <x v="0"/>
    <n v="0"/>
    <x v="2"/>
    <n v="0"/>
    <n v="63.64"/>
    <n v="63.64"/>
    <n v="0"/>
    <m/>
    <x v="1"/>
    <x v="1"/>
    <m/>
    <m/>
    <x v="0"/>
  </r>
  <r>
    <x v="73"/>
    <x v="72"/>
    <x v="12"/>
    <x v="71"/>
    <x v="1"/>
    <x v="63"/>
    <x v="63"/>
    <n v="1"/>
    <m/>
    <x v="0"/>
    <n v="3.2808999999999999"/>
    <x v="0"/>
    <m/>
    <x v="0"/>
    <x v="12"/>
    <n v="0"/>
    <x v="0"/>
    <n v="0"/>
    <x v="2"/>
    <n v="0"/>
    <n v="3.2808999999999999"/>
    <n v="3.2808999999999999"/>
    <n v="0"/>
    <m/>
    <x v="1"/>
    <x v="1"/>
    <m/>
    <m/>
    <x v="0"/>
  </r>
  <r>
    <x v="74"/>
    <x v="73"/>
    <x v="12"/>
    <x v="72"/>
    <x v="1"/>
    <x v="64"/>
    <x v="64"/>
    <n v="1"/>
    <m/>
    <x v="0"/>
    <n v="5.5589999999999993"/>
    <x v="0"/>
    <m/>
    <x v="0"/>
    <x v="12"/>
    <n v="0"/>
    <x v="0"/>
    <n v="0"/>
    <x v="2"/>
    <n v="0"/>
    <n v="5.5589999999999993"/>
    <n v="5.5589999999999993"/>
    <n v="0"/>
    <m/>
    <x v="1"/>
    <x v="1"/>
    <m/>
    <m/>
    <x v="0"/>
  </r>
  <r>
    <x v="75"/>
    <x v="74"/>
    <x v="13"/>
    <x v="65"/>
    <x v="1"/>
    <x v="0"/>
    <x v="20"/>
    <n v="1"/>
    <m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76"/>
    <x v="75"/>
    <x v="12"/>
    <x v="73"/>
    <x v="1"/>
    <x v="65"/>
    <x v="65"/>
    <n v="1"/>
    <m/>
    <x v="0"/>
    <n v="1.1990000000000001"/>
    <x v="0"/>
    <m/>
    <x v="0"/>
    <x v="12"/>
    <n v="0"/>
    <x v="0"/>
    <n v="0"/>
    <x v="2"/>
    <n v="0"/>
    <n v="1.1990000000000001"/>
    <n v="1.1990000000000001"/>
    <n v="0"/>
    <m/>
    <x v="1"/>
    <x v="1"/>
    <m/>
    <m/>
    <x v="0"/>
  </r>
  <r>
    <x v="77"/>
    <x v="76"/>
    <x v="13"/>
    <x v="74"/>
    <x v="1"/>
    <x v="66"/>
    <x v="66"/>
    <n v="1"/>
    <m/>
    <x v="0"/>
    <n v="19.598200000000002"/>
    <x v="0"/>
    <m/>
    <x v="0"/>
    <x v="12"/>
    <n v="0"/>
    <x v="0"/>
    <n v="0"/>
    <x v="2"/>
    <n v="0"/>
    <n v="19.598200000000002"/>
    <n v="19.598200000000002"/>
    <n v="0"/>
    <m/>
    <x v="1"/>
    <x v="1"/>
    <m/>
    <m/>
    <x v="0"/>
  </r>
  <r>
    <x v="78"/>
    <x v="77"/>
    <x v="1"/>
    <x v="75"/>
    <x v="1"/>
    <x v="67"/>
    <x v="67"/>
    <n v="2"/>
    <m/>
    <x v="0"/>
    <n v="5.9895500000000004"/>
    <x v="0"/>
    <m/>
    <x v="0"/>
    <x v="12"/>
    <n v="0"/>
    <x v="0"/>
    <n v="0"/>
    <x v="5"/>
    <n v="1"/>
    <n v="5.9895500000000004"/>
    <n v="11.979100000000001"/>
    <n v="5.9895500000000004"/>
    <m/>
    <x v="1"/>
    <x v="1"/>
    <m/>
    <m/>
    <x v="0"/>
  </r>
  <r>
    <x v="79"/>
    <x v="78"/>
    <x v="1"/>
    <x v="76"/>
    <x v="1"/>
    <x v="68"/>
    <x v="68"/>
    <n v="2"/>
    <m/>
    <x v="0"/>
    <n v="5.1175500000000005"/>
    <x v="0"/>
    <m/>
    <x v="0"/>
    <x v="12"/>
    <n v="0"/>
    <x v="0"/>
    <n v="0"/>
    <x v="5"/>
    <n v="1"/>
    <n v="5.1175500000000005"/>
    <n v="10.235100000000001"/>
    <n v="5.1175500000000005"/>
    <m/>
    <x v="1"/>
    <x v="1"/>
    <m/>
    <m/>
    <x v="0"/>
  </r>
  <r>
    <x v="80"/>
    <x v="79"/>
    <x v="13"/>
    <x v="65"/>
    <x v="1"/>
    <x v="0"/>
    <x v="20"/>
    <n v="1"/>
    <m/>
    <x v="0"/>
    <n v="0"/>
    <x v="2"/>
    <m/>
    <x v="0"/>
    <x v="12"/>
    <n v="0"/>
    <x v="0"/>
    <n v="0"/>
    <x v="2"/>
    <n v="0"/>
    <n v="0"/>
    <n v="0"/>
    <n v="0"/>
    <m/>
    <x v="1"/>
    <x v="1"/>
    <m/>
    <m/>
    <x v="0"/>
  </r>
  <r>
    <x v="81"/>
    <x v="80"/>
    <x v="13"/>
    <x v="65"/>
    <x v="1"/>
    <x v="0"/>
    <x v="20"/>
    <n v="1"/>
    <m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82"/>
    <x v="81"/>
    <x v="1"/>
    <x v="77"/>
    <x v="1"/>
    <x v="69"/>
    <x v="69"/>
    <n v="1"/>
    <m/>
    <x v="0"/>
    <n v="16.339100000000002"/>
    <x v="0"/>
    <n v="1"/>
    <x v="0"/>
    <x v="0"/>
    <n v="16.339100000000002"/>
    <x v="1"/>
    <n v="0"/>
    <x v="0"/>
    <n v="0"/>
    <n v="0"/>
    <n v="0"/>
    <n v="0"/>
    <n v="16.339100000000002"/>
    <x v="3"/>
    <x v="5"/>
    <m/>
    <m/>
    <x v="0"/>
  </r>
  <r>
    <x v="83"/>
    <x v="82"/>
    <x v="1"/>
    <x v="78"/>
    <x v="1"/>
    <x v="70"/>
    <x v="70"/>
    <n v="1"/>
    <m/>
    <x v="0"/>
    <n v="6.7035"/>
    <x v="0"/>
    <n v="1"/>
    <x v="0"/>
    <x v="0"/>
    <n v="6.7035"/>
    <x v="0"/>
    <n v="0"/>
    <x v="0"/>
    <n v="0"/>
    <n v="0"/>
    <n v="0"/>
    <n v="0"/>
    <n v="6.7035"/>
    <x v="3"/>
    <x v="5"/>
    <m/>
    <m/>
    <x v="0"/>
  </r>
  <r>
    <x v="84"/>
    <x v="83"/>
    <x v="12"/>
    <x v="79"/>
    <x v="36"/>
    <x v="71"/>
    <x v="71"/>
    <n v="1"/>
    <m/>
    <x v="0"/>
    <n v="4.6287799999999999"/>
    <x v="0"/>
    <n v="1"/>
    <x v="0"/>
    <x v="0"/>
    <n v="4.6287799999999999"/>
    <x v="0"/>
    <n v="0"/>
    <x v="0"/>
    <n v="0"/>
    <n v="0"/>
    <n v="0"/>
    <n v="0"/>
    <n v="4.6287799999999999"/>
    <x v="3"/>
    <x v="1"/>
    <d v="2020-02-26T00:00:00"/>
    <m/>
    <x v="0"/>
  </r>
  <r>
    <x v="85"/>
    <x v="84"/>
    <x v="1"/>
    <x v="80"/>
    <x v="1"/>
    <x v="72"/>
    <x v="72"/>
    <n v="6"/>
    <m/>
    <x v="4"/>
    <n v="6.896066666666667"/>
    <x v="0"/>
    <n v="6"/>
    <x v="0"/>
    <x v="4"/>
    <n v="6.896066666666667"/>
    <x v="0"/>
    <n v="0"/>
    <x v="0"/>
    <n v="2"/>
    <n v="0"/>
    <n v="0"/>
    <n v="3.4480333333333335"/>
    <n v="10.350000000000001"/>
    <x v="9"/>
    <x v="7"/>
    <d v="2020-03-07T00:00:00"/>
    <m/>
    <x v="0"/>
  </r>
  <r>
    <x v="86"/>
    <x v="85"/>
    <x v="12"/>
    <x v="81"/>
    <x v="37"/>
    <x v="73"/>
    <x v="73"/>
    <n v="10"/>
    <m/>
    <x v="21"/>
    <n v="5.1722399999999986"/>
    <x v="0"/>
    <n v="10"/>
    <x v="0"/>
    <x v="20"/>
    <n v="5.1722399999999986"/>
    <x v="0"/>
    <n v="0"/>
    <x v="0"/>
    <n v="0"/>
    <n v="0"/>
    <n v="0"/>
    <n v="0"/>
    <n v="5.1722399999999986"/>
    <x v="3"/>
    <x v="1"/>
    <d v="2020-02-26T00:00:00"/>
    <m/>
    <x v="0"/>
  </r>
  <r>
    <x v="87"/>
    <x v="86"/>
    <x v="12"/>
    <x v="82"/>
    <x v="38"/>
    <x v="74"/>
    <x v="74"/>
    <n v="10"/>
    <m/>
    <x v="21"/>
    <n v="3.1857999999999995"/>
    <x v="0"/>
    <n v="10"/>
    <x v="0"/>
    <x v="20"/>
    <n v="3.1857999999999995"/>
    <x v="0"/>
    <n v="0"/>
    <x v="0"/>
    <n v="0"/>
    <n v="0"/>
    <n v="0"/>
    <n v="0"/>
    <n v="3.1857999999999995"/>
    <x v="3"/>
    <x v="1"/>
    <d v="2020-02-26T00:00:00"/>
    <m/>
    <x v="0"/>
  </r>
  <r>
    <x v="88"/>
    <x v="87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89"/>
    <x v="88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0"/>
    <x v="89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1"/>
    <x v="90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2"/>
    <x v="91"/>
    <x v="14"/>
    <x v="84"/>
    <x v="39"/>
    <x v="76"/>
    <x v="76"/>
    <n v="1"/>
    <m/>
    <x v="0"/>
    <n v="17.97"/>
    <x v="0"/>
    <n v="1"/>
    <x v="0"/>
    <x v="0"/>
    <n v="17.97"/>
    <x v="0"/>
    <n v="0"/>
    <x v="0"/>
    <n v="0"/>
    <n v="0"/>
    <n v="0"/>
    <n v="0"/>
    <n v="17.97"/>
    <x v="3"/>
    <x v="1"/>
    <d v="2020-02-25T00:00:00"/>
    <m/>
    <x v="0"/>
  </r>
  <r>
    <x v="93"/>
    <x v="92"/>
    <x v="1"/>
    <x v="85"/>
    <x v="1"/>
    <x v="77"/>
    <x v="77"/>
    <n v="200"/>
    <m/>
    <x v="0"/>
    <n v="3.2645500000000001E-2"/>
    <x v="0"/>
    <m/>
    <x v="0"/>
    <x v="12"/>
    <n v="0"/>
    <x v="0"/>
    <n v="0"/>
    <x v="6"/>
    <n v="199"/>
    <n v="3.2645500000000001E-2"/>
    <n v="6.5291000000000006"/>
    <n v="6.4964545000000005"/>
    <m/>
    <x v="1"/>
    <x v="1"/>
    <m/>
    <m/>
    <x v="0"/>
  </r>
  <r>
    <x v="94"/>
    <x v="93"/>
    <x v="1"/>
    <x v="86"/>
    <x v="1"/>
    <x v="78"/>
    <x v="78"/>
    <n v="100"/>
    <m/>
    <x v="0"/>
    <n v="9.7991000000000009E-2"/>
    <x v="0"/>
    <m/>
    <x v="0"/>
    <x v="12"/>
    <n v="0"/>
    <x v="0"/>
    <n v="0"/>
    <x v="7"/>
    <n v="99"/>
    <n v="9.7991000000000009E-2"/>
    <n v="9.799100000000001"/>
    <n v="9.7011090000000006"/>
    <m/>
    <x v="1"/>
    <x v="1"/>
    <m/>
    <m/>
    <x v="0"/>
  </r>
  <r>
    <x v="95"/>
    <x v="94"/>
    <x v="1"/>
    <x v="87"/>
    <x v="1"/>
    <x v="79"/>
    <x v="79"/>
    <n v="1"/>
    <m/>
    <x v="0"/>
    <n v="7.4228999999999994"/>
    <x v="0"/>
    <m/>
    <x v="0"/>
    <x v="12"/>
    <n v="0"/>
    <x v="0"/>
    <n v="0"/>
    <x v="2"/>
    <n v="0"/>
    <n v="7.4228999999999994"/>
    <n v="7.4228999999999994"/>
    <n v="0"/>
    <m/>
    <x v="1"/>
    <x v="1"/>
    <m/>
    <m/>
    <x v="0"/>
  </r>
  <r>
    <x v="96"/>
    <x v="95"/>
    <x v="1"/>
    <x v="88"/>
    <x v="1"/>
    <x v="80"/>
    <x v="80"/>
    <n v="1"/>
    <m/>
    <x v="0"/>
    <n v="7.5536999999999992"/>
    <x v="0"/>
    <m/>
    <x v="0"/>
    <x v="12"/>
    <n v="0"/>
    <x v="0"/>
    <n v="0"/>
    <x v="2"/>
    <n v="0"/>
    <n v="7.5536999999999992"/>
    <n v="7.5536999999999992"/>
    <n v="0"/>
    <m/>
    <x v="1"/>
    <x v="1"/>
    <m/>
    <m/>
    <x v="0"/>
  </r>
  <r>
    <x v="97"/>
    <x v="96"/>
    <x v="1"/>
    <x v="89"/>
    <x v="1"/>
    <x v="81"/>
    <x v="81"/>
    <n v="1"/>
    <m/>
    <x v="0"/>
    <n v="9.4829999999999988"/>
    <x v="0"/>
    <m/>
    <x v="0"/>
    <x v="12"/>
    <n v="0"/>
    <x v="0"/>
    <n v="0"/>
    <x v="2"/>
    <n v="0"/>
    <n v="9.4829999999999988"/>
    <n v="9.4829999999999988"/>
    <n v="0"/>
    <m/>
    <x v="1"/>
    <x v="1"/>
    <m/>
    <m/>
    <x v="0"/>
  </r>
  <r>
    <x v="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5:L9" firstHeaderRow="0" firstDataRow="1" firstDataCol="10" rowPageCount="1" colPageCount="1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name="Cost each" axis="axisRow" compact="0" outline="0" showAll="0" defaultSubtotal="0">
      <items count="104">
        <item x="15"/>
        <item x="33"/>
        <item x="38"/>
        <item x="2"/>
        <item x="59"/>
        <item x="85"/>
        <item x="32"/>
        <item x="7"/>
        <item x="37"/>
        <item x="5"/>
        <item x="20"/>
        <item x="31"/>
        <item x="68"/>
        <item x="26"/>
        <item x="86"/>
        <item x="10"/>
        <item x="58"/>
        <item x="63"/>
        <item x="24"/>
        <item x="60"/>
        <item x="82"/>
        <item x="29"/>
        <item x="30"/>
        <item x="3"/>
        <item x="16"/>
        <item x="13"/>
        <item x="81"/>
        <item x="25"/>
        <item x="8"/>
        <item x="61"/>
        <item x="27"/>
        <item x="28"/>
        <item x="4"/>
        <item x="22"/>
        <item x="67"/>
        <item x="73"/>
        <item x="69"/>
        <item x="1"/>
        <item x="66"/>
        <item m="1" x="103"/>
        <item x="35"/>
        <item x="23"/>
        <item x="39"/>
        <item m="1" x="98"/>
        <item x="11"/>
        <item x="71"/>
        <item x="43"/>
        <item x="40"/>
        <item x="41"/>
        <item x="21"/>
        <item x="57"/>
        <item x="42"/>
        <item x="76"/>
        <item x="72"/>
        <item x="75"/>
        <item x="34"/>
        <item x="78"/>
        <item x="87"/>
        <item x="83"/>
        <item x="88"/>
        <item m="1" x="102"/>
        <item x="89"/>
        <item m="1" x="90"/>
        <item x="84"/>
        <item x="47"/>
        <item x="64"/>
        <item x="36"/>
        <item x="55"/>
        <item x="62"/>
        <item x="77"/>
        <item x="18"/>
        <item x="14"/>
        <item x="45"/>
        <item x="74"/>
        <item x="56"/>
        <item x="17"/>
        <item m="1" x="91"/>
        <item m="1" x="95"/>
        <item x="54"/>
        <item x="44"/>
        <item x="6"/>
        <item x="12"/>
        <item m="1" x="99"/>
        <item m="1" x="100"/>
        <item m="1" x="93"/>
        <item x="70"/>
        <item m="1" x="97"/>
        <item m="1" x="92"/>
        <item x="52"/>
        <item m="1" x="96"/>
        <item x="65"/>
        <item m="1" x="101"/>
        <item x="79"/>
        <item x="9"/>
        <item x="0"/>
        <item x="51"/>
        <item x="53"/>
        <item x="80"/>
        <item x="19"/>
        <item m="1" x="94"/>
        <item x="46"/>
        <item x="48"/>
        <item x="49"/>
        <item x="50"/>
      </items>
    </pivotField>
    <pivotField axis="axisRow" compact="0" outline="0" showAll="0" defaultSubtotal="0">
      <items count="44">
        <item x="1"/>
        <item x="20"/>
        <item x="25"/>
        <item x="31"/>
        <item x="19"/>
        <item x="24"/>
        <item x="9"/>
        <item x="18"/>
        <item x="35"/>
        <item x="4"/>
        <item x="30"/>
        <item x="13"/>
        <item x="32"/>
        <item x="16"/>
        <item x="17"/>
        <item x="6"/>
        <item x="3"/>
        <item x="14"/>
        <item x="15"/>
        <item x="2"/>
        <item x="11"/>
        <item x="10"/>
        <item x="29"/>
        <item x="21"/>
        <item x="26"/>
        <item x="34"/>
        <item x="12"/>
        <item x="7"/>
        <item x="33"/>
        <item x="8"/>
        <item x="22"/>
        <item x="23"/>
        <item x="5"/>
        <item m="1" x="42"/>
        <item m="1" x="43"/>
        <item x="28"/>
        <item m="1" x="41"/>
        <item x="40"/>
        <item x="36"/>
        <item x="37"/>
        <item x="38"/>
        <item x="39"/>
        <item x="0"/>
        <item x="27"/>
      </items>
    </pivotField>
    <pivotField axis="axisRow" compact="0" numFmtId="44" outline="0" showAll="0" defaultSubtotal="0">
      <items count="95">
        <item x="0"/>
        <item x="29"/>
        <item x="34"/>
        <item x="2"/>
        <item x="54"/>
        <item x="77"/>
        <item x="7"/>
        <item x="28"/>
        <item x="5"/>
        <item x="33"/>
        <item x="16"/>
        <item x="27"/>
        <item x="22"/>
        <item x="78"/>
        <item x="61"/>
        <item x="10"/>
        <item x="58"/>
        <item x="53"/>
        <item x="20"/>
        <item m="1" x="86"/>
        <item x="55"/>
        <item x="3"/>
        <item x="13"/>
        <item x="25"/>
        <item x="26"/>
        <item m="1" x="82"/>
        <item x="12"/>
        <item x="21"/>
        <item x="56"/>
        <item x="8"/>
        <item x="23"/>
        <item x="24"/>
        <item x="18"/>
        <item x="4"/>
        <item x="65"/>
        <item x="62"/>
        <item x="1"/>
        <item x="60"/>
        <item m="1" x="94"/>
        <item x="31"/>
        <item x="35"/>
        <item m="1" x="92"/>
        <item x="11"/>
        <item x="63"/>
        <item x="39"/>
        <item x="36"/>
        <item x="37"/>
        <item x="17"/>
        <item x="52"/>
        <item x="38"/>
        <item x="19"/>
        <item x="68"/>
        <item x="64"/>
        <item x="67"/>
        <item x="30"/>
        <item x="70"/>
        <item x="79"/>
        <item x="75"/>
        <item x="80"/>
        <item m="1" x="85"/>
        <item x="81"/>
        <item m="1" x="89"/>
        <item m="1" x="83"/>
        <item x="43"/>
        <item x="59"/>
        <item x="32"/>
        <item x="50"/>
        <item x="57"/>
        <item x="69"/>
        <item x="15"/>
        <item x="41"/>
        <item x="66"/>
        <item x="51"/>
        <item x="14"/>
        <item m="1" x="87"/>
        <item x="49"/>
        <item x="40"/>
        <item x="6"/>
        <item m="1" x="84"/>
        <item m="1" x="88"/>
        <item m="1" x="90"/>
        <item m="1" x="91"/>
        <item x="71"/>
        <item x="73"/>
        <item x="74"/>
        <item x="9"/>
        <item x="76"/>
        <item x="47"/>
        <item x="48"/>
        <item x="72"/>
        <item m="1" x="93"/>
        <item x="42"/>
        <item x="44"/>
        <item x="45"/>
        <item x="46"/>
      </items>
    </pivotField>
    <pivotField axis="axisRow" compact="0" outline="0" showAll="0" defaultSubtotal="0">
      <items count="90">
        <item x="59"/>
        <item x="34"/>
        <item x="17"/>
        <item x="52"/>
        <item x="33"/>
        <item x="38"/>
        <item x="12"/>
        <item x="58"/>
        <item x="62"/>
        <item x="47"/>
        <item x="43"/>
        <item x="46"/>
        <item x="70"/>
        <item x="78"/>
        <item x="11"/>
        <item x="81"/>
        <item x="50"/>
        <item x="77"/>
        <item x="23"/>
        <item x="49"/>
        <item m="1" x="83"/>
        <item x="42"/>
        <item x="67"/>
        <item x="16"/>
        <item x="5"/>
        <item x="79"/>
        <item x="80"/>
        <item x="15"/>
        <item x="1"/>
        <item x="40"/>
        <item x="24"/>
        <item x="3"/>
        <item x="37"/>
        <item x="44"/>
        <item x="51"/>
        <item x="75"/>
        <item x="6"/>
        <item x="69"/>
        <item m="1" x="85"/>
        <item x="45"/>
        <item x="57"/>
        <item x="7"/>
        <item x="2"/>
        <item m="1" x="87"/>
        <item x="68"/>
        <item m="1" x="82"/>
        <item x="14"/>
        <item x="18"/>
        <item x="27"/>
        <item x="28"/>
        <item x="22"/>
        <item x="55"/>
        <item x="29"/>
        <item x="10"/>
        <item x="25"/>
        <item x="31"/>
        <item x="36"/>
        <item x="54"/>
        <item x="60"/>
        <item x="30"/>
        <item x="35"/>
        <item x="19"/>
        <item x="53"/>
        <item x="8"/>
        <item x="26"/>
        <item x="13"/>
        <item x="4"/>
        <item x="74"/>
        <item x="65"/>
        <item x="73"/>
        <item m="1" x="89"/>
        <item x="61"/>
        <item x="64"/>
        <item x="63"/>
        <item x="66"/>
        <item x="32"/>
        <item x="76"/>
        <item x="0"/>
        <item x="39"/>
        <item x="56"/>
        <item x="21"/>
        <item x="20"/>
        <item m="1" x="88"/>
        <item x="71"/>
        <item m="1" x="84"/>
        <item x="9"/>
        <item x="48"/>
        <item x="72"/>
        <item m="1" x="86"/>
        <item x="41"/>
      </items>
    </pivotField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axis="axisPage" compact="0" outline="0" multipleItemSelectionAllowed="1" showAll="0" defaultSubtotal="0">
      <items count="3">
        <item h="1" x="0"/>
        <item x="2"/>
        <item h="1" x="1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compact="0" outline="0" showAll="0" defaultSubtotal="0"/>
    <pivotField compact="0" numFmtId="44" outline="0" showAll="0" defaultSubtotal="0"/>
    <pivotField axis="axisRow" compact="0" outline="0" showAll="0" defaultSubtotal="0">
      <items count="13">
        <item x="0"/>
        <item x="2"/>
        <item x="5"/>
        <item m="1" x="10"/>
        <item m="1" x="12"/>
        <item x="3"/>
        <item m="1" x="8"/>
        <item m="1" x="11"/>
        <item x="1"/>
        <item x="4"/>
        <item m="1" x="9"/>
        <item x="7"/>
        <item x="6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44" outline="0" showAll="0" defaultSubtotal="0">
      <items count="22">
        <item h="1" x="0"/>
        <item m="1" x="6"/>
        <item m="1" x="11"/>
        <item m="1" x="18"/>
        <item m="1" x="20"/>
        <item m="1" x="3"/>
        <item m="1" x="5"/>
        <item m="1" x="21"/>
        <item m="1" x="2"/>
        <item m="1" x="12"/>
        <item m="1" x="1"/>
        <item h="1" m="1" x="14"/>
        <item h="1" m="1" x="13"/>
        <item h="1" m="1" x="15"/>
        <item h="1" m="1" x="7"/>
        <item h="1" m="1" x="19"/>
        <item h="1" m="1" x="10"/>
        <item h="1" m="1" x="17"/>
        <item h="1" m="1" x="9"/>
        <item h="1" m="1" x="4"/>
        <item h="1" m="1" x="16"/>
        <item h="1" m="1" x="8"/>
      </items>
    </pivotField>
  </pivotFields>
  <rowFields count="10">
    <field x="2"/>
    <field x="0"/>
    <field x="1"/>
    <field x="14"/>
    <field x="9"/>
    <field x="18"/>
    <field x="3"/>
    <field x="4"/>
    <field x="5"/>
    <field x="6"/>
  </rowFields>
  <rowItems count="4">
    <i>
      <x v="1"/>
      <x v="49"/>
      <x v="77"/>
      <x/>
      <x v="1"/>
      <x v="1"/>
      <x v="64"/>
      <x/>
      <x v="63"/>
      <x v="21"/>
    </i>
    <i r="1">
      <x v="57"/>
      <x v="46"/>
      <x/>
      <x v="1"/>
      <x v="1"/>
      <x v="67"/>
      <x/>
      <x v="66"/>
      <x v="16"/>
    </i>
    <i>
      <x v="15"/>
      <x v="80"/>
      <x v="45"/>
      <x/>
      <x v="1"/>
      <x v="1"/>
      <x v="90"/>
      <x/>
      <x/>
      <x v="81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Buy-now costs" fld="28" baseField="0" baseItem="0"/>
    <dataField name="Sum of Cost of excess material" fld="22" baseField="0" baseItem="0"/>
  </dataFields>
  <formats count="68">
    <format dxfId="510">
      <pivotArea field="14" type="button" dataOnly="0" labelOnly="1" outline="0" axis="axisRow" fieldPosition="3"/>
    </format>
    <format dxfId="50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50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50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506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505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504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503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502">
      <pivotArea grandRow="1" outline="0" collapsedLevelsAreSubtotals="1" fieldPosition="0"/>
    </format>
    <format dxfId="501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500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99">
      <pivotArea dataOnly="0" labelOnly="1" outline="0" fieldPosition="0">
        <references count="1">
          <reference field="1" count="0"/>
        </references>
      </pivotArea>
    </format>
    <format dxfId="498">
      <pivotArea field="14" type="button" dataOnly="0" labelOnly="1" outline="0" axis="axisRow" fieldPosition="3"/>
    </format>
    <format dxfId="497">
      <pivotArea dataOnly="0" labelOnly="1" grandRow="1" outline="0" fieldPosition="0"/>
    </format>
    <format dxfId="496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49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49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49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49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49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490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489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48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487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486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485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484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483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482">
      <pivotArea dataOnly="0" labelOnly="1" outline="0" axis="axisValues" fieldPosition="0"/>
    </format>
    <format dxfId="481">
      <pivotArea outline="0" collapsedLevelsAreSubtotals="1" fieldPosition="0"/>
    </format>
    <format dxfId="4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9">
      <pivotArea dataOnly="0" outline="0" fieldPosition="0">
        <references count="1">
          <reference field="4294967294" count="1">
            <x v="1"/>
          </reference>
        </references>
      </pivotArea>
    </format>
    <format dxfId="478">
      <pivotArea field="2" type="button" dataOnly="0" labelOnly="1" outline="0" axis="axisRow" fieldPosition="0"/>
    </format>
    <format dxfId="477">
      <pivotArea field="0" type="button" dataOnly="0" labelOnly="1" outline="0" axis="axisRow" fieldPosition="1"/>
    </format>
    <format dxfId="476">
      <pivotArea field="1" type="button" dataOnly="0" labelOnly="1" outline="0" axis="axisRow" fieldPosition="2"/>
    </format>
    <format dxfId="475">
      <pivotArea field="14" type="button" dataOnly="0" labelOnly="1" outline="0" axis="axisRow" fieldPosition="3"/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3">
      <pivotArea type="all" dataOnly="0" outline="0" fieldPosition="0"/>
    </format>
    <format dxfId="472">
      <pivotArea type="all" dataOnly="0" outline="0" fieldPosition="0"/>
    </format>
    <format dxfId="471">
      <pivotArea field="1" type="button" dataOnly="0" labelOnly="1" outline="0" axis="axisRow" fieldPosition="2"/>
    </format>
    <format dxfId="470">
      <pivotArea field="28" type="button" dataOnly="0" labelOnly="1" outline="0"/>
    </format>
    <format dxfId="469">
      <pivotArea dataOnly="0" labelOnly="1" outline="0" fieldPosition="0">
        <references count="3">
          <reference field="0" count="1" selected="0">
            <x v="17"/>
          </reference>
          <reference field="1" count="1">
            <x v="49"/>
          </reference>
          <reference field="2" count="1" selected="0">
            <x v="1"/>
          </reference>
        </references>
      </pivotArea>
    </format>
    <format dxfId="468">
      <pivotArea dataOnly="0" labelOnly="1" outline="0" fieldPosition="0">
        <references count="3">
          <reference field="0" count="1" selected="0">
            <x v="82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467">
      <pivotArea dataOnly="0" labelOnly="1" outline="0" fieldPosition="0">
        <references count="3">
          <reference field="0" count="1" selected="0">
            <x v="83"/>
          </reference>
          <reference field="1" count="1">
            <x v="19"/>
          </reference>
          <reference field="2" count="1" selected="0">
            <x v="1"/>
          </reference>
        </references>
      </pivotArea>
    </format>
    <format dxfId="466">
      <pivotArea dataOnly="0" labelOnly="1" outline="0" fieldPosition="0">
        <references count="3">
          <reference field="0" count="1" selected="0">
            <x v="84"/>
          </reference>
          <reference field="1" count="1">
            <x v="34"/>
          </reference>
          <reference field="2" count="1" selected="0">
            <x v="1"/>
          </reference>
        </references>
      </pivotArea>
    </format>
    <format dxfId="465">
      <pivotArea dataOnly="0" labelOnly="1" outline="0" fieldPosition="0">
        <references count="3">
          <reference field="0" count="1" selected="0">
            <x v="88"/>
          </reference>
          <reference field="1" count="1">
            <x v="93"/>
          </reference>
          <reference field="2" count="1" selected="0">
            <x v="1"/>
          </reference>
        </references>
      </pivotArea>
    </format>
    <format dxfId="464">
      <pivotArea dataOnly="0" labelOnly="1" outline="0" fieldPosition="0">
        <references count="3">
          <reference field="0" count="1" selected="0">
            <x v="85"/>
          </reference>
          <reference field="1" count="1">
            <x v="74"/>
          </reference>
          <reference field="2" count="1" selected="0">
            <x v="5"/>
          </reference>
        </references>
      </pivotArea>
    </format>
    <format dxfId="463">
      <pivotArea dataOnly="0" labelOnly="1" outline="0" fieldPosition="0">
        <references count="3">
          <reference field="0" count="1" selected="0">
            <x v="86"/>
          </reference>
          <reference field="1" count="1">
            <x v="78"/>
          </reference>
          <reference field="2" count="1" selected="0">
            <x v="5"/>
          </reference>
        </references>
      </pivotArea>
    </format>
    <format dxfId="462">
      <pivotArea dataOnly="0" labelOnly="1" outline="0" fieldPosition="0">
        <references count="3">
          <reference field="0" count="1" selected="0">
            <x v="87"/>
          </reference>
          <reference field="1" count="1">
            <x v="82"/>
          </reference>
          <reference field="2" count="1" selected="0">
            <x v="5"/>
          </reference>
        </references>
      </pivotArea>
    </format>
    <format dxfId="461">
      <pivotArea dataOnly="0" labelOnly="1" outline="0" fieldPosition="0">
        <references count="3">
          <reference field="0" count="1" selected="0">
            <x v="92"/>
          </reference>
          <reference field="1" count="1">
            <x v="94"/>
          </reference>
          <reference field="2" count="1" selected="0">
            <x v="8"/>
          </reference>
        </references>
      </pivotArea>
    </format>
    <format dxfId="460">
      <pivotArea dataOnly="0" outline="0" fieldPosition="0">
        <references count="1">
          <reference field="4294967294" count="1">
            <x v="0"/>
          </reference>
        </references>
      </pivotArea>
    </format>
    <format dxfId="459">
      <pivotArea field="9" type="button" dataOnly="0" labelOnly="1" outline="0" axis="axisRow" fieldPosition="4"/>
    </format>
    <format dxfId="458">
      <pivotArea field="18" type="button" dataOnly="0" labelOnly="1" outline="0" axis="axisRow" fieldPosition="5"/>
    </format>
    <format dxfId="457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456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455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80"/>
          </reference>
          <reference field="9" count="1" selected="0">
            <x v="2"/>
          </reference>
          <reference field="14" count="1" selected="0">
            <x v="0"/>
          </reference>
          <reference field="18" count="1" selected="0">
            <x v="2"/>
          </reference>
        </references>
      </pivotArea>
    </format>
    <format dxfId="454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3" count="1">
            <x v="24"/>
          </reference>
          <reference field="9" count="1" selected="0">
            <x v="17"/>
          </reference>
          <reference field="14" count="1" selected="0">
            <x v="0"/>
          </reference>
          <reference field="18" count="1" selected="0">
            <x v="10"/>
          </reference>
        </references>
      </pivotArea>
    </format>
    <format dxfId="453">
      <pivotArea dataOnly="0" labelOnly="1" outline="0" fieldPosition="0">
        <references count="7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6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52">
      <pivotArea dataOnly="0" labelOnly="1" outline="0" fieldPosition="0">
        <references count="7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3" count="1">
            <x v="56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51">
      <pivotArea dataOnly="0" labelOnly="1" outline="0" fieldPosition="0">
        <references count="7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1"/>
          </reference>
          <reference field="3" count="1">
            <x v="3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5"/>
          </reference>
        </references>
      </pivotArea>
    </format>
    <format dxfId="450">
      <pivotArea dataOnly="0" labelOnly="1" outline="0" fieldPosition="0">
        <references count="7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3" count="1">
            <x v="58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49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77"/>
          </reference>
          <reference field="9" count="1" selected="0">
            <x v="5"/>
          </reference>
          <reference field="14" count="1" selected="0">
            <x v="3"/>
          </reference>
          <reference field="18" count="1" selected="0">
            <x v="2"/>
          </reference>
        </references>
      </pivotArea>
    </format>
    <format dxfId="448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3" count="1">
            <x v="43"/>
          </reference>
          <reference field="9" count="1" selected="0">
            <x v="4"/>
          </reference>
          <reference field="14" count="1" selected="0">
            <x v="0"/>
          </reference>
          <reference field="18" count="1" selected="0">
            <x v="4"/>
          </reference>
        </references>
      </pivotArea>
    </format>
    <format dxfId="447">
      <pivotArea dataOnly="0" labelOnly="1" outline="0" fieldPosition="0">
        <references count="7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446">
      <pivotArea dataOnly="0" labelOnly="1" outline="0" fieldPosition="0">
        <references count="7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3" count="1">
            <x v="20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445">
      <pivotArea dataOnly="0" labelOnly="1" outline="0" fieldPosition="0">
        <references count="7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3" count="1">
            <x v="63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44">
      <pivotArea field="3" type="button" dataOnly="0" labelOnly="1" outline="0" axis="axisRow" fieldPosition="6"/>
    </format>
    <format dxfId="443">
      <pivotArea field="3" type="button" dataOnly="0" labelOnly="1" outline="0" axis="axisRow" fieldPosition="6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4:I26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axis="axisRow" compact="0" outline="0" showAll="0" defaultSubtotal="0">
      <items count="12">
        <item m="1" x="10"/>
        <item m="1" x="9"/>
        <item m="1" x="6"/>
        <item m="1" x="8"/>
        <item m="1" x="7"/>
        <item m="1" x="4"/>
        <item m="1" x="5"/>
        <item m="1" x="2"/>
        <item x="0"/>
        <item m="1" x="3"/>
        <item m="1" x="11"/>
        <item x="1"/>
      </items>
    </pivotField>
    <pivotField compact="0" numFmtId="44" outline="0" showAll="0" defaultSubtotal="0"/>
    <pivotField axis="axisRow" compact="0" outline="0" showAll="0" defaultSubtotal="0">
      <items count="13">
        <item h="1" x="0"/>
        <item x="2"/>
        <item x="5"/>
        <item m="1" x="10"/>
        <item m="1" x="12"/>
        <item x="3"/>
        <item m="1" x="8"/>
        <item m="1" x="11"/>
        <item x="1"/>
        <item x="4"/>
        <item m="1" x="9"/>
        <item x="7"/>
        <item x="6"/>
      </items>
    </pivotField>
    <pivotField compact="0" outline="0" showAll="0" defaultSubtotal="0"/>
    <pivotField dataField="1"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9"/>
    <field x="14"/>
    <field x="16"/>
    <field x="18"/>
  </rowFields>
  <rowItems count="22">
    <i>
      <x/>
      <x v="29"/>
      <x v="72"/>
      <x v="1"/>
      <x/>
      <x v="8"/>
      <x v="1"/>
    </i>
    <i>
      <x v="1"/>
      <x v="4"/>
      <x v="96"/>
      <x v="1"/>
      <x/>
      <x v="8"/>
      <x v="1"/>
    </i>
    <i r="1">
      <x v="6"/>
      <x v="95"/>
      <x v="1"/>
      <x/>
      <x v="8"/>
      <x v="1"/>
    </i>
    <i r="1">
      <x v="13"/>
      <x v="93"/>
      <x v="1"/>
      <x/>
      <x v="8"/>
      <x v="12"/>
    </i>
    <i r="1">
      <x v="27"/>
      <x v="2"/>
      <x v="14"/>
      <x v="6"/>
      <x v="8"/>
      <x v="8"/>
    </i>
    <i r="1">
      <x v="32"/>
      <x v="79"/>
      <x v="1"/>
      <x/>
      <x v="8"/>
      <x v="2"/>
    </i>
    <i r="1">
      <x v="38"/>
      <x v="78"/>
      <x v="1"/>
      <x/>
      <x v="8"/>
      <x v="2"/>
    </i>
    <i r="1">
      <x v="46"/>
      <x v="57"/>
      <x v="1"/>
      <x/>
      <x v="8"/>
      <x v="1"/>
    </i>
    <i r="1">
      <x v="77"/>
      <x v="49"/>
      <x v="1"/>
      <x/>
      <x v="8"/>
      <x v="1"/>
    </i>
    <i r="1">
      <x v="81"/>
      <x v="97"/>
      <x v="1"/>
      <x/>
      <x v="8"/>
      <x v="1"/>
    </i>
    <i r="1">
      <x v="88"/>
      <x v="94"/>
      <x v="1"/>
      <x/>
      <x v="8"/>
      <x v="11"/>
    </i>
    <i>
      <x v="5"/>
      <x v="41"/>
      <x v="73"/>
      <x v="1"/>
      <x/>
      <x v="8"/>
      <x v="1"/>
    </i>
    <i r="1">
      <x v="72"/>
      <x v="76"/>
      <x v="1"/>
      <x/>
      <x v="8"/>
      <x v="1"/>
    </i>
    <i r="1">
      <x v="84"/>
      <x v="74"/>
      <x v="1"/>
      <x/>
      <x v="8"/>
      <x v="1"/>
    </i>
    <i>
      <x v="6"/>
      <x v="5"/>
      <x v="69"/>
      <x v="16"/>
      <x/>
      <x v="8"/>
      <x v="9"/>
    </i>
    <i>
      <x v="9"/>
      <x v="7"/>
      <x v="16"/>
      <x v="1"/>
      <x/>
      <x v="8"/>
      <x v="1"/>
    </i>
    <i>
      <x v="13"/>
      <x v="40"/>
      <x v="37"/>
      <x v="5"/>
      <x/>
      <x v="8"/>
      <x v="5"/>
    </i>
    <i>
      <x v="15"/>
      <x v="35"/>
      <x v="77"/>
      <x v="1"/>
      <x/>
      <x v="8"/>
      <x v="1"/>
    </i>
    <i r="1">
      <x v="45"/>
      <x v="80"/>
      <x v="1"/>
      <x/>
      <x v="8"/>
      <x v="1"/>
    </i>
    <i r="1">
      <x v="75"/>
      <x v="75"/>
      <x v="1"/>
      <x/>
      <x v="8"/>
      <x v="1"/>
    </i>
    <i r="1">
      <x v="96"/>
      <x v="81"/>
      <x v="1"/>
      <x/>
      <x v="8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maining ideal cost" fld="20" baseField="14" baseItem="2"/>
    <dataField name="Sum of Cost of excess material" fld="22" baseField="0" baseItem="0"/>
  </dataFields>
  <formats count="92">
    <format dxfId="442">
      <pivotArea field="14" type="button" dataOnly="0" labelOnly="1" outline="0" axis="axisRow" fieldPosition="4"/>
    </format>
    <format dxfId="441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440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439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38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437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436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435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434">
      <pivotArea grandRow="1" outline="0" collapsedLevelsAreSubtotals="1" fieldPosition="0"/>
    </format>
    <format dxfId="433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432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31">
      <pivotArea dataOnly="0" labelOnly="1" outline="0" fieldPosition="0">
        <references count="1">
          <reference field="1" count="0"/>
        </references>
      </pivotArea>
    </format>
    <format dxfId="430">
      <pivotArea field="2" type="button" dataOnly="0" labelOnly="1" outline="0" axis="axisRow" fieldPosition="0"/>
    </format>
    <format dxfId="429">
      <pivotArea field="1" type="button" dataOnly="0" labelOnly="1" outline="0" axis="axisRow" fieldPosition="1"/>
    </format>
    <format dxfId="428">
      <pivotArea field="0" type="button" dataOnly="0" labelOnly="1" outline="0" axis="axisRow" fieldPosition="2"/>
    </format>
    <format dxfId="427">
      <pivotArea dataOnly="0" labelOnly="1" outline="0" axis="axisValues" fieldPosition="0"/>
    </format>
    <format dxfId="4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5">
      <pivotArea outline="0" collapsedLevelsAreSubtotals="1" fieldPosition="0"/>
    </format>
    <format dxfId="424">
      <pivotArea field="9" type="button" dataOnly="0" labelOnly="1" outline="0" axis="axisRow" fieldPosition="3"/>
    </format>
    <format dxfId="423">
      <pivotArea field="14" type="button" dataOnly="0" labelOnly="1" outline="0" axis="axisRow" fieldPosition="4"/>
    </format>
    <format dxfId="422">
      <pivotArea field="16" type="button" dataOnly="0" labelOnly="1" outline="0" axis="axisRow" fieldPosition="5"/>
    </format>
    <format dxfId="421">
      <pivotArea field="18" type="button" dataOnly="0" labelOnly="1" outline="0" axis="axisRow" fieldPosition="6"/>
    </format>
    <format dxfId="420">
      <pivotArea dataOnly="0" labelOnly="1" outline="0" fieldPosition="0">
        <references count="7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9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8">
      <pivotArea dataOnly="0" labelOnly="1" outline="0" fieldPosition="0">
        <references count="7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7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9" count="1" selected="0">
            <x v="11"/>
          </reference>
          <reference field="14" count="1" selected="0">
            <x v="5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6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9" count="1" selected="0">
            <x v="20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5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9" count="1" selected="0">
            <x v="21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4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9" count="1" selected="0">
            <x v="16"/>
          </reference>
          <reference field="14" count="1" selected="0">
            <x v="7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3">
      <pivotArea dataOnly="0" labelOnly="1" outline="0" fieldPosition="0">
        <references count="7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2">
      <pivotArea dataOnly="0" labelOnly="1" outline="0" fieldPosition="0">
        <references count="7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1">
      <pivotArea dataOnly="0" labelOnly="1" outline="0" fieldPosition="0">
        <references count="7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9" count="1" selected="0">
            <x v="7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0">
      <pivotArea dataOnly="0" labelOnly="1" outline="0" fieldPosition="0">
        <references count="7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2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09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08">
      <pivotArea field="2" type="button" dataOnly="0" labelOnly="1" outline="0" axis="axisRow" fieldPosition="0"/>
    </format>
    <format dxfId="407">
      <pivotArea field="1" type="button" dataOnly="0" labelOnly="1" outline="0" axis="axisRow" fieldPosition="1"/>
    </format>
    <format dxfId="406">
      <pivotArea field="0" type="button" dataOnly="0" labelOnly="1" outline="0" axis="axisRow" fieldPosition="2"/>
    </format>
    <format dxfId="405">
      <pivotArea field="9" type="button" dataOnly="0" labelOnly="1" outline="0" axis="axisRow" fieldPosition="3"/>
    </format>
    <format dxfId="404">
      <pivotArea field="14" type="button" dataOnly="0" labelOnly="1" outline="0" axis="axisRow" fieldPosition="4"/>
    </format>
    <format dxfId="403">
      <pivotArea field="16" type="button" dataOnly="0" labelOnly="1" outline="0" axis="axisRow" fieldPosition="5"/>
    </format>
    <format dxfId="4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1">
      <pivotArea field="2" type="button" dataOnly="0" labelOnly="1" outline="0" axis="axisRow" fieldPosition="0"/>
    </format>
    <format dxfId="400">
      <pivotArea field="1" type="button" dataOnly="0" labelOnly="1" outline="0" axis="axisRow" fieldPosition="1"/>
    </format>
    <format dxfId="399">
      <pivotArea field="0" type="button" dataOnly="0" labelOnly="1" outline="0" axis="axisRow" fieldPosition="2"/>
    </format>
    <format dxfId="398">
      <pivotArea field="9" type="button" dataOnly="0" labelOnly="1" outline="0" axis="axisRow" fieldPosition="3"/>
    </format>
    <format dxfId="397">
      <pivotArea field="14" type="button" dataOnly="0" labelOnly="1" outline="0" axis="axisRow" fieldPosition="4"/>
    </format>
    <format dxfId="396">
      <pivotArea field="16" type="button" dataOnly="0" labelOnly="1" outline="0" axis="axisRow" fieldPosition="5"/>
    </format>
    <format dxfId="395">
      <pivotArea field="18" type="button" dataOnly="0" labelOnly="1" outline="0" axis="axisRow" fieldPosition="6"/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0">
      <pivotArea field="18" type="button" dataOnly="0" labelOnly="1" outline="0" axis="axisRow" fieldPosition="6"/>
    </format>
    <format dxfId="389">
      <pivotArea dataOnly="0" labelOnly="1" grandRow="1" outline="0" fieldPosition="0"/>
    </format>
    <format dxfId="388">
      <pivotArea dataOnly="0" labelOnly="1" outline="0" fieldPosition="0">
        <references count="7">
          <reference field="0" count="1" selected="0">
            <x v="50"/>
          </reference>
          <reference field="1" count="1" selected="0">
            <x v="14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7">
      <pivotArea dataOnly="0" labelOnly="1" outline="0" fieldPosition="0">
        <references count="7">
          <reference field="0" count="1" selected="0">
            <x v="72"/>
          </reference>
          <reference field="1" count="1" selected="0">
            <x v="29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6">
      <pivotArea dataOnly="0" labelOnly="1" outline="0" fieldPosition="0">
        <references count="7">
          <reference field="0" count="1" selected="0">
            <x v="55"/>
          </reference>
          <reference field="1" count="1" selected="0">
            <x v="31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5">
      <pivotArea dataOnly="0" labelOnly="1" outline="0" fieldPosition="0">
        <references count="7">
          <reference field="0" count="1" selected="0">
            <x v="53"/>
          </reference>
          <reference field="1" count="1" selected="0">
            <x v="73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4">
      <pivotArea dataOnly="0" labelOnly="1" outline="0" fieldPosition="0">
        <references count="7">
          <reference field="0" count="1" selected="0">
            <x v="96"/>
          </reference>
          <reference field="1" count="1" selected="0">
            <x v="4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3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2">
      <pivotArea dataOnly="0" labelOnly="1" outline="0" fieldPosition="0">
        <references count="7">
          <reference field="0" count="1" selected="0">
            <x v="41"/>
          </reference>
          <reference field="1" count="1" selected="0">
            <x v="10"/>
          </reference>
          <reference field="2" count="1" selected="0">
            <x v="1"/>
          </reference>
          <reference field="9" count="1" selected="0">
            <x v="7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7"/>
          </reference>
        </references>
      </pivotArea>
    </format>
    <format dxfId="381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13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2"/>
          </reference>
        </references>
      </pivotArea>
    </format>
    <format dxfId="380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9" count="1" selected="0">
            <x v="14"/>
          </reference>
          <reference field="14" count="1" selected="0">
            <x v="6"/>
          </reference>
          <reference field="16" count="1" selected="0">
            <x v="8"/>
          </reference>
          <reference field="18" count="1">
            <x v="8"/>
          </reference>
        </references>
      </pivotArea>
    </format>
    <format dxfId="379">
      <pivotArea dataOnly="0" labelOnly="1" outline="0" fieldPosition="0">
        <references count="7">
          <reference field="0" count="1" selected="0">
            <x v="79"/>
          </reference>
          <reference field="1" count="1" selected="0">
            <x v="32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8">
      <pivotArea dataOnly="0" labelOnly="1" outline="0" fieldPosition="0">
        <references count="7">
          <reference field="0" count="1" selected="0">
            <x v="78"/>
          </reference>
          <reference field="1" count="1" selected="0">
            <x v="3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7">
      <pivotArea dataOnly="0" labelOnly="1" outline="0" fieldPosition="0">
        <references count="7">
          <reference field="0" count="1" selected="0">
            <x v="57"/>
          </reference>
          <reference field="1" count="1" selected="0">
            <x v="4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6">
      <pivotArea dataOnly="0" labelOnly="1" outline="0" fieldPosition="0">
        <references count="7">
          <reference field="0" count="1" selected="0">
            <x v="46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5">
      <pivotArea dataOnly="0" labelOnly="1" outline="0" fieldPosition="0">
        <references count="7">
          <reference field="0" count="1" selected="0">
            <x v="47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74">
      <pivotArea dataOnly="0" labelOnly="1" outline="0" fieldPosition="0">
        <references count="7">
          <reference field="0" count="1" selected="0">
            <x v="49"/>
          </reference>
          <reference field="1" count="1" selected="0">
            <x v="77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3">
      <pivotArea dataOnly="0" labelOnly="1" outline="0" fieldPosition="0">
        <references count="7">
          <reference field="0" count="1" selected="0">
            <x v="51"/>
          </reference>
          <reference field="1" count="1" selected="0">
            <x v="80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2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81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1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8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1"/>
          </reference>
        </references>
      </pivotArea>
    </format>
    <format dxfId="370">
      <pivotArea dataOnly="0" labelOnly="1" outline="0" fieldPosition="0">
        <references count="7">
          <reference field="0" count="1" selected="0">
            <x v="52"/>
          </reference>
          <reference field="1" count="1" selected="0">
            <x v="89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9">
      <pivotArea dataOnly="0" labelOnly="1" outline="0" fieldPosition="0">
        <references count="7">
          <reference field="0" count="1" selected="0">
            <x v="48"/>
          </reference>
          <reference field="1" count="1" selected="0">
            <x v="95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8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9" count="1" selected="0">
            <x v="5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67">
      <pivotArea dataOnly="0" labelOnly="1" outline="0" fieldPosition="0">
        <references count="7">
          <reference field="0" count="1" selected="0">
            <x v="38"/>
          </reference>
          <reference field="1" count="1" selected="0">
            <x v="76"/>
          </reference>
          <reference field="2" count="1" selected="0">
            <x v="4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6"/>
          </reference>
        </references>
      </pivotArea>
    </format>
    <format dxfId="366">
      <pivotArea dataOnly="0" labelOnly="1" outline="0" fieldPosition="0">
        <references count="7">
          <reference field="0" count="1" selected="0">
            <x v="73"/>
          </reference>
          <reference field="1" count="1" selected="0">
            <x v="41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5">
      <pivotArea dataOnly="0" labelOnly="1" outline="0" fieldPosition="0">
        <references count="7">
          <reference field="0" count="1" selected="0">
            <x v="76"/>
          </reference>
          <reference field="1" count="1" selected="0">
            <x v="72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4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63">
      <pivotArea dataOnly="0" labelOnly="1" outline="0" fieldPosition="0">
        <references count="7">
          <reference field="0" count="1" selected="0">
            <x v="74"/>
          </reference>
          <reference field="1" count="1" selected="0">
            <x v="84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2">
      <pivotArea dataOnly="0" labelOnly="1" outline="0" fieldPosition="0">
        <references count="7">
          <reference field="0" count="1" selected="0">
            <x v="71"/>
          </reference>
          <reference field="1" count="1" selected="0">
            <x v="85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1">
      <pivotArea dataOnly="0" labelOnly="1" outline="0" fieldPosition="0">
        <references count="7">
          <reference field="0" count="1" selected="0">
            <x v="69"/>
          </reference>
          <reference field="1" count="1" selected="0">
            <x v="5"/>
          </reference>
          <reference field="2" count="1" selected="0">
            <x v="6"/>
          </reference>
          <reference field="9" count="1" selected="0">
            <x v="16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9"/>
          </reference>
        </references>
      </pivotArea>
    </format>
    <format dxfId="360">
      <pivotArea dataOnly="0" labelOnly="1" outline="0" fieldPosition="0">
        <references count="7">
          <reference field="0" count="1" selected="0">
            <x v="35"/>
          </reference>
          <reference field="1" count="1" selected="0">
            <x v="33"/>
          </reference>
          <reference field="2" count="1" selected="0">
            <x v="7"/>
          </reference>
          <reference field="9" count="1" selected="0">
            <x v="3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3"/>
          </reference>
        </references>
      </pivotArea>
    </format>
    <format dxfId="35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7">
      <pivotArea dataOnly="0" labelOnly="1" outline="0" fieldPosition="0">
        <references count="7">
          <reference field="0" count="1" selected="0">
            <x v="45"/>
          </reference>
          <reference field="1" count="1" selected="0">
            <x v="42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6">
      <pivotArea dataOnly="0" labelOnly="1" outline="0" fieldPosition="0">
        <references count="7">
          <reference field="0" count="1" selected="0">
            <x v="42"/>
          </reference>
          <reference field="1" count="1" selected="0">
            <x v="43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5">
      <pivotArea dataOnly="0" labelOnly="1" outline="0" fieldPosition="0">
        <references count="7">
          <reference field="0" count="1" selected="0">
            <x v="43"/>
          </reference>
          <reference field="1" count="1" selected="0">
            <x v="44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4">
      <pivotArea dataOnly="0" labelOnly="1" outline="0" fieldPosition="0">
        <references count="7">
          <reference field="0" count="1" selected="0">
            <x v="37"/>
          </reference>
          <reference field="1" count="1" selected="0">
            <x v="40"/>
          </reference>
          <reference field="2" count="1" selected="0">
            <x v="13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5"/>
          </reference>
        </references>
      </pivotArea>
    </format>
    <format dxfId="353">
      <pivotArea dataOnly="0" labelOnly="1" outline="0" fieldPosition="0">
        <references count="7">
          <reference field="0" count="1" selected="0">
            <x v="77"/>
          </reference>
          <reference field="1" count="1" selected="0">
            <x v="35"/>
          </reference>
          <reference field="2" count="1" selected="0">
            <x v="1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2">
      <pivotArea dataOnly="0" labelOnly="1" outline="0" fieldPosition="0">
        <references count="2">
          <reference field="1" count="2">
            <x v="31"/>
            <x v="73"/>
          </reference>
          <reference field="2" count="1" selected="0">
            <x v="0"/>
          </reference>
        </references>
      </pivotArea>
    </format>
    <format dxfId="351">
      <pivotArea dataOnly="0" labelOnly="1" outline="0" fieldPosition="0">
        <references count="2">
          <reference field="1" count="2">
            <x v="11"/>
            <x v="12"/>
          </reference>
          <reference field="2" count="1" selected="0">
            <x v="9"/>
          </reference>
        </references>
      </pivotArea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I4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axis="axisRow" compact="0" outline="0" multipleItemSelectionAllowed="1" showAll="0" defaultSubtotal="0">
      <items count="12">
        <item m="1" x="10"/>
        <item m="1" x="9"/>
        <item m="1" x="6"/>
        <item m="1" x="8"/>
        <item m="1" x="7"/>
        <item m="1" x="4"/>
        <item m="1" x="5"/>
        <item m="1" x="2"/>
        <item h="1" x="0"/>
        <item m="1" x="3"/>
        <item m="1" x="11"/>
        <item h="1" x="1"/>
      </items>
    </pivotField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10">
        <item x="7"/>
        <item x="2"/>
        <item x="5"/>
        <item x="6"/>
        <item x="1"/>
        <item x="3"/>
        <item x="4"/>
        <item x="0"/>
        <item x="9"/>
        <item x="8"/>
      </items>
    </pivotField>
    <pivotField axis="axisRow" compact="0" outline="0" showAll="0" defaultSubtotal="0">
      <items count="12">
        <item m="1" x="10"/>
        <item x="3"/>
        <item m="1" x="8"/>
        <item m="1" x="9"/>
        <item x="2"/>
        <item x="4"/>
        <item x="6"/>
        <item x="5"/>
        <item x="1"/>
        <item m="1" x="11"/>
        <item x="7"/>
        <item x="0"/>
      </items>
    </pivotField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16"/>
    <field x="14"/>
    <field x="24"/>
    <field x="2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 of parts on order" fld="17" baseField="0" baseItem="0"/>
    <dataField name="Sum of Cost of excess material" fld="22" baseField="0" baseItem="0"/>
  </dataFields>
  <formats count="60">
    <format dxfId="350">
      <pivotArea field="14" type="button" dataOnly="0" labelOnly="1" outline="0" axis="axisRow" fieldPosition="4"/>
    </format>
    <format dxfId="34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34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34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346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345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344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343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342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341">
      <pivotArea grandRow="1" outline="0" collapsedLevelsAreSubtotals="1" fieldPosition="0"/>
    </format>
    <format dxfId="340">
      <pivotArea outline="0" collapsedLevelsAreSubtotals="1" fieldPosition="0">
        <references count="3">
          <reference field="0" count="9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8"/>
            <x v="79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  <reference field="1" count="9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  <reference field="2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</reference>
        </references>
      </pivotArea>
    </format>
    <format dxfId="339">
      <pivotArea outline="0" collapsedLevelsAreSubtotals="1" fieldPosition="0">
        <references count="3">
          <reference field="0" count="25" selected="0">
            <x v="75"/>
            <x v="77"/>
            <x v="80"/>
            <x v="81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</reference>
          <reference field="1" count="5" selected="0">
            <x v="35"/>
            <x v="45"/>
            <x v="75"/>
            <x v="96"/>
            <x v="97"/>
          </reference>
          <reference field="2" count="1" selected="0">
            <x v="15"/>
          </reference>
        </references>
      </pivotArea>
    </format>
    <format dxfId="338">
      <pivotArea outline="0" collapsedLevelsAreSubtotals="1" fieldPosition="0"/>
    </format>
    <format dxfId="337">
      <pivotArea dataOnly="0" labelOnly="1" outline="0" fieldPosition="0">
        <references count="1">
          <reference field="2" count="2">
            <x v="1"/>
            <x v="2"/>
          </reference>
        </references>
      </pivotArea>
    </format>
    <format dxfId="336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335">
      <pivotArea field="2" type="button" dataOnly="0" labelOnly="1" outline="0" axis="axisRow" fieldPosition="0"/>
    </format>
    <format dxfId="334">
      <pivotArea field="0" type="button" dataOnly="0" labelOnly="1" outline="0" axis="axisRow" fieldPosition="2"/>
    </format>
    <format dxfId="3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2">
      <pivotArea dataOnly="0" labelOnly="1" outline="0" fieldPosition="0">
        <references count="1">
          <reference field="16" count="0"/>
        </references>
      </pivotArea>
    </format>
    <format dxfId="331">
      <pivotArea dataOnly="0" labelOnly="1" grandRow="1" outline="0" fieldPosition="0"/>
    </format>
    <format dxfId="330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329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328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6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327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326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5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3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2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1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0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9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8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7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6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5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4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3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2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10"/>
          </reference>
          <reference field="14" count="1">
            <x v="0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304">
      <pivotArea field="2" type="button" dataOnly="0" labelOnly="1" outline="0" axis="axisRow" fieldPosition="0"/>
    </format>
    <format dxfId="303">
      <pivotArea field="1" type="button" dataOnly="0" labelOnly="1" outline="0" axis="axisRow" fieldPosition="1"/>
    </format>
    <format dxfId="302">
      <pivotArea field="0" type="button" dataOnly="0" labelOnly="1" outline="0" axis="axisRow" fieldPosition="2"/>
    </format>
    <format dxfId="3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6" type="button" dataOnly="0" labelOnly="1" outline="0" axis="axisRow" fieldPosition="3"/>
    </format>
    <format dxfId="299">
      <pivotArea field="1" type="button" dataOnly="0" labelOnly="1" outline="0" axis="axisRow" fieldPosition="1"/>
    </format>
    <format dxfId="298">
      <pivotArea type="all" dataOnly="0" outline="0" fieldPosition="0"/>
    </format>
    <format dxfId="297">
      <pivotArea dataOnly="0" labelOnly="1" outline="0" fieldPosition="0">
        <references count="1">
          <reference field="2" count="1">
            <x v="2"/>
          </reference>
        </references>
      </pivotArea>
    </format>
    <format dxfId="296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295">
      <pivotArea field="24" type="button" dataOnly="0" labelOnly="1" outline="0" axis="axisRow" fieldPosition="5"/>
    </format>
    <format dxfId="294">
      <pivotArea field="25" type="button" dataOnly="0" labelOnly="1" outline="0" axis="axisRow" fieldPosition="6"/>
    </format>
    <format dxfId="2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">
      <pivotArea field="16" type="button" dataOnly="0" labelOnly="1" outline="0" axis="axisRow" fieldPosition="3"/>
    </format>
    <format dxfId="291">
      <pivotArea field="14" type="button" dataOnly="0" labelOnly="1" outline="0" axis="axisRow" fieldPosition="4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0" updatedVersion="4" minRefreshableVersion="3" showDrill="0" itemPrintTitles="1" createdVersion="4" indent="0" compact="0" compactData="0" multipleFieldFilters="0">
  <location ref="A3:H67" firstHeaderRow="0" firstDataRow="1" firstDataCol="5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6"/>
        <item x="5"/>
        <item x="7"/>
        <item x="2"/>
        <item x="1"/>
        <item x="3"/>
        <item x="4"/>
        <item x="0"/>
      </items>
    </pivotField>
    <pivotField axis="axisRow" compact="0" outline="0" multipleItemSelectionAllowed="1" showAll="0" measureFilter="1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dataField="1" compact="0" numFmtId="44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5">
    <field x="2"/>
    <field x="0"/>
    <field x="1"/>
    <field x="14"/>
    <field x="13"/>
  </rowFields>
  <rowItems count="64">
    <i>
      <x/>
      <x v="50"/>
      <x v="101"/>
      <x v="1"/>
      <x v="7"/>
    </i>
    <i r="1">
      <x v="53"/>
      <x v="73"/>
      <x v="1"/>
      <x v="7"/>
    </i>
    <i r="1">
      <x v="54"/>
      <x v="99"/>
      <x v="1"/>
      <x/>
    </i>
    <i r="1">
      <x v="55"/>
      <x v="31"/>
      <x v="1"/>
      <x v="7"/>
    </i>
    <i>
      <x v="1"/>
      <x v="2"/>
      <x v="27"/>
      <x v="6"/>
      <x v="4"/>
    </i>
    <i r="1">
      <x v="3"/>
      <x v="90"/>
      <x v="14"/>
      <x v="7"/>
    </i>
    <i r="1">
      <x v="4"/>
      <x v="47"/>
      <x v="5"/>
      <x v="3"/>
    </i>
    <i r="1">
      <x v="6"/>
      <x v="92"/>
      <x v="15"/>
      <x v="5"/>
    </i>
    <i r="1">
      <x v="7"/>
      <x v="2"/>
      <x v="2"/>
      <x v="7"/>
    </i>
    <i r="1">
      <x v="8"/>
      <x v="91"/>
      <x v="16"/>
      <x v="6"/>
    </i>
    <i r="1">
      <x v="12"/>
      <x v="26"/>
      <x v="2"/>
      <x v="7"/>
    </i>
    <i r="1">
      <x v="17"/>
      <x v="49"/>
      <x v="18"/>
      <x v="7"/>
    </i>
    <i r="1">
      <x v="18"/>
      <x v="3"/>
      <x v="3"/>
      <x v="7"/>
    </i>
    <i r="1">
      <x v="26"/>
      <x v="83"/>
      <x v="20"/>
      <x v="7"/>
    </i>
    <i r="1">
      <x v="48"/>
      <x v="100"/>
      <x v="1"/>
      <x v="7"/>
    </i>
    <i r="1">
      <x v="51"/>
      <x v="80"/>
      <x v="1"/>
      <x v="7"/>
    </i>
    <i r="1">
      <x v="52"/>
      <x v="89"/>
      <x v="1"/>
      <x v="7"/>
    </i>
    <i r="1">
      <x v="56"/>
      <x v="36"/>
      <x v="1"/>
      <x v="7"/>
    </i>
    <i r="1">
      <x v="82"/>
      <x/>
      <x v="1"/>
      <x v="7"/>
    </i>
    <i r="1">
      <x v="83"/>
      <x v="19"/>
      <x v="1"/>
      <x v="7"/>
    </i>
    <i r="1">
      <x v="85"/>
      <x v="74"/>
      <x v="9"/>
      <x v="7"/>
    </i>
    <i r="1">
      <x v="88"/>
      <x v="93"/>
      <x v="1"/>
      <x v="7"/>
    </i>
    <i r="1">
      <x v="89"/>
      <x v="28"/>
      <x v="1"/>
      <x v="7"/>
    </i>
    <i r="1">
      <x v="90"/>
      <x v="39"/>
      <x v="1"/>
      <x v="7"/>
    </i>
    <i r="1">
      <x v="91"/>
      <x v="79"/>
      <x v="1"/>
      <x v="7"/>
    </i>
    <i>
      <x v="2"/>
      <x v="10"/>
      <x v="1"/>
      <x v="24"/>
      <x v="7"/>
    </i>
    <i r="1">
      <x v="15"/>
      <x v="98"/>
      <x v="1"/>
      <x v="7"/>
    </i>
    <i r="1">
      <x v="20"/>
      <x v="71"/>
      <x v="1"/>
      <x v="7"/>
    </i>
    <i>
      <x v="3"/>
      <x v="5"/>
      <x v="68"/>
      <x v="9"/>
      <x v="7"/>
    </i>
    <i r="1">
      <x v="9"/>
      <x v="59"/>
      <x v="9"/>
      <x v="7"/>
    </i>
    <i r="1">
      <x v="11"/>
      <x v="52"/>
      <x v="17"/>
      <x v="7"/>
    </i>
    <i r="1">
      <x v="14"/>
      <x v="70"/>
      <x v="4"/>
      <x v="7"/>
    </i>
    <i r="1">
      <x v="21"/>
      <x v="64"/>
      <x v="19"/>
      <x v="7"/>
    </i>
    <i r="1">
      <x v="25"/>
      <x v="60"/>
      <x v="12"/>
      <x v="7"/>
    </i>
    <i r="1">
      <x v="28"/>
      <x v="66"/>
      <x v="9"/>
      <x v="7"/>
    </i>
    <i r="1">
      <x v="29"/>
      <x v="61"/>
      <x v="9"/>
      <x v="7"/>
    </i>
    <i r="1">
      <x v="30"/>
      <x v="63"/>
      <x v="2"/>
      <x v="7"/>
    </i>
    <i r="1">
      <x v="31"/>
      <x v="67"/>
      <x v="2"/>
      <x v="7"/>
    </i>
    <i r="1">
      <x v="32"/>
      <x v="51"/>
      <x v="6"/>
      <x v="7"/>
    </i>
    <i r="1">
      <x v="33"/>
      <x v="50"/>
      <x v="21"/>
      <x v="7"/>
    </i>
    <i r="1">
      <x v="34"/>
      <x v="53"/>
      <x v="21"/>
      <x v="7"/>
    </i>
    <i r="1">
      <x v="39"/>
      <x v="54"/>
      <x v="22"/>
      <x v="7"/>
    </i>
    <i r="1">
      <x v="40"/>
      <x v="58"/>
      <x v="23"/>
      <x v="7"/>
    </i>
    <i r="1">
      <x v="60"/>
      <x v="55"/>
      <x v="4"/>
      <x v="7"/>
    </i>
    <i r="1">
      <x v="61"/>
      <x v="62"/>
      <x v="20"/>
      <x v="7"/>
    </i>
    <i r="1">
      <x v="62"/>
      <x v="65"/>
      <x v="12"/>
      <x v="7"/>
    </i>
    <i r="1">
      <x v="70"/>
      <x v="69"/>
      <x v="4"/>
      <x v="7"/>
    </i>
    <i>
      <x v="5"/>
      <x v="71"/>
      <x v="85"/>
      <x v="1"/>
      <x v="7"/>
    </i>
    <i r="1">
      <x v="84"/>
      <x v="34"/>
      <x v="1"/>
      <x v="7"/>
    </i>
    <i r="1">
      <x v="86"/>
      <x v="78"/>
      <x v="13"/>
      <x v="7"/>
    </i>
    <i r="1">
      <x v="87"/>
      <x v="82"/>
      <x v="13"/>
      <x v="7"/>
    </i>
    <i>
      <x v="7"/>
      <x v="35"/>
      <x v="33"/>
      <x v="3"/>
      <x v="1"/>
    </i>
    <i>
      <x v="8"/>
      <x v="92"/>
      <x v="94"/>
      <x v="1"/>
      <x v="7"/>
    </i>
    <i>
      <x v="9"/>
      <x/>
      <x v="11"/>
      <x v="1"/>
      <x v="7"/>
    </i>
    <i r="1">
      <x v="1"/>
      <x v="12"/>
      <x v="1"/>
      <x v="7"/>
    </i>
    <i>
      <x v="10"/>
      <x v="13"/>
      <x v="15"/>
      <x v="3"/>
      <x v="7"/>
    </i>
    <i>
      <x v="12"/>
      <x v="22"/>
      <x v="87"/>
      <x v="3"/>
      <x v="1"/>
    </i>
    <i r="1">
      <x v="23"/>
      <x v="21"/>
      <x v="1"/>
      <x v="7"/>
    </i>
    <i r="1">
      <x v="24"/>
      <x v="86"/>
      <x v="2"/>
      <x v="7"/>
    </i>
    <i r="1">
      <x v="44"/>
      <x v="22"/>
      <x v="3"/>
      <x v="1"/>
    </i>
    <i r="1">
      <x v="63"/>
      <x v="23"/>
      <x v="4"/>
      <x v="2"/>
    </i>
    <i>
      <x v="14"/>
      <x v="19"/>
      <x v="18"/>
      <x v="3"/>
      <x v="7"/>
    </i>
    <i r="1">
      <x v="59"/>
      <x v="37"/>
      <x v="3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eal cost of parts on hand" fld="15" baseField="0" baseItem="0"/>
    <dataField name="Sum of Cost of excess material" fld="22" baseField="0" baseItem="0"/>
    <dataField name="Sum of Actual cost" fld="23" baseField="12" baseItem="8"/>
  </dataFields>
  <formats count="103">
    <format dxfId="290">
      <pivotArea field="14" type="button" dataOnly="0" labelOnly="1" outline="0" axis="axisRow" fieldPosition="3"/>
    </format>
    <format dxfId="28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28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28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286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285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284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283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282">
      <pivotArea grandRow="1" outline="0" collapsedLevelsAreSubtotals="1" fieldPosition="0"/>
    </format>
    <format dxfId="281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280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279">
      <pivotArea dataOnly="0" labelOnly="1" outline="0" fieldPosition="0">
        <references count="1">
          <reference field="1" count="0"/>
        </references>
      </pivotArea>
    </format>
    <format dxfId="278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276">
      <pivotArea dataOnly="0" labelOnly="1" outline="0" axis="axisValues" fieldPosition="0"/>
    </format>
    <format dxfId="275">
      <pivotArea outline="0" collapsedLevelsAreSubtotals="1" fieldPosition="0"/>
    </format>
    <format dxfId="2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3">
      <pivotArea dataOnly="0" outline="0" fieldPosition="0">
        <references count="1">
          <reference field="4294967294" count="1">
            <x v="1"/>
          </reference>
        </references>
      </pivotArea>
    </format>
    <format dxfId="272">
      <pivotArea field="2" type="button" dataOnly="0" labelOnly="1" outline="0" axis="axisRow" fieldPosition="0"/>
    </format>
    <format dxfId="271">
      <pivotArea field="0" type="button" dataOnly="0" labelOnly="1" outline="0" axis="axisRow" fieldPosition="1"/>
    </format>
    <format dxfId="270">
      <pivotArea field="1" type="button" dataOnly="0" labelOnly="1" outline="0" axis="axisRow" fieldPosition="2"/>
    </format>
    <format dxfId="269">
      <pivotArea field="14" type="button" dataOnly="0" labelOnly="1" outline="0" axis="axisRow" fieldPosition="3"/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3">
          <reference field="0" count="1" selected="0">
            <x v="8"/>
          </reference>
          <reference field="1" count="1">
            <x v="91"/>
          </reference>
          <reference field="2" count="1" selected="0">
            <x v="1"/>
          </reference>
        </references>
      </pivotArea>
    </format>
    <format dxfId="266">
      <pivotArea dataOnly="0" outline="0" fieldPosition="0">
        <references count="1">
          <reference field="4294967294" count="1">
            <x v="2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26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26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26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26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25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9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10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4" count="1">
            <x v="1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246">
      <pivotArea field="13" type="button" dataOnly="0" labelOnly="1" outline="0" axis="axisRow" fieldPosition="4"/>
    </format>
    <format dxfId="245">
      <pivotArea field="2" type="button" dataOnly="0" labelOnly="1" outline="0" axis="axisRow" fieldPosition="0"/>
    </format>
    <format dxfId="244">
      <pivotArea field="0" type="button" dataOnly="0" labelOnly="1" outline="0" axis="axisRow" fieldPosition="1"/>
    </format>
    <format dxfId="243">
      <pivotArea field="1" type="button" dataOnly="0" labelOnly="1" outline="0" axis="axisRow" fieldPosition="2"/>
    </format>
    <format dxfId="242">
      <pivotArea field="14" type="button" dataOnly="0" labelOnly="1" outline="0" axis="axisRow" fieldPosition="3"/>
    </format>
    <format dxfId="241">
      <pivotArea field="13" type="button" dataOnly="0" labelOnly="1" outline="0" axis="axisRow" fieldPosition="4"/>
    </format>
    <format dxfId="2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9">
      <pivotArea field="14" type="button" dataOnly="0" labelOnly="1" outline="0" axis="axisRow" fieldPosition="3"/>
    </format>
    <format dxfId="238">
      <pivotArea field="13" type="button" dataOnly="0" labelOnly="1" outline="0" axis="axisRow" fieldPosition="4"/>
    </format>
    <format dxfId="237">
      <pivotArea dataOnly="0" labelOnly="1" grandRow="1" outline="0" fieldPosition="0"/>
    </format>
    <format dxfId="236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3" count="1">
            <x v="0"/>
          </reference>
          <reference field="14" count="1" selected="0">
            <x v="1"/>
          </reference>
        </references>
      </pivotArea>
    </format>
    <format dxfId="23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3" count="1">
            <x v="4"/>
          </reference>
          <reference field="14" count="1" selected="0">
            <x v="6"/>
          </reference>
        </references>
      </pivotArea>
    </format>
    <format dxfId="23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4"/>
          </reference>
        </references>
      </pivotArea>
    </format>
    <format dxfId="233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3" count="1">
            <x v="3"/>
          </reference>
          <reference field="14" count="1" selected="0">
            <x v="5"/>
          </reference>
        </references>
      </pivotArea>
    </format>
    <format dxfId="232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3" count="1">
            <x v="5"/>
          </reference>
          <reference field="14" count="1" selected="0">
            <x v="15"/>
          </reference>
        </references>
      </pivotArea>
    </format>
    <format dxfId="231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3" count="1">
            <x v="6"/>
          </reference>
          <reference field="14" count="1" selected="0">
            <x v="16"/>
          </reference>
        </references>
      </pivotArea>
    </format>
    <format dxfId="230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29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8"/>
          </reference>
        </references>
      </pivotArea>
    </format>
    <format dxfId="228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227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226">
      <pivotArea dataOnly="0" labelOnly="1" outline="0" fieldPosition="0">
        <references count="5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5">
      <pivotArea dataOnly="0" labelOnly="1" outline="0" fieldPosition="0">
        <references count="5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4">
      <pivotArea dataOnly="0" labelOnly="1" outline="0" fieldPosition="0">
        <references count="5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3">
      <pivotArea dataOnly="0" labelOnly="1" outline="0" fieldPosition="0">
        <references count="5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2">
      <pivotArea dataOnly="0" labelOnly="1" outline="0" fieldPosition="0">
        <references count="5">
          <reference field="0" count="1" selected="0">
            <x v="89"/>
          </reference>
          <reference field="1" count="1" selected="0">
            <x v="28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1">
      <pivotArea dataOnly="0" labelOnly="1" outline="0" fieldPosition="0">
        <references count="5">
          <reference field="0" count="1" selected="0">
            <x v="90"/>
          </reference>
          <reference field="1" count="1" selected="0">
            <x v="3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0">
      <pivotArea dataOnly="0" labelOnly="1" outline="0" fieldPosition="0">
        <references count="5">
          <reference field="0" count="1" selected="0">
            <x v="91"/>
          </reference>
          <reference field="1" count="1" selected="0">
            <x v="7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9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218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7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15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14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7"/>
          </reference>
        </references>
      </pivotArea>
    </format>
    <format dxfId="213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212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9"/>
          </reference>
        </references>
      </pivotArea>
    </format>
    <format dxfId="211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210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09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08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07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06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6"/>
          </reference>
        </references>
      </pivotArea>
    </format>
    <format dxfId="205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204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203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2"/>
          </reference>
        </references>
      </pivotArea>
    </format>
    <format dxfId="202">
      <pivotArea dataOnly="0" labelOnly="1" outline="0" fieldPosition="0">
        <references count="5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3"/>
          </reference>
        </references>
      </pivotArea>
    </format>
    <format dxfId="201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200">
      <pivotArea dataOnly="0" labelOnly="1" outline="0" fieldPosition="0">
        <references count="5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199">
      <pivotArea dataOnly="0" labelOnly="1" outline="0" fieldPosition="0">
        <references count="5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198">
      <pivotArea dataOnly="0" labelOnly="1" outline="0" fieldPosition="0">
        <references count="5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197">
      <pivotArea dataOnly="0" labelOnly="1" outline="0" fieldPosition="0">
        <references count="5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96">
      <pivotArea dataOnly="0" labelOnly="1" outline="0" fieldPosition="0">
        <references count="5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195">
      <pivotArea dataOnly="0" labelOnly="1" outline="0" fieldPosition="0">
        <references count="5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194">
      <pivotArea dataOnly="0" labelOnly="1" outline="0" fieldPosition="0">
        <references count="5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93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192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191">
      <pivotArea dataOnly="0" labelOnly="1" outline="0" fieldPosition="0">
        <references count="5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190">
      <pivotArea dataOnly="0" labelOnly="1" outline="0" fieldPosition="0">
        <references count="5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3" count="1">
            <x v="2"/>
          </reference>
          <reference field="14" count="1" selected="0">
            <x v="4"/>
          </reference>
        </references>
      </pivotArea>
    </format>
    <format dxfId="189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188">
      <pivotArea dataOnly="0" labelOnly="1" outline="0" fieldPosition="0">
        <references count="5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AC635" totalsRowShown="0" headerRowDxfId="30" dataDxfId="29" headerRowCellStyle="Currency" dataCellStyle="Currency">
  <autoFilter ref="A3:AC635"/>
  <tableColumns count="29">
    <tableColumn id="1" name="Part Number" dataDxfId="28"/>
    <tableColumn id="2" name="Description" dataDxfId="27"/>
    <tableColumn id="3" name="Supplier" dataDxfId="26"/>
    <tableColumn id="4" name="Cost " dataDxfId="25" dataCellStyle="Currency"/>
    <tableColumn id="5" name="shipping" dataDxfId="24" dataCellStyle="Currency"/>
    <tableColumn id="6" name="Tax" dataDxfId="23" dataCellStyle="Currency">
      <calculatedColumnFormula>9%*Table1[[#This Row],[Cost ]]</calculatedColumnFormula>
    </tableColumn>
    <tableColumn id="7" name="Web-link" dataDxfId="22"/>
    <tableColumn id="9" name="Minimum order quantity" dataDxfId="21"/>
    <tableColumn id="8" name="Comments" dataDxfId="20"/>
    <tableColumn id="10" name="extended quantity" dataDxfId="19" dataCellStyle="Currency">
      <calculatedColumnFormula>SUMIF('Multi-level BOM'!D$4:D$467,Table1[[#This Row],[Part Number]],'Multi-level BOM'!H$4:H$467)</calculatedColumnFormula>
    </tableColumn>
    <tableColumn id="15" name="Ideal cost" dataDxfId="18" dataCellStyle="Currency">
      <calculatedColumnFormula>Table1[[#This Row],[extended quantity]]*(Table1[[#This Row],[Cost ]]+Table1[[#This Row],[shipping]]+Table1[[#This Row],[Tax]])</calculatedColumnFormula>
    </tableColumn>
    <tableColumn id="16" name="propose to buy now" dataDxfId="17" dataCellStyle="Currency">
      <calculatedColumnFormula>IF(Table1[[#This Row],[Buy-now costs]]&gt;0,"X","")</calculatedColumnFormula>
    </tableColumn>
    <tableColumn id="28" name="Quantity purchased" dataDxfId="16" dataCellStyle="Currency"/>
    <tableColumn id="29" name="Quantity donated" dataDxfId="15" dataCellStyle="Currency"/>
    <tableColumn id="17" name="quantity on-hand" dataDxfId="14" dataCellStyle="Currency"/>
    <tableColumn id="26" name="Ideal cost of parts on hand" dataDxfId="13" dataCellStyle="Currency">
      <calculatedColumnFormula>Table1[[#This Row],[quantity on-hand]]*(Table1[[#This Row],[Cost ]]+Table1[[#This Row],[shipping]]+Table1[[#This Row],[Tax]])</calculatedColumnFormula>
    </tableColumn>
    <tableColumn id="20" name="Quantity on order" dataDxfId="12" dataCellStyle="Currency"/>
    <tableColumn id="27" name="Ideal cost of parts on order" dataDxfId="11" dataCellStyle="Currency">
      <calculatedColumnFormula>Table1[[#This Row],[Quantity on order]]*(Table1[[#This Row],[Cost ]]+Table1[[#This Row],[shipping]]+Table1[[#This Row],[Tax]])</calculatedColumnFormula>
    </tableColumn>
    <tableColumn id="11" name="Quantity  to  purchase" dataDxfId="10" dataCellStyle="Currency">
      <calculatedColumnFormula>IFERROR(CEILING((Table1[[#This Row],[extended quantity]]-Table1[[#This Row],[quantity on-hand]]-Table1[[#This Row],[Quantity on order]])/Table1[[#This Row],[Minimum order quantity]],1)*Table1[[#This Row],[Minimum order quantity]],0)</calculatedColumnFormula>
    </tableColumn>
    <tableColumn id="12" name="leftover material" dataDxfId="9" dataCellStyle="Currency">
      <calculatedColumnFormula>Table1[[#This Row],[Quantity  to  purchase]]+Table1[[#This Row],[Quantity purchased]]+Table1[[#This Row],[Quantity on order]]+Table1[[#This Row],[Quantity donated]]-Table1[[#This Row],[extended quantity]]</calculatedColumnFormula>
    </tableColumn>
    <tableColumn id="22" name="Remaining ideal cost" dataDxfId="8" dataCellStyle="Currency">
      <calculatedColumnFormula>IF(Table1[[#This Row],[Quantity  to  purchase]]=0,0,(Table1[[#This Row],[extended quantity]]-Table1[[#This Row],[quantity on-hand]]-Table1[[#This Row],[Quantity on order]])*(Table1[[#This Row],[Cost ]]+Table1[[#This Row],[shipping]]+Table1[[#This Row],[Tax]]))</calculatedColumnFormula>
    </tableColumn>
    <tableColumn id="13" name="Remaining Extended cost" dataDxfId="7" dataCellStyle="Currency">
      <calculatedColumnFormula>IFERROR(Table1[[#This Row],[Quantity  to  purchase]]*(Table1[[#This Row],[Cost ]]+Table1[[#This Row],[shipping]]+Table1[[#This Row],[Tax]]),0)</calculatedColumnFormula>
    </tableColumn>
    <tableColumn id="14" name="Cost of excess material" dataDxfId="6" dataCellStyle="Currency">
      <calculatedColumnFormula>IFERROR(Table1[[#This Row],[leftover material]]*(Table1[[#This Row],[Cost ]]+Table1[[#This Row],[shipping]]+Table1[[#This Row],[Tax]]),0)</calculatedColumnFormula>
    </tableColumn>
    <tableColumn id="21" name="Actual cost" dataDxfId="5" dataCellStyle="Currency">
      <calculatedColumnFormula>IF(#REF!="x",0,"FRED")</calculatedColumnFormula>
    </tableColumn>
    <tableColumn id="23" name="Order date" dataDxfId="4" dataCellStyle="Currency"/>
    <tableColumn id="25" name="Due date" dataDxfId="3" dataCellStyle="Currency"/>
    <tableColumn id="24" name="received date" dataDxfId="2" dataCellStyle="Currency"/>
    <tableColumn id="19" name="comments2" dataDxfId="1" dataCellStyle="Currency"/>
    <tableColumn id="18" name="Buy-now costs" dataDxfId="0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8967" TargetMode="External"/><Relationship Id="rId26" Type="http://schemas.openxmlformats.org/officeDocument/2006/relationships/hyperlink" Target="https://www.digikey.com/product-detail/en/3m/12-10/3M156232-ND/3837440" TargetMode="External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dp/B082F7B1QH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13639" TargetMode="External"/><Relationship Id="rId25" Type="http://schemas.openxmlformats.org/officeDocument/2006/relationships/hyperlink" Target="https://www.digikey.com/product-detail/en/molex/0190160043/WM6911CT-ND/3044913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s://www.boltdepot.com/Product-Details.aspx?product=6532" TargetMode="External"/><Relationship Id="rId20" Type="http://schemas.openxmlformats.org/officeDocument/2006/relationships/hyperlink" Target="https://www.amazon.com/gp/product/B00W9A2L3S" TargetMode="External"/><Relationship Id="rId29" Type="http://schemas.openxmlformats.org/officeDocument/2006/relationships/hyperlink" Target="https://www.aliexpress.com/item/33058930261.html" TargetMode="Externa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amazon.com/STEPPERONLINE-Bipolar-1-26Nm-178-4oz-4-lead/dp/B07DV91Z2M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://www.zyltech.com/flexible-plum-coupler-shaft-various-combinations-from-5mm-to-12-7mm/" TargetMode="External"/><Relationship Id="rId23" Type="http://schemas.openxmlformats.org/officeDocument/2006/relationships/hyperlink" Target="https://www.onlinemetals.com/en/buy/angle?q=%3Aname-asc%3AAlloy%3A6061&amp;checkbox=on&amp;sort=name-asc" TargetMode="External"/><Relationship Id="rId28" Type="http://schemas.openxmlformats.org/officeDocument/2006/relationships/hyperlink" Target="https://www.banggood.com/Machifit-500mm-Length-MGN15-Linear-Rail-Guide-with-MGN15H-Linear-Rail-Block-CNC-Tool-p-1239196.html?akmClientCountry=America&amp;cur_warehouse=US" TargetMode="Externa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amazon.com/BALITENSEN-Timing-Pulley-printer-20teeth/dp/B079BNZDRZ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smile.amazon.com/approx-thermistor-KEENOVO-Silicone-Printer/dp/B011U919UO" TargetMode="External"/><Relationship Id="rId22" Type="http://schemas.openxmlformats.org/officeDocument/2006/relationships/hyperlink" Target="https://www.amazon.com/EAGWELL-Universal-Regulated-Switching-Computer/dp/B01IOK5FM0" TargetMode="External"/><Relationship Id="rId27" Type="http://schemas.openxmlformats.org/officeDocument/2006/relationships/hyperlink" Target="https://www.mcmaster.com/8054t11-8054T053" TargetMode="External"/><Relationship Id="rId30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workbookViewId="0">
      <selection activeCell="B4" sqref="B4"/>
    </sheetView>
  </sheetViews>
  <sheetFormatPr defaultRowHeight="15" x14ac:dyDescent="0.25"/>
  <cols>
    <col min="1" max="1" width="18.85546875" customWidth="1"/>
    <col min="2" max="2" width="14.5703125" customWidth="1"/>
    <col min="3" max="4" width="14.5703125" style="61" customWidth="1"/>
    <col min="5" max="5" width="105.42578125" customWidth="1"/>
  </cols>
  <sheetData>
    <row r="1" spans="1:5" ht="57.75" x14ac:dyDescent="0.25">
      <c r="B1" s="89" t="s">
        <v>1075</v>
      </c>
      <c r="C1" s="89" t="s">
        <v>1077</v>
      </c>
      <c r="D1" s="89" t="s">
        <v>1074</v>
      </c>
      <c r="E1" s="66" t="s">
        <v>1078</v>
      </c>
    </row>
    <row r="2" spans="1:5" x14ac:dyDescent="0.25">
      <c r="A2" t="s">
        <v>1073</v>
      </c>
      <c r="B2" s="65">
        <f>Parts!K2</f>
        <v>1804.2691737256139</v>
      </c>
      <c r="C2" s="65">
        <f>Parts!W2</f>
        <v>240.40031259786616</v>
      </c>
      <c r="D2" s="65">
        <f>SUM(D4:D6)</f>
        <v>1501.6173200000003</v>
      </c>
    </row>
    <row r="4" spans="1:5" x14ac:dyDescent="0.25">
      <c r="A4" t="s">
        <v>1076</v>
      </c>
      <c r="B4" s="65">
        <f>GETPIVOTDATA("Sum of Ideal cost of parts on hand",'Parts on-hand'!$A$3)</f>
        <v>1477.2532017717679</v>
      </c>
      <c r="C4" s="65">
        <f>GETPIVOTDATA("Sum of Cost of excess material",'Parts on-hand'!$A$3)</f>
        <v>68.057649097866161</v>
      </c>
      <c r="D4" s="90">
        <f>GETPIVOTDATA("Sum of Actual cost",'Parts on-hand'!$A$3)</f>
        <v>1213.2359200000003</v>
      </c>
      <c r="E4" s="65" t="str">
        <f>TEXT(B4-D4,"$0.00")&amp;" doanted material"</f>
        <v>$264.02 doanted material</v>
      </c>
    </row>
    <row r="5" spans="1:5" x14ac:dyDescent="0.25">
      <c r="A5" t="s">
        <v>1079</v>
      </c>
      <c r="B5" s="65">
        <f>GETPIVOTDATA("Sum of Ideal cost of parts on order",'Parts on-order'!$A$3)</f>
        <v>0</v>
      </c>
      <c r="C5" s="65">
        <f>GETPIVOTDATA("Sum of Cost of excess material",'Parts on-order'!$A$3)</f>
        <v>0</v>
      </c>
      <c r="D5" s="65">
        <f>B5+C5</f>
        <v>0</v>
      </c>
    </row>
    <row r="6" spans="1:5" x14ac:dyDescent="0.25">
      <c r="A6" t="s">
        <v>1080</v>
      </c>
      <c r="B6" s="90">
        <f>GETPIVOTDATA("Sum of Remaining ideal cost",'Not yet ordered'!$A$4)</f>
        <v>252.7479165</v>
      </c>
      <c r="C6" s="90">
        <f>GETPIVOTDATA("Sum of Cost of excess material",'Not yet ordered'!$A$4)</f>
        <v>35.633483500000004</v>
      </c>
      <c r="D6" s="90">
        <f>B6+C6</f>
        <v>288.38139999999999</v>
      </c>
    </row>
    <row r="10" spans="1:5" x14ac:dyDescent="0.25">
      <c r="B10" s="65"/>
    </row>
    <row r="15" spans="1:5" x14ac:dyDescent="0.25">
      <c r="B15" s="65"/>
    </row>
  </sheetData>
  <pageMargins left="0.7" right="0.7" top="0.75" bottom="0.7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7" sqref="C7"/>
    </sheetView>
  </sheetViews>
  <sheetFormatPr defaultColWidth="9.140625" defaultRowHeight="15" x14ac:dyDescent="0.25"/>
  <cols>
    <col min="1" max="1" width="14.85546875" style="61" customWidth="1"/>
    <col min="2" max="2" width="10.28515625" style="61" customWidth="1"/>
    <col min="3" max="3" width="44.42578125" style="64" customWidth="1"/>
    <col min="4" max="4" width="9.5703125" style="2" customWidth="1"/>
    <col min="5" max="5" width="10.7109375" style="1" customWidth="1"/>
    <col min="6" max="6" width="10.140625" style="61" customWidth="1"/>
    <col min="7" max="7" width="9.85546875" style="83" customWidth="1"/>
    <col min="8" max="8" width="11.28515625" style="61" customWidth="1"/>
    <col min="9" max="9" width="8.5703125" style="61" customWidth="1"/>
    <col min="10" max="10" width="13.85546875" style="61" customWidth="1"/>
    <col min="11" max="11" width="10" style="61" customWidth="1"/>
    <col min="12" max="16384" width="9.140625" style="61"/>
  </cols>
  <sheetData>
    <row r="1" spans="1:12" ht="18.75" x14ac:dyDescent="0.3">
      <c r="A1" s="72" t="s">
        <v>1058</v>
      </c>
    </row>
    <row r="2" spans="1:12" ht="18.75" x14ac:dyDescent="0.3">
      <c r="A2" s="72"/>
    </row>
    <row r="3" spans="1:12" x14ac:dyDescent="0.25">
      <c r="A3" s="74" t="s">
        <v>909</v>
      </c>
      <c r="B3" s="2" t="s">
        <v>910</v>
      </c>
    </row>
    <row r="5" spans="1:12" s="63" customFormat="1" ht="60" x14ac:dyDescent="0.25">
      <c r="A5" s="70" t="s">
        <v>3</v>
      </c>
      <c r="B5" s="70" t="s">
        <v>1</v>
      </c>
      <c r="C5" s="77" t="s">
        <v>2</v>
      </c>
      <c r="D5" s="73" t="s">
        <v>865</v>
      </c>
      <c r="E5" s="70" t="s">
        <v>694</v>
      </c>
      <c r="F5" s="70" t="s">
        <v>1059</v>
      </c>
      <c r="G5" s="82" t="s">
        <v>1060</v>
      </c>
      <c r="H5" s="74" t="s">
        <v>652</v>
      </c>
      <c r="I5" s="74" t="s">
        <v>653</v>
      </c>
      <c r="J5" s="74" t="s">
        <v>4</v>
      </c>
      <c r="K5" s="102" t="s">
        <v>1057</v>
      </c>
      <c r="L5" s="76" t="s">
        <v>1053</v>
      </c>
    </row>
    <row r="6" spans="1:12" s="2" customFormat="1" ht="45" x14ac:dyDescent="0.25">
      <c r="A6" s="101" t="s">
        <v>656</v>
      </c>
      <c r="B6" s="2" t="s">
        <v>56</v>
      </c>
      <c r="C6" s="102" t="s">
        <v>834</v>
      </c>
      <c r="D6" s="2">
        <v>0</v>
      </c>
      <c r="E6" s="38">
        <v>1</v>
      </c>
      <c r="F6" s="2">
        <v>1</v>
      </c>
      <c r="G6" s="2">
        <v>10.99</v>
      </c>
      <c r="H6" s="2">
        <v>0</v>
      </c>
      <c r="I6" s="75">
        <v>0.98909999999999998</v>
      </c>
      <c r="J6" s="2" t="s">
        <v>838</v>
      </c>
      <c r="K6" s="76">
        <v>0</v>
      </c>
      <c r="L6" s="76">
        <v>0</v>
      </c>
    </row>
    <row r="7" spans="1:12" s="2" customFormat="1" ht="45" x14ac:dyDescent="0.25">
      <c r="A7" s="101"/>
      <c r="B7" s="2" t="s">
        <v>64</v>
      </c>
      <c r="C7" s="102" t="s">
        <v>969</v>
      </c>
      <c r="D7" s="2">
        <v>0</v>
      </c>
      <c r="E7" s="38">
        <v>1</v>
      </c>
      <c r="F7" s="2">
        <v>1</v>
      </c>
      <c r="G7" s="2">
        <v>13.99</v>
      </c>
      <c r="H7" s="2">
        <v>0</v>
      </c>
      <c r="I7" s="75">
        <v>1.2590999999999999</v>
      </c>
      <c r="J7" s="2" t="s">
        <v>956</v>
      </c>
      <c r="K7" s="76">
        <v>0</v>
      </c>
      <c r="L7" s="76">
        <v>0</v>
      </c>
    </row>
    <row r="8" spans="1:12" s="2" customFormat="1" x14ac:dyDescent="0.25">
      <c r="A8" s="2" t="s">
        <v>1052</v>
      </c>
      <c r="B8" s="2" t="s">
        <v>87</v>
      </c>
      <c r="C8" s="102" t="s">
        <v>1008</v>
      </c>
      <c r="D8" s="2">
        <v>0</v>
      </c>
      <c r="E8" s="38">
        <v>1</v>
      </c>
      <c r="F8" s="2">
        <v>1</v>
      </c>
      <c r="G8" s="2" t="s">
        <v>1052</v>
      </c>
      <c r="H8" s="2">
        <v>0</v>
      </c>
      <c r="I8" s="75">
        <v>0</v>
      </c>
      <c r="J8" s="2" t="s">
        <v>1052</v>
      </c>
      <c r="K8" s="76">
        <v>0</v>
      </c>
      <c r="L8" s="76">
        <v>0</v>
      </c>
    </row>
    <row r="9" spans="1:12" s="2" customFormat="1" x14ac:dyDescent="0.25">
      <c r="A9" s="2" t="s">
        <v>1051</v>
      </c>
      <c r="K9" s="76">
        <v>0</v>
      </c>
      <c r="L9" s="76">
        <v>0</v>
      </c>
    </row>
    <row r="10" spans="1:12" s="2" customFormat="1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s="2" customForma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s="2" customForma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s="2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s="2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s="2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s="2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2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2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2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7"/>
  <sheetViews>
    <sheetView workbookViewId="0">
      <selection activeCell="H16" activeCellId="1" sqref="H6:I13 H16:I22"/>
    </sheetView>
  </sheetViews>
  <sheetFormatPr defaultColWidth="9.140625" defaultRowHeight="15" x14ac:dyDescent="0.25"/>
  <cols>
    <col min="1" max="1" width="22" style="61" bestFit="1" customWidth="1"/>
    <col min="2" max="2" width="58.85546875" style="61" customWidth="1"/>
    <col min="3" max="3" width="16.85546875" style="66" customWidth="1"/>
    <col min="4" max="4" width="10" style="68" customWidth="1"/>
    <col min="5" max="5" width="9.28515625" style="68" customWidth="1"/>
    <col min="6" max="6" width="16" style="68" customWidth="1"/>
    <col min="7" max="7" width="11.7109375" style="68" customWidth="1"/>
    <col min="8" max="8" width="12.42578125" style="61" customWidth="1"/>
    <col min="9" max="9" width="12.5703125" style="61" customWidth="1"/>
    <col min="10" max="16384" width="9.140625" style="61"/>
  </cols>
  <sheetData>
    <row r="1" spans="1:10" ht="18.75" x14ac:dyDescent="0.3">
      <c r="A1" s="72" t="s">
        <v>1054</v>
      </c>
      <c r="B1"/>
    </row>
    <row r="2" spans="1:10" x14ac:dyDescent="0.25">
      <c r="A2"/>
      <c r="B2"/>
    </row>
    <row r="3" spans="1:10" x14ac:dyDescent="0.25">
      <c r="A3"/>
      <c r="B3"/>
    </row>
    <row r="4" spans="1:10" s="63" customFormat="1" ht="62.25" customHeight="1" x14ac:dyDescent="0.25">
      <c r="A4" s="70" t="s">
        <v>3</v>
      </c>
      <c r="B4" s="70" t="s">
        <v>2</v>
      </c>
      <c r="C4" s="70" t="s">
        <v>1</v>
      </c>
      <c r="D4" s="70" t="s">
        <v>694</v>
      </c>
      <c r="E4" s="73" t="s">
        <v>865</v>
      </c>
      <c r="F4" s="70" t="s">
        <v>1046</v>
      </c>
      <c r="G4" s="70" t="s">
        <v>1059</v>
      </c>
      <c r="H4" s="102" t="s">
        <v>1082</v>
      </c>
      <c r="I4" s="102" t="s">
        <v>1053</v>
      </c>
      <c r="J4"/>
    </row>
    <row r="5" spans="1:10" x14ac:dyDescent="0.25">
      <c r="A5" s="23" t="s">
        <v>845</v>
      </c>
      <c r="B5" s="66" t="s">
        <v>990</v>
      </c>
      <c r="C5" s="61" t="s">
        <v>79</v>
      </c>
      <c r="D5" s="81">
        <v>1</v>
      </c>
      <c r="E5" s="61">
        <v>0</v>
      </c>
      <c r="F5" s="61">
        <v>0</v>
      </c>
      <c r="G5" s="68">
        <v>1</v>
      </c>
      <c r="H5" s="65">
        <v>63.64</v>
      </c>
      <c r="I5" s="65">
        <v>0</v>
      </c>
      <c r="J5"/>
    </row>
    <row r="6" spans="1:10" x14ac:dyDescent="0.25">
      <c r="A6" s="23" t="s">
        <v>656</v>
      </c>
      <c r="B6" s="66" t="s">
        <v>1037</v>
      </c>
      <c r="C6" s="61" t="s">
        <v>103</v>
      </c>
      <c r="D6" s="81">
        <v>1</v>
      </c>
      <c r="E6" s="61">
        <v>0</v>
      </c>
      <c r="F6" s="61">
        <v>0</v>
      </c>
      <c r="G6" s="68">
        <v>1</v>
      </c>
      <c r="H6" s="65">
        <v>7.5536999999999992</v>
      </c>
      <c r="I6" s="65">
        <v>0</v>
      </c>
      <c r="J6"/>
    </row>
    <row r="7" spans="1:10" x14ac:dyDescent="0.25">
      <c r="A7" s="23"/>
      <c r="B7" s="66" t="s">
        <v>1036</v>
      </c>
      <c r="C7" s="61" t="s">
        <v>102</v>
      </c>
      <c r="D7" s="81">
        <v>1</v>
      </c>
      <c r="E7" s="61">
        <v>0</v>
      </c>
      <c r="F7" s="61">
        <v>0</v>
      </c>
      <c r="G7" s="68">
        <v>1</v>
      </c>
      <c r="H7" s="65">
        <v>7.4228999999999994</v>
      </c>
      <c r="I7" s="65">
        <v>0</v>
      </c>
      <c r="J7"/>
    </row>
    <row r="8" spans="1:10" x14ac:dyDescent="0.25">
      <c r="A8" s="23"/>
      <c r="B8" s="66" t="s">
        <v>1029</v>
      </c>
      <c r="C8" s="61" t="s">
        <v>100</v>
      </c>
      <c r="D8" s="81">
        <v>1</v>
      </c>
      <c r="E8" s="61">
        <v>0</v>
      </c>
      <c r="F8" s="61">
        <v>0</v>
      </c>
      <c r="G8" s="68">
        <v>200</v>
      </c>
      <c r="H8" s="65">
        <v>3.2645500000000001E-2</v>
      </c>
      <c r="I8" s="65">
        <v>6.4964545000000005</v>
      </c>
      <c r="J8"/>
    </row>
    <row r="9" spans="1:10" x14ac:dyDescent="0.25">
      <c r="A9" s="23"/>
      <c r="B9" s="67" t="s">
        <v>654</v>
      </c>
      <c r="C9" s="61" t="s">
        <v>9</v>
      </c>
      <c r="D9" s="81">
        <v>28</v>
      </c>
      <c r="E9" s="61">
        <v>20</v>
      </c>
      <c r="F9" s="61">
        <v>0</v>
      </c>
      <c r="G9" s="68">
        <v>10</v>
      </c>
      <c r="H9" s="65">
        <v>11.76328</v>
      </c>
      <c r="I9" s="65">
        <v>2.94082</v>
      </c>
      <c r="J9"/>
    </row>
    <row r="10" spans="1:10" x14ac:dyDescent="0.25">
      <c r="A10" s="23"/>
      <c r="B10" s="66" t="s">
        <v>1006</v>
      </c>
      <c r="C10" s="61" t="s">
        <v>86</v>
      </c>
      <c r="D10" s="81">
        <v>1</v>
      </c>
      <c r="E10" s="61">
        <v>0</v>
      </c>
      <c r="F10" s="61">
        <v>0</v>
      </c>
      <c r="G10" s="68">
        <v>2</v>
      </c>
      <c r="H10" s="65">
        <v>5.1175500000000005</v>
      </c>
      <c r="I10" s="65">
        <v>5.1175500000000005</v>
      </c>
      <c r="J10"/>
    </row>
    <row r="11" spans="1:10" x14ac:dyDescent="0.25">
      <c r="A11" s="23"/>
      <c r="B11" s="66" t="s">
        <v>1005</v>
      </c>
      <c r="C11" s="61" t="s">
        <v>85</v>
      </c>
      <c r="D11" s="81">
        <v>1</v>
      </c>
      <c r="E11" s="61">
        <v>0</v>
      </c>
      <c r="F11" s="61">
        <v>0</v>
      </c>
      <c r="G11" s="68">
        <v>2</v>
      </c>
      <c r="H11" s="65">
        <v>5.9895500000000004</v>
      </c>
      <c r="I11" s="65">
        <v>5.9895500000000004</v>
      </c>
      <c r="J11"/>
    </row>
    <row r="12" spans="1:10" ht="30" x14ac:dyDescent="0.25">
      <c r="A12" s="23"/>
      <c r="B12" s="66" t="s">
        <v>969</v>
      </c>
      <c r="C12" s="61" t="s">
        <v>64</v>
      </c>
      <c r="D12" s="81">
        <v>1</v>
      </c>
      <c r="E12" s="61">
        <v>0</v>
      </c>
      <c r="F12" s="61">
        <v>0</v>
      </c>
      <c r="G12" s="68">
        <v>1</v>
      </c>
      <c r="H12" s="65">
        <v>15.2491</v>
      </c>
      <c r="I12" s="65">
        <v>0</v>
      </c>
      <c r="J12"/>
    </row>
    <row r="13" spans="1:10" ht="30" x14ac:dyDescent="0.25">
      <c r="A13" s="23"/>
      <c r="B13" s="66" t="s">
        <v>834</v>
      </c>
      <c r="C13" s="61" t="s">
        <v>56</v>
      </c>
      <c r="D13" s="81">
        <v>1</v>
      </c>
      <c r="E13" s="61">
        <v>0</v>
      </c>
      <c r="F13" s="61">
        <v>0</v>
      </c>
      <c r="G13" s="61">
        <v>1</v>
      </c>
      <c r="H13" s="65">
        <v>11.979100000000001</v>
      </c>
      <c r="I13" s="65">
        <v>0</v>
      </c>
      <c r="J13"/>
    </row>
    <row r="14" spans="1:10" x14ac:dyDescent="0.25">
      <c r="A14" s="23"/>
      <c r="B14" s="66" t="s">
        <v>1034</v>
      </c>
      <c r="C14" s="61" t="s">
        <v>104</v>
      </c>
      <c r="D14" s="81">
        <v>1</v>
      </c>
      <c r="E14" s="61">
        <v>0</v>
      </c>
      <c r="F14" s="61">
        <v>0</v>
      </c>
      <c r="G14" s="68">
        <v>1</v>
      </c>
      <c r="H14" s="65">
        <v>9.4829999999999988</v>
      </c>
      <c r="I14" s="65">
        <v>0</v>
      </c>
      <c r="J14"/>
    </row>
    <row r="15" spans="1:10" ht="30" x14ac:dyDescent="0.25">
      <c r="A15" s="23"/>
      <c r="B15" s="66" t="s">
        <v>1031</v>
      </c>
      <c r="C15" s="61" t="s">
        <v>101</v>
      </c>
      <c r="D15" s="81">
        <v>1</v>
      </c>
      <c r="E15" s="61">
        <v>0</v>
      </c>
      <c r="F15" s="61">
        <v>0</v>
      </c>
      <c r="G15" s="68">
        <v>100</v>
      </c>
      <c r="H15" s="65">
        <v>9.7991000000000009E-2</v>
      </c>
      <c r="I15" s="65">
        <v>9.7011090000000006</v>
      </c>
      <c r="J15"/>
    </row>
    <row r="16" spans="1:10" x14ac:dyDescent="0.25">
      <c r="A16" s="61" t="s">
        <v>994</v>
      </c>
      <c r="B16" s="66" t="s">
        <v>992</v>
      </c>
      <c r="C16" s="61" t="s">
        <v>80</v>
      </c>
      <c r="D16" s="81">
        <v>1</v>
      </c>
      <c r="E16" s="61">
        <v>0</v>
      </c>
      <c r="F16" s="61">
        <v>0</v>
      </c>
      <c r="G16" s="68">
        <v>1</v>
      </c>
      <c r="H16" s="65">
        <v>3.2808999999999999</v>
      </c>
      <c r="I16" s="65">
        <v>0</v>
      </c>
      <c r="J16"/>
    </row>
    <row r="17" spans="1:10" x14ac:dyDescent="0.25">
      <c r="A17"/>
      <c r="B17" s="66" t="s">
        <v>1001</v>
      </c>
      <c r="C17" s="61" t="s">
        <v>83</v>
      </c>
      <c r="D17" s="81">
        <v>1</v>
      </c>
      <c r="E17" s="61">
        <v>0</v>
      </c>
      <c r="F17" s="61">
        <v>0</v>
      </c>
      <c r="G17" s="68">
        <v>1</v>
      </c>
      <c r="H17" s="65">
        <v>1.1990000000000001</v>
      </c>
      <c r="I17" s="65">
        <v>0</v>
      </c>
      <c r="J17"/>
    </row>
    <row r="18" spans="1:10" x14ac:dyDescent="0.25">
      <c r="A18"/>
      <c r="B18" s="66" t="s">
        <v>997</v>
      </c>
      <c r="C18" s="61" t="s">
        <v>81</v>
      </c>
      <c r="D18" s="81">
        <v>1</v>
      </c>
      <c r="E18" s="61">
        <v>0</v>
      </c>
      <c r="F18" s="61">
        <v>0</v>
      </c>
      <c r="G18" s="68">
        <v>1</v>
      </c>
      <c r="H18" s="65">
        <v>5.5589999999999993</v>
      </c>
      <c r="I18" s="65">
        <v>0</v>
      </c>
      <c r="J18"/>
    </row>
    <row r="19" spans="1:10" ht="30" x14ac:dyDescent="0.25">
      <c r="A19" s="61" t="s">
        <v>927</v>
      </c>
      <c r="B19" s="66" t="s">
        <v>926</v>
      </c>
      <c r="C19" s="61" t="s">
        <v>76</v>
      </c>
      <c r="D19" s="81">
        <v>36</v>
      </c>
      <c r="E19" s="61">
        <v>0</v>
      </c>
      <c r="F19" s="61">
        <v>0</v>
      </c>
      <c r="G19" s="68">
        <v>40</v>
      </c>
      <c r="H19" s="65">
        <v>48.491999999999997</v>
      </c>
      <c r="I19" s="65">
        <v>5.3879999999999999</v>
      </c>
      <c r="J19"/>
    </row>
    <row r="20" spans="1:10" x14ac:dyDescent="0.25">
      <c r="A20" s="61" t="s">
        <v>648</v>
      </c>
      <c r="B20" s="66" t="s">
        <v>748</v>
      </c>
      <c r="C20" s="61" t="s">
        <v>23</v>
      </c>
      <c r="D20" s="81">
        <v>1</v>
      </c>
      <c r="E20" s="61">
        <v>0</v>
      </c>
      <c r="F20" s="61">
        <v>0</v>
      </c>
      <c r="G20" s="61">
        <v>1</v>
      </c>
      <c r="H20" s="65">
        <v>0</v>
      </c>
      <c r="I20" s="65">
        <v>0</v>
      </c>
      <c r="J20"/>
    </row>
    <row r="21" spans="1:10" x14ac:dyDescent="0.25">
      <c r="A21" s="61" t="s">
        <v>781</v>
      </c>
      <c r="B21" s="66" t="s">
        <v>780</v>
      </c>
      <c r="C21" s="61" t="s">
        <v>44</v>
      </c>
      <c r="D21" s="81">
        <v>5</v>
      </c>
      <c r="E21" s="61">
        <v>0</v>
      </c>
      <c r="F21" s="61">
        <v>0</v>
      </c>
      <c r="G21" s="68">
        <v>5</v>
      </c>
      <c r="H21" s="65">
        <v>36.290000000000006</v>
      </c>
      <c r="I21" s="65">
        <v>0</v>
      </c>
      <c r="J21"/>
    </row>
    <row r="22" spans="1:10" x14ac:dyDescent="0.25">
      <c r="A22" s="61" t="s">
        <v>1052</v>
      </c>
      <c r="B22" s="66" t="s">
        <v>1002</v>
      </c>
      <c r="C22" s="61" t="s">
        <v>84</v>
      </c>
      <c r="D22" s="81">
        <v>1</v>
      </c>
      <c r="E22" s="61">
        <v>0</v>
      </c>
      <c r="F22" s="61">
        <v>0</v>
      </c>
      <c r="G22" s="68">
        <v>1</v>
      </c>
      <c r="H22" s="65">
        <v>19.598200000000002</v>
      </c>
      <c r="I22" s="65">
        <v>0</v>
      </c>
      <c r="J22"/>
    </row>
    <row r="23" spans="1:10" x14ac:dyDescent="0.25">
      <c r="A23"/>
      <c r="B23" s="66" t="s">
        <v>1008</v>
      </c>
      <c r="C23" s="61" t="s">
        <v>87</v>
      </c>
      <c r="D23" s="81">
        <v>1</v>
      </c>
      <c r="E23" s="61">
        <v>0</v>
      </c>
      <c r="F23" s="61">
        <v>0</v>
      </c>
      <c r="G23" s="61">
        <v>1</v>
      </c>
      <c r="H23" s="65">
        <v>0</v>
      </c>
      <c r="I23" s="65">
        <v>0</v>
      </c>
      <c r="J23"/>
    </row>
    <row r="24" spans="1:10" x14ac:dyDescent="0.25">
      <c r="A24"/>
      <c r="B24" s="66" t="s">
        <v>1047</v>
      </c>
      <c r="C24" s="61" t="s">
        <v>82</v>
      </c>
      <c r="D24" s="81">
        <v>1</v>
      </c>
      <c r="E24" s="61">
        <v>0</v>
      </c>
      <c r="F24" s="61">
        <v>0</v>
      </c>
      <c r="G24" s="61">
        <v>1</v>
      </c>
      <c r="H24" s="65">
        <v>0</v>
      </c>
      <c r="I24" s="65">
        <v>0</v>
      </c>
      <c r="J24"/>
    </row>
    <row r="25" spans="1:10" x14ac:dyDescent="0.25">
      <c r="A25"/>
      <c r="B25" s="66" t="s">
        <v>1009</v>
      </c>
      <c r="C25" s="61" t="s">
        <v>88</v>
      </c>
      <c r="D25" s="81">
        <v>1</v>
      </c>
      <c r="E25" s="61">
        <v>0</v>
      </c>
      <c r="F25" s="61">
        <v>0</v>
      </c>
      <c r="G25" s="61">
        <v>1</v>
      </c>
      <c r="H25" s="65">
        <v>0</v>
      </c>
      <c r="I25" s="65">
        <v>0</v>
      </c>
      <c r="J25"/>
    </row>
    <row r="26" spans="1:10" x14ac:dyDescent="0.25">
      <c r="A26" s="68" t="s">
        <v>1051</v>
      </c>
      <c r="B26" s="68"/>
      <c r="C26" s="68"/>
      <c r="H26" s="65">
        <v>252.7479165</v>
      </c>
      <c r="I26" s="65">
        <v>35.633483500000004</v>
      </c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</row>
    <row r="48" spans="1:10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/>
      <c r="D64"/>
      <c r="E64"/>
      <c r="F64"/>
      <c r="G64"/>
      <c r="H64"/>
      <c r="I64"/>
    </row>
    <row r="65" spans="1:9" x14ac:dyDescent="0.25">
      <c r="A65"/>
      <c r="B65"/>
      <c r="C65"/>
      <c r="D65"/>
      <c r="E65"/>
      <c r="F65"/>
      <c r="G65"/>
      <c r="H65"/>
      <c r="I65"/>
    </row>
    <row r="66" spans="1:9" x14ac:dyDescent="0.25">
      <c r="A66"/>
      <c r="B66"/>
      <c r="C66"/>
      <c r="D66"/>
      <c r="E66"/>
      <c r="F66"/>
      <c r="G66"/>
      <c r="H66"/>
      <c r="I66"/>
    </row>
    <row r="67" spans="1:9" x14ac:dyDescent="0.25">
      <c r="A67"/>
      <c r="B67"/>
      <c r="C67"/>
      <c r="D67"/>
      <c r="E67"/>
      <c r="F67"/>
      <c r="G67"/>
      <c r="H67"/>
      <c r="I67"/>
    </row>
    <row r="68" spans="1:9" x14ac:dyDescent="0.25">
      <c r="A68"/>
      <c r="B68"/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  <row r="70" spans="1:9" x14ac:dyDescent="0.25">
      <c r="A70"/>
      <c r="B70"/>
      <c r="C70"/>
      <c r="D70"/>
      <c r="E70"/>
      <c r="F70"/>
      <c r="G70"/>
      <c r="H70"/>
      <c r="I70"/>
    </row>
    <row r="71" spans="1:9" x14ac:dyDescent="0.25">
      <c r="A71"/>
      <c r="B71"/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  <row r="135" spans="1:9" x14ac:dyDescent="0.25">
      <c r="A135"/>
      <c r="B135"/>
      <c r="C135"/>
      <c r="D135"/>
      <c r="E135"/>
      <c r="F135"/>
      <c r="G135"/>
      <c r="H135"/>
      <c r="I135"/>
    </row>
    <row r="136" spans="1:9" x14ac:dyDescent="0.25">
      <c r="A136"/>
      <c r="B136"/>
      <c r="C136"/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/>
      <c r="B140"/>
      <c r="C140"/>
      <c r="D140"/>
      <c r="E140"/>
      <c r="F140"/>
      <c r="G140"/>
      <c r="H140"/>
      <c r="I140"/>
    </row>
    <row r="141" spans="1:9" x14ac:dyDescent="0.25">
      <c r="A141"/>
      <c r="B141"/>
      <c r="C141"/>
      <c r="D141"/>
      <c r="E141"/>
      <c r="F141"/>
      <c r="G141"/>
      <c r="H141"/>
      <c r="I141"/>
    </row>
    <row r="142" spans="1:9" x14ac:dyDescent="0.25">
      <c r="A142"/>
      <c r="B142"/>
      <c r="C142"/>
      <c r="D142"/>
      <c r="E142"/>
      <c r="F142"/>
      <c r="G142"/>
      <c r="H142"/>
      <c r="I142"/>
    </row>
    <row r="143" spans="1:9" x14ac:dyDescent="0.25">
      <c r="A143"/>
      <c r="B143"/>
      <c r="C143"/>
      <c r="D143"/>
      <c r="E143"/>
      <c r="F143"/>
      <c r="G143"/>
      <c r="H143"/>
      <c r="I143"/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23.85546875" style="1" customWidth="1"/>
    <col min="2" max="2" width="62.7109375" style="4" customWidth="1"/>
    <col min="3" max="3" width="14.5703125" style="1" customWidth="1"/>
    <col min="4" max="4" width="13.5703125" style="88" customWidth="1"/>
    <col min="5" max="5" width="21" style="2" customWidth="1"/>
    <col min="6" max="6" width="12" style="2" customWidth="1"/>
    <col min="7" max="7" width="14.7109375" style="2" customWidth="1"/>
    <col min="8" max="8" width="13" style="1" customWidth="1"/>
    <col min="9" max="16384" width="9.140625" style="1"/>
  </cols>
  <sheetData>
    <row r="1" spans="1:10" ht="18.75" x14ac:dyDescent="0.3">
      <c r="A1" s="72" t="s">
        <v>1055</v>
      </c>
    </row>
    <row r="3" spans="1:10" s="4" customFormat="1" ht="60" x14ac:dyDescent="0.25">
      <c r="A3" s="70" t="s">
        <v>3</v>
      </c>
      <c r="B3" s="70" t="s">
        <v>2</v>
      </c>
      <c r="C3" s="70" t="s">
        <v>1</v>
      </c>
      <c r="D3" s="70" t="s">
        <v>1046</v>
      </c>
      <c r="E3" s="69" t="s">
        <v>865</v>
      </c>
      <c r="F3" s="74" t="s">
        <v>1066</v>
      </c>
      <c r="G3" s="74" t="s">
        <v>1068</v>
      </c>
      <c r="H3" s="4" t="s">
        <v>1087</v>
      </c>
      <c r="I3" s="102" t="s">
        <v>1053</v>
      </c>
      <c r="J3"/>
    </row>
    <row r="4" spans="1:10" x14ac:dyDescent="0.25">
      <c r="A4" s="2" t="s">
        <v>1051</v>
      </c>
      <c r="B4" s="2"/>
      <c r="C4" s="2"/>
      <c r="D4" s="2"/>
      <c r="H4" s="50"/>
      <c r="I4" s="50"/>
      <c r="J4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x14ac:dyDescent="0.25">
      <c r="A6"/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/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/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</row>
    <row r="36" spans="1:10" x14ac:dyDescent="0.25">
      <c r="A36"/>
      <c r="B36"/>
      <c r="C36"/>
      <c r="D36"/>
      <c r="E36"/>
      <c r="F36"/>
      <c r="G36"/>
      <c r="H36"/>
      <c r="I36"/>
    </row>
    <row r="37" spans="1:10" x14ac:dyDescent="0.25">
      <c r="A37"/>
      <c r="B37"/>
      <c r="C37"/>
      <c r="D37"/>
      <c r="E37"/>
      <c r="F37"/>
      <c r="G37"/>
      <c r="H37"/>
      <c r="I37"/>
    </row>
    <row r="38" spans="1:10" x14ac:dyDescent="0.25">
      <c r="A38"/>
      <c r="B38"/>
      <c r="C38"/>
      <c r="D38"/>
      <c r="E38"/>
      <c r="F38"/>
      <c r="G38"/>
      <c r="H38"/>
      <c r="I38"/>
    </row>
    <row r="39" spans="1:10" x14ac:dyDescent="0.25">
      <c r="A39"/>
      <c r="B39"/>
      <c r="C39"/>
      <c r="D39"/>
      <c r="E39"/>
      <c r="F39"/>
      <c r="G39"/>
      <c r="H39"/>
      <c r="I39"/>
    </row>
    <row r="40" spans="1:10" x14ac:dyDescent="0.25">
      <c r="A40"/>
      <c r="B40"/>
      <c r="C40"/>
      <c r="D40"/>
      <c r="E40"/>
      <c r="F40"/>
      <c r="G40"/>
      <c r="H40"/>
      <c r="I40"/>
    </row>
    <row r="41" spans="1:10" x14ac:dyDescent="0.25">
      <c r="A41"/>
      <c r="B41"/>
      <c r="C41"/>
      <c r="D41"/>
      <c r="E41"/>
      <c r="F41"/>
      <c r="G41"/>
      <c r="H41"/>
      <c r="I41"/>
    </row>
    <row r="42" spans="1:10" x14ac:dyDescent="0.25">
      <c r="A42"/>
      <c r="B42"/>
      <c r="C42"/>
      <c r="D42"/>
      <c r="E42"/>
      <c r="F42"/>
      <c r="G42"/>
      <c r="H42"/>
      <c r="I42"/>
    </row>
    <row r="43" spans="1:10" x14ac:dyDescent="0.25">
      <c r="A43"/>
      <c r="B43"/>
      <c r="C43"/>
      <c r="D43"/>
      <c r="E43"/>
      <c r="F43"/>
      <c r="G43"/>
      <c r="H43"/>
      <c r="I43"/>
    </row>
    <row r="44" spans="1:10" x14ac:dyDescent="0.25">
      <c r="A44"/>
      <c r="B44"/>
      <c r="C44"/>
      <c r="D44"/>
      <c r="E44"/>
      <c r="F44"/>
      <c r="G44"/>
      <c r="H44"/>
      <c r="I44"/>
    </row>
    <row r="45" spans="1:10" x14ac:dyDescent="0.25">
      <c r="A45"/>
      <c r="B45"/>
      <c r="C45"/>
      <c r="D45"/>
      <c r="E45"/>
      <c r="F45"/>
      <c r="G45"/>
      <c r="H45"/>
      <c r="I45"/>
    </row>
    <row r="46" spans="1:10" x14ac:dyDescent="0.25">
      <c r="A46"/>
      <c r="B46"/>
      <c r="C46"/>
      <c r="D46"/>
      <c r="E46"/>
      <c r="F46"/>
      <c r="G46"/>
      <c r="H46"/>
      <c r="I46"/>
    </row>
    <row r="47" spans="1:10" x14ac:dyDescent="0.25">
      <c r="A47"/>
      <c r="B47"/>
      <c r="C47"/>
      <c r="D47"/>
      <c r="E47"/>
      <c r="F47"/>
      <c r="G47"/>
      <c r="H47"/>
      <c r="I47"/>
    </row>
    <row r="48" spans="1:10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/>
      <c r="D64"/>
      <c r="E64"/>
      <c r="F64"/>
      <c r="G64"/>
      <c r="H64"/>
      <c r="I64"/>
    </row>
    <row r="65" spans="1:9" x14ac:dyDescent="0.25">
      <c r="A65"/>
      <c r="B65"/>
      <c r="C65"/>
      <c r="D65"/>
      <c r="E65"/>
      <c r="F65"/>
      <c r="G65"/>
      <c r="H65"/>
      <c r="I65"/>
    </row>
    <row r="66" spans="1:9" x14ac:dyDescent="0.25">
      <c r="A66"/>
      <c r="B66"/>
      <c r="C66"/>
      <c r="D66"/>
      <c r="E66"/>
      <c r="F66"/>
      <c r="G66"/>
      <c r="H66"/>
      <c r="I66"/>
    </row>
    <row r="67" spans="1:9" x14ac:dyDescent="0.25">
      <c r="A67"/>
      <c r="B67"/>
      <c r="C67"/>
      <c r="D67"/>
      <c r="E67"/>
      <c r="F67"/>
      <c r="G67"/>
      <c r="H67"/>
      <c r="I67"/>
    </row>
    <row r="68" spans="1:9" x14ac:dyDescent="0.25">
      <c r="A68"/>
      <c r="B68"/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  <row r="70" spans="1:9" x14ac:dyDescent="0.25">
      <c r="A70"/>
      <c r="B70"/>
      <c r="C70"/>
      <c r="D70"/>
      <c r="E70"/>
      <c r="F70"/>
      <c r="G70"/>
      <c r="H70"/>
      <c r="I70"/>
    </row>
    <row r="71" spans="1:9" x14ac:dyDescent="0.25">
      <c r="A71"/>
      <c r="B71"/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  <row r="135" spans="1:9" x14ac:dyDescent="0.25">
      <c r="A135"/>
      <c r="B135"/>
      <c r="C135"/>
      <c r="D135"/>
      <c r="E135"/>
      <c r="F135"/>
      <c r="G135"/>
      <c r="H135"/>
      <c r="I135"/>
    </row>
    <row r="136" spans="1:9" x14ac:dyDescent="0.25">
      <c r="A136"/>
      <c r="B136"/>
      <c r="C136"/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/>
      <c r="B140"/>
      <c r="C140"/>
      <c r="D140"/>
      <c r="E140"/>
      <c r="F140"/>
      <c r="G140"/>
      <c r="H140"/>
      <c r="I140"/>
    </row>
    <row r="141" spans="1:9" x14ac:dyDescent="0.25">
      <c r="A141"/>
      <c r="B141"/>
      <c r="C141"/>
      <c r="D141"/>
      <c r="E141"/>
      <c r="F141"/>
      <c r="G141"/>
      <c r="H141"/>
      <c r="I141"/>
    </row>
    <row r="142" spans="1:9" x14ac:dyDescent="0.25">
      <c r="A142"/>
      <c r="B142"/>
      <c r="C142"/>
      <c r="D142"/>
      <c r="E142"/>
      <c r="F142"/>
      <c r="G142"/>
      <c r="H142"/>
      <c r="I142"/>
    </row>
    <row r="143" spans="1:9" x14ac:dyDescent="0.25">
      <c r="A143"/>
      <c r="B143"/>
      <c r="C143"/>
      <c r="D143"/>
      <c r="E143"/>
      <c r="F143"/>
      <c r="G143"/>
      <c r="H143"/>
      <c r="I143"/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47" workbookViewId="0">
      <selection activeCell="C71" sqref="C71"/>
    </sheetView>
  </sheetViews>
  <sheetFormatPr defaultRowHeight="15" x14ac:dyDescent="0.25"/>
  <cols>
    <col min="1" max="1" width="23.85546875" customWidth="1"/>
    <col min="2" max="2" width="10.28515625" customWidth="1"/>
    <col min="3" max="3" width="73.5703125" customWidth="1"/>
    <col min="4" max="4" width="21" style="68" customWidth="1"/>
    <col min="5" max="5" width="9.42578125" style="68" customWidth="1"/>
    <col min="6" max="6" width="11.85546875" customWidth="1"/>
    <col min="7" max="7" width="12.140625" customWidth="1"/>
    <col min="8" max="8" width="12" customWidth="1"/>
  </cols>
  <sheetData>
    <row r="1" spans="1:10" ht="18.75" x14ac:dyDescent="0.3">
      <c r="A1" s="72" t="s">
        <v>1056</v>
      </c>
    </row>
    <row r="2" spans="1:10" x14ac:dyDescent="0.25">
      <c r="J2">
        <f>SUM(J4:J215)</f>
        <v>158.09168066666669</v>
      </c>
    </row>
    <row r="3" spans="1:10" s="12" customFormat="1" ht="60" x14ac:dyDescent="0.25">
      <c r="A3" s="97" t="s">
        <v>3</v>
      </c>
      <c r="B3" s="97" t="s">
        <v>1</v>
      </c>
      <c r="C3" s="97" t="s">
        <v>2</v>
      </c>
      <c r="D3" s="98" t="s">
        <v>865</v>
      </c>
      <c r="E3" s="100" t="s">
        <v>1089</v>
      </c>
      <c r="F3" s="12" t="s">
        <v>1084</v>
      </c>
      <c r="G3" s="99" t="s">
        <v>1053</v>
      </c>
      <c r="H3" s="12" t="s">
        <v>1064</v>
      </c>
      <c r="J3" s="12" t="s">
        <v>1094</v>
      </c>
    </row>
    <row r="4" spans="1:10" x14ac:dyDescent="0.25">
      <c r="A4" s="23" t="s">
        <v>845</v>
      </c>
      <c r="B4" s="61" t="s">
        <v>57</v>
      </c>
      <c r="C4" s="66" t="s">
        <v>1096</v>
      </c>
      <c r="D4" s="61">
        <v>1</v>
      </c>
      <c r="E4" s="61" t="s">
        <v>1052</v>
      </c>
      <c r="F4" s="65">
        <v>47.273299999999999</v>
      </c>
      <c r="G4" s="71">
        <v>0</v>
      </c>
      <c r="H4" s="71">
        <v>47.27</v>
      </c>
      <c r="J4" s="61">
        <f>IF(E4&lt;&gt;"(blank)",F4,0)</f>
        <v>0</v>
      </c>
    </row>
    <row r="5" spans="1:10" ht="30" x14ac:dyDescent="0.25">
      <c r="A5" s="23"/>
      <c r="B5" s="61" t="s">
        <v>60</v>
      </c>
      <c r="C5" s="66" t="s">
        <v>844</v>
      </c>
      <c r="D5" s="61">
        <v>1</v>
      </c>
      <c r="E5" s="61" t="s">
        <v>1052</v>
      </c>
      <c r="F5" s="65">
        <v>67.98</v>
      </c>
      <c r="G5" s="71">
        <v>0</v>
      </c>
      <c r="H5" s="71">
        <v>67.98</v>
      </c>
      <c r="J5" s="61">
        <f>IF(E5&lt;&gt;"(blank)",F5,0)</f>
        <v>0</v>
      </c>
    </row>
    <row r="6" spans="1:10" x14ac:dyDescent="0.25">
      <c r="A6" s="23"/>
      <c r="B6" s="61" t="s">
        <v>61</v>
      </c>
      <c r="C6" s="66" t="s">
        <v>1069</v>
      </c>
      <c r="D6" s="68">
        <v>1</v>
      </c>
      <c r="E6" s="68">
        <v>1</v>
      </c>
      <c r="F6" s="65">
        <v>88.96</v>
      </c>
      <c r="G6" s="71">
        <v>0</v>
      </c>
      <c r="H6" s="71">
        <v>0</v>
      </c>
      <c r="J6" s="61">
        <f t="shared" ref="J6:J59" si="0">IF(E6&lt;&gt;"(blank)",F6,0)</f>
        <v>88.96</v>
      </c>
    </row>
    <row r="7" spans="1:10" ht="30" x14ac:dyDescent="0.25">
      <c r="A7" s="23"/>
      <c r="B7" s="61" t="s">
        <v>62</v>
      </c>
      <c r="C7" s="66" t="s">
        <v>849</v>
      </c>
      <c r="D7" s="61">
        <v>1</v>
      </c>
      <c r="E7" s="61" t="s">
        <v>1052</v>
      </c>
      <c r="F7" s="65">
        <v>78.48</v>
      </c>
      <c r="G7" s="71">
        <v>0</v>
      </c>
      <c r="H7" s="71">
        <v>78.48</v>
      </c>
      <c r="J7" s="61">
        <f t="shared" si="0"/>
        <v>0</v>
      </c>
    </row>
    <row r="8" spans="1:10" x14ac:dyDescent="0.25">
      <c r="A8" s="23" t="s">
        <v>656</v>
      </c>
      <c r="B8" s="61" t="s">
        <v>9</v>
      </c>
      <c r="C8" s="67" t="s">
        <v>654</v>
      </c>
      <c r="D8" s="68">
        <v>20</v>
      </c>
      <c r="E8" s="68">
        <v>20</v>
      </c>
      <c r="F8" s="65">
        <v>29.408200000000001</v>
      </c>
      <c r="G8" s="71">
        <v>2.94082</v>
      </c>
      <c r="H8" s="71">
        <v>0</v>
      </c>
      <c r="J8" s="61">
        <f t="shared" si="0"/>
        <v>29.408200000000001</v>
      </c>
    </row>
    <row r="9" spans="1:10" ht="30" x14ac:dyDescent="0.25">
      <c r="A9" s="23"/>
      <c r="B9" s="61" t="s">
        <v>10</v>
      </c>
      <c r="C9" s="67" t="s">
        <v>659</v>
      </c>
      <c r="D9" s="61">
        <v>314</v>
      </c>
      <c r="E9" s="68" t="s">
        <v>1052</v>
      </c>
      <c r="F9" s="65">
        <v>5.8127156666666657</v>
      </c>
      <c r="G9" s="71">
        <v>5.2980866999999989</v>
      </c>
      <c r="H9" s="71">
        <v>0</v>
      </c>
      <c r="J9" s="61">
        <f t="shared" si="0"/>
        <v>0</v>
      </c>
    </row>
    <row r="10" spans="1:10" x14ac:dyDescent="0.25">
      <c r="A10" s="23"/>
      <c r="B10" s="61" t="s">
        <v>11</v>
      </c>
      <c r="C10" s="67" t="s">
        <v>662</v>
      </c>
      <c r="D10" s="68">
        <v>15</v>
      </c>
      <c r="E10" s="68">
        <v>15</v>
      </c>
      <c r="F10" s="65">
        <v>3.5888249999999995</v>
      </c>
      <c r="G10" s="71">
        <v>0.23925499999999997</v>
      </c>
      <c r="H10" s="71">
        <v>0</v>
      </c>
      <c r="J10" s="61">
        <f t="shared" si="0"/>
        <v>3.5888249999999995</v>
      </c>
    </row>
    <row r="11" spans="1:10" x14ac:dyDescent="0.25">
      <c r="A11" s="23"/>
      <c r="B11" s="61" t="s">
        <v>13</v>
      </c>
      <c r="C11" s="67" t="s">
        <v>669</v>
      </c>
      <c r="D11" s="61">
        <v>36</v>
      </c>
      <c r="E11" s="68">
        <v>36</v>
      </c>
      <c r="F11" s="65">
        <v>1.5872579999999998</v>
      </c>
      <c r="G11" s="71">
        <v>0</v>
      </c>
      <c r="H11" s="71">
        <v>0</v>
      </c>
      <c r="J11" s="61">
        <f t="shared" si="0"/>
        <v>1.5872579999999998</v>
      </c>
    </row>
    <row r="12" spans="1:10" ht="30" x14ac:dyDescent="0.25">
      <c r="A12" s="23"/>
      <c r="B12" s="61" t="s">
        <v>14</v>
      </c>
      <c r="C12" s="66" t="s">
        <v>687</v>
      </c>
      <c r="D12" s="61">
        <v>2</v>
      </c>
      <c r="E12" s="61" t="s">
        <v>1052</v>
      </c>
      <c r="F12" s="65">
        <v>76.692399999999992</v>
      </c>
      <c r="G12" s="71">
        <v>0</v>
      </c>
      <c r="H12" s="71">
        <v>76.69</v>
      </c>
      <c r="J12" s="61">
        <f t="shared" si="0"/>
        <v>0</v>
      </c>
    </row>
    <row r="13" spans="1:10" ht="30" x14ac:dyDescent="0.25">
      <c r="A13" s="23"/>
      <c r="B13" s="61" t="s">
        <v>15</v>
      </c>
      <c r="C13" s="67" t="s">
        <v>749</v>
      </c>
      <c r="D13" s="61">
        <v>353</v>
      </c>
      <c r="E13" s="68">
        <v>600</v>
      </c>
      <c r="F13" s="65">
        <v>12.941097666666668</v>
      </c>
      <c r="G13" s="71">
        <v>9.055102333333334</v>
      </c>
      <c r="H13" s="71">
        <v>0</v>
      </c>
      <c r="J13" s="61">
        <f t="shared" si="0"/>
        <v>12.941097666666668</v>
      </c>
    </row>
    <row r="14" spans="1:10" ht="30" x14ac:dyDescent="0.25">
      <c r="A14" s="23"/>
      <c r="B14" s="61" t="s">
        <v>19</v>
      </c>
      <c r="C14" s="66" t="s">
        <v>688</v>
      </c>
      <c r="D14" s="61">
        <v>2</v>
      </c>
      <c r="E14" s="68" t="s">
        <v>1052</v>
      </c>
      <c r="F14" s="65">
        <v>6.2675000000000001</v>
      </c>
      <c r="G14" s="71">
        <v>6.2675000000000001</v>
      </c>
      <c r="H14" s="71">
        <v>12.54</v>
      </c>
      <c r="J14" s="61">
        <f t="shared" si="0"/>
        <v>0</v>
      </c>
    </row>
    <row r="15" spans="1:10" x14ac:dyDescent="0.25">
      <c r="A15" s="23"/>
      <c r="B15" s="61" t="s">
        <v>24</v>
      </c>
      <c r="C15" s="66" t="s">
        <v>1048</v>
      </c>
      <c r="D15" s="61">
        <v>39</v>
      </c>
      <c r="E15" s="68" t="s">
        <v>1052</v>
      </c>
      <c r="F15" s="65">
        <v>9.6327660000000002</v>
      </c>
      <c r="G15" s="71">
        <v>2.7169339999999997</v>
      </c>
      <c r="H15" s="71">
        <v>12.3497</v>
      </c>
      <c r="J15" s="61">
        <f t="shared" si="0"/>
        <v>0</v>
      </c>
    </row>
    <row r="16" spans="1:10" ht="30" x14ac:dyDescent="0.25">
      <c r="A16" s="23"/>
      <c r="B16" s="61" t="s">
        <v>25</v>
      </c>
      <c r="C16" s="67" t="s">
        <v>986</v>
      </c>
      <c r="D16" s="68">
        <v>3</v>
      </c>
      <c r="E16" s="68" t="s">
        <v>1052</v>
      </c>
      <c r="F16" s="65">
        <v>70.304999999999993</v>
      </c>
      <c r="G16" s="71">
        <v>0</v>
      </c>
      <c r="H16" s="71">
        <v>45.7</v>
      </c>
      <c r="J16" s="61">
        <f t="shared" si="0"/>
        <v>0</v>
      </c>
    </row>
    <row r="17" spans="1:10" x14ac:dyDescent="0.25">
      <c r="A17" s="23"/>
      <c r="B17" s="61" t="s">
        <v>33</v>
      </c>
      <c r="C17" s="66" t="s">
        <v>708</v>
      </c>
      <c r="D17" s="61">
        <v>9</v>
      </c>
      <c r="E17" s="68" t="s">
        <v>1052</v>
      </c>
      <c r="F17" s="65">
        <v>3.0524192307692308</v>
      </c>
      <c r="G17" s="71">
        <v>5.7656807692307694</v>
      </c>
      <c r="H17" s="71">
        <v>8.82</v>
      </c>
      <c r="J17" s="61">
        <f t="shared" si="0"/>
        <v>0</v>
      </c>
    </row>
    <row r="18" spans="1:10" ht="45" x14ac:dyDescent="0.25">
      <c r="A18" s="23"/>
      <c r="B18" s="61" t="s">
        <v>55</v>
      </c>
      <c r="C18" s="66" t="s">
        <v>1095</v>
      </c>
      <c r="D18" s="61">
        <v>1</v>
      </c>
      <c r="E18" s="61" t="s">
        <v>1052</v>
      </c>
      <c r="F18" s="65">
        <v>76.289999999999992</v>
      </c>
      <c r="G18" s="71">
        <v>0</v>
      </c>
      <c r="H18" s="71">
        <v>76.290000000000006</v>
      </c>
      <c r="J18" s="61">
        <f t="shared" si="0"/>
        <v>0</v>
      </c>
    </row>
    <row r="19" spans="1:10" ht="30" x14ac:dyDescent="0.25">
      <c r="A19" s="23"/>
      <c r="B19" s="61" t="s">
        <v>58</v>
      </c>
      <c r="C19" s="66" t="s">
        <v>836</v>
      </c>
      <c r="D19" s="61">
        <v>1</v>
      </c>
      <c r="E19" s="61" t="s">
        <v>1052</v>
      </c>
      <c r="F19" s="65">
        <v>26.149099999999997</v>
      </c>
      <c r="G19" s="71">
        <v>0</v>
      </c>
      <c r="H19" s="71">
        <v>26.149099999999997</v>
      </c>
      <c r="J19" s="61">
        <f t="shared" si="0"/>
        <v>0</v>
      </c>
    </row>
    <row r="20" spans="1:10" ht="30" x14ac:dyDescent="0.25">
      <c r="A20" s="23"/>
      <c r="B20" s="61" t="s">
        <v>59</v>
      </c>
      <c r="C20" s="66" t="s">
        <v>839</v>
      </c>
      <c r="D20" s="61">
        <v>1</v>
      </c>
      <c r="E20" s="61" t="s">
        <v>1052</v>
      </c>
      <c r="F20" s="65">
        <v>10.8782</v>
      </c>
      <c r="G20" s="71">
        <v>0</v>
      </c>
      <c r="H20" s="71">
        <v>10.8782</v>
      </c>
      <c r="J20" s="61">
        <f t="shared" si="0"/>
        <v>0</v>
      </c>
    </row>
    <row r="21" spans="1:10" x14ac:dyDescent="0.25">
      <c r="A21" s="23"/>
      <c r="B21" s="61" t="s">
        <v>63</v>
      </c>
      <c r="C21" s="67" t="s">
        <v>852</v>
      </c>
      <c r="D21" s="68">
        <v>1</v>
      </c>
      <c r="E21" s="68" t="s">
        <v>1052</v>
      </c>
      <c r="F21" s="65">
        <v>31.261199999999999</v>
      </c>
      <c r="G21" s="71">
        <v>0</v>
      </c>
      <c r="H21" s="71">
        <v>31.26</v>
      </c>
      <c r="J21" s="61">
        <f t="shared" si="0"/>
        <v>0</v>
      </c>
    </row>
    <row r="22" spans="1:10" x14ac:dyDescent="0.25">
      <c r="A22" s="23"/>
      <c r="B22" s="61" t="s">
        <v>89</v>
      </c>
      <c r="C22" s="66" t="s">
        <v>1010</v>
      </c>
      <c r="D22" s="61">
        <v>1</v>
      </c>
      <c r="E22" s="68" t="s">
        <v>1052</v>
      </c>
      <c r="F22" s="65">
        <v>16.339100000000002</v>
      </c>
      <c r="G22" s="71">
        <v>0</v>
      </c>
      <c r="H22" s="71">
        <v>16.339100000000002</v>
      </c>
      <c r="J22" s="61">
        <f t="shared" si="0"/>
        <v>0</v>
      </c>
    </row>
    <row r="23" spans="1:10" x14ac:dyDescent="0.25">
      <c r="A23" s="23"/>
      <c r="B23" s="61" t="s">
        <v>90</v>
      </c>
      <c r="C23" s="66" t="s">
        <v>1013</v>
      </c>
      <c r="D23" s="61">
        <v>1</v>
      </c>
      <c r="E23" s="68" t="s">
        <v>1052</v>
      </c>
      <c r="F23" s="65">
        <v>6.7035</v>
      </c>
      <c r="G23" s="71">
        <v>0</v>
      </c>
      <c r="H23" s="71">
        <v>6.7035</v>
      </c>
      <c r="J23" s="61">
        <f t="shared" si="0"/>
        <v>0</v>
      </c>
    </row>
    <row r="24" spans="1:10" x14ac:dyDescent="0.25">
      <c r="A24" s="23"/>
      <c r="B24" s="61" t="s">
        <v>92</v>
      </c>
      <c r="C24" s="66" t="s">
        <v>1016</v>
      </c>
      <c r="D24" s="61">
        <v>4</v>
      </c>
      <c r="E24" s="61" t="s">
        <v>1052</v>
      </c>
      <c r="F24" s="65">
        <v>6.896066666666667</v>
      </c>
      <c r="G24" s="71">
        <v>3.4480333333333335</v>
      </c>
      <c r="H24" s="71">
        <v>10.350000000000001</v>
      </c>
      <c r="J24" s="61">
        <f t="shared" si="0"/>
        <v>0</v>
      </c>
    </row>
    <row r="25" spans="1:10" x14ac:dyDescent="0.25">
      <c r="A25" s="23"/>
      <c r="B25" s="61" t="s">
        <v>95</v>
      </c>
      <c r="C25" s="66" t="s">
        <v>1021</v>
      </c>
      <c r="D25" s="61">
        <v>1</v>
      </c>
      <c r="E25" s="68" t="s">
        <v>1052</v>
      </c>
      <c r="F25" s="65">
        <v>7.5073749999999997</v>
      </c>
      <c r="G25" s="71">
        <v>0</v>
      </c>
      <c r="H25" s="71">
        <v>7.5073749999999997</v>
      </c>
      <c r="J25" s="61">
        <f t="shared" si="0"/>
        <v>0</v>
      </c>
    </row>
    <row r="26" spans="1:10" x14ac:dyDescent="0.25">
      <c r="A26" s="23"/>
      <c r="B26" s="61" t="s">
        <v>96</v>
      </c>
      <c r="C26" s="66" t="s">
        <v>1022</v>
      </c>
      <c r="D26" s="61">
        <v>1</v>
      </c>
      <c r="E26" s="68" t="s">
        <v>1052</v>
      </c>
      <c r="F26" s="65">
        <v>7.5073749999999997</v>
      </c>
      <c r="G26" s="71">
        <v>0</v>
      </c>
      <c r="H26" s="71">
        <v>7.5073749999999997</v>
      </c>
      <c r="J26" s="61">
        <f t="shared" si="0"/>
        <v>0</v>
      </c>
    </row>
    <row r="27" spans="1:10" x14ac:dyDescent="0.25">
      <c r="A27" s="23"/>
      <c r="B27" s="61" t="s">
        <v>97</v>
      </c>
      <c r="C27" s="66" t="s">
        <v>1023</v>
      </c>
      <c r="D27" s="61">
        <v>1</v>
      </c>
      <c r="E27" s="68" t="s">
        <v>1052</v>
      </c>
      <c r="F27" s="65">
        <v>7.5073749999999997</v>
      </c>
      <c r="G27" s="71">
        <v>0</v>
      </c>
      <c r="H27" s="71">
        <v>7.5073749999999997</v>
      </c>
      <c r="J27" s="61">
        <f t="shared" si="0"/>
        <v>0</v>
      </c>
    </row>
    <row r="28" spans="1:10" x14ac:dyDescent="0.25">
      <c r="A28" s="23"/>
      <c r="B28" s="61" t="s">
        <v>98</v>
      </c>
      <c r="C28" s="66" t="s">
        <v>1024</v>
      </c>
      <c r="D28" s="61">
        <v>1</v>
      </c>
      <c r="E28" s="68" t="s">
        <v>1052</v>
      </c>
      <c r="F28" s="65">
        <v>7.5073749999999997</v>
      </c>
      <c r="G28" s="71">
        <v>0</v>
      </c>
      <c r="H28" s="71">
        <v>7.5073749999999997</v>
      </c>
      <c r="J28" s="61">
        <f t="shared" si="0"/>
        <v>0</v>
      </c>
    </row>
    <row r="29" spans="1:10" ht="30" x14ac:dyDescent="0.25">
      <c r="A29" s="23" t="s">
        <v>698</v>
      </c>
      <c r="B29" s="61" t="s">
        <v>17</v>
      </c>
      <c r="C29" s="67" t="s">
        <v>685</v>
      </c>
      <c r="D29" s="61">
        <v>5</v>
      </c>
      <c r="E29" s="61" t="s">
        <v>1052</v>
      </c>
      <c r="F29" s="65">
        <v>150.0048036850186</v>
      </c>
      <c r="G29" s="71">
        <v>0</v>
      </c>
      <c r="H29" s="71">
        <v>67.62</v>
      </c>
      <c r="J29" s="61">
        <f t="shared" si="0"/>
        <v>0</v>
      </c>
    </row>
    <row r="30" spans="1:10" x14ac:dyDescent="0.25">
      <c r="A30" s="23"/>
      <c r="B30" s="61" t="s">
        <v>22</v>
      </c>
      <c r="C30" s="66" t="s">
        <v>1062</v>
      </c>
      <c r="D30" s="68">
        <v>1</v>
      </c>
      <c r="E30" s="68" t="s">
        <v>1052</v>
      </c>
      <c r="F30" s="65">
        <v>19.979999999999997</v>
      </c>
      <c r="G30" s="71">
        <v>0</v>
      </c>
      <c r="H30" s="71">
        <v>19.98</v>
      </c>
      <c r="J30" s="61">
        <f t="shared" si="0"/>
        <v>0</v>
      </c>
    </row>
    <row r="31" spans="1:10" x14ac:dyDescent="0.25">
      <c r="A31" s="23"/>
      <c r="B31" s="61" t="s">
        <v>27</v>
      </c>
      <c r="C31" s="66" t="s">
        <v>725</v>
      </c>
      <c r="D31" s="61">
        <v>1</v>
      </c>
      <c r="E31" s="68" t="s">
        <v>1052</v>
      </c>
      <c r="F31" s="65">
        <v>8.99</v>
      </c>
      <c r="G31" s="71">
        <v>0</v>
      </c>
      <c r="H31" s="71">
        <v>8.99</v>
      </c>
      <c r="J31" s="61">
        <f t="shared" si="0"/>
        <v>0</v>
      </c>
    </row>
    <row r="32" spans="1:10" x14ac:dyDescent="0.25">
      <c r="A32" s="61" t="s">
        <v>922</v>
      </c>
      <c r="B32" s="61" t="s">
        <v>12</v>
      </c>
      <c r="C32" s="66" t="s">
        <v>980</v>
      </c>
      <c r="D32" s="61">
        <v>4</v>
      </c>
      <c r="E32" s="68" t="s">
        <v>1052</v>
      </c>
      <c r="F32" s="65">
        <v>2.8069576661548576</v>
      </c>
      <c r="G32" s="71">
        <v>0</v>
      </c>
      <c r="H32" s="71">
        <v>2.8069576661548576</v>
      </c>
      <c r="J32" s="61">
        <f t="shared" si="0"/>
        <v>0</v>
      </c>
    </row>
    <row r="33" spans="2:10" x14ac:dyDescent="0.25">
      <c r="B33" s="61" t="s">
        <v>16</v>
      </c>
      <c r="C33" s="66" t="s">
        <v>740</v>
      </c>
      <c r="D33" s="61">
        <v>4</v>
      </c>
      <c r="E33" s="68" t="s">
        <v>1052</v>
      </c>
      <c r="F33" s="65">
        <v>1.9263434963807844</v>
      </c>
      <c r="G33" s="71">
        <v>0</v>
      </c>
      <c r="H33" s="71">
        <v>1.9263434963807844</v>
      </c>
      <c r="J33" s="61">
        <f t="shared" si="0"/>
        <v>0</v>
      </c>
    </row>
    <row r="34" spans="2:10" ht="30" x14ac:dyDescent="0.25">
      <c r="B34" s="61" t="s">
        <v>18</v>
      </c>
      <c r="C34" s="66" t="s">
        <v>757</v>
      </c>
      <c r="D34" s="61">
        <v>65</v>
      </c>
      <c r="E34" s="68" t="s">
        <v>1052</v>
      </c>
      <c r="F34" s="65">
        <v>8.1835199605176534</v>
      </c>
      <c r="G34" s="71">
        <v>4.4065107479710441</v>
      </c>
      <c r="H34" s="71">
        <v>12.590030708488698</v>
      </c>
      <c r="J34" s="61">
        <f t="shared" si="0"/>
        <v>0</v>
      </c>
    </row>
    <row r="35" spans="2:10" x14ac:dyDescent="0.25">
      <c r="B35" s="61" t="s">
        <v>21</v>
      </c>
      <c r="C35" s="66" t="s">
        <v>963</v>
      </c>
      <c r="D35" s="61">
        <v>12</v>
      </c>
      <c r="E35" s="68" t="s">
        <v>1052</v>
      </c>
      <c r="F35" s="65">
        <v>3.962763763983328</v>
      </c>
      <c r="G35" s="71">
        <v>0</v>
      </c>
      <c r="H35" s="71">
        <v>3.962763763983328</v>
      </c>
      <c r="J35" s="61">
        <f t="shared" si="0"/>
        <v>0</v>
      </c>
    </row>
    <row r="36" spans="2:10" x14ac:dyDescent="0.25">
      <c r="B36" s="61" t="s">
        <v>28</v>
      </c>
      <c r="C36" s="66" t="s">
        <v>728</v>
      </c>
      <c r="D36" s="61">
        <v>22</v>
      </c>
      <c r="E36" s="68" t="s">
        <v>1052</v>
      </c>
      <c r="F36" s="65">
        <v>1.498420048256196</v>
      </c>
      <c r="G36" s="71">
        <v>5.3125801710901497</v>
      </c>
      <c r="H36" s="71">
        <v>6.8110002193463455</v>
      </c>
      <c r="J36" s="61">
        <f t="shared" si="0"/>
        <v>0</v>
      </c>
    </row>
    <row r="37" spans="2:10" x14ac:dyDescent="0.25">
      <c r="B37" s="61" t="s">
        <v>32</v>
      </c>
      <c r="C37" s="66" t="s">
        <v>954</v>
      </c>
      <c r="D37" s="61">
        <v>8</v>
      </c>
      <c r="E37" s="68" t="s">
        <v>1052</v>
      </c>
      <c r="F37" s="65">
        <v>1.3209212546611093</v>
      </c>
      <c r="G37" s="71">
        <v>0</v>
      </c>
      <c r="H37" s="71">
        <v>1.3209212546611093</v>
      </c>
      <c r="J37" s="61">
        <f t="shared" si="0"/>
        <v>0</v>
      </c>
    </row>
    <row r="38" spans="2:10" x14ac:dyDescent="0.25">
      <c r="B38" s="61" t="s">
        <v>35</v>
      </c>
      <c r="C38" s="66" t="s">
        <v>983</v>
      </c>
      <c r="D38" s="61">
        <v>4</v>
      </c>
      <c r="E38" s="68" t="s">
        <v>1052</v>
      </c>
      <c r="F38" s="65">
        <v>2.0364202676025438</v>
      </c>
      <c r="G38" s="71">
        <v>0</v>
      </c>
      <c r="H38" s="71">
        <v>2.0364202676025438</v>
      </c>
      <c r="J38" s="61">
        <f t="shared" si="0"/>
        <v>0</v>
      </c>
    </row>
    <row r="39" spans="2:10" x14ac:dyDescent="0.25">
      <c r="B39" s="61" t="s">
        <v>36</v>
      </c>
      <c r="C39" s="66" t="s">
        <v>943</v>
      </c>
      <c r="D39" s="61">
        <v>4</v>
      </c>
      <c r="E39" s="68" t="s">
        <v>1052</v>
      </c>
      <c r="F39" s="65">
        <v>2.4216889668787003</v>
      </c>
      <c r="G39" s="71">
        <v>0</v>
      </c>
      <c r="H39" s="71">
        <v>2.4216889668787003</v>
      </c>
      <c r="J39" s="61">
        <f t="shared" si="0"/>
        <v>0</v>
      </c>
    </row>
    <row r="40" spans="2:10" x14ac:dyDescent="0.25">
      <c r="B40" s="61" t="s">
        <v>37</v>
      </c>
      <c r="C40" s="66" t="s">
        <v>945</v>
      </c>
      <c r="D40" s="61">
        <v>2</v>
      </c>
      <c r="E40" s="68" t="s">
        <v>1052</v>
      </c>
      <c r="F40" s="65">
        <v>0.495345470497916</v>
      </c>
      <c r="G40" s="71">
        <v>0</v>
      </c>
      <c r="H40" s="71">
        <v>0.495345470497916</v>
      </c>
      <c r="J40" s="61">
        <f t="shared" si="0"/>
        <v>0</v>
      </c>
    </row>
    <row r="41" spans="2:10" x14ac:dyDescent="0.25">
      <c r="B41" s="61" t="s">
        <v>38</v>
      </c>
      <c r="C41" s="66" t="s">
        <v>955</v>
      </c>
      <c r="D41" s="61">
        <v>2</v>
      </c>
      <c r="E41" s="68" t="s">
        <v>1052</v>
      </c>
      <c r="F41" s="65">
        <v>0.5503838561087957</v>
      </c>
      <c r="G41" s="71">
        <v>0</v>
      </c>
      <c r="H41" s="71">
        <v>0.5503838561087957</v>
      </c>
      <c r="J41" s="61">
        <f t="shared" si="0"/>
        <v>0</v>
      </c>
    </row>
    <row r="42" spans="2:10" ht="30" x14ac:dyDescent="0.25">
      <c r="B42" s="61" t="s">
        <v>39</v>
      </c>
      <c r="C42" s="66" t="s">
        <v>758</v>
      </c>
      <c r="D42" s="61">
        <v>20</v>
      </c>
      <c r="E42" s="68" t="s">
        <v>1052</v>
      </c>
      <c r="F42" s="65">
        <v>1.6126246983987713</v>
      </c>
      <c r="G42" s="71">
        <v>6.4504987935950853</v>
      </c>
      <c r="H42" s="71">
        <v>8.0631234919938564</v>
      </c>
      <c r="J42" s="61">
        <f t="shared" si="0"/>
        <v>0</v>
      </c>
    </row>
    <row r="43" spans="2:10" x14ac:dyDescent="0.25">
      <c r="B43" s="61" t="s">
        <v>40</v>
      </c>
      <c r="C43" s="66" t="s">
        <v>759</v>
      </c>
      <c r="D43" s="61">
        <v>46</v>
      </c>
      <c r="E43" s="68" t="s">
        <v>1052</v>
      </c>
      <c r="F43" s="65">
        <v>2.019083176135116</v>
      </c>
      <c r="G43" s="71">
        <v>2.3702280763325279</v>
      </c>
      <c r="H43" s="71">
        <v>4.3893112524676443</v>
      </c>
      <c r="J43" s="61">
        <f t="shared" si="0"/>
        <v>0</v>
      </c>
    </row>
    <row r="44" spans="2:10" x14ac:dyDescent="0.25">
      <c r="B44" s="61" t="s">
        <v>41</v>
      </c>
      <c r="C44" s="66" t="s">
        <v>760</v>
      </c>
      <c r="D44" s="61">
        <v>46</v>
      </c>
      <c r="E44" s="68" t="s">
        <v>1052</v>
      </c>
      <c r="F44" s="65">
        <v>0.69623557797762647</v>
      </c>
      <c r="G44" s="71">
        <v>0.81732002632156153</v>
      </c>
      <c r="H44" s="71">
        <v>1.513555604299188</v>
      </c>
      <c r="J44" s="61">
        <f t="shared" si="0"/>
        <v>0</v>
      </c>
    </row>
    <row r="45" spans="2:10" x14ac:dyDescent="0.25">
      <c r="B45" s="61" t="s">
        <v>46</v>
      </c>
      <c r="C45" s="66" t="s">
        <v>809</v>
      </c>
      <c r="D45" s="61">
        <v>6</v>
      </c>
      <c r="E45" s="68" t="s">
        <v>1052</v>
      </c>
      <c r="F45" s="65">
        <v>0.29720728229874965</v>
      </c>
      <c r="G45" s="71">
        <v>4.6562474226804111</v>
      </c>
      <c r="H45" s="71">
        <v>4.9534547049791611</v>
      </c>
      <c r="J45" s="61">
        <f t="shared" si="0"/>
        <v>0</v>
      </c>
    </row>
    <row r="46" spans="2:10" x14ac:dyDescent="0.25">
      <c r="B46" s="61" t="s">
        <v>47</v>
      </c>
      <c r="C46" s="66" t="s">
        <v>929</v>
      </c>
      <c r="D46" s="61">
        <v>30</v>
      </c>
      <c r="E46" s="68" t="s">
        <v>1052</v>
      </c>
      <c r="F46" s="65">
        <v>0.51598486510199593</v>
      </c>
      <c r="G46" s="71">
        <v>1.2039646852379906</v>
      </c>
      <c r="H46" s="71">
        <v>1.7199495503399866</v>
      </c>
      <c r="J46" s="61">
        <f t="shared" si="0"/>
        <v>0</v>
      </c>
    </row>
    <row r="47" spans="2:10" x14ac:dyDescent="0.25">
      <c r="B47" s="61" t="s">
        <v>67</v>
      </c>
      <c r="C47" s="66" t="s">
        <v>861</v>
      </c>
      <c r="D47" s="61">
        <v>12</v>
      </c>
      <c r="E47" s="68" t="s">
        <v>1052</v>
      </c>
      <c r="F47" s="65">
        <v>1.6511515683263871</v>
      </c>
      <c r="G47" s="71">
        <v>0</v>
      </c>
      <c r="H47" s="71">
        <v>1.6511515683263871</v>
      </c>
      <c r="J47" s="61">
        <f t="shared" si="0"/>
        <v>0</v>
      </c>
    </row>
    <row r="48" spans="2:10" x14ac:dyDescent="0.25">
      <c r="B48" s="61" t="s">
        <v>68</v>
      </c>
      <c r="C48" s="66" t="s">
        <v>864</v>
      </c>
      <c r="D48" s="61">
        <v>9</v>
      </c>
      <c r="E48" s="68" t="s">
        <v>1052</v>
      </c>
      <c r="F48" s="65">
        <v>0.21919037069532785</v>
      </c>
      <c r="G48" s="71">
        <v>2.2162581925860927</v>
      </c>
      <c r="H48" s="71">
        <v>2.4354485632814207</v>
      </c>
      <c r="J48" s="61">
        <f t="shared" si="0"/>
        <v>0</v>
      </c>
    </row>
    <row r="49" spans="1:10" x14ac:dyDescent="0.25">
      <c r="B49" s="61" t="s">
        <v>69</v>
      </c>
      <c r="C49" s="66" t="s">
        <v>875</v>
      </c>
      <c r="D49" s="61">
        <v>8</v>
      </c>
      <c r="E49" s="68" t="s">
        <v>1052</v>
      </c>
      <c r="F49" s="65">
        <v>1.7612283395481458</v>
      </c>
      <c r="G49" s="71">
        <v>0</v>
      </c>
      <c r="H49" s="71">
        <v>1.7612283395481458</v>
      </c>
      <c r="J49" s="61">
        <f t="shared" si="0"/>
        <v>0</v>
      </c>
    </row>
    <row r="50" spans="1:10" x14ac:dyDescent="0.25">
      <c r="B50" s="61" t="s">
        <v>77</v>
      </c>
      <c r="C50" s="66" t="s">
        <v>968</v>
      </c>
      <c r="D50" s="61">
        <v>12</v>
      </c>
      <c r="E50" s="68" t="s">
        <v>1052</v>
      </c>
      <c r="F50" s="65">
        <v>1.3209212546611093</v>
      </c>
      <c r="G50" s="71">
        <v>0</v>
      </c>
      <c r="H50" s="71">
        <v>1.3209212546611093</v>
      </c>
      <c r="J50" s="61">
        <f t="shared" si="0"/>
        <v>0</v>
      </c>
    </row>
    <row r="51" spans="1:10" x14ac:dyDescent="0.25">
      <c r="A51" s="61" t="s">
        <v>994</v>
      </c>
      <c r="B51" s="61" t="s">
        <v>78</v>
      </c>
      <c r="C51" s="66" t="s">
        <v>996</v>
      </c>
      <c r="D51" s="61">
        <v>1</v>
      </c>
      <c r="E51" s="61" t="s">
        <v>1052</v>
      </c>
      <c r="F51" s="65">
        <v>1.4497</v>
      </c>
      <c r="G51" s="71">
        <v>-1.4497</v>
      </c>
      <c r="H51" s="71">
        <v>0</v>
      </c>
      <c r="J51" s="61">
        <f t="shared" si="0"/>
        <v>0</v>
      </c>
    </row>
    <row r="52" spans="1:10" x14ac:dyDescent="0.25">
      <c r="B52" s="61" t="s">
        <v>91</v>
      </c>
      <c r="C52" s="66" t="s">
        <v>1015</v>
      </c>
      <c r="D52" s="61">
        <v>1</v>
      </c>
      <c r="E52" s="68" t="s">
        <v>1052</v>
      </c>
      <c r="F52" s="65">
        <v>4.6287799999999999</v>
      </c>
      <c r="G52" s="71">
        <v>0</v>
      </c>
      <c r="H52" s="71">
        <v>4.6287799999999999</v>
      </c>
      <c r="J52" s="61">
        <f t="shared" si="0"/>
        <v>0</v>
      </c>
    </row>
    <row r="53" spans="1:10" x14ac:dyDescent="0.25">
      <c r="B53" s="61" t="s">
        <v>93</v>
      </c>
      <c r="C53" s="66" t="s">
        <v>1017</v>
      </c>
      <c r="D53" s="61">
        <v>10</v>
      </c>
      <c r="E53" s="68" t="s">
        <v>1052</v>
      </c>
      <c r="F53" s="65">
        <v>5.1722399999999986</v>
      </c>
      <c r="G53" s="71">
        <v>0</v>
      </c>
      <c r="H53" s="71">
        <v>5.1722399999999986</v>
      </c>
      <c r="J53" s="61">
        <f t="shared" si="0"/>
        <v>0</v>
      </c>
    </row>
    <row r="54" spans="1:10" x14ac:dyDescent="0.25">
      <c r="B54" s="61" t="s">
        <v>94</v>
      </c>
      <c r="C54" s="66" t="s">
        <v>1019</v>
      </c>
      <c r="D54" s="61">
        <v>10</v>
      </c>
      <c r="E54" s="68" t="s">
        <v>1052</v>
      </c>
      <c r="F54" s="65">
        <v>3.1857999999999995</v>
      </c>
      <c r="G54" s="71">
        <v>0</v>
      </c>
      <c r="H54" s="71">
        <v>3.1857999999999995</v>
      </c>
      <c r="J54" s="61">
        <f t="shared" si="0"/>
        <v>0</v>
      </c>
    </row>
    <row r="55" spans="1:10" x14ac:dyDescent="0.25">
      <c r="A55" s="61" t="s">
        <v>767</v>
      </c>
      <c r="B55" s="61" t="s">
        <v>42</v>
      </c>
      <c r="C55" s="66" t="s">
        <v>766</v>
      </c>
      <c r="D55" s="61">
        <v>3</v>
      </c>
      <c r="E55" s="61">
        <v>3</v>
      </c>
      <c r="F55" s="65">
        <v>21.606300000000001</v>
      </c>
      <c r="G55" s="71">
        <v>0</v>
      </c>
      <c r="H55" s="71">
        <v>0</v>
      </c>
      <c r="J55" s="61">
        <f t="shared" si="0"/>
        <v>21.606300000000001</v>
      </c>
    </row>
    <row r="56" spans="1:10" x14ac:dyDescent="0.25">
      <c r="A56" s="61" t="s">
        <v>1027</v>
      </c>
      <c r="B56" s="61" t="s">
        <v>99</v>
      </c>
      <c r="C56" s="66" t="s">
        <v>1026</v>
      </c>
      <c r="D56" s="61">
        <v>1</v>
      </c>
      <c r="E56" s="68" t="s">
        <v>1052</v>
      </c>
      <c r="F56" s="65">
        <v>17.97</v>
      </c>
      <c r="G56" s="71">
        <v>0</v>
      </c>
      <c r="H56" s="71">
        <v>17.97</v>
      </c>
      <c r="J56" s="61">
        <f t="shared" si="0"/>
        <v>0</v>
      </c>
    </row>
    <row r="57" spans="1:10" x14ac:dyDescent="0.25">
      <c r="A57" s="61" t="s">
        <v>648</v>
      </c>
      <c r="B57" s="61" t="s">
        <v>7</v>
      </c>
      <c r="C57" s="66" t="s">
        <v>720</v>
      </c>
      <c r="D57" s="61">
        <v>1</v>
      </c>
      <c r="E57" s="61" t="s">
        <v>1052</v>
      </c>
      <c r="F57" s="65">
        <v>121.61499999999999</v>
      </c>
      <c r="G57" s="71">
        <v>0</v>
      </c>
      <c r="H57" s="71">
        <v>121.11499999999999</v>
      </c>
      <c r="J57" s="61">
        <f t="shared" si="0"/>
        <v>0</v>
      </c>
    </row>
    <row r="58" spans="1:10" x14ac:dyDescent="0.25">
      <c r="B58" s="61" t="s">
        <v>8</v>
      </c>
      <c r="C58" s="66" t="s">
        <v>721</v>
      </c>
      <c r="D58" s="61">
        <v>1</v>
      </c>
      <c r="E58" s="61" t="s">
        <v>1052</v>
      </c>
      <c r="F58" s="65">
        <v>121.61499999999999</v>
      </c>
      <c r="G58" s="71">
        <v>0</v>
      </c>
      <c r="H58" s="71">
        <v>121.11499999999999</v>
      </c>
      <c r="J58" s="61">
        <f t="shared" si="0"/>
        <v>0</v>
      </c>
    </row>
    <row r="59" spans="1:10" ht="30" x14ac:dyDescent="0.25">
      <c r="A59" s="61" t="s">
        <v>693</v>
      </c>
      <c r="B59" s="61" t="s">
        <v>20</v>
      </c>
      <c r="C59" s="66" t="s">
        <v>931</v>
      </c>
      <c r="D59" s="61">
        <v>3</v>
      </c>
      <c r="E59" s="61" t="s">
        <v>1052</v>
      </c>
      <c r="F59" s="65">
        <v>132.61000000000001</v>
      </c>
      <c r="G59" s="71">
        <v>0</v>
      </c>
      <c r="H59" s="71">
        <v>132.61000000000001</v>
      </c>
      <c r="J59" s="61">
        <f t="shared" si="0"/>
        <v>0</v>
      </c>
    </row>
    <row r="60" spans="1:10" x14ac:dyDescent="0.25">
      <c r="A60" s="23" t="s">
        <v>704</v>
      </c>
      <c r="B60" s="61" t="s">
        <v>29</v>
      </c>
      <c r="C60" s="67" t="s">
        <v>975</v>
      </c>
      <c r="D60" s="68">
        <v>3</v>
      </c>
      <c r="E60" s="68">
        <v>3</v>
      </c>
      <c r="F60" s="65">
        <v>14.308125</v>
      </c>
      <c r="G60" s="71">
        <v>4.7693750000000001</v>
      </c>
      <c r="H60" s="71">
        <v>0</v>
      </c>
    </row>
    <row r="61" spans="1:10" x14ac:dyDescent="0.25">
      <c r="A61" s="23"/>
      <c r="B61" s="61" t="s">
        <v>30</v>
      </c>
      <c r="C61" s="66" t="s">
        <v>871</v>
      </c>
      <c r="D61" s="61">
        <v>1</v>
      </c>
      <c r="E61" s="61" t="s">
        <v>1052</v>
      </c>
      <c r="F61" s="65">
        <v>0.93215833333333331</v>
      </c>
      <c r="G61" s="71">
        <v>0</v>
      </c>
      <c r="H61" s="71">
        <v>0</v>
      </c>
    </row>
    <row r="62" spans="1:10" x14ac:dyDescent="0.25">
      <c r="A62" s="23"/>
      <c r="B62" s="61" t="s">
        <v>31</v>
      </c>
      <c r="C62" s="67" t="s">
        <v>899</v>
      </c>
      <c r="D62" s="68">
        <v>2</v>
      </c>
      <c r="E62" s="68" t="s">
        <v>1052</v>
      </c>
      <c r="F62" s="65">
        <v>9.5108931000000005</v>
      </c>
      <c r="G62" s="71">
        <v>0</v>
      </c>
      <c r="H62" s="71">
        <v>9.51</v>
      </c>
    </row>
    <row r="63" spans="1:10" x14ac:dyDescent="0.25">
      <c r="A63" s="23"/>
      <c r="B63" s="61" t="s">
        <v>51</v>
      </c>
      <c r="C63" s="67" t="s">
        <v>905</v>
      </c>
      <c r="D63" s="68">
        <v>3</v>
      </c>
      <c r="E63" s="68">
        <v>3</v>
      </c>
      <c r="F63" s="65">
        <v>16.352499999999999</v>
      </c>
      <c r="G63" s="71">
        <v>0</v>
      </c>
      <c r="H63" s="71">
        <v>0</v>
      </c>
    </row>
    <row r="64" spans="1:10" x14ac:dyDescent="0.25">
      <c r="A64" s="23"/>
      <c r="B64" s="61" t="s">
        <v>70</v>
      </c>
      <c r="C64" s="67" t="s">
        <v>878</v>
      </c>
      <c r="D64" s="68">
        <v>12</v>
      </c>
      <c r="E64" s="68">
        <v>12</v>
      </c>
      <c r="F64" s="65">
        <v>4.7188615384615389</v>
      </c>
      <c r="G64" s="71">
        <v>1.5729538461538461</v>
      </c>
      <c r="H64" s="71">
        <v>0</v>
      </c>
    </row>
    <row r="65" spans="1:8" x14ac:dyDescent="0.25">
      <c r="A65" s="61" t="s">
        <v>958</v>
      </c>
      <c r="B65" s="61" t="s">
        <v>26</v>
      </c>
      <c r="C65" s="66" t="s">
        <v>973</v>
      </c>
      <c r="D65" s="68">
        <v>3</v>
      </c>
      <c r="E65" s="68" t="s">
        <v>1052</v>
      </c>
      <c r="F65" s="65">
        <v>65.511750000000006</v>
      </c>
      <c r="G65" s="71">
        <v>0</v>
      </c>
      <c r="H65" s="71">
        <v>65.510000000000005</v>
      </c>
    </row>
    <row r="66" spans="1:8" x14ac:dyDescent="0.25">
      <c r="B66" s="61" t="s">
        <v>66</v>
      </c>
      <c r="C66" s="66" t="s">
        <v>856</v>
      </c>
      <c r="D66" s="68">
        <v>3</v>
      </c>
      <c r="E66" s="68" t="s">
        <v>1052</v>
      </c>
      <c r="F66" s="65">
        <v>15.266750000000002</v>
      </c>
      <c r="G66" s="71">
        <v>0</v>
      </c>
      <c r="H66" s="71">
        <v>15.27</v>
      </c>
    </row>
    <row r="67" spans="1:8" x14ac:dyDescent="0.25">
      <c r="A67" s="68" t="s">
        <v>1051</v>
      </c>
      <c r="B67" s="68"/>
      <c r="C67" s="68"/>
      <c r="F67" s="65">
        <v>1477.2532017717679</v>
      </c>
      <c r="G67" s="71">
        <v>68.057649097866161</v>
      </c>
      <c r="H67" s="71">
        <v>1213.2359200000003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214" activePane="bottomLeft" state="frozen"/>
      <selection pane="bottomLeft" activeCell="I218" sqref="I218:I221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85.376066666666674</v>
      </c>
    </row>
    <row r="2" spans="1:22" ht="45" customHeight="1" x14ac:dyDescent="0.25">
      <c r="A2" s="103" t="s">
        <v>935</v>
      </c>
      <c r="B2" s="104" t="s">
        <v>668</v>
      </c>
      <c r="C2" s="105" t="s">
        <v>641</v>
      </c>
      <c r="D2" s="105" t="s">
        <v>0</v>
      </c>
      <c r="E2" s="105" t="s">
        <v>639</v>
      </c>
      <c r="F2" s="104" t="s">
        <v>909</v>
      </c>
      <c r="G2" s="105" t="s">
        <v>642</v>
      </c>
      <c r="H2" s="104" t="s">
        <v>666</v>
      </c>
      <c r="I2" s="43" t="s">
        <v>696</v>
      </c>
      <c r="J2" s="104" t="s">
        <v>667</v>
      </c>
      <c r="K2" s="104"/>
      <c r="L2" s="104"/>
      <c r="M2" s="104"/>
      <c r="N2" s="104"/>
      <c r="O2" s="104"/>
      <c r="P2" s="104"/>
      <c r="Q2" s="104"/>
      <c r="R2" s="104"/>
      <c r="S2" s="104"/>
      <c r="U2" s="104" t="s">
        <v>912</v>
      </c>
      <c r="V2" s="103" t="s">
        <v>937</v>
      </c>
    </row>
    <row r="3" spans="1:22" x14ac:dyDescent="0.25">
      <c r="A3" s="103"/>
      <c r="B3" s="104"/>
      <c r="C3" s="105"/>
      <c r="D3" s="105"/>
      <c r="E3" s="105"/>
      <c r="F3" s="104"/>
      <c r="G3" s="105"/>
      <c r="H3" s="104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104"/>
      <c r="V3" s="103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1618.419697343161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372.2473773093289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121.61499999999999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0</v>
      </c>
      <c r="V7" s="1" t="str">
        <f t="shared" si="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976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</v>
      </c>
      <c r="V12" s="1" t="str">
        <f t="shared" si="2"/>
        <v/>
      </c>
    </row>
    <row r="13" spans="1:22" x14ac:dyDescent="0.25">
      <c r="A13" s="2">
        <v>10</v>
      </c>
      <c r="B13" s="2">
        <v>3</v>
      </c>
      <c r="C13" s="7" t="s">
        <v>978</v>
      </c>
      <c r="D13" s="41" t="s">
        <v>12</v>
      </c>
      <c r="E13" s="2">
        <v>1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</v>
      </c>
      <c r="V13" s="1" t="str">
        <f t="shared" si="2"/>
        <v/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727</v>
      </c>
      <c r="D15" s="41" t="s">
        <v>28</v>
      </c>
      <c r="E15" s="2">
        <v>1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0</v>
      </c>
      <c r="V15" s="1" t="str">
        <f t="shared" si="2"/>
        <v/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977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</v>
      </c>
      <c r="V20" s="1" t="str">
        <f t="shared" si="2"/>
        <v/>
      </c>
    </row>
    <row r="21" spans="1:22" x14ac:dyDescent="0.25">
      <c r="A21" s="2">
        <v>18</v>
      </c>
      <c r="B21" s="2">
        <v>3</v>
      </c>
      <c r="C21" s="7" t="s">
        <v>730</v>
      </c>
      <c r="D21" s="41" t="s">
        <v>35</v>
      </c>
      <c r="E21" s="2">
        <v>1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</v>
      </c>
      <c r="V21" s="1" t="str">
        <f t="shared" si="2"/>
        <v/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727</v>
      </c>
      <c r="D23" s="41" t="s">
        <v>28</v>
      </c>
      <c r="E23" s="2">
        <v>1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0</v>
      </c>
      <c r="V23" s="1" t="str">
        <f t="shared" si="2"/>
        <v/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872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873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</v>
      </c>
      <c r="V28" s="1" t="str">
        <f t="shared" si="2"/>
        <v/>
      </c>
    </row>
    <row r="29" spans="1:22" x14ac:dyDescent="0.25">
      <c r="A29" s="2">
        <v>26</v>
      </c>
      <c r="B29" s="2">
        <v>3</v>
      </c>
      <c r="C29" s="28" t="s">
        <v>874</v>
      </c>
      <c r="D29" s="41" t="s">
        <v>69</v>
      </c>
      <c r="E29" s="2">
        <v>4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</v>
      </c>
      <c r="V29" s="1" t="str">
        <f t="shared" si="2"/>
        <v/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727</v>
      </c>
      <c r="D31" s="41" t="s">
        <v>28</v>
      </c>
      <c r="E31" s="2">
        <v>1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0</v>
      </c>
      <c r="V31" s="1" t="str">
        <f t="shared" si="2"/>
        <v/>
      </c>
    </row>
    <row r="32" spans="1:22" x14ac:dyDescent="0.25">
      <c r="A32" s="2">
        <v>29</v>
      </c>
      <c r="B32" s="2">
        <v>3</v>
      </c>
      <c r="C32" s="7" t="s">
        <v>876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877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879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873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</v>
      </c>
      <c r="V38" s="1" t="str">
        <f t="shared" si="2"/>
        <v/>
      </c>
    </row>
    <row r="39" spans="1:22" x14ac:dyDescent="0.25">
      <c r="A39" s="2">
        <v>36</v>
      </c>
      <c r="B39" s="2">
        <v>3</v>
      </c>
      <c r="C39" s="28" t="s">
        <v>874</v>
      </c>
      <c r="D39" s="41" t="s">
        <v>69</v>
      </c>
      <c r="E39" s="2">
        <v>4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</v>
      </c>
      <c r="V39" s="1" t="str">
        <f t="shared" si="2"/>
        <v/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727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876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877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0</v>
      </c>
      <c r="V46" s="1" t="str">
        <f t="shared" si="2"/>
        <v/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741</v>
      </c>
      <c r="D48" s="41" t="s">
        <v>16</v>
      </c>
      <c r="E48" s="2">
        <v>4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0</v>
      </c>
      <c r="V48" s="1" t="str">
        <f t="shared" si="2"/>
        <v/>
      </c>
    </row>
    <row r="49" spans="1:22" x14ac:dyDescent="0.25">
      <c r="A49" s="2">
        <v>46</v>
      </c>
      <c r="B49" s="2">
        <v>3</v>
      </c>
      <c r="C49" s="7" t="s">
        <v>690</v>
      </c>
      <c r="D49" s="41" t="s">
        <v>19</v>
      </c>
      <c r="E49" s="2">
        <v>1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0</v>
      </c>
      <c r="V49" s="1" t="str">
        <f t="shared" si="2"/>
        <v/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727</v>
      </c>
      <c r="D51" s="41" t="s">
        <v>28</v>
      </c>
      <c r="E51" s="2">
        <v>4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</v>
      </c>
      <c r="V51" s="1" t="str">
        <f t="shared" si="2"/>
        <v/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0</v>
      </c>
      <c r="V54" s="1" t="str">
        <f t="shared" si="2"/>
        <v/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742</v>
      </c>
      <c r="D56" s="41" t="s">
        <v>36</v>
      </c>
      <c r="E56" s="2">
        <v>4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0</v>
      </c>
      <c r="V56" s="1" t="str">
        <f t="shared" si="2"/>
        <v/>
      </c>
    </row>
    <row r="57" spans="1:22" x14ac:dyDescent="0.25">
      <c r="A57" s="2">
        <v>54</v>
      </c>
      <c r="B57" s="2">
        <v>3</v>
      </c>
      <c r="C57" s="7" t="s">
        <v>690</v>
      </c>
      <c r="D57" s="41" t="s">
        <v>19</v>
      </c>
      <c r="E57" s="2">
        <v>1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0</v>
      </c>
      <c r="V57" s="1" t="str">
        <f t="shared" si="2"/>
        <v/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727</v>
      </c>
      <c r="D59" s="41" t="s">
        <v>28</v>
      </c>
      <c r="E59" s="2">
        <v>4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</v>
      </c>
      <c r="V59" s="1" t="str">
        <f t="shared" si="2"/>
        <v/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60.001921474007439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747</v>
      </c>
      <c r="D63" s="41" t="s">
        <v>18</v>
      </c>
      <c r="E63" s="2">
        <v>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0</v>
      </c>
      <c r="V63" s="1" t="str">
        <f t="shared" si="2"/>
        <v/>
      </c>
    </row>
    <row r="64" spans="1:22" x14ac:dyDescent="0.25">
      <c r="A64" s="2">
        <v>61</v>
      </c>
      <c r="B64" s="2">
        <v>2</v>
      </c>
      <c r="C64" s="7" t="s">
        <v>761</v>
      </c>
      <c r="D64" s="41" t="s">
        <v>41</v>
      </c>
      <c r="E64" s="2">
        <v>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</v>
      </c>
      <c r="V64" s="1" t="str">
        <f t="shared" si="2"/>
        <v/>
      </c>
    </row>
    <row r="65" spans="1:22" x14ac:dyDescent="0.25">
      <c r="A65" s="2">
        <v>62</v>
      </c>
      <c r="B65" s="2">
        <v>2</v>
      </c>
      <c r="C65" s="7" t="s">
        <v>762</v>
      </c>
      <c r="D65" s="41" t="s">
        <v>40</v>
      </c>
      <c r="E65" s="2">
        <v>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0</v>
      </c>
      <c r="V65" s="1" t="str">
        <f t="shared" si="2"/>
        <v/>
      </c>
    </row>
    <row r="66" spans="1:22" x14ac:dyDescent="0.25">
      <c r="A66" s="2">
        <v>63</v>
      </c>
      <c r="B66" s="2">
        <v>2</v>
      </c>
      <c r="C66" s="7" t="s">
        <v>778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46.691910371799366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722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</v>
      </c>
      <c r="V73" s="1" t="str">
        <f t="shared" si="35"/>
        <v/>
      </c>
    </row>
    <row r="74" spans="1:22" x14ac:dyDescent="0.25">
      <c r="A74" s="2">
        <v>71</v>
      </c>
      <c r="B74" s="2">
        <v>3</v>
      </c>
      <c r="C74" s="8" t="s">
        <v>752</v>
      </c>
      <c r="D74" s="41" t="s">
        <v>37</v>
      </c>
      <c r="E74" s="2">
        <v>1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</v>
      </c>
      <c r="V74" s="1" t="str">
        <f t="shared" si="35"/>
        <v/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727</v>
      </c>
      <c r="D76" s="41" t="s">
        <v>28</v>
      </c>
      <c r="E76" s="2">
        <v>1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0</v>
      </c>
      <c r="V76" s="1" t="str">
        <f t="shared" si="35"/>
        <v/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</v>
      </c>
      <c r="V81" s="1" t="str">
        <f t="shared" si="35"/>
        <v/>
      </c>
    </row>
    <row r="82" spans="1:22" x14ac:dyDescent="0.25">
      <c r="A82" s="2">
        <v>79</v>
      </c>
      <c r="B82" s="2">
        <v>3</v>
      </c>
      <c r="C82" s="8" t="s">
        <v>753</v>
      </c>
      <c r="D82" s="41" t="s">
        <v>38</v>
      </c>
      <c r="E82" s="2">
        <v>1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</v>
      </c>
      <c r="V82" s="1" t="str">
        <f t="shared" si="35"/>
        <v/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727</v>
      </c>
      <c r="D84" s="41" t="s">
        <v>28</v>
      </c>
      <c r="E84" s="2">
        <v>1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0</v>
      </c>
      <c r="V84" s="1" t="str">
        <f t="shared" si="35"/>
        <v/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723</v>
      </c>
      <c r="D86" s="2" t="s">
        <v>22</v>
      </c>
      <c r="E86" s="2">
        <v>1</v>
      </c>
      <c r="G86" s="1" t="str">
        <f>IF(D86="","",VLOOKUP(D86,Table1[#All],2,FALSE))</f>
        <v>400mm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0</v>
      </c>
      <c r="V86" s="1" t="str">
        <f t="shared" si="35"/>
        <v/>
      </c>
    </row>
    <row r="87" spans="1:22" x14ac:dyDescent="0.25">
      <c r="A87" s="2">
        <v>84</v>
      </c>
      <c r="B87" s="2">
        <v>2</v>
      </c>
      <c r="C87" s="34" t="s">
        <v>724</v>
      </c>
      <c r="D87" s="35" t="s">
        <v>27</v>
      </c>
      <c r="E87" s="35">
        <v>1</v>
      </c>
      <c r="G87" s="1" t="str">
        <f>IF(D87="","",VLOOKUP(D87,Table1[#All],2,FALSE))</f>
        <v>Machifit MGN12C Linear Rail Block for MGN12 Linear Rail Guide</v>
      </c>
      <c r="H87" s="2">
        <f t="shared" si="39"/>
        <v>1</v>
      </c>
      <c r="I87" s="45">
        <f>IF(D87&lt;&gt;"",(VLOOKUP(D87,part_details,4,FALSE)+VLOOKUP(D87,part_details,5,FALSE)+VLOOKUP(D87,part_details,6,FALSE))*'Multi-level BOM'!E87,"")</f>
        <v>8.99</v>
      </c>
      <c r="J87" s="4">
        <f t="shared" si="4"/>
        <v>1</v>
      </c>
      <c r="K87" s="4">
        <f t="shared" si="5"/>
        <v>1</v>
      </c>
      <c r="L87" s="4">
        <f t="shared" si="6"/>
        <v>1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1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1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756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0</v>
      </c>
      <c r="V89" s="1" t="str">
        <f t="shared" si="35"/>
        <v/>
      </c>
    </row>
    <row r="90" spans="1:22" x14ac:dyDescent="0.25">
      <c r="A90" s="2">
        <v>87</v>
      </c>
      <c r="B90" s="2">
        <v>2</v>
      </c>
      <c r="C90" s="7" t="s">
        <v>761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762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374.81244992086658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691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121.61499999999999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0</v>
      </c>
      <c r="V94" s="1" t="str">
        <f t="shared" si="35"/>
        <v/>
      </c>
    </row>
    <row r="95" spans="1:22" x14ac:dyDescent="0.25">
      <c r="A95" s="2">
        <v>92</v>
      </c>
      <c r="B95" s="2">
        <v>2</v>
      </c>
      <c r="C95" s="7" t="s">
        <v>692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132.61000000000001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965</v>
      </c>
      <c r="D96" s="2" t="s">
        <v>21</v>
      </c>
      <c r="E96" s="2">
        <v>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0</v>
      </c>
      <c r="V96" s="1" t="str">
        <f t="shared" si="35"/>
        <v/>
      </c>
    </row>
    <row r="97" spans="1:22" x14ac:dyDescent="0.25">
      <c r="A97" s="2">
        <v>94</v>
      </c>
      <c r="B97" s="2">
        <v>2</v>
      </c>
      <c r="C97" s="7" t="s">
        <v>966</v>
      </c>
      <c r="D97" s="2" t="s">
        <v>77</v>
      </c>
      <c r="E97" s="2">
        <v>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</v>
      </c>
      <c r="V97" s="1" t="str">
        <f>IF(F97="x",D97,"")</f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880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881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882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887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888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889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885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882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887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888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889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886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882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887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888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889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891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882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890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888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889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892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882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x14ac:dyDescent="0.25">
      <c r="A123" s="2">
        <v>120</v>
      </c>
      <c r="B123" s="2">
        <v>3</v>
      </c>
      <c r="C123" s="7" t="s">
        <v>887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x14ac:dyDescent="0.25">
      <c r="A124" s="2">
        <v>121</v>
      </c>
      <c r="B124" s="2">
        <v>3</v>
      </c>
      <c r="C124" s="7" t="s">
        <v>888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x14ac:dyDescent="0.25">
      <c r="A125" s="2">
        <v>122</v>
      </c>
      <c r="B125" s="2">
        <v>3</v>
      </c>
      <c r="C125" s="7" t="s">
        <v>889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x14ac:dyDescent="0.25">
      <c r="A126" s="2">
        <v>123</v>
      </c>
      <c r="B126" s="2">
        <v>3</v>
      </c>
      <c r="C126" s="7" t="s">
        <v>893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x14ac:dyDescent="0.25">
      <c r="A127" s="2">
        <v>124</v>
      </c>
      <c r="B127" s="2">
        <v>3</v>
      </c>
      <c r="C127" s="7" t="s">
        <v>882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x14ac:dyDescent="0.25">
      <c r="A128" s="2">
        <v>125</v>
      </c>
      <c r="B128" s="2">
        <v>3</v>
      </c>
      <c r="C128" s="7" t="s">
        <v>887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x14ac:dyDescent="0.25">
      <c r="A129" s="2">
        <v>126</v>
      </c>
      <c r="B129" s="2">
        <v>3</v>
      </c>
      <c r="C129" s="7" t="s">
        <v>888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x14ac:dyDescent="0.25">
      <c r="A130" s="2">
        <v>127</v>
      </c>
      <c r="B130" s="2">
        <v>3</v>
      </c>
      <c r="C130" s="7" t="s">
        <v>889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964</v>
      </c>
      <c r="D132" s="2" t="s">
        <v>21</v>
      </c>
      <c r="E132" s="2">
        <v>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0</v>
      </c>
      <c r="V132" s="1" t="str">
        <f t="shared" si="35"/>
        <v/>
      </c>
    </row>
    <row r="133" spans="1:22" ht="15.75" x14ac:dyDescent="0.25">
      <c r="A133" s="2">
        <v>130</v>
      </c>
      <c r="B133" s="2">
        <v>1</v>
      </c>
      <c r="C133" s="7" t="s">
        <v>966</v>
      </c>
      <c r="D133" s="2" t="s">
        <v>77</v>
      </c>
      <c r="E133" s="2">
        <v>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</v>
      </c>
      <c r="V133" s="1" t="str">
        <f>IF(F133="x",D133,"")</f>
        <v/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700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319.69457785917456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713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111.17168330533573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701</v>
      </c>
      <c r="D138" s="2" t="s">
        <v>17</v>
      </c>
      <c r="E138" s="2">
        <v>1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30.000960737003719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0</v>
      </c>
      <c r="V138" s="1" t="str">
        <f t="shared" si="53"/>
        <v/>
      </c>
    </row>
    <row r="139" spans="1:22" x14ac:dyDescent="0.25">
      <c r="A139" s="2">
        <v>136</v>
      </c>
      <c r="B139" s="2">
        <v>3</v>
      </c>
      <c r="C139" s="8" t="s">
        <v>686</v>
      </c>
      <c r="D139" s="2" t="s">
        <v>18</v>
      </c>
      <c r="E139" s="2">
        <v>13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0</v>
      </c>
      <c r="V139" s="1" t="str">
        <f t="shared" si="53"/>
        <v/>
      </c>
    </row>
    <row r="140" spans="1:22" x14ac:dyDescent="0.25">
      <c r="A140" s="2">
        <v>137</v>
      </c>
      <c r="B140" s="2">
        <v>3</v>
      </c>
      <c r="C140" s="8" t="s">
        <v>1049</v>
      </c>
      <c r="D140" s="2" t="s">
        <v>24</v>
      </c>
      <c r="E140" s="2">
        <v>13</v>
      </c>
      <c r="G140" s="1" t="str">
        <f>IF(D140="","",VLOOKUP(D140,Table1[#All],2,FALSE))</f>
        <v>M3 Thread T-Nut for 40 Series European Aluminium Profile Hammer Head</v>
      </c>
      <c r="H140" s="2">
        <f t="shared" si="55"/>
        <v>13</v>
      </c>
      <c r="I140" s="44">
        <f>IF(D140&lt;&gt;"",(VLOOKUP(D140,part_details,4,FALSE)+VLOOKUP(D140,part_details,5,FALSE)+VLOOKUP(D140,part_details,6,FALSE))*'Multi-level BOM'!E140,"")</f>
        <v>3.2109220000000001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13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0</v>
      </c>
      <c r="V140" s="1" t="str">
        <f t="shared" si="53"/>
        <v/>
      </c>
    </row>
    <row r="141" spans="1:22" x14ac:dyDescent="0.25">
      <c r="A141" s="2">
        <v>138</v>
      </c>
      <c r="B141" s="2">
        <v>3</v>
      </c>
      <c r="C141" s="8" t="s">
        <v>703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860</v>
      </c>
      <c r="D142" s="2" t="s">
        <v>67</v>
      </c>
      <c r="E142" s="2">
        <v>4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</v>
      </c>
      <c r="V142" s="1" t="str">
        <f t="shared" si="53"/>
        <v/>
      </c>
    </row>
    <row r="143" spans="1:22" x14ac:dyDescent="0.25">
      <c r="A143" s="2">
        <v>140</v>
      </c>
      <c r="B143" s="2">
        <v>3</v>
      </c>
      <c r="C143" s="8" t="s">
        <v>770</v>
      </c>
      <c r="D143" s="2" t="s">
        <v>47</v>
      </c>
      <c r="E143" s="2">
        <v>4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0</v>
      </c>
      <c r="V143" s="1" t="str">
        <f t="shared" si="53"/>
        <v/>
      </c>
    </row>
    <row r="144" spans="1:22" x14ac:dyDescent="0.25">
      <c r="A144" s="2">
        <v>141</v>
      </c>
      <c r="B144" s="2">
        <v>3</v>
      </c>
      <c r="C144" s="8" t="s">
        <v>857</v>
      </c>
      <c r="D144" s="2" t="s">
        <v>26</v>
      </c>
      <c r="E144" s="2">
        <v>1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0</v>
      </c>
      <c r="V144" s="1" t="str">
        <f t="shared" si="53"/>
        <v/>
      </c>
    </row>
    <row r="145" spans="1:22" x14ac:dyDescent="0.25">
      <c r="A145" s="2">
        <v>142</v>
      </c>
      <c r="B145" s="2">
        <v>3</v>
      </c>
      <c r="C145" s="8" t="s">
        <v>858</v>
      </c>
      <c r="D145" s="2" t="s">
        <v>66</v>
      </c>
      <c r="E145" s="2">
        <v>1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0</v>
      </c>
      <c r="V145" s="1" t="str">
        <f t="shared" si="53"/>
        <v/>
      </c>
    </row>
    <row r="146" spans="1:22" x14ac:dyDescent="0.25">
      <c r="A146" s="2">
        <v>143</v>
      </c>
      <c r="B146" s="2">
        <v>3</v>
      </c>
      <c r="C146" s="8" t="s">
        <v>900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862</v>
      </c>
      <c r="D147" s="2" t="s">
        <v>32</v>
      </c>
      <c r="E147" s="2">
        <v>3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</v>
      </c>
      <c r="V147" s="1" t="str">
        <f t="shared" si="53"/>
        <v/>
      </c>
    </row>
    <row r="148" spans="1:22" x14ac:dyDescent="0.25">
      <c r="A148" s="2">
        <v>145</v>
      </c>
      <c r="B148" s="2">
        <v>3</v>
      </c>
      <c r="C148" s="8" t="s">
        <v>863</v>
      </c>
      <c r="D148" s="2" t="s">
        <v>68</v>
      </c>
      <c r="E148" s="2">
        <v>3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0</v>
      </c>
      <c r="V148" s="1" t="str">
        <f t="shared" si="53"/>
        <v/>
      </c>
    </row>
    <row r="149" spans="1:22" x14ac:dyDescent="0.25">
      <c r="A149" s="2">
        <v>146</v>
      </c>
      <c r="B149" s="2">
        <v>3</v>
      </c>
      <c r="C149" s="8" t="s">
        <v>710</v>
      </c>
      <c r="D149" s="2" t="s">
        <v>33</v>
      </c>
      <c r="E149" s="2">
        <v>3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0</v>
      </c>
      <c r="V149" s="1" t="str">
        <f t="shared" si="53"/>
        <v/>
      </c>
    </row>
    <row r="150" spans="1:22" x14ac:dyDescent="0.25">
      <c r="A150" s="2">
        <v>147</v>
      </c>
      <c r="B150" s="2">
        <v>3</v>
      </c>
      <c r="C150" s="8" t="s">
        <v>859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870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869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765</v>
      </c>
      <c r="D153" s="2" t="s">
        <v>42</v>
      </c>
      <c r="E153" s="2">
        <v>1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0</v>
      </c>
      <c r="V153" s="1" t="str">
        <f t="shared" si="53"/>
        <v/>
      </c>
    </row>
    <row r="154" spans="1:22" x14ac:dyDescent="0.25">
      <c r="A154" s="2">
        <v>151</v>
      </c>
      <c r="B154" s="2">
        <v>3</v>
      </c>
      <c r="C154" s="30" t="s">
        <v>799</v>
      </c>
      <c r="E154" s="2">
        <v>1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>
        <f t="shared" si="58"/>
        <v>0</v>
      </c>
      <c r="V154" s="1" t="str">
        <f t="shared" si="53"/>
        <v/>
      </c>
    </row>
    <row r="155" spans="1:22" x14ac:dyDescent="0.25">
      <c r="A155" s="2">
        <v>152</v>
      </c>
      <c r="B155" s="2">
        <v>3</v>
      </c>
      <c r="C155" s="30" t="s">
        <v>800</v>
      </c>
      <c r="D155" s="2" t="s">
        <v>46</v>
      </c>
      <c r="E155" s="2">
        <v>2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0</v>
      </c>
      <c r="V155" s="1" t="str">
        <f t="shared" si="53"/>
        <v/>
      </c>
    </row>
    <row r="156" spans="1:22" x14ac:dyDescent="0.25">
      <c r="A156" s="2">
        <v>153</v>
      </c>
      <c r="B156" s="2">
        <v>3</v>
      </c>
      <c r="C156" s="30" t="s">
        <v>770</v>
      </c>
      <c r="D156" s="2" t="s">
        <v>47</v>
      </c>
      <c r="E156" s="2">
        <v>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</v>
      </c>
      <c r="V156" s="1" t="str">
        <f t="shared" si="53"/>
        <v/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712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104.34400485533573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701</v>
      </c>
      <c r="D160" s="2" t="s">
        <v>17</v>
      </c>
      <c r="E160" s="2">
        <v>1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30.000960737003719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0</v>
      </c>
      <c r="V160" s="1" t="str">
        <f t="shared" si="53"/>
        <v/>
      </c>
    </row>
    <row r="161" spans="1:22" x14ac:dyDescent="0.25">
      <c r="A161" s="2">
        <v>158</v>
      </c>
      <c r="B161" s="2">
        <v>3</v>
      </c>
      <c r="C161" s="8" t="s">
        <v>686</v>
      </c>
      <c r="D161" s="2" t="s">
        <v>18</v>
      </c>
      <c r="E161" s="2">
        <v>13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0</v>
      </c>
      <c r="V161" s="1" t="str">
        <f t="shared" si="53"/>
        <v/>
      </c>
    </row>
    <row r="162" spans="1:22" x14ac:dyDescent="0.25">
      <c r="A162" s="2">
        <v>159</v>
      </c>
      <c r="B162" s="2">
        <v>3</v>
      </c>
      <c r="C162" s="8" t="s">
        <v>1049</v>
      </c>
      <c r="D162" s="2" t="s">
        <v>24</v>
      </c>
      <c r="E162" s="2">
        <v>13</v>
      </c>
      <c r="G162" s="1" t="str">
        <f>IF(D162="","",VLOOKUP(D162,Table1[#All],2,FALSE))</f>
        <v>M3 Thread T-Nut for 40 Series European Aluminium Profile Hammer Head</v>
      </c>
      <c r="H162" s="2">
        <f t="shared" si="65"/>
        <v>13</v>
      </c>
      <c r="I162" s="44">
        <f>IF(D162&lt;&gt;"",(VLOOKUP(D162,part_details,4,FALSE)+VLOOKUP(D162,part_details,5,FALSE)+VLOOKUP(D162,part_details,6,FALSE))*'Multi-level BOM'!E162,"")</f>
        <v>3.2109220000000001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13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0</v>
      </c>
      <c r="V162" s="1" t="str">
        <f t="shared" si="53"/>
        <v/>
      </c>
    </row>
    <row r="163" spans="1:22" x14ac:dyDescent="0.25">
      <c r="A163" s="2">
        <v>160</v>
      </c>
      <c r="B163" s="2">
        <v>3</v>
      </c>
      <c r="C163" s="8" t="s">
        <v>703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860</v>
      </c>
      <c r="D164" s="2" t="s">
        <v>67</v>
      </c>
      <c r="E164" s="2">
        <v>4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</v>
      </c>
      <c r="V164" s="1" t="str">
        <f t="shared" si="53"/>
        <v/>
      </c>
    </row>
    <row r="165" spans="1:22" x14ac:dyDescent="0.25">
      <c r="A165" s="2">
        <v>162</v>
      </c>
      <c r="B165" s="2">
        <v>3</v>
      </c>
      <c r="C165" s="8" t="s">
        <v>770</v>
      </c>
      <c r="D165" s="2" t="s">
        <v>47</v>
      </c>
      <c r="E165" s="2">
        <v>4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0</v>
      </c>
      <c r="V165" s="1" t="str">
        <f t="shared" si="53"/>
        <v/>
      </c>
    </row>
    <row r="166" spans="1:22" x14ac:dyDescent="0.25">
      <c r="A166" s="2">
        <v>163</v>
      </c>
      <c r="B166" s="2">
        <v>3</v>
      </c>
      <c r="C166" s="8" t="s">
        <v>857</v>
      </c>
      <c r="D166" s="2" t="s">
        <v>26</v>
      </c>
      <c r="E166" s="2">
        <v>1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0</v>
      </c>
      <c r="V166" s="1" t="str">
        <f t="shared" si="53"/>
        <v/>
      </c>
    </row>
    <row r="167" spans="1:22" x14ac:dyDescent="0.25">
      <c r="A167" s="2">
        <v>164</v>
      </c>
      <c r="B167" s="2">
        <v>3</v>
      </c>
      <c r="C167" s="8" t="s">
        <v>858</v>
      </c>
      <c r="D167" s="2" t="s">
        <v>66</v>
      </c>
      <c r="E167" s="2">
        <v>1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0</v>
      </c>
      <c r="V167" s="1" t="str">
        <f t="shared" si="53"/>
        <v/>
      </c>
    </row>
    <row r="168" spans="1:22" x14ac:dyDescent="0.25">
      <c r="A168" s="2">
        <v>165</v>
      </c>
      <c r="B168" s="2">
        <v>3</v>
      </c>
      <c r="C168" s="8" t="s">
        <v>900</v>
      </c>
      <c r="D168" s="2" t="s">
        <v>29</v>
      </c>
      <c r="E168" s="2">
        <v>1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0</v>
      </c>
      <c r="V168" s="1" t="str">
        <f t="shared" si="53"/>
        <v/>
      </c>
    </row>
    <row r="169" spans="1:22" x14ac:dyDescent="0.25">
      <c r="A169" s="2">
        <v>166</v>
      </c>
      <c r="B169" s="2">
        <v>3</v>
      </c>
      <c r="C169" s="8" t="s">
        <v>707</v>
      </c>
      <c r="D169" s="2" t="s">
        <v>32</v>
      </c>
      <c r="E169" s="2">
        <v>3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</v>
      </c>
      <c r="V169" s="1" t="str">
        <f t="shared" si="53"/>
        <v/>
      </c>
    </row>
    <row r="170" spans="1:22" x14ac:dyDescent="0.25">
      <c r="A170" s="2">
        <v>167</v>
      </c>
      <c r="B170" s="2">
        <v>3</v>
      </c>
      <c r="C170" s="8" t="s">
        <v>863</v>
      </c>
      <c r="D170" s="2" t="s">
        <v>68</v>
      </c>
      <c r="E170" s="2">
        <v>3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0</v>
      </c>
      <c r="V170" s="1" t="str">
        <f t="shared" si="53"/>
        <v/>
      </c>
    </row>
    <row r="171" spans="1:22" x14ac:dyDescent="0.25">
      <c r="A171" s="2">
        <v>168</v>
      </c>
      <c r="B171" s="2">
        <v>3</v>
      </c>
      <c r="C171" s="8" t="s">
        <v>710</v>
      </c>
      <c r="D171" s="2" t="s">
        <v>33</v>
      </c>
      <c r="E171" s="2">
        <v>3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0</v>
      </c>
      <c r="V171" s="1" t="str">
        <f t="shared" si="53"/>
        <v/>
      </c>
    </row>
    <row r="172" spans="1:22" x14ac:dyDescent="0.25">
      <c r="A172" s="2">
        <v>169</v>
      </c>
      <c r="B172" s="2">
        <v>3</v>
      </c>
      <c r="C172" s="8" t="s">
        <v>859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717</v>
      </c>
      <c r="D173" s="2" t="s">
        <v>31</v>
      </c>
      <c r="E173" s="2">
        <v>1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0</v>
      </c>
      <c r="V173" s="1" t="str">
        <f t="shared" si="53"/>
        <v/>
      </c>
    </row>
    <row r="174" spans="1:22" x14ac:dyDescent="0.25">
      <c r="A174" s="2">
        <v>171</v>
      </c>
      <c r="B174" s="2">
        <v>3</v>
      </c>
      <c r="C174" s="8" t="s">
        <v>765</v>
      </c>
      <c r="D174" s="2" t="s">
        <v>42</v>
      </c>
      <c r="E174" s="2">
        <v>1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0</v>
      </c>
      <c r="V174" s="1" t="str">
        <f t="shared" si="53"/>
        <v/>
      </c>
    </row>
    <row r="175" spans="1:22" x14ac:dyDescent="0.25">
      <c r="A175" s="2">
        <v>172</v>
      </c>
      <c r="B175" s="2">
        <v>3</v>
      </c>
      <c r="C175" s="30" t="s">
        <v>799</v>
      </c>
      <c r="E175" s="2">
        <v>1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>
        <f t="shared" si="58"/>
        <v>0</v>
      </c>
      <c r="V175" s="1" t="str">
        <f t="shared" si="53"/>
        <v/>
      </c>
    </row>
    <row r="176" spans="1:22" x14ac:dyDescent="0.25">
      <c r="A176" s="2">
        <v>173</v>
      </c>
      <c r="B176" s="2">
        <v>3</v>
      </c>
      <c r="C176" s="30" t="s">
        <v>800</v>
      </c>
      <c r="D176" s="2" t="s">
        <v>46</v>
      </c>
      <c r="E176" s="2">
        <v>2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0</v>
      </c>
      <c r="V176" s="1" t="str">
        <f t="shared" si="53"/>
        <v/>
      </c>
    </row>
    <row r="177" spans="1:22" x14ac:dyDescent="0.25">
      <c r="A177" s="2">
        <v>174</v>
      </c>
      <c r="B177" s="2">
        <v>3</v>
      </c>
      <c r="C177" s="30" t="s">
        <v>770</v>
      </c>
      <c r="D177" s="2" t="s">
        <v>47</v>
      </c>
      <c r="E177" s="2">
        <v>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</v>
      </c>
      <c r="V177" s="1" t="str">
        <f t="shared" si="53"/>
        <v/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718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104.1788896985031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701</v>
      </c>
      <c r="D180" s="2" t="s">
        <v>17</v>
      </c>
      <c r="E180" s="2">
        <v>1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30.000960737003719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0</v>
      </c>
      <c r="V180" s="1" t="str">
        <f t="shared" si="53"/>
        <v/>
      </c>
    </row>
    <row r="181" spans="1:22" x14ac:dyDescent="0.25">
      <c r="A181" s="2">
        <v>178</v>
      </c>
      <c r="B181" s="2">
        <v>3</v>
      </c>
      <c r="C181" s="8" t="s">
        <v>686</v>
      </c>
      <c r="D181" s="2" t="s">
        <v>18</v>
      </c>
      <c r="E181" s="2">
        <v>13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0</v>
      </c>
      <c r="V181" s="1" t="str">
        <f t="shared" si="53"/>
        <v/>
      </c>
    </row>
    <row r="182" spans="1:22" x14ac:dyDescent="0.25">
      <c r="A182" s="2">
        <v>179</v>
      </c>
      <c r="B182" s="2">
        <v>3</v>
      </c>
      <c r="C182" s="8" t="s">
        <v>1049</v>
      </c>
      <c r="D182" s="2" t="s">
        <v>24</v>
      </c>
      <c r="E182" s="2">
        <v>13</v>
      </c>
      <c r="G182" s="1" t="str">
        <f>IF(D182="","",VLOOKUP(D182,Table1[#All],2,FALSE))</f>
        <v>M3 Thread T-Nut for 40 Series European Aluminium Profile Hammer Head</v>
      </c>
      <c r="H182" s="2">
        <f t="shared" si="86"/>
        <v>13</v>
      </c>
      <c r="I182" s="44">
        <f>IF(D182&lt;&gt;"",(VLOOKUP(D182,part_details,4,FALSE)+VLOOKUP(D182,part_details,5,FALSE)+VLOOKUP(D182,part_details,6,FALSE))*'Multi-level BOM'!E182,"")</f>
        <v>3.2109220000000001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13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0</v>
      </c>
      <c r="V182" s="1" t="str">
        <f t="shared" si="53"/>
        <v/>
      </c>
    </row>
    <row r="183" spans="1:22" x14ac:dyDescent="0.25">
      <c r="A183" s="2">
        <v>180</v>
      </c>
      <c r="B183" s="2">
        <v>3</v>
      </c>
      <c r="C183" s="8" t="s">
        <v>703</v>
      </c>
      <c r="D183" s="2" t="s">
        <v>25</v>
      </c>
      <c r="E183" s="2">
        <v>1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0</v>
      </c>
      <c r="V183" s="1" t="str">
        <f t="shared" si="53"/>
        <v/>
      </c>
    </row>
    <row r="184" spans="1:22" x14ac:dyDescent="0.25">
      <c r="A184" s="2">
        <v>181</v>
      </c>
      <c r="B184" s="2">
        <v>3</v>
      </c>
      <c r="C184" s="8" t="s">
        <v>860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770</v>
      </c>
      <c r="D185" s="2" t="s">
        <v>47</v>
      </c>
      <c r="E185" s="2">
        <v>4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0</v>
      </c>
      <c r="V185" s="1" t="str">
        <f t="shared" si="53"/>
        <v/>
      </c>
    </row>
    <row r="186" spans="1:22" x14ac:dyDescent="0.25">
      <c r="A186" s="2">
        <v>183</v>
      </c>
      <c r="B186" s="2">
        <v>3</v>
      </c>
      <c r="C186" s="8" t="s">
        <v>714</v>
      </c>
      <c r="D186" s="2" t="s">
        <v>26</v>
      </c>
      <c r="E186" s="2">
        <v>1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0</v>
      </c>
      <c r="V186" s="1" t="str">
        <f t="shared" si="53"/>
        <v/>
      </c>
    </row>
    <row r="187" spans="1:22" x14ac:dyDescent="0.25">
      <c r="A187" s="2">
        <v>184</v>
      </c>
      <c r="B187" s="2">
        <v>3</v>
      </c>
      <c r="C187" s="8" t="s">
        <v>858</v>
      </c>
      <c r="D187" s="2" t="s">
        <v>66</v>
      </c>
      <c r="E187" s="2">
        <v>1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0</v>
      </c>
      <c r="V187" s="1" t="str">
        <f t="shared" si="53"/>
        <v/>
      </c>
    </row>
    <row r="188" spans="1:22" x14ac:dyDescent="0.25">
      <c r="A188" s="2">
        <v>185</v>
      </c>
      <c r="B188" s="2">
        <v>3</v>
      </c>
      <c r="C188" s="8" t="s">
        <v>706</v>
      </c>
      <c r="D188" s="2" t="s">
        <v>29</v>
      </c>
      <c r="E188" s="2">
        <v>1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0</v>
      </c>
      <c r="V188" s="1" t="str">
        <f t="shared" si="53"/>
        <v/>
      </c>
    </row>
    <row r="189" spans="1:22" x14ac:dyDescent="0.25">
      <c r="A189" s="2">
        <v>186</v>
      </c>
      <c r="B189" s="2">
        <v>3</v>
      </c>
      <c r="C189" s="8" t="s">
        <v>707</v>
      </c>
      <c r="D189" s="2" t="s">
        <v>32</v>
      </c>
      <c r="E189" s="2">
        <v>2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</v>
      </c>
      <c r="V189" s="1" t="str">
        <f t="shared" si="53"/>
        <v/>
      </c>
    </row>
    <row r="190" spans="1:22" x14ac:dyDescent="0.25">
      <c r="A190" s="2">
        <v>187</v>
      </c>
      <c r="B190" s="2">
        <v>3</v>
      </c>
      <c r="C190" s="8" t="s">
        <v>863</v>
      </c>
      <c r="D190" s="2" t="s">
        <v>68</v>
      </c>
      <c r="E190" s="2">
        <v>3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0</v>
      </c>
      <c r="V190" s="1" t="str">
        <f t="shared" si="53"/>
        <v/>
      </c>
    </row>
    <row r="191" spans="1:22" x14ac:dyDescent="0.25">
      <c r="A191" s="2">
        <v>188</v>
      </c>
      <c r="B191" s="2">
        <v>3</v>
      </c>
      <c r="C191" s="8" t="s">
        <v>710</v>
      </c>
      <c r="D191" s="2" t="s">
        <v>33</v>
      </c>
      <c r="E191" s="2">
        <v>3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0</v>
      </c>
      <c r="V191" s="1" t="str">
        <f t="shared" si="53"/>
        <v/>
      </c>
    </row>
    <row r="192" spans="1:22" x14ac:dyDescent="0.25">
      <c r="A192" s="2">
        <v>189</v>
      </c>
      <c r="B192" s="2">
        <v>3</v>
      </c>
      <c r="C192" s="8" t="s">
        <v>859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717</v>
      </c>
      <c r="D193" s="2" t="s">
        <v>31</v>
      </c>
      <c r="E193" s="2">
        <v>1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0</v>
      </c>
      <c r="V193" s="1" t="str">
        <f t="shared" si="53"/>
        <v/>
      </c>
    </row>
    <row r="194" spans="1:22" x14ac:dyDescent="0.25">
      <c r="A194" s="2">
        <v>191</v>
      </c>
      <c r="B194" s="2">
        <v>3</v>
      </c>
      <c r="C194" s="8" t="s">
        <v>765</v>
      </c>
      <c r="D194" s="2" t="s">
        <v>42</v>
      </c>
      <c r="E194" s="2">
        <v>1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0</v>
      </c>
      <c r="V194" s="1" t="str">
        <f t="shared" si="53"/>
        <v/>
      </c>
    </row>
    <row r="195" spans="1:22" x14ac:dyDescent="0.25">
      <c r="A195" s="2">
        <v>192</v>
      </c>
      <c r="B195" s="2">
        <v>3</v>
      </c>
      <c r="C195" s="30" t="s">
        <v>799</v>
      </c>
      <c r="E195" s="2">
        <v>1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>
        <f t="shared" si="58"/>
        <v>0</v>
      </c>
      <c r="V195" s="1" t="str">
        <f t="shared" si="53"/>
        <v/>
      </c>
    </row>
    <row r="196" spans="1:22" x14ac:dyDescent="0.25">
      <c r="A196" s="2">
        <v>193</v>
      </c>
      <c r="B196" s="2">
        <v>3</v>
      </c>
      <c r="C196" s="30" t="s">
        <v>800</v>
      </c>
      <c r="D196" s="2" t="s">
        <v>46</v>
      </c>
      <c r="E196" s="2">
        <v>2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0</v>
      </c>
      <c r="V196" s="1" t="str">
        <f t="shared" si="53"/>
        <v/>
      </c>
    </row>
    <row r="197" spans="1:22" x14ac:dyDescent="0.25">
      <c r="A197" s="2">
        <v>194</v>
      </c>
      <c r="B197" s="2">
        <v>3</v>
      </c>
      <c r="C197" s="30" t="s">
        <v>770</v>
      </c>
      <c r="D197" s="2" t="s">
        <v>47</v>
      </c>
      <c r="E197" s="2">
        <v>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</v>
      </c>
      <c r="V197" s="1" t="str">
        <f t="shared" si="53"/>
        <v/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771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184.03439999999998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772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776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773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775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774</v>
      </c>
      <c r="D204" s="2" t="s">
        <v>55</v>
      </c>
      <c r="E204" s="2">
        <v>1</v>
      </c>
      <c r="G204" s="1" t="str">
        <f>IF(D204="","",VLOOKUP(D204,Table1[#All],2,FALSE))</f>
        <v xml:space="preserve">350 X 350mm(Approx. 14" x 14"), 110V 800W, with 3M PSA &amp; NTC 100K thermistor, KEENOVO Silicone Heater Mat/Pad, Huge Large 3D Printer HeatBed Build Plate Heater 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76.289999999999992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833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835</v>
      </c>
      <c r="D206" s="2" t="s">
        <v>57</v>
      </c>
      <c r="E206" s="2">
        <v>1</v>
      </c>
      <c r="G206" s="1" t="str">
        <f>IF(D206="","",VLOOKUP(D206,Table1[#All],2,FALSE))</f>
        <v>350 x 350mm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47.273299999999999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901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105.0073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841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26.149099999999997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842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10.8782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843</v>
      </c>
      <c r="D211" s="2" t="s">
        <v>60</v>
      </c>
      <c r="E211" s="2">
        <v>1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67.98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0</v>
      </c>
      <c r="V211" s="1" t="str">
        <f t="shared" si="106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816</v>
      </c>
      <c r="E217" s="2">
        <v>0</v>
      </c>
      <c r="G217" s="1" t="str">
        <f>IF(D217="","",VLOOKUP(D217,Table1[#All],2,FALSE))</f>
        <v/>
      </c>
      <c r="H217" s="2">
        <f t="shared" ref="H217:H229" si="123">PRODUCT(J217:S217)</f>
        <v>0</v>
      </c>
      <c r="I217" s="45">
        <f>H217*SUM(I218:I226)</f>
        <v>0</v>
      </c>
      <c r="J217" s="4">
        <f t="shared" ref="J217:S217" si="124">IF($B217="",J216,
    IF(J$3=$B217,$E217,
       IF(J$3&lt;$B217,J216,
           1
)))</f>
        <v>1</v>
      </c>
      <c r="K217" s="4">
        <f t="shared" si="124"/>
        <v>0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804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0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0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805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0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0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806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0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0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807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0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0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810</v>
      </c>
      <c r="G222" s="1" t="str">
        <f>IF(D222="","",VLOOKUP(D222,Table1[#All],2,FALSE))</f>
        <v/>
      </c>
      <c r="H222" s="2">
        <f t="shared" si="123"/>
        <v>0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0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811</v>
      </c>
      <c r="H223" s="2">
        <f t="shared" si="123"/>
        <v>0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0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812</v>
      </c>
      <c r="H224" s="2">
        <f t="shared" si="123"/>
        <v>0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0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813</v>
      </c>
      <c r="E225" s="2">
        <v>4</v>
      </c>
      <c r="H225" s="2">
        <f t="shared" si="123"/>
        <v>0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0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814</v>
      </c>
      <c r="H226" s="2">
        <f t="shared" si="123"/>
        <v>0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0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0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0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815</v>
      </c>
      <c r="E228" s="2">
        <v>0</v>
      </c>
      <c r="G228" s="1" t="str">
        <f>IF(D228="","",VLOOKUP(D228,Table1[#All],2,FALSE))</f>
        <v/>
      </c>
      <c r="H228" s="2">
        <f t="shared" si="123"/>
        <v>0</v>
      </c>
      <c r="I228" s="45">
        <f>H228*SUM(I229:I236)</f>
        <v>0</v>
      </c>
      <c r="J228" s="4">
        <f t="shared" ref="J228:S228" si="135">IF($B228="",J227,
    IF(J$3=$B228,$E228,
       IF(J$3&lt;$B228,J227,
           1
)))</f>
        <v>1</v>
      </c>
      <c r="K228" s="4">
        <f t="shared" si="135"/>
        <v>0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819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0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0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821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0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0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822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0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0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820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0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0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823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0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0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824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0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0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825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0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0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826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0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0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0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0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213.9503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850</v>
      </c>
      <c r="D239" s="2" t="s">
        <v>61</v>
      </c>
      <c r="E239" s="2">
        <v>1</v>
      </c>
      <c r="G239" s="1" t="str">
        <f>IF(D239="","",VLOOKUP(D239,Table1[#All],2,FALSE))</f>
        <v xml:space="preserve">Cloned Duet 2 Wifi V1.04 DuetWifi Advanced 32 Bit Electronics 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88.96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847</v>
      </c>
      <c r="D240" s="2" t="s">
        <v>62</v>
      </c>
      <c r="E240" s="2">
        <v>1</v>
      </c>
      <c r="F240" s="2" t="s">
        <v>910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78.48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78.48</v>
      </c>
      <c r="V240" s="1" t="str">
        <f t="shared" si="106"/>
        <v>A-0056</v>
      </c>
    </row>
    <row r="241" spans="1:22" x14ac:dyDescent="0.25">
      <c r="A241" s="2">
        <v>238</v>
      </c>
      <c r="B241" s="2">
        <v>2</v>
      </c>
      <c r="C241" s="7" t="s">
        <v>851</v>
      </c>
      <c r="D241" s="2" t="s">
        <v>63</v>
      </c>
      <c r="E241" s="2">
        <v>1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0</v>
      </c>
      <c r="V241" s="1" t="str">
        <f t="shared" si="106"/>
        <v/>
      </c>
    </row>
    <row r="242" spans="1:22" x14ac:dyDescent="0.25">
      <c r="A242" s="2">
        <v>239</v>
      </c>
      <c r="B242" s="2">
        <v>2</v>
      </c>
      <c r="C242" s="7" t="s">
        <v>971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970</v>
      </c>
      <c r="D243" s="2" t="s">
        <v>78</v>
      </c>
      <c r="E243" s="2">
        <v>1</v>
      </c>
      <c r="G243" s="1" t="str">
        <f>IF(D243="","",VLOOKUP(D243,Table1[#All],2,FALSE))</f>
        <v>SSR Thermal Pad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1.4497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B244" s="2">
        <v>2</v>
      </c>
      <c r="C244" s="7" t="s">
        <v>1038</v>
      </c>
      <c r="D244" s="2" t="s">
        <v>79</v>
      </c>
      <c r="E244" s="2">
        <v>1</v>
      </c>
      <c r="G244" s="1" t="str">
        <f>IF(D244="","",VLOOKUP(D244,Table1[#All],2,FALSE))</f>
        <v>Cloned 7i PanelDue Touch Screen Controller For BLV MGN Cube</v>
      </c>
      <c r="H244" s="2">
        <f t="shared" si="149"/>
        <v>1</v>
      </c>
      <c r="I244" s="45">
        <f>IF(D244&lt;&gt;"",(VLOOKUP(D244,part_details,4,FALSE)+VLOOKUP(D244,part_details,5,FALSE)+VLOOKUP(D244,part_details,6,FALSE))*'Multi-level BOM'!E244,"")</f>
        <v>63.64</v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B245" s="2">
        <v>2</v>
      </c>
      <c r="C245" s="7" t="s">
        <v>1039</v>
      </c>
      <c r="D245" s="2" t="s">
        <v>80</v>
      </c>
      <c r="E245" s="2">
        <v>1</v>
      </c>
      <c r="G245" s="1" t="str">
        <f>IF(D245="","",VLOOKUP(D245,Table1[#All],2,FALSE))</f>
        <v>Heated Bed 10K Lug Ring Thermistor (PN NTC/BC2891-ND)</v>
      </c>
      <c r="H245" s="2">
        <f t="shared" si="149"/>
        <v>1</v>
      </c>
      <c r="I245" s="45">
        <f>IF(D245&lt;&gt;"",(VLOOKUP(D245,part_details,4,FALSE)+VLOOKUP(D245,part_details,5,FALSE)+VLOOKUP(D245,part_details,6,FALSE))*'Multi-level BOM'!E245,"")</f>
        <v>3.2808999999999999</v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B246" s="2">
        <v>2</v>
      </c>
      <c r="C246" s="7" t="s">
        <v>997</v>
      </c>
      <c r="D246" s="2" t="s">
        <v>81</v>
      </c>
      <c r="E246" s="2">
        <v>1</v>
      </c>
      <c r="G246" s="1" t="str">
        <f>IF(D246="","",VLOOKUP(D246,Table1[#All],2,FALSE))</f>
        <v>SSR Protective cover</v>
      </c>
      <c r="H246" s="2">
        <f t="shared" si="149"/>
        <v>1</v>
      </c>
      <c r="I246" s="45">
        <f>IF(D246&lt;&gt;"",(VLOOKUP(D246,part_details,4,FALSE)+VLOOKUP(D246,part_details,5,FALSE)+VLOOKUP(D246,part_details,6,FALSE))*'Multi-level BOM'!E246,"")</f>
        <v>5.5589999999999993</v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B247" s="2">
        <v>2</v>
      </c>
      <c r="C247" s="7" t="s">
        <v>999</v>
      </c>
      <c r="D247" s="2" t="s">
        <v>82</v>
      </c>
      <c r="E247" s="2">
        <v>1</v>
      </c>
      <c r="G247" s="1" t="str">
        <f>IF(D247="","",VLOOKUP(D247,Table1[#All],2,FALSE))</f>
        <v>NEMA 11 Stepper with gearing</v>
      </c>
      <c r="H247" s="2">
        <f t="shared" si="149"/>
        <v>1</v>
      </c>
      <c r="I247" s="45">
        <f>IF(D247&lt;&gt;"",(VLOOKUP(D247,part_details,4,FALSE)+VLOOKUP(D247,part_details,5,FALSE)+VLOOKUP(D247,part_details,6,FALSE))*'Multi-level BOM'!E247,"")</f>
        <v>0</v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B248" s="2">
        <v>2</v>
      </c>
      <c r="C248" s="7" t="s">
        <v>1040</v>
      </c>
      <c r="D248" s="2" t="s">
        <v>83</v>
      </c>
      <c r="E248" s="2">
        <v>1</v>
      </c>
      <c r="G248" s="1" t="str">
        <f>IF(D248="","",VLOOKUP(D248,Table1[#All],2,FALSE))</f>
        <v>Mechanical limit switch ( SS0750300F070P1A )</v>
      </c>
      <c r="H248" s="2">
        <f t="shared" si="149"/>
        <v>1</v>
      </c>
      <c r="I248" s="45">
        <f>IF(D248&lt;&gt;"",(VLOOKUP(D248,part_details,4,FALSE)+VLOOKUP(D248,part_details,5,FALSE)+VLOOKUP(D248,part_details,6,FALSE))*'Multi-level BOM'!E248,"")</f>
        <v>1.1990000000000001</v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B249" s="2">
        <v>2</v>
      </c>
      <c r="C249" s="7" t="s">
        <v>1002</v>
      </c>
      <c r="D249" s="2" t="s">
        <v>84</v>
      </c>
      <c r="E249" s="2">
        <v>1</v>
      </c>
      <c r="G249" s="1" t="str">
        <f>IF(D249="","",VLOOKUP(D249,Table1[#All],2,FALSE))</f>
        <v xml:space="preserve">E3D High Precision Ceramic Heater Cartridge 24V 30W </v>
      </c>
      <c r="H249" s="2">
        <f t="shared" si="149"/>
        <v>1</v>
      </c>
      <c r="I249" s="45">
        <f>IF(D249&lt;&gt;"",(VLOOKUP(D249,part_details,4,FALSE)+VLOOKUP(D249,part_details,5,FALSE)+VLOOKUP(D249,part_details,6,FALSE))*'Multi-level BOM'!E249,"")</f>
        <v>19.598200000000002</v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B250" s="2">
        <v>2</v>
      </c>
      <c r="C250" s="7" t="s">
        <v>1005</v>
      </c>
      <c r="D250" s="2" t="s">
        <v>85</v>
      </c>
      <c r="E250" s="2">
        <v>1</v>
      </c>
      <c r="G250" s="1" t="str">
        <f>IF(D250="","",VLOOKUP(D250,Table1[#All],2,FALSE))</f>
        <v>FYSETC 3D Printer Ender 3 Parts 4010 DC 24V Cooling Fan</v>
      </c>
      <c r="H250" s="2">
        <f t="shared" si="149"/>
        <v>1</v>
      </c>
      <c r="I250" s="45">
        <f>IF(D250&lt;&gt;"",(VLOOKUP(D250,part_details,4,FALSE)+VLOOKUP(D250,part_details,5,FALSE)+VLOOKUP(D250,part_details,6,FALSE))*'Multi-level BOM'!E250,"")</f>
        <v>5.9895500000000004</v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B251" s="2">
        <v>2</v>
      </c>
      <c r="C251" s="7" t="s">
        <v>1006</v>
      </c>
      <c r="D251" s="2" t="s">
        <v>86</v>
      </c>
      <c r="E251" s="2">
        <v>1</v>
      </c>
      <c r="G251" s="1" t="str">
        <f>IF(D251="","",VLOOKUP(D251,Table1[#All],2,FALSE))</f>
        <v>Cooling Fan for 3D Printer, 4020 DC 40×40×20mm Turbo Fan</v>
      </c>
      <c r="H251" s="2">
        <f t="shared" si="149"/>
        <v>1</v>
      </c>
      <c r="I251" s="45">
        <f>IF(D251&lt;&gt;"",(VLOOKUP(D251,part_details,4,FALSE)+VLOOKUP(D251,part_details,5,FALSE)+VLOOKUP(D251,part_details,6,FALSE))*'Multi-level BOM'!E251,"")</f>
        <v>5.1175500000000005</v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B252" s="2">
        <v>2</v>
      </c>
      <c r="C252" s="7" t="s">
        <v>1008</v>
      </c>
      <c r="D252" s="2" t="s">
        <v>87</v>
      </c>
      <c r="E252" s="2">
        <v>1</v>
      </c>
      <c r="G252" s="1" t="str">
        <f>IF(D252="","",VLOOKUP(D252,Table1[#All],2,FALSE))</f>
        <v>Hotend thermistor</v>
      </c>
      <c r="H252" s="2">
        <f t="shared" si="149"/>
        <v>1</v>
      </c>
      <c r="I252" s="45">
        <f>IF(D252&lt;&gt;"",(VLOOKUP(D252,part_details,4,FALSE)+VLOOKUP(D252,part_details,5,FALSE)+VLOOKUP(D252,part_details,6,FALSE))*'Multi-level BOM'!E252,"")</f>
        <v>0</v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B253" s="2">
        <v>2</v>
      </c>
      <c r="C253" s="7" t="s">
        <v>1009</v>
      </c>
      <c r="D253" s="2" t="s">
        <v>88</v>
      </c>
      <c r="E253" s="2">
        <v>1</v>
      </c>
      <c r="G253" s="1" t="str">
        <f>IF(D253="","",VLOOKUP(D253,Table1[#All],2,FALSE))</f>
        <v>Z-height sensor</v>
      </c>
      <c r="H253" s="2">
        <f t="shared" si="149"/>
        <v>1</v>
      </c>
      <c r="I253" s="45">
        <f>IF(D253&lt;&gt;"",(VLOOKUP(D253,part_details,4,FALSE)+VLOOKUP(D253,part_details,5,FALSE)+VLOOKUP(D253,part_details,6,FALSE))*'Multi-level BOM'!E253,"")</f>
        <v>0</v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B254" s="2">
        <v>2</v>
      </c>
      <c r="C254" s="7" t="s">
        <v>1010</v>
      </c>
      <c r="D254" s="2" t="s">
        <v>89</v>
      </c>
      <c r="E254" s="2">
        <v>1</v>
      </c>
      <c r="G254" s="1" t="str">
        <f>IF(D254="","",VLOOKUP(D254,Table1[#All],2,FALSE))</f>
        <v xml:space="preserve"> AC 115/250VAC 10A Noise Suppressing Power Entry Module</v>
      </c>
      <c r="H254" s="2">
        <f t="shared" si="149"/>
        <v>1</v>
      </c>
      <c r="I254" s="45">
        <f>IF(D254&lt;&gt;"",(VLOOKUP(D254,part_details,4,FALSE)+VLOOKUP(D254,part_details,5,FALSE)+VLOOKUP(D254,part_details,6,FALSE))*'Multi-level BOM'!E254,"")</f>
        <v>16.339100000000002</v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0</v>
      </c>
      <c r="V254" s="1" t="str">
        <f t="shared" si="154"/>
        <v/>
      </c>
    </row>
    <row r="255" spans="1:22" x14ac:dyDescent="0.25">
      <c r="A255" s="2">
        <v>252</v>
      </c>
      <c r="B255" s="2">
        <v>2</v>
      </c>
      <c r="C255" s="7" t="s">
        <v>1013</v>
      </c>
      <c r="D255" s="2" t="s">
        <v>90</v>
      </c>
      <c r="E255" s="2">
        <v>1</v>
      </c>
      <c r="G255" s="1" t="str">
        <f>IF(D255="","",VLOOKUP(D255,Table1[#All],2,FALSE))</f>
        <v>AC Power cord</v>
      </c>
      <c r="H255" s="2">
        <f t="shared" si="149"/>
        <v>1</v>
      </c>
      <c r="I255" s="45">
        <f>IF(D255&lt;&gt;"",(VLOOKUP(D255,part_details,4,FALSE)+VLOOKUP(D255,part_details,5,FALSE)+VLOOKUP(D255,part_details,6,FALSE))*'Multi-level BOM'!E255,"")</f>
        <v>6.7035</v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0</v>
      </c>
      <c r="V255" s="1" t="str">
        <f t="shared" si="154"/>
        <v/>
      </c>
    </row>
    <row r="256" spans="1:22" x14ac:dyDescent="0.25">
      <c r="A256" s="2">
        <v>253</v>
      </c>
      <c r="B256" s="2">
        <v>2</v>
      </c>
      <c r="C256" s="7" t="s">
        <v>1015</v>
      </c>
      <c r="D256" s="2" t="s">
        <v>91</v>
      </c>
      <c r="E256" s="2">
        <v>1</v>
      </c>
      <c r="G256" s="1" t="str">
        <f>IF(D256="","",VLOOKUP(D256,Table1[#All],2,FALSE))</f>
        <v>Dual Row 4 Position Covered Screw Terminal Strip 600V 25A</v>
      </c>
      <c r="H256" s="2">
        <f t="shared" si="149"/>
        <v>1</v>
      </c>
      <c r="I256" s="45">
        <f>IF(D256&lt;&gt;"",(VLOOKUP(D256,part_details,4,FALSE)+VLOOKUP(D256,part_details,5,FALSE)+VLOOKUP(D256,part_details,6,FALSE))*'Multi-level BOM'!E256,"")</f>
        <v>4.6287799999999999</v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0</v>
      </c>
      <c r="V256" s="1" t="str">
        <f t="shared" si="154"/>
        <v/>
      </c>
    </row>
    <row r="257" spans="1:22" x14ac:dyDescent="0.25">
      <c r="A257" s="2">
        <v>254</v>
      </c>
      <c r="B257" s="2">
        <v>2</v>
      </c>
      <c r="C257" s="7" t="s">
        <v>1041</v>
      </c>
      <c r="D257" s="2" t="s">
        <v>92</v>
      </c>
      <c r="E257" s="2">
        <v>4</v>
      </c>
      <c r="F257" s="2" t="s">
        <v>910</v>
      </c>
      <c r="G257" s="1" t="str">
        <f>IF(D257="","",VLOOKUP(D257,Table1[#All],2,FALSE))</f>
        <v>microswitch  (bridge)</v>
      </c>
      <c r="H257" s="2">
        <f t="shared" si="149"/>
        <v>4</v>
      </c>
      <c r="I257" s="45">
        <f>IF(D257&lt;&gt;"",(VLOOKUP(D257,part_details,4,FALSE)+VLOOKUP(D257,part_details,5,FALSE)+VLOOKUP(D257,part_details,6,FALSE))*'Multi-level BOM'!E257,"")</f>
        <v>6.896066666666667</v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4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6.896066666666667</v>
      </c>
      <c r="V257" s="1" t="str">
        <f t="shared" si="154"/>
        <v>A-0086</v>
      </c>
    </row>
    <row r="258" spans="1:22" x14ac:dyDescent="0.25">
      <c r="A258" s="2">
        <v>255</v>
      </c>
      <c r="B258" s="2">
        <v>2</v>
      </c>
      <c r="C258" s="7" t="s">
        <v>1017</v>
      </c>
      <c r="D258" s="2" t="s">
        <v>93</v>
      </c>
      <c r="E258" s="2">
        <v>10</v>
      </c>
      <c r="G258" s="1" t="str">
        <f>IF(D258="","",VLOOKUP(D258,Table1[#All],2,FALSE))</f>
        <v>Quick Disconnect Terminal, 0.25in x 0.032in, 14-16 AWG (Power Entry Module)</v>
      </c>
      <c r="H258" s="2">
        <f t="shared" si="149"/>
        <v>10</v>
      </c>
      <c r="I258" s="45">
        <f>IF(D258&lt;&gt;"",(VLOOKUP(D258,part_details,4,FALSE)+VLOOKUP(D258,part_details,5,FALSE)+VLOOKUP(D258,part_details,6,FALSE))*'Multi-level BOM'!E258,"")</f>
        <v>5.1722399999999986</v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10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0</v>
      </c>
      <c r="V258" s="1" t="str">
        <f t="shared" si="154"/>
        <v/>
      </c>
    </row>
    <row r="259" spans="1:22" x14ac:dyDescent="0.25">
      <c r="A259" s="2">
        <v>256</v>
      </c>
      <c r="B259" s="2">
        <v>2</v>
      </c>
      <c r="C259" s="7" t="s">
        <v>1019</v>
      </c>
      <c r="D259" s="2" t="s">
        <v>94</v>
      </c>
      <c r="E259" s="2">
        <v>10</v>
      </c>
      <c r="G259" s="1" t="str">
        <f>IF(D259="","",VLOOKUP(D259,Table1[#All],2,FALSE))</f>
        <v>Ring Terminal Crimp Connector (24 VDC Terminals)</v>
      </c>
      <c r="H259" s="2">
        <f t="shared" si="149"/>
        <v>10</v>
      </c>
      <c r="I259" s="45">
        <f>IF(D259&lt;&gt;"",(VLOOKUP(D259,part_details,4,FALSE)+VLOOKUP(D259,part_details,5,FALSE)+VLOOKUP(D259,part_details,6,FALSE))*'Multi-level BOM'!E259,"")</f>
        <v>3.1857999999999995</v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10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0</v>
      </c>
      <c r="V259" s="1" t="str">
        <f t="shared" si="154"/>
        <v/>
      </c>
    </row>
    <row r="260" spans="1:22" x14ac:dyDescent="0.25">
      <c r="A260" s="2">
        <v>257</v>
      </c>
      <c r="B260" s="2">
        <v>2</v>
      </c>
      <c r="C260" s="7" t="s">
        <v>1021</v>
      </c>
      <c r="D260" s="2" t="s">
        <v>95</v>
      </c>
      <c r="E260" s="2">
        <v>1</v>
      </c>
      <c r="G260" s="1" t="str">
        <f>IF(D260="","",VLOOKUP(D260,Table1[#All],2,FALSE))</f>
        <v>White Stranded #16 Insulated Wire (120VAC &amp; 24 VDC Distribution)(25 Feet)</v>
      </c>
      <c r="H260" s="2">
        <f t="shared" si="149"/>
        <v>1</v>
      </c>
      <c r="I260" s="45">
        <f>IF(D260&lt;&gt;"",(VLOOKUP(D260,part_details,4,FALSE)+VLOOKUP(D260,part_details,5,FALSE)+VLOOKUP(D260,part_details,6,FALSE))*'Multi-level BOM'!E260,"")</f>
        <v>7.5073749999999997</v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0</v>
      </c>
      <c r="V260" s="1" t="str">
        <f t="shared" si="154"/>
        <v/>
      </c>
    </row>
    <row r="261" spans="1:22" x14ac:dyDescent="0.25">
      <c r="A261" s="2">
        <v>258</v>
      </c>
      <c r="B261" s="2">
        <v>2</v>
      </c>
      <c r="C261" s="7" t="s">
        <v>1042</v>
      </c>
      <c r="D261" s="2" t="s">
        <v>96</v>
      </c>
      <c r="E261" s="2">
        <v>1</v>
      </c>
      <c r="G261" s="1" t="str">
        <f>IF(D261="","",VLOOKUP(D261,Table1[#All],2,FALSE))</f>
        <v>Black Stranded #16 Insulated Wire (120VAC Distribution)(25 Feet)</v>
      </c>
      <c r="H261" s="2">
        <f t="shared" si="149"/>
        <v>1</v>
      </c>
      <c r="I261" s="45">
        <f>IF(D261&lt;&gt;"",(VLOOKUP(D261,part_details,4,FALSE)+VLOOKUP(D261,part_details,5,FALSE)+VLOOKUP(D261,part_details,6,FALSE))*'Multi-level BOM'!E261,"")</f>
        <v>7.5073749999999997</v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1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0</v>
      </c>
      <c r="V261" s="1" t="str">
        <f t="shared" si="154"/>
        <v/>
      </c>
    </row>
    <row r="262" spans="1:22" x14ac:dyDescent="0.25">
      <c r="A262" s="2">
        <v>259</v>
      </c>
      <c r="B262" s="2">
        <v>2</v>
      </c>
      <c r="C262" s="7" t="s">
        <v>1043</v>
      </c>
      <c r="D262" s="2" t="s">
        <v>97</v>
      </c>
      <c r="E262" s="2">
        <v>1</v>
      </c>
      <c r="G262" s="1" t="str">
        <f>IF(D262="","",VLOOKUP(D262,Table1[#All],2,FALSE))</f>
        <v>Green Stranded #16 Insulated Wire (120VAC Distribution)(25 Feet)</v>
      </c>
      <c r="H262" s="2">
        <f t="shared" si="149"/>
        <v>1</v>
      </c>
      <c r="I262" s="45">
        <f>IF(D262&lt;&gt;"",(VLOOKUP(D262,part_details,4,FALSE)+VLOOKUP(D262,part_details,5,FALSE)+VLOOKUP(D262,part_details,6,FALSE))*'Multi-level BOM'!E262,"")</f>
        <v>7.5073749999999997</v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1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0</v>
      </c>
      <c r="V262" s="1" t="str">
        <f t="shared" si="154"/>
        <v/>
      </c>
    </row>
    <row r="263" spans="1:22" x14ac:dyDescent="0.25">
      <c r="A263" s="2">
        <v>260</v>
      </c>
      <c r="B263" s="2">
        <v>2</v>
      </c>
      <c r="C263" s="7" t="s">
        <v>1044</v>
      </c>
      <c r="D263" s="2" t="s">
        <v>98</v>
      </c>
      <c r="E263" s="2">
        <v>1</v>
      </c>
      <c r="G263" s="1" t="str">
        <f>IF(D263="","",VLOOKUP(D263,Table1[#All],2,FALSE))</f>
        <v>Red Insulated Stranded #16 Wire (24 VDC Distribution)(25 Feet)</v>
      </c>
      <c r="H263" s="2">
        <f t="shared" si="149"/>
        <v>1</v>
      </c>
      <c r="I263" s="45">
        <f>IF(D263&lt;&gt;"",(VLOOKUP(D263,part_details,4,FALSE)+VLOOKUP(D263,part_details,5,FALSE)+VLOOKUP(D263,part_details,6,FALSE))*'Multi-level BOM'!E263,"")</f>
        <v>7.5073749999999997</v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1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0</v>
      </c>
      <c r="V263" s="1" t="str">
        <f t="shared" si="154"/>
        <v/>
      </c>
    </row>
    <row r="264" spans="1:22" x14ac:dyDescent="0.25">
      <c r="A264" s="2">
        <v>261</v>
      </c>
      <c r="B264" s="2">
        <v>2</v>
      </c>
      <c r="C264" s="7" t="s">
        <v>1026</v>
      </c>
      <c r="D264" s="2" t="s">
        <v>99</v>
      </c>
      <c r="E264" s="2">
        <v>1</v>
      </c>
      <c r="G264" s="1" t="str">
        <f>IF(D264="","",VLOOKUP(D264,Table1[#All],2,FALSE))</f>
        <v>White Stranded #26 Insulated Wire (Thermistor, Limit Switches)(100 Feet)</v>
      </c>
      <c r="H264" s="2">
        <f t="shared" si="149"/>
        <v>1</v>
      </c>
      <c r="I264" s="45">
        <f>IF(D264&lt;&gt;"",(VLOOKUP(D264,part_details,4,FALSE)+VLOOKUP(D264,part_details,5,FALSE)+VLOOKUP(D264,part_details,6,FALSE))*'Multi-level BOM'!E264,"")</f>
        <v>17.97</v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0</v>
      </c>
      <c r="V264" s="1" t="str">
        <f t="shared" si="154"/>
        <v/>
      </c>
    </row>
    <row r="265" spans="1:22" x14ac:dyDescent="0.25">
      <c r="A265" s="2">
        <v>262</v>
      </c>
      <c r="B265" s="2">
        <v>2</v>
      </c>
      <c r="C265" s="7" t="s">
        <v>1029</v>
      </c>
      <c r="D265" s="2" t="s">
        <v>100</v>
      </c>
      <c r="E265" s="2">
        <v>1</v>
      </c>
      <c r="G265" s="1" t="str">
        <f>IF(D265="","",VLOOKUP(D265,Table1[#All],2,FALSE))</f>
        <v>4" zip ties</v>
      </c>
      <c r="H265" s="2">
        <f t="shared" si="149"/>
        <v>1</v>
      </c>
      <c r="I265" s="45">
        <f>IF(D265&lt;&gt;"",(VLOOKUP(D265,part_details,4,FALSE)+VLOOKUP(D265,part_details,5,FALSE)+VLOOKUP(D265,part_details,6,FALSE))*'Multi-level BOM'!E265,"")</f>
        <v>3.2645500000000001E-2</v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B266" s="2">
        <v>2</v>
      </c>
      <c r="C266" s="7" t="s">
        <v>1031</v>
      </c>
      <c r="D266" s="2" t="s">
        <v>101</v>
      </c>
      <c r="E266" s="2">
        <v>1</v>
      </c>
      <c r="G266" s="1" t="str">
        <f>IF(D266="","",VLOOKUP(D266,Table1[#All],2,FALSE))</f>
        <v>Tie Mount 0.75 Inch 20mm Black Samll Squares Adhesive Mounting</v>
      </c>
      <c r="H266" s="2">
        <f t="shared" si="149"/>
        <v>1</v>
      </c>
      <c r="I266" s="45">
        <f>IF(D266&lt;&gt;"",(VLOOKUP(D266,part_details,4,FALSE)+VLOOKUP(D266,part_details,5,FALSE)+VLOOKUP(D266,part_details,6,FALSE))*'Multi-level BOM'!E266,"")</f>
        <v>9.7991000000000009E-2</v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B267" s="2">
        <v>2</v>
      </c>
      <c r="C267" s="7" t="s">
        <v>1036</v>
      </c>
      <c r="D267" s="2" t="s">
        <v>102</v>
      </c>
      <c r="E267" s="2">
        <v>1</v>
      </c>
      <c r="G267" s="1" t="str">
        <f>IF(D267="","",VLOOKUP(D267,Table1[#All],2,FALSE))</f>
        <v>1/4 inch PET Expandable Braided Sleeving – Black 25 ft</v>
      </c>
      <c r="H267" s="2">
        <f t="shared" si="149"/>
        <v>1</v>
      </c>
      <c r="I267" s="45">
        <f>IF(D267&lt;&gt;"",(VLOOKUP(D267,part_details,4,FALSE)+VLOOKUP(D267,part_details,5,FALSE)+VLOOKUP(D267,part_details,6,FALSE))*'Multi-level BOM'!E267,"")</f>
        <v>7.4228999999999994</v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B268" s="2">
        <v>2</v>
      </c>
      <c r="C268" s="7" t="s">
        <v>1037</v>
      </c>
      <c r="D268" s="2" t="s">
        <v>103</v>
      </c>
      <c r="E268" s="2">
        <v>1</v>
      </c>
      <c r="G268" s="1" t="str">
        <f>IF(D268="","",VLOOKUP(D268,Table1[#All],2,FALSE))</f>
        <v>1/2 inch PET Expandable Braided Sleeving – Black 25 ft</v>
      </c>
      <c r="H268" s="2">
        <f t="shared" si="149"/>
        <v>1</v>
      </c>
      <c r="I268" s="45">
        <f>IF(D268&lt;&gt;"",(VLOOKUP(D268,part_details,4,FALSE)+VLOOKUP(D268,part_details,5,FALSE)+VLOOKUP(D268,part_details,6,FALSE))*'Multi-level BOM'!E268,"")</f>
        <v>7.5536999999999992</v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B269" s="2">
        <v>2</v>
      </c>
      <c r="C269" s="7" t="s">
        <v>1034</v>
      </c>
      <c r="D269" s="2" t="s">
        <v>104</v>
      </c>
      <c r="E269" s="2">
        <v>1</v>
      </c>
      <c r="G269" s="1" t="str">
        <f>IF(D269="","",VLOOKUP(D269,Table1[#All],2,FALSE))</f>
        <v>RGB Wire Line Cord 22AWG 4pin 22 Gauge - 20M</v>
      </c>
      <c r="H269" s="2">
        <f t="shared" si="149"/>
        <v>1</v>
      </c>
      <c r="I269" s="45">
        <f>IF(D269&lt;&gt;"",(VLOOKUP(D269,part_details,4,FALSE)+VLOOKUP(D269,part_details,5,FALSE)+VLOOKUP(D269,part_details,6,FALSE))*'Multi-level BOM'!E269,"")</f>
        <v>9.4829999999999988</v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198:C205 C207:C227 C45:C49 C140:C152 C173 C193 C65:C75 C91:C96 C131:C132 C98:C105 C134:C138 C238:C447">
    <cfRule type="expression" dxfId="187" priority="183">
      <formula>IF(B5=3,TRUE,FALSE)</formula>
    </cfRule>
    <cfRule type="expression" dxfId="186" priority="184">
      <formula>IF(B5=2,TRUE,FALSE)</formula>
    </cfRule>
    <cfRule type="expression" dxfId="185" priority="185">
      <formula>IF(B5=1,TRUE,FALSE)</formula>
    </cfRule>
  </conditionalFormatting>
  <conditionalFormatting sqref="C139">
    <cfRule type="expression" dxfId="184" priority="177">
      <formula>IF(B139=3,TRUE,FALSE)</formula>
    </cfRule>
    <cfRule type="expression" dxfId="183" priority="178">
      <formula>IF(B139=2,TRUE,FALSE)</formula>
    </cfRule>
    <cfRule type="expression" dxfId="182" priority="179">
      <formula>IF(B139=1,TRUE,FALSE)</formula>
    </cfRule>
  </conditionalFormatting>
  <conditionalFormatting sqref="C159:C160 C163 C168:C169 C178 C171">
    <cfRule type="expression" dxfId="181" priority="174">
      <formula>IF(B159=3,TRUE,FALSE)</formula>
    </cfRule>
    <cfRule type="expression" dxfId="180" priority="175">
      <formula>IF(B159=2,TRUE,FALSE)</formula>
    </cfRule>
    <cfRule type="expression" dxfId="179" priority="176">
      <formula>IF(B159=1,TRUE,FALSE)</formula>
    </cfRule>
  </conditionalFormatting>
  <conditionalFormatting sqref="C161">
    <cfRule type="expression" dxfId="178" priority="171">
      <formula>IF(B161=3,TRUE,FALSE)</formula>
    </cfRule>
    <cfRule type="expression" dxfId="177" priority="172">
      <formula>IF(B161=2,TRUE,FALSE)</formula>
    </cfRule>
    <cfRule type="expression" dxfId="176" priority="173">
      <formula>IF(B161=1,TRUE,FALSE)</formula>
    </cfRule>
  </conditionalFormatting>
  <conditionalFormatting sqref="C179:C180 C183 C188:C189 C191">
    <cfRule type="expression" dxfId="175" priority="165">
      <formula>IF(B179=3,TRUE,FALSE)</formula>
    </cfRule>
    <cfRule type="expression" dxfId="174" priority="166">
      <formula>IF(B179=2,TRUE,FALSE)</formula>
    </cfRule>
    <cfRule type="expression" dxfId="173" priority="167">
      <formula>IF(B179=1,TRUE,FALSE)</formula>
    </cfRule>
  </conditionalFormatting>
  <conditionalFormatting sqref="C181">
    <cfRule type="expression" dxfId="172" priority="162">
      <formula>IF(B181=3,TRUE,FALSE)</formula>
    </cfRule>
    <cfRule type="expression" dxfId="171" priority="163">
      <formula>IF(B181=2,TRUE,FALSE)</formula>
    </cfRule>
    <cfRule type="expression" dxfId="170" priority="164">
      <formula>IF(B181=1,TRUE,FALSE)</formula>
    </cfRule>
  </conditionalFormatting>
  <conditionalFormatting sqref="C186">
    <cfRule type="expression" dxfId="169" priority="159">
      <formula>IF(B186=3,TRUE,FALSE)</formula>
    </cfRule>
    <cfRule type="expression" dxfId="168" priority="160">
      <formula>IF(B186=2,TRUE,FALSE)</formula>
    </cfRule>
    <cfRule type="expression" dxfId="167" priority="161">
      <formula>IF(B186=1,TRUE,FALSE)</formula>
    </cfRule>
  </conditionalFormatting>
  <conditionalFormatting sqref="C15">
    <cfRule type="expression" dxfId="166" priority="156">
      <formula>IF(B15=3,TRUE,FALSE)</formula>
    </cfRule>
    <cfRule type="expression" dxfId="165" priority="157">
      <formula>IF(B15=2,TRUE,FALSE)</formula>
    </cfRule>
    <cfRule type="expression" dxfId="164" priority="158">
      <formula>IF(B15=1,TRUE,FALSE)</formula>
    </cfRule>
  </conditionalFormatting>
  <conditionalFormatting sqref="C23">
    <cfRule type="expression" dxfId="163" priority="153">
      <formula>IF(B23=3,TRUE,FALSE)</formula>
    </cfRule>
    <cfRule type="expression" dxfId="162" priority="154">
      <formula>IF(B23=2,TRUE,FALSE)</formula>
    </cfRule>
    <cfRule type="expression" dxfId="161" priority="155">
      <formula>IF(B23=1,TRUE,FALSE)</formula>
    </cfRule>
  </conditionalFormatting>
  <conditionalFormatting sqref="C50">
    <cfRule type="expression" dxfId="160" priority="150">
      <formula>IF(B50=3,TRUE,FALSE)</formula>
    </cfRule>
    <cfRule type="expression" dxfId="159" priority="151">
      <formula>IF(B50=2,TRUE,FALSE)</formula>
    </cfRule>
    <cfRule type="expression" dxfId="158" priority="152">
      <formula>IF(B50=1,TRUE,FALSE)</formula>
    </cfRule>
  </conditionalFormatting>
  <conditionalFormatting sqref="C51">
    <cfRule type="expression" dxfId="157" priority="147">
      <formula>IF(B51=3,TRUE,FALSE)</formula>
    </cfRule>
    <cfRule type="expression" dxfId="156" priority="148">
      <formula>IF(B51=2,TRUE,FALSE)</formula>
    </cfRule>
    <cfRule type="expression" dxfId="155" priority="149">
      <formula>IF(B51=1,TRUE,FALSE)</formula>
    </cfRule>
  </conditionalFormatting>
  <conditionalFormatting sqref="C58">
    <cfRule type="expression" dxfId="154" priority="144">
      <formula>IF(B58=3,TRUE,FALSE)</formula>
    </cfRule>
    <cfRule type="expression" dxfId="153" priority="145">
      <formula>IF(B58=2,TRUE,FALSE)</formula>
    </cfRule>
    <cfRule type="expression" dxfId="152" priority="146">
      <formula>IF(B58=1,TRUE,FALSE)</formula>
    </cfRule>
  </conditionalFormatting>
  <conditionalFormatting sqref="C59">
    <cfRule type="expression" dxfId="151" priority="141">
      <formula>IF(B59=3,TRUE,FALSE)</formula>
    </cfRule>
    <cfRule type="expression" dxfId="150" priority="142">
      <formula>IF(B59=2,TRUE,FALSE)</formula>
    </cfRule>
    <cfRule type="expression" dxfId="149" priority="143">
      <formula>IF(B59=1,TRUE,FALSE)</formula>
    </cfRule>
  </conditionalFormatting>
  <conditionalFormatting sqref="C76">
    <cfRule type="expression" dxfId="148" priority="138">
      <formula>IF(B76=3,TRUE,FALSE)</formula>
    </cfRule>
    <cfRule type="expression" dxfId="147" priority="139">
      <formula>IF(B76=2,TRUE,FALSE)</formula>
    </cfRule>
    <cfRule type="expression" dxfId="146" priority="140">
      <formula>IF(B76=1,TRUE,FALSE)</formula>
    </cfRule>
  </conditionalFormatting>
  <conditionalFormatting sqref="C84">
    <cfRule type="expression" dxfId="145" priority="135">
      <formula>IF(B84=3,TRUE,FALSE)</formula>
    </cfRule>
    <cfRule type="expression" dxfId="144" priority="136">
      <formula>IF(B84=2,TRUE,FALSE)</formula>
    </cfRule>
    <cfRule type="expression" dxfId="143" priority="137">
      <formula>IF(B84=1,TRUE,FALSE)</formula>
    </cfRule>
  </conditionalFormatting>
  <conditionalFormatting sqref="C64">
    <cfRule type="expression" dxfId="142" priority="132">
      <formula>IF(B64=3,TRUE,FALSE)</formula>
    </cfRule>
    <cfRule type="expression" dxfId="141" priority="133">
      <formula>IF(B64=2,TRUE,FALSE)</formula>
    </cfRule>
    <cfRule type="expression" dxfId="140" priority="134">
      <formula>IF(B64=1,TRUE,FALSE)</formula>
    </cfRule>
  </conditionalFormatting>
  <conditionalFormatting sqref="C90">
    <cfRule type="expression" dxfId="139" priority="126">
      <formula>IF(B90=3,TRUE,FALSE)</formula>
    </cfRule>
    <cfRule type="expression" dxfId="138" priority="127">
      <formula>IF(B90=2,TRUE,FALSE)</formula>
    </cfRule>
    <cfRule type="expression" dxfId="137" priority="128">
      <formula>IF(B90=1,TRUE,FALSE)</formula>
    </cfRule>
  </conditionalFormatting>
  <conditionalFormatting sqref="C153:C157">
    <cfRule type="expression" dxfId="136" priority="123">
      <formula>IF(B153=3,TRUE,FALSE)</formula>
    </cfRule>
    <cfRule type="expression" dxfId="135" priority="124">
      <formula>IF(B153=2,TRUE,FALSE)</formula>
    </cfRule>
    <cfRule type="expression" dxfId="134" priority="125">
      <formula>IF(B153=1,TRUE,FALSE)</formula>
    </cfRule>
  </conditionalFormatting>
  <conditionalFormatting sqref="C174 C177">
    <cfRule type="expression" dxfId="133" priority="120">
      <formula>IF(B174=3,TRUE,FALSE)</formula>
    </cfRule>
    <cfRule type="expression" dxfId="132" priority="121">
      <formula>IF(B174=2,TRUE,FALSE)</formula>
    </cfRule>
    <cfRule type="expression" dxfId="131" priority="122">
      <formula>IF(B174=1,TRUE,FALSE)</formula>
    </cfRule>
  </conditionalFormatting>
  <conditionalFormatting sqref="C197">
    <cfRule type="expression" dxfId="130" priority="117">
      <formula>IF(B197=3,TRUE,FALSE)</formula>
    </cfRule>
    <cfRule type="expression" dxfId="129" priority="118">
      <formula>IF(B197=2,TRUE,FALSE)</formula>
    </cfRule>
    <cfRule type="expression" dxfId="128" priority="119">
      <formula>IF(B197=1,TRUE,FALSE)</formula>
    </cfRule>
  </conditionalFormatting>
  <conditionalFormatting sqref="C194">
    <cfRule type="expression" dxfId="127" priority="114">
      <formula>IF(B194=3,TRUE,FALSE)</formula>
    </cfRule>
    <cfRule type="expression" dxfId="126" priority="115">
      <formula>IF(B194=2,TRUE,FALSE)</formula>
    </cfRule>
    <cfRule type="expression" dxfId="125" priority="116">
      <formula>IF(B194=1,TRUE,FALSE)</formula>
    </cfRule>
  </conditionalFormatting>
  <conditionalFormatting sqref="C175:C176">
    <cfRule type="expression" dxfId="124" priority="108">
      <formula>IF(B175=3,TRUE,FALSE)</formula>
    </cfRule>
    <cfRule type="expression" dxfId="123" priority="109">
      <formula>IF(B175=2,TRUE,FALSE)</formula>
    </cfRule>
    <cfRule type="expression" dxfId="122" priority="110">
      <formula>IF(B175=1,TRUE,FALSE)</formula>
    </cfRule>
  </conditionalFormatting>
  <conditionalFormatting sqref="C195:C196">
    <cfRule type="expression" dxfId="121" priority="105">
      <formula>IF(B195=3,TRUE,FALSE)</formula>
    </cfRule>
    <cfRule type="expression" dxfId="120" priority="106">
      <formula>IF(B195=2,TRUE,FALSE)</formula>
    </cfRule>
    <cfRule type="expression" dxfId="119" priority="107">
      <formula>IF(B195=1,TRUE,FALSE)</formula>
    </cfRule>
  </conditionalFormatting>
  <conditionalFormatting sqref="C228:C237">
    <cfRule type="expression" dxfId="118" priority="99">
      <formula>IF(B228=3,TRUE,FALSE)</formula>
    </cfRule>
    <cfRule type="expression" dxfId="117" priority="100">
      <formula>IF(B228=2,TRUE,FALSE)</formula>
    </cfRule>
    <cfRule type="expression" dxfId="116" priority="101">
      <formula>IF(B228=1,TRUE,FALSE)</formula>
    </cfRule>
  </conditionalFormatting>
  <conditionalFormatting sqref="C206">
    <cfRule type="expression" dxfId="115" priority="96">
      <formula>IF(B206=3,TRUE,FALSE)</formula>
    </cfRule>
    <cfRule type="expression" dxfId="114" priority="97">
      <formula>IF(B206=2,TRUE,FALSE)</formula>
    </cfRule>
    <cfRule type="expression" dxfId="113" priority="98">
      <formula>IF(B206=1,TRUE,FALSE)</formula>
    </cfRule>
  </conditionalFormatting>
  <conditionalFormatting sqref="C170">
    <cfRule type="expression" dxfId="112" priority="90">
      <formula>IF(B170=3,TRUE,FALSE)</formula>
    </cfRule>
    <cfRule type="expression" dxfId="111" priority="91">
      <formula>IF(B170=2,TRUE,FALSE)</formula>
    </cfRule>
    <cfRule type="expression" dxfId="110" priority="92">
      <formula>IF(B170=1,TRUE,FALSE)</formula>
    </cfRule>
  </conditionalFormatting>
  <conditionalFormatting sqref="C164:C165">
    <cfRule type="expression" dxfId="109" priority="84">
      <formula>IF(B164=3,TRUE,FALSE)</formula>
    </cfRule>
    <cfRule type="expression" dxfId="108" priority="85">
      <formula>IF(B164=2,TRUE,FALSE)</formula>
    </cfRule>
    <cfRule type="expression" dxfId="107" priority="86">
      <formula>IF(B164=1,TRUE,FALSE)</formula>
    </cfRule>
  </conditionalFormatting>
  <conditionalFormatting sqref="C166">
    <cfRule type="expression" dxfId="106" priority="78">
      <formula>IF(B166=3,TRUE,FALSE)</formula>
    </cfRule>
    <cfRule type="expression" dxfId="105" priority="79">
      <formula>IF(B166=2,TRUE,FALSE)</formula>
    </cfRule>
    <cfRule type="expression" dxfId="104" priority="80">
      <formula>IF(B166=1,TRUE,FALSE)</formula>
    </cfRule>
  </conditionalFormatting>
  <conditionalFormatting sqref="C184:C185">
    <cfRule type="expression" dxfId="103" priority="81">
      <formula>IF(B184=3,TRUE,FALSE)</formula>
    </cfRule>
    <cfRule type="expression" dxfId="102" priority="82">
      <formula>IF(B184=2,TRUE,FALSE)</formula>
    </cfRule>
    <cfRule type="expression" dxfId="101" priority="83">
      <formula>IF(B184=1,TRUE,FALSE)</formula>
    </cfRule>
  </conditionalFormatting>
  <conditionalFormatting sqref="C167">
    <cfRule type="expression" dxfId="100" priority="75">
      <formula>IF(B167=3,TRUE,FALSE)</formula>
    </cfRule>
    <cfRule type="expression" dxfId="99" priority="76">
      <formula>IF(B167=2,TRUE,FALSE)</formula>
    </cfRule>
    <cfRule type="expression" dxfId="98" priority="77">
      <formula>IF(B167=1,TRUE,FALSE)</formula>
    </cfRule>
  </conditionalFormatting>
  <conditionalFormatting sqref="C187">
    <cfRule type="expression" dxfId="97" priority="72">
      <formula>IF(B187=3,TRUE,FALSE)</formula>
    </cfRule>
    <cfRule type="expression" dxfId="96" priority="73">
      <formula>IF(B187=2,TRUE,FALSE)</formula>
    </cfRule>
    <cfRule type="expression" dxfId="95" priority="74">
      <formula>IF(B187=1,TRUE,FALSE)</formula>
    </cfRule>
  </conditionalFormatting>
  <conditionalFormatting sqref="C190">
    <cfRule type="expression" dxfId="94" priority="69">
      <formula>IF(B190=3,TRUE,FALSE)</formula>
    </cfRule>
    <cfRule type="expression" dxfId="93" priority="70">
      <formula>IF(B190=2,TRUE,FALSE)</formula>
    </cfRule>
    <cfRule type="expression" dxfId="92" priority="71">
      <formula>IF(B190=1,TRUE,FALSE)</formula>
    </cfRule>
  </conditionalFormatting>
  <conditionalFormatting sqref="C172">
    <cfRule type="expression" dxfId="91" priority="66">
      <formula>IF(B172=3,TRUE,FALSE)</formula>
    </cfRule>
    <cfRule type="expression" dxfId="90" priority="67">
      <formula>IF(B172=2,TRUE,FALSE)</formula>
    </cfRule>
    <cfRule type="expression" dxfId="89" priority="68">
      <formula>IF(B172=1,TRUE,FALSE)</formula>
    </cfRule>
  </conditionalFormatting>
  <conditionalFormatting sqref="C192">
    <cfRule type="expression" dxfId="88" priority="63">
      <formula>IF(B192=3,TRUE,FALSE)</formula>
    </cfRule>
    <cfRule type="expression" dxfId="87" priority="64">
      <formula>IF(B192=2,TRUE,FALSE)</formula>
    </cfRule>
    <cfRule type="expression" dxfId="86" priority="65">
      <formula>IF(B192=1,TRUE,FALSE)</formula>
    </cfRule>
  </conditionalFormatting>
  <conditionalFormatting sqref="C34 C25:C30">
    <cfRule type="expression" dxfId="85" priority="60">
      <formula>IF(B25=3,TRUE,FALSE)</formula>
    </cfRule>
    <cfRule type="expression" dxfId="84" priority="61">
      <formula>IF(B25=2,TRUE,FALSE)</formula>
    </cfRule>
    <cfRule type="expression" dxfId="83" priority="62">
      <formula>IF(B25=1,TRUE,FALSE)</formula>
    </cfRule>
  </conditionalFormatting>
  <conditionalFormatting sqref="C31:C33">
    <cfRule type="expression" dxfId="82" priority="57">
      <formula>IF(B31=3,TRUE,FALSE)</formula>
    </cfRule>
    <cfRule type="expression" dxfId="81" priority="58">
      <formula>IF(B31=2,TRUE,FALSE)</formula>
    </cfRule>
    <cfRule type="expression" dxfId="80" priority="59">
      <formula>IF(B31=1,TRUE,FALSE)</formula>
    </cfRule>
  </conditionalFormatting>
  <conditionalFormatting sqref="C44 C35:C40">
    <cfRule type="expression" dxfId="79" priority="54">
      <formula>IF(B35=3,TRUE,FALSE)</formula>
    </cfRule>
    <cfRule type="expression" dxfId="78" priority="55">
      <formula>IF(B35=2,TRUE,FALSE)</formula>
    </cfRule>
    <cfRule type="expression" dxfId="77" priority="56">
      <formula>IF(B35=1,TRUE,FALSE)</formula>
    </cfRule>
  </conditionalFormatting>
  <conditionalFormatting sqref="C41:C43">
    <cfRule type="expression" dxfId="76" priority="51">
      <formula>IF(B41=3,TRUE,FALSE)</formula>
    </cfRule>
    <cfRule type="expression" dxfId="75" priority="52">
      <formula>IF(B41=2,TRUE,FALSE)</formula>
    </cfRule>
    <cfRule type="expression" dxfId="74" priority="53">
      <formula>IF(B41=1,TRUE,FALSE)</formula>
    </cfRule>
  </conditionalFormatting>
  <conditionalFormatting sqref="C106:C107">
    <cfRule type="expression" dxfId="73" priority="48">
      <formula>IF(B106=3,TRUE,FALSE)</formula>
    </cfRule>
    <cfRule type="expression" dxfId="72" priority="49">
      <formula>IF(B106=2,TRUE,FALSE)</formula>
    </cfRule>
    <cfRule type="expression" dxfId="71" priority="50">
      <formula>IF(B106=1,TRUE,FALSE)</formula>
    </cfRule>
  </conditionalFormatting>
  <conditionalFormatting sqref="C111:C112">
    <cfRule type="expression" dxfId="70" priority="45">
      <formula>IF(B111=3,TRUE,FALSE)</formula>
    </cfRule>
    <cfRule type="expression" dxfId="69" priority="46">
      <formula>IF(B111=2,TRUE,FALSE)</formula>
    </cfRule>
    <cfRule type="expression" dxfId="68" priority="47">
      <formula>IF(B111=1,TRUE,FALSE)</formula>
    </cfRule>
  </conditionalFormatting>
  <conditionalFormatting sqref="C108:C110">
    <cfRule type="expression" dxfId="67" priority="39">
      <formula>IF(B108=3,TRUE,FALSE)</formula>
    </cfRule>
    <cfRule type="expression" dxfId="66" priority="40">
      <formula>IF(B108=2,TRUE,FALSE)</formula>
    </cfRule>
    <cfRule type="expression" dxfId="65" priority="41">
      <formula>IF(B108=1,TRUE,FALSE)</formula>
    </cfRule>
  </conditionalFormatting>
  <conditionalFormatting sqref="C113:C115">
    <cfRule type="expression" dxfId="64" priority="36">
      <formula>IF(B113=3,TRUE,FALSE)</formula>
    </cfRule>
    <cfRule type="expression" dxfId="63" priority="37">
      <formula>IF(B113=2,TRUE,FALSE)</formula>
    </cfRule>
    <cfRule type="expression" dxfId="62" priority="38">
      <formula>IF(B113=1,TRUE,FALSE)</formula>
    </cfRule>
  </conditionalFormatting>
  <conditionalFormatting sqref="C116:C120">
    <cfRule type="expression" dxfId="61" priority="33">
      <formula>IF(B116=3,TRUE,FALSE)</formula>
    </cfRule>
    <cfRule type="expression" dxfId="60" priority="34">
      <formula>IF(B116=2,TRUE,FALSE)</formula>
    </cfRule>
    <cfRule type="expression" dxfId="59" priority="35">
      <formula>IF(B116=1,TRUE,FALSE)</formula>
    </cfRule>
  </conditionalFormatting>
  <conditionalFormatting sqref="C121:C122">
    <cfRule type="expression" dxfId="58" priority="30">
      <formula>IF(B121=3,TRUE,FALSE)</formula>
    </cfRule>
    <cfRule type="expression" dxfId="57" priority="31">
      <formula>IF(B121=2,TRUE,FALSE)</formula>
    </cfRule>
    <cfRule type="expression" dxfId="56" priority="32">
      <formula>IF(B121=1,TRUE,FALSE)</formula>
    </cfRule>
  </conditionalFormatting>
  <conditionalFormatting sqref="C126:C127">
    <cfRule type="expression" dxfId="55" priority="27">
      <formula>IF(B126=3,TRUE,FALSE)</formula>
    </cfRule>
    <cfRule type="expression" dxfId="54" priority="28">
      <formula>IF(B126=2,TRUE,FALSE)</formula>
    </cfRule>
    <cfRule type="expression" dxfId="53" priority="29">
      <formula>IF(B126=1,TRUE,FALSE)</formula>
    </cfRule>
  </conditionalFormatting>
  <conditionalFormatting sqref="C123:C125">
    <cfRule type="expression" dxfId="52" priority="24">
      <formula>IF(B123=3,TRUE,FALSE)</formula>
    </cfRule>
    <cfRule type="expression" dxfId="51" priority="25">
      <formula>IF(B123=2,TRUE,FALSE)</formula>
    </cfRule>
    <cfRule type="expression" dxfId="50" priority="26">
      <formula>IF(B123=1,TRUE,FALSE)</formula>
    </cfRule>
  </conditionalFormatting>
  <conditionalFormatting sqref="C128:C130">
    <cfRule type="expression" dxfId="49" priority="21">
      <formula>IF(B128=3,TRUE,FALSE)</formula>
    </cfRule>
    <cfRule type="expression" dxfId="48" priority="22">
      <formula>IF(B128=2,TRUE,FALSE)</formula>
    </cfRule>
    <cfRule type="expression" dxfId="47" priority="23">
      <formula>IF(B128=1,TRUE,FALSE)</formula>
    </cfRule>
  </conditionalFormatting>
  <conditionalFormatting sqref="H4:H203">
    <cfRule type="expression" dxfId="46" priority="20">
      <formula>IF(VLOOKUP(D4,part_details,13,FALSE)&gt;=H4,TRUE,FALSE)</formula>
    </cfRule>
  </conditionalFormatting>
  <conditionalFormatting sqref="D4:D96 D98:D132 D134:D467">
    <cfRule type="expression" dxfId="45" priority="186">
      <formula>IF(F4="x",TRUE,FALSE)</formula>
    </cfRule>
  </conditionalFormatting>
  <conditionalFormatting sqref="C97">
    <cfRule type="expression" dxfId="44" priority="14">
      <formula>IF(B97=3,TRUE,FALSE)</formula>
    </cfRule>
    <cfRule type="expression" dxfId="43" priority="15">
      <formula>IF(B97=2,TRUE,FALSE)</formula>
    </cfRule>
    <cfRule type="expression" dxfId="42" priority="16">
      <formula>IF(B97=1,TRUE,FALSE)</formula>
    </cfRule>
  </conditionalFormatting>
  <conditionalFormatting sqref="D97">
    <cfRule type="expression" dxfId="41" priority="12">
      <formula>IF(F97="x",TRUE,FALSE)</formula>
    </cfRule>
  </conditionalFormatting>
  <conditionalFormatting sqref="D133">
    <cfRule type="expression" dxfId="40" priority="7">
      <formula>IF(F133="x",TRUE,FALSE)</formula>
    </cfRule>
  </conditionalFormatting>
  <conditionalFormatting sqref="C133">
    <cfRule type="expression" dxfId="39" priority="9">
      <formula>IF(B133=3,TRUE,FALSE)</formula>
    </cfRule>
    <cfRule type="expression" dxfId="38" priority="10">
      <formula>IF(B133=2,TRUE,FALSE)</formula>
    </cfRule>
    <cfRule type="expression" dxfId="37" priority="11">
      <formula>IF(B133=1,TRUE,FALSE)</formula>
    </cfRule>
  </conditionalFormatting>
  <conditionalFormatting sqref="C162">
    <cfRule type="expression" dxfId="36" priority="4">
      <formula>IF(B162=3,TRUE,FALSE)</formula>
    </cfRule>
    <cfRule type="expression" dxfId="35" priority="5">
      <formula>IF(B162=2,TRUE,FALSE)</formula>
    </cfRule>
    <cfRule type="expression" dxfId="34" priority="6">
      <formula>IF(B162=1,TRUE,FALSE)</formula>
    </cfRule>
  </conditionalFormatting>
  <conditionalFormatting sqref="C182">
    <cfRule type="expression" dxfId="33" priority="1">
      <formula>IF(B182=3,TRUE,FALSE)</formula>
    </cfRule>
    <cfRule type="expression" dxfId="32" priority="2">
      <formula>IF(B182=2,TRUE,FALSE)</formula>
    </cfRule>
    <cfRule type="expression" dxfId="31" priority="3">
      <formula>IF(B182=1,TRUE,FALSE)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37"/>
  <sheetViews>
    <sheetView tabSelected="1" zoomScaleNormal="100" workbookViewId="0">
      <pane xSplit="2" ySplit="3" topLeftCell="C94" activePane="bottomRight" state="frozen"/>
      <selection pane="topRight" activeCell="C1" sqref="C1"/>
      <selection pane="bottomLeft" activeCell="A4" sqref="A4"/>
      <selection pane="bottomRight" activeCell="M105" sqref="M105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44.28515625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4" width="10.42578125" style="78" customWidth="1"/>
    <col min="15" max="15" width="9.7109375" style="38" customWidth="1"/>
    <col min="16" max="16" width="9.7109375" style="75" customWidth="1"/>
    <col min="17" max="17" width="9.7109375" style="38" customWidth="1"/>
    <col min="18" max="18" width="9.7109375" style="44" customWidth="1"/>
    <col min="19" max="19" width="11.42578125" style="38" customWidth="1"/>
    <col min="20" max="20" width="10" style="38" customWidth="1"/>
    <col min="21" max="21" width="12.85546875" style="44" customWidth="1"/>
    <col min="22" max="22" width="13.85546875" style="50" customWidth="1"/>
    <col min="23" max="24" width="14" style="1" customWidth="1"/>
    <col min="25" max="27" width="14" style="85" customWidth="1"/>
    <col min="28" max="28" width="36.42578125" style="1" customWidth="1"/>
    <col min="29" max="29" width="18.28515625" style="1" customWidth="1"/>
    <col min="30" max="16384" width="9.140625" style="1"/>
  </cols>
  <sheetData>
    <row r="1" spans="1:29" ht="30" x14ac:dyDescent="0.25">
      <c r="D1" s="60"/>
      <c r="K1" s="57" t="s">
        <v>764</v>
      </c>
      <c r="V1" s="56" t="s">
        <v>928</v>
      </c>
    </row>
    <row r="2" spans="1:29" x14ac:dyDescent="0.25">
      <c r="K2" s="3">
        <f>SUM(Table1[Ideal cost])</f>
        <v>1804.2691737256139</v>
      </c>
      <c r="L2" s="44"/>
      <c r="M2" s="44"/>
      <c r="N2" s="44"/>
      <c r="P2" s="3">
        <f>SUM(Table1[Ideal cost of parts on hand])</f>
        <v>1477.2532017717676</v>
      </c>
      <c r="R2" s="3">
        <f>SUM(Table1[Ideal cost of parts on order])</f>
        <v>0</v>
      </c>
      <c r="U2" s="3">
        <f>SUM(Table1[Remaining ideal cost])</f>
        <v>334.53341649999999</v>
      </c>
      <c r="V2" s="51">
        <f>SUM(Table1[Remaining Extended cost])</f>
        <v>401.79689999999999</v>
      </c>
      <c r="W2" s="3">
        <f>SUM(Table1[Cost of excess material])</f>
        <v>240.40031259786616</v>
      </c>
      <c r="X2" s="3"/>
      <c r="Y2" s="86"/>
      <c r="Z2" s="86"/>
      <c r="AA2" s="86"/>
      <c r="AB2" s="1" t="s">
        <v>6</v>
      </c>
      <c r="AC2" s="3">
        <f>SUM(Table1[Buy-now costs])</f>
        <v>0</v>
      </c>
    </row>
    <row r="3" spans="1:2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902</v>
      </c>
      <c r="I3" s="12" t="s">
        <v>6</v>
      </c>
      <c r="J3" s="48" t="s">
        <v>694</v>
      </c>
      <c r="K3" s="15" t="s">
        <v>763</v>
      </c>
      <c r="L3" s="79" t="s">
        <v>909</v>
      </c>
      <c r="M3" s="79" t="s">
        <v>1088</v>
      </c>
      <c r="N3" s="79" t="s">
        <v>1089</v>
      </c>
      <c r="O3" s="39" t="s">
        <v>865</v>
      </c>
      <c r="P3" s="93" t="s">
        <v>1083</v>
      </c>
      <c r="Q3" s="48" t="s">
        <v>1046</v>
      </c>
      <c r="R3" s="91" t="s">
        <v>1086</v>
      </c>
      <c r="S3" s="48" t="s">
        <v>1059</v>
      </c>
      <c r="T3" s="48" t="s">
        <v>695</v>
      </c>
      <c r="U3" s="91" t="s">
        <v>1081</v>
      </c>
      <c r="V3" s="52" t="s">
        <v>903</v>
      </c>
      <c r="W3" s="37" t="s">
        <v>904</v>
      </c>
      <c r="X3" s="13" t="s">
        <v>1061</v>
      </c>
      <c r="Y3" s="87" t="s">
        <v>1066</v>
      </c>
      <c r="Z3" s="87" t="s">
        <v>1068</v>
      </c>
      <c r="AA3" s="87" t="s">
        <v>1067</v>
      </c>
      <c r="AB3" s="37" t="s">
        <v>866</v>
      </c>
      <c r="AC3" s="37" t="s">
        <v>936</v>
      </c>
    </row>
    <row r="4" spans="1:29" x14ac:dyDescent="0.25">
      <c r="A4" s="1" t="s">
        <v>7</v>
      </c>
      <c r="B4" s="4" t="s">
        <v>720</v>
      </c>
      <c r="C4" s="1" t="s">
        <v>648</v>
      </c>
      <c r="D4" s="3">
        <v>100.6</v>
      </c>
      <c r="E4" s="3">
        <f>42.03/2</f>
        <v>21.015000000000001</v>
      </c>
      <c r="F4" s="3">
        <v>0</v>
      </c>
      <c r="G4" s="5" t="s">
        <v>649</v>
      </c>
      <c r="H4" s="2">
        <v>1</v>
      </c>
      <c r="I4" s="1" t="s">
        <v>719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121.61499999999999</v>
      </c>
      <c r="L4" s="80" t="str">
        <f>IF(Table1[[#This Row],[Buy-now costs]]&gt;0,"X","")</f>
        <v/>
      </c>
      <c r="M4" s="80">
        <v>1</v>
      </c>
      <c r="N4" s="80"/>
      <c r="O4" s="40">
        <v>1</v>
      </c>
      <c r="P4" s="94">
        <f>Table1[[#This Row],[quantity on-hand]]*(Table1[[#This Row],[Cost ]]+Table1[[#This Row],[shipping]]+Table1[[#This Row],[Tax]])</f>
        <v>121.61499999999999</v>
      </c>
      <c r="Q4" s="40">
        <v>0</v>
      </c>
      <c r="R4" s="92">
        <f>Table1[[#This Row],[Quantity on order]]*(Table1[[#This Row],[Cost ]]+Table1[[#This Row],[shipping]]+Table1[[#This Row],[Tax]])</f>
        <v>0</v>
      </c>
      <c r="S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" s="49">
        <f>Table1[[#This Row],[Quantity  to  purchase]]+Table1[[#This Row],[Quantity purchased]]+Table1[[#This Row],[Quantity on order]]+Table1[[#This Row],[Quantity donated]]-Table1[[#This Row],[extended quantity]]</f>
        <v>0</v>
      </c>
      <c r="U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" s="51">
        <f>IFERROR(Table1[[#This Row],[Quantity  to  purchase]]*(Table1[[#This Row],[Cost ]]+Table1[[#This Row],[shipping]]+Table1[[#This Row],[Tax]]),0)</f>
        <v>0</v>
      </c>
      <c r="W4" s="36">
        <f>IFERROR(Table1[[#This Row],[leftover material]]*(Table1[[#This Row],[Cost ]]+Table1[[#This Row],[shipping]]+Table1[[#This Row],[Tax]]),0)</f>
        <v>0</v>
      </c>
      <c r="X4" s="36">
        <f>242.23/2</f>
        <v>121.11499999999999</v>
      </c>
      <c r="Y4" s="84">
        <v>43899</v>
      </c>
      <c r="Z4" s="84">
        <v>43910</v>
      </c>
      <c r="AA4" s="84">
        <v>43910</v>
      </c>
      <c r="AB4" s="36"/>
      <c r="AC4" s="36">
        <f>IF(ISNA(VLOOKUP(Table1[[#This Row],[Part Number]],'Multi-level BOM'!V$4:V$449,1,FALSE)),0,Table1[[#This Row],[Remaining Extended cost]])</f>
        <v>0</v>
      </c>
    </row>
    <row r="5" spans="1:29" x14ac:dyDescent="0.25">
      <c r="A5" s="1" t="s">
        <v>8</v>
      </c>
      <c r="B5" s="4" t="s">
        <v>721</v>
      </c>
      <c r="C5" s="1" t="s">
        <v>648</v>
      </c>
      <c r="D5" s="3">
        <v>100.6</v>
      </c>
      <c r="E5" s="3">
        <f>42.03/2</f>
        <v>21.015000000000001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121.61499999999999</v>
      </c>
      <c r="L5" s="80" t="str">
        <f>IF(Table1[[#This Row],[Buy-now costs]]&gt;0,"X","")</f>
        <v/>
      </c>
      <c r="M5" s="80">
        <v>1</v>
      </c>
      <c r="N5" s="80"/>
      <c r="O5" s="40">
        <v>1</v>
      </c>
      <c r="P5" s="94">
        <f>Table1[[#This Row],[quantity on-hand]]*(Table1[[#This Row],[Cost ]]+Table1[[#This Row],[shipping]]+Table1[[#This Row],[Tax]])</f>
        <v>121.61499999999999</v>
      </c>
      <c r="Q5" s="40">
        <v>0</v>
      </c>
      <c r="R5" s="92">
        <f>Table1[[#This Row],[Quantity on order]]*(Table1[[#This Row],[Cost ]]+Table1[[#This Row],[shipping]]+Table1[[#This Row],[Tax]])</f>
        <v>0</v>
      </c>
      <c r="S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" s="49">
        <f>Table1[[#This Row],[Quantity  to  purchase]]+Table1[[#This Row],[Quantity purchased]]+Table1[[#This Row],[Quantity on order]]+Table1[[#This Row],[Quantity donated]]-Table1[[#This Row],[extended quantity]]</f>
        <v>0</v>
      </c>
      <c r="U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" s="51">
        <f>IFERROR(Table1[[#This Row],[Quantity  to  purchase]]*(Table1[[#This Row],[Cost ]]+Table1[[#This Row],[shipping]]+Table1[[#This Row],[Tax]]),0)</f>
        <v>0</v>
      </c>
      <c r="W5" s="36">
        <f>IFERROR(Table1[[#This Row],[leftover material]]*(Table1[[#This Row],[Cost ]]+Table1[[#This Row],[shipping]]+Table1[[#This Row],[Tax]]),0)</f>
        <v>0</v>
      </c>
      <c r="X5" s="36">
        <f>242.23/2</f>
        <v>121.11499999999999</v>
      </c>
      <c r="Y5" s="84">
        <v>43899</v>
      </c>
      <c r="Z5" s="84">
        <v>43910</v>
      </c>
      <c r="AA5" s="84">
        <v>43910</v>
      </c>
      <c r="AB5" s="36"/>
      <c r="AC5" s="36">
        <f>IF(ISNA(VLOOKUP(Table1[[#This Row],[Part Number]],'Multi-level BOM'!V$4:V$449,1,FALSE)),0,Table1[[#This Row],[Remaining Extended cost]])</f>
        <v>0</v>
      </c>
    </row>
    <row r="6" spans="1:29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80" t="str">
        <f>IF(Table1[[#This Row],[Buy-now costs]]&gt;0,"X","")</f>
        <v/>
      </c>
      <c r="M6" s="80">
        <v>0</v>
      </c>
      <c r="N6" s="80">
        <v>20</v>
      </c>
      <c r="O6" s="40">
        <v>20</v>
      </c>
      <c r="P6" s="94">
        <f>Table1[[#This Row],[quantity on-hand]]*(Table1[[#This Row],[Cost ]]+Table1[[#This Row],[shipping]]+Table1[[#This Row],[Tax]])</f>
        <v>29.408200000000001</v>
      </c>
      <c r="Q6" s="40">
        <v>0</v>
      </c>
      <c r="R6" s="92">
        <f>Table1[[#This Row],[Quantity on order]]*(Table1[[#This Row],[Cost ]]+Table1[[#This Row],[shipping]]+Table1[[#This Row],[Tax]])</f>
        <v>0</v>
      </c>
      <c r="S6" s="49">
        <f>IFERROR(CEILING((Table1[[#This Row],[extended quantity]]-Table1[[#This Row],[quantity on-hand]]-Table1[[#This Row],[Quantity on order]])/Table1[[#This Row],[Minimum order quantity]],1)*Table1[[#This Row],[Minimum order quantity]],0)</f>
        <v>10</v>
      </c>
      <c r="T6" s="49">
        <f>Table1[[#This Row],[Quantity  to  purchase]]+Table1[[#This Row],[Quantity purchased]]+Table1[[#This Row],[Quantity on order]]+Table1[[#This Row],[Quantity donated]]-Table1[[#This Row],[extended quantity]]</f>
        <v>2</v>
      </c>
      <c r="U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11.76328</v>
      </c>
      <c r="V6" s="51">
        <f>IFERROR(Table1[[#This Row],[Quantity  to  purchase]]*(Table1[[#This Row],[Cost ]]+Table1[[#This Row],[shipping]]+Table1[[#This Row],[Tax]]),0)</f>
        <v>14.7041</v>
      </c>
      <c r="W6" s="36">
        <f>IFERROR(Table1[[#This Row],[leftover material]]*(Table1[[#This Row],[Cost ]]+Table1[[#This Row],[shipping]]+Table1[[#This Row],[Tax]]),0)</f>
        <v>2.94082</v>
      </c>
      <c r="X6" s="36"/>
      <c r="Y6" s="84"/>
      <c r="Z6" s="84"/>
      <c r="AA6" s="84"/>
      <c r="AB6" s="36" t="s">
        <v>908</v>
      </c>
      <c r="AC6" s="36">
        <f>IF(ISNA(VLOOKUP(Table1[[#This Row],[Part Number]],'Multi-level BOM'!V$4:V$449,1,FALSE)),0,Table1[[#This Row],[Remaining Extended cost]])</f>
        <v>0</v>
      </c>
    </row>
    <row r="7" spans="1:29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80" t="str">
        <f>IF(Table1[[#This Row],[Buy-now costs]]&gt;0,"X","")</f>
        <v/>
      </c>
      <c r="M7" s="80">
        <v>600</v>
      </c>
      <c r="N7" s="80"/>
      <c r="O7" s="40">
        <v>314</v>
      </c>
      <c r="P7" s="94">
        <f>Table1[[#This Row],[quantity on-hand]]*(Table1[[#This Row],[Cost ]]+Table1[[#This Row],[shipping]]+Table1[[#This Row],[Tax]])</f>
        <v>5.8127156666666657</v>
      </c>
      <c r="Q7" s="40">
        <v>0</v>
      </c>
      <c r="R7" s="92">
        <f>Table1[[#This Row],[Quantity on order]]*(Table1[[#This Row],[Cost ]]+Table1[[#This Row],[shipping]]+Table1[[#This Row],[Tax]])</f>
        <v>0</v>
      </c>
      <c r="S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" s="49">
        <f>Table1[[#This Row],[Quantity  to  purchase]]+Table1[[#This Row],[Quantity purchased]]+Table1[[#This Row],[Quantity on order]]+Table1[[#This Row],[Quantity donated]]-Table1[[#This Row],[extended quantity]]</f>
        <v>286.2</v>
      </c>
      <c r="U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" s="51">
        <f>IFERROR(Table1[[#This Row],[Quantity  to  purchase]]*(Table1[[#This Row],[Cost ]]+Table1[[#This Row],[shipping]]+Table1[[#This Row],[Tax]]),0)</f>
        <v>0</v>
      </c>
      <c r="W7" s="36">
        <f>IFERROR(Table1[[#This Row],[leftover material]]*(Table1[[#This Row],[Cost ]]+Table1[[#This Row],[shipping]]+Table1[[#This Row],[Tax]]),0)</f>
        <v>5.2980866999999989</v>
      </c>
      <c r="X7" s="36">
        <v>0</v>
      </c>
      <c r="Y7" s="84"/>
      <c r="Z7" s="84"/>
      <c r="AA7" s="84"/>
      <c r="AB7" s="36" t="s">
        <v>867</v>
      </c>
      <c r="AC7" s="36">
        <f>IF(ISNA(VLOOKUP(Table1[[#This Row],[Part Number]],'Multi-level BOM'!V$4:V$449,1,FALSE)),0,Table1[[#This Row],[Remaining Extended cost]])</f>
        <v>0</v>
      </c>
    </row>
    <row r="8" spans="1:29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80" t="str">
        <f>IF(Table1[[#This Row],[Buy-now costs]]&gt;0,"X","")</f>
        <v/>
      </c>
      <c r="M8" s="80">
        <v>0</v>
      </c>
      <c r="N8" s="80">
        <v>15</v>
      </c>
      <c r="O8" s="40">
        <v>15</v>
      </c>
      <c r="P8" s="94">
        <f>Table1[[#This Row],[quantity on-hand]]*(Table1[[#This Row],[Cost ]]+Table1[[#This Row],[shipping]]+Table1[[#This Row],[Tax]])</f>
        <v>3.5888249999999995</v>
      </c>
      <c r="Q8" s="40">
        <v>0</v>
      </c>
      <c r="R8" s="92">
        <f>Table1[[#This Row],[Quantity on order]]*(Table1[[#This Row],[Cost ]]+Table1[[#This Row],[shipping]]+Table1[[#This Row],[Tax]])</f>
        <v>0</v>
      </c>
      <c r="S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" s="49">
        <f>Table1[[#This Row],[Quantity  to  purchase]]+Table1[[#This Row],[Quantity purchased]]+Table1[[#This Row],[Quantity on order]]+Table1[[#This Row],[Quantity donated]]-Table1[[#This Row],[extended quantity]]</f>
        <v>1</v>
      </c>
      <c r="U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" s="51">
        <f>IFERROR(Table1[[#This Row],[Quantity  to  purchase]]*(Table1[[#This Row],[Cost ]]+Table1[[#This Row],[shipping]]+Table1[[#This Row],[Tax]]),0)</f>
        <v>0</v>
      </c>
      <c r="W8" s="36">
        <f>IFERROR(Table1[[#This Row],[leftover material]]*(Table1[[#This Row],[Cost ]]+Table1[[#This Row],[shipping]]+Table1[[#This Row],[Tax]]),0)</f>
        <v>0.23925499999999997</v>
      </c>
      <c r="X8" s="36">
        <v>0</v>
      </c>
      <c r="Y8" s="84"/>
      <c r="Z8" s="84"/>
      <c r="AA8" s="84"/>
      <c r="AB8" s="3" t="s">
        <v>867</v>
      </c>
      <c r="AC8" s="36">
        <f>IF(ISNA(VLOOKUP(Table1[[#This Row],[Part Number]],'Multi-level BOM'!V$4:V$449,1,FALSE)),0,Table1[[#This Row],[Remaining Extended cost]])</f>
        <v>0</v>
      </c>
    </row>
    <row r="9" spans="1:29" x14ac:dyDescent="0.25">
      <c r="A9" s="1" t="s">
        <v>12</v>
      </c>
      <c r="B9" s="4" t="s">
        <v>980</v>
      </c>
      <c r="C9" s="1" t="s">
        <v>922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979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80" t="str">
        <f>IF(Table1[[#This Row],[Buy-now costs]]&gt;0,"X","")</f>
        <v/>
      </c>
      <c r="M9" s="80">
        <v>4</v>
      </c>
      <c r="N9" s="80"/>
      <c r="O9" s="40">
        <v>4</v>
      </c>
      <c r="P9" s="94">
        <f>Table1[[#This Row],[quantity on-hand]]*(Table1[[#This Row],[Cost ]]+Table1[[#This Row],[shipping]]+Table1[[#This Row],[Tax]])</f>
        <v>2.8069576661548576</v>
      </c>
      <c r="Q9" s="40"/>
      <c r="R9" s="92">
        <f>Table1[[#This Row],[Quantity on order]]*(Table1[[#This Row],[Cost ]]+Table1[[#This Row],[shipping]]+Table1[[#This Row],[Tax]])</f>
        <v>0</v>
      </c>
      <c r="S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" s="49">
        <f>Table1[[#This Row],[Quantity  to  purchase]]+Table1[[#This Row],[Quantity purchased]]+Table1[[#This Row],[Quantity on order]]+Table1[[#This Row],[Quantity donated]]-Table1[[#This Row],[extended quantity]]</f>
        <v>0</v>
      </c>
      <c r="U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" s="51">
        <f>IFERROR(Table1[[#This Row],[Quantity  to  purchase]]*(Table1[[#This Row],[Cost ]]+Table1[[#This Row],[shipping]]+Table1[[#This Row],[Tax]]),0)</f>
        <v>0</v>
      </c>
      <c r="W9" s="36">
        <f>IFERROR(Table1[[#This Row],[leftover material]]*(Table1[[#This Row],[Cost ]]+Table1[[#This Row],[shipping]]+Table1[[#This Row],[Tax]]),0)</f>
        <v>0</v>
      </c>
      <c r="X9" s="36">
        <f>Table1[[#This Row],[Quantity purchased]]*(Table1[[#This Row],[Cost ]]+Table1[[#This Row],[shipping]]+Table1[[#This Row],[Tax]])</f>
        <v>2.8069576661548576</v>
      </c>
      <c r="Y9" s="84">
        <v>43875</v>
      </c>
      <c r="Z9" s="84">
        <v>43885</v>
      </c>
      <c r="AA9" s="84">
        <v>43885</v>
      </c>
      <c r="AB9" s="3" t="s">
        <v>982</v>
      </c>
      <c r="AC9" s="59">
        <f>IF(ISNA(VLOOKUP(Table1[[#This Row],[Part Number]],'Multi-level BOM'!V$4:V$449,1,FALSE)),0,Table1[[#This Row],[Remaining Extended cost]])</f>
        <v>0</v>
      </c>
    </row>
    <row r="10" spans="1:29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80" t="str">
        <f>IF(Table1[[#This Row],[Buy-now costs]]&gt;0,"X","")</f>
        <v/>
      </c>
      <c r="M10" s="80">
        <v>0</v>
      </c>
      <c r="N10" s="80">
        <v>36</v>
      </c>
      <c r="O10" s="40">
        <v>36</v>
      </c>
      <c r="P10" s="94">
        <f>Table1[[#This Row],[quantity on-hand]]*(Table1[[#This Row],[Cost ]]+Table1[[#This Row],[shipping]]+Table1[[#This Row],[Tax]])</f>
        <v>1.5872579999999998</v>
      </c>
      <c r="Q10" s="40">
        <v>0</v>
      </c>
      <c r="R10" s="92">
        <f>Table1[[#This Row],[Quantity on order]]*(Table1[[#This Row],[Cost ]]+Table1[[#This Row],[shipping]]+Table1[[#This Row],[Tax]])</f>
        <v>0</v>
      </c>
      <c r="S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" s="49">
        <f>Table1[[#This Row],[Quantity  to  purchase]]+Table1[[#This Row],[Quantity purchased]]+Table1[[#This Row],[Quantity on order]]+Table1[[#This Row],[Quantity donated]]-Table1[[#This Row],[extended quantity]]</f>
        <v>0</v>
      </c>
      <c r="U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" s="51">
        <f>IFERROR(Table1[[#This Row],[Quantity  to  purchase]]*(Table1[[#This Row],[Cost ]]+Table1[[#This Row],[shipping]]+Table1[[#This Row],[Tax]]),0)</f>
        <v>0</v>
      </c>
      <c r="W10" s="36">
        <f>IFERROR(Table1[[#This Row],[leftover material]]*(Table1[[#This Row],[Cost ]]+Table1[[#This Row],[shipping]]+Table1[[#This Row],[Tax]]),0)</f>
        <v>0</v>
      </c>
      <c r="X10" s="36">
        <v>0</v>
      </c>
      <c r="Y10" s="84"/>
      <c r="Z10" s="84"/>
      <c r="AA10" s="84"/>
      <c r="AB10" s="36" t="s">
        <v>907</v>
      </c>
      <c r="AC10" s="36">
        <f>IF(ISNA(VLOOKUP(Table1[[#This Row],[Part Number]],'Multi-level BOM'!V$4:V$449,1,FALSE)),0,Table1[[#This Row],[Remaining Extended cost]])</f>
        <v>0</v>
      </c>
    </row>
    <row r="11" spans="1:29" ht="30" x14ac:dyDescent="0.25">
      <c r="A11" s="1" t="s">
        <v>14</v>
      </c>
      <c r="B11" s="4" t="s">
        <v>687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5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80" t="str">
        <f>IF(Table1[[#This Row],[Buy-now costs]]&gt;0,"X","")</f>
        <v/>
      </c>
      <c r="M11" s="80">
        <v>2</v>
      </c>
      <c r="N11" s="80"/>
      <c r="O11" s="40">
        <v>2</v>
      </c>
      <c r="P11" s="94">
        <f>Table1[[#This Row],[quantity on-hand]]*(Table1[[#This Row],[Cost ]]+Table1[[#This Row],[shipping]]+Table1[[#This Row],[Tax]])</f>
        <v>76.692399999999992</v>
      </c>
      <c r="Q11" s="40">
        <v>0</v>
      </c>
      <c r="R11" s="92">
        <f>Table1[[#This Row],[Quantity on order]]*(Table1[[#This Row],[Cost ]]+Table1[[#This Row],[shipping]]+Table1[[#This Row],[Tax]])</f>
        <v>0</v>
      </c>
      <c r="S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" s="49">
        <f>Table1[[#This Row],[Quantity  to  purchase]]+Table1[[#This Row],[Quantity purchased]]+Table1[[#This Row],[Quantity on order]]+Table1[[#This Row],[Quantity donated]]-Table1[[#This Row],[extended quantity]]</f>
        <v>0</v>
      </c>
      <c r="U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" s="51">
        <f>IFERROR(Table1[[#This Row],[Quantity  to  purchase]]*(Table1[[#This Row],[Cost ]]+Table1[[#This Row],[shipping]]+Table1[[#This Row],[Tax]]),0)</f>
        <v>0</v>
      </c>
      <c r="W11" s="36">
        <f>IFERROR(Table1[[#This Row],[leftover material]]*(Table1[[#This Row],[Cost ]]+Table1[[#This Row],[shipping]]+Table1[[#This Row],[Tax]]),0)</f>
        <v>0</v>
      </c>
      <c r="X11" s="36">
        <v>76.69</v>
      </c>
      <c r="Y11" s="84">
        <v>43882</v>
      </c>
      <c r="Z11" s="86" t="s">
        <v>1071</v>
      </c>
      <c r="AA11" s="84">
        <v>43889</v>
      </c>
      <c r="AB11" s="36"/>
      <c r="AC11" s="36">
        <f>IF(ISNA(VLOOKUP(Table1[[#This Row],[Part Number]],'Multi-level BOM'!V$4:V$449,1,FALSE)),0,Table1[[#This Row],[Remaining Extended cost]])</f>
        <v>0</v>
      </c>
    </row>
    <row r="12" spans="1:29" ht="45" x14ac:dyDescent="0.25">
      <c r="A12" s="1" t="s">
        <v>15</v>
      </c>
      <c r="B12" s="16" t="s">
        <v>749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80" t="str">
        <f>IF(Table1[[#This Row],[Buy-now costs]]&gt;0,"X","")</f>
        <v/>
      </c>
      <c r="M12" s="80">
        <v>0</v>
      </c>
      <c r="N12" s="80">
        <v>600</v>
      </c>
      <c r="O12" s="40">
        <v>353</v>
      </c>
      <c r="P12" s="94">
        <f>Table1[[#This Row],[quantity on-hand]]*(Table1[[#This Row],[Cost ]]+Table1[[#This Row],[shipping]]+Table1[[#This Row],[Tax]])</f>
        <v>12.941097666666668</v>
      </c>
      <c r="Q12" s="40">
        <v>0</v>
      </c>
      <c r="R12" s="92">
        <f>Table1[[#This Row],[Quantity on order]]*(Table1[[#This Row],[Cost ]]+Table1[[#This Row],[shipping]]+Table1[[#This Row],[Tax]])</f>
        <v>0</v>
      </c>
      <c r="S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" s="49">
        <f>Table1[[#This Row],[Quantity  to  purchase]]+Table1[[#This Row],[Quantity purchased]]+Table1[[#This Row],[Quantity on order]]+Table1[[#This Row],[Quantity donated]]-Table1[[#This Row],[extended quantity]]</f>
        <v>247</v>
      </c>
      <c r="U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" s="51">
        <f>IFERROR(Table1[[#This Row],[Quantity  to  purchase]]*(Table1[[#This Row],[Cost ]]+Table1[[#This Row],[shipping]]+Table1[[#This Row],[Tax]]),0)</f>
        <v>0</v>
      </c>
      <c r="W12" s="36">
        <f>IFERROR(Table1[[#This Row],[leftover material]]*(Table1[[#This Row],[Cost ]]+Table1[[#This Row],[shipping]]+Table1[[#This Row],[Tax]]),0)</f>
        <v>9.055102333333334</v>
      </c>
      <c r="X12" s="36">
        <v>0</v>
      </c>
      <c r="Y12" s="84"/>
      <c r="Z12" s="84"/>
      <c r="AA12" s="84"/>
      <c r="AB12" s="36" t="s">
        <v>867</v>
      </c>
      <c r="AC12" s="36">
        <f>IF(ISNA(VLOOKUP(Table1[[#This Row],[Part Number]],'Multi-level BOM'!V$4:V$449,1,FALSE)),0,Table1[[#This Row],[Remaining Extended cost]])</f>
        <v>0</v>
      </c>
    </row>
    <row r="13" spans="1:29" ht="30" x14ac:dyDescent="0.25">
      <c r="A13" s="1" t="s">
        <v>16</v>
      </c>
      <c r="B13" s="4" t="s">
        <v>740</v>
      </c>
      <c r="C13" s="1" t="s">
        <v>922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951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80" t="str">
        <f>IF(Table1[[#This Row],[Buy-now costs]]&gt;0,"X","")</f>
        <v/>
      </c>
      <c r="M13" s="80">
        <v>4</v>
      </c>
      <c r="N13" s="80"/>
      <c r="O13" s="40">
        <v>4</v>
      </c>
      <c r="P13" s="94">
        <f>Table1[[#This Row],[quantity on-hand]]*(Table1[[#This Row],[Cost ]]+Table1[[#This Row],[shipping]]+Table1[[#This Row],[Tax]])</f>
        <v>1.9263434963807844</v>
      </c>
      <c r="Q13" s="40"/>
      <c r="R13" s="92">
        <f>Table1[[#This Row],[Quantity on order]]*(Table1[[#This Row],[Cost ]]+Table1[[#This Row],[shipping]]+Table1[[#This Row],[Tax]])</f>
        <v>0</v>
      </c>
      <c r="S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" s="49">
        <f>Table1[[#This Row],[Quantity  to  purchase]]+Table1[[#This Row],[Quantity purchased]]+Table1[[#This Row],[Quantity on order]]+Table1[[#This Row],[Quantity donated]]-Table1[[#This Row],[extended quantity]]</f>
        <v>0</v>
      </c>
      <c r="U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" s="51">
        <f>IFERROR(Table1[[#This Row],[Quantity  to  purchase]]*(Table1[[#This Row],[Cost ]]+Table1[[#This Row],[shipping]]+Table1[[#This Row],[Tax]]),0)</f>
        <v>0</v>
      </c>
      <c r="W13" s="36">
        <f>IFERROR(Table1[[#This Row],[leftover material]]*(Table1[[#This Row],[Cost ]]+Table1[[#This Row],[shipping]]+Table1[[#This Row],[Tax]]),0)</f>
        <v>0</v>
      </c>
      <c r="X13" s="36">
        <f>Table1[[#This Row],[Quantity purchased]]*(Table1[[#This Row],[Cost ]]+Table1[[#This Row],[shipping]]+Table1[[#This Row],[Tax]])</f>
        <v>1.9263434963807844</v>
      </c>
      <c r="Y13" s="84">
        <v>43875</v>
      </c>
      <c r="Z13" s="84">
        <v>43885</v>
      </c>
      <c r="AA13" s="84">
        <v>43885</v>
      </c>
      <c r="AB13" s="3" t="s">
        <v>982</v>
      </c>
      <c r="AC13" s="59">
        <f>IF(ISNA(VLOOKUP(Table1[[#This Row],[Part Number]],'Multi-level BOM'!V$4:V$449,1,FALSE)),0,Table1[[#This Row],[Remaining Extended cost]])</f>
        <v>0</v>
      </c>
    </row>
    <row r="14" spans="1:29" ht="45" x14ac:dyDescent="0.25">
      <c r="A14" s="1" t="s">
        <v>17</v>
      </c>
      <c r="B14" s="4" t="s">
        <v>685</v>
      </c>
      <c r="C14" s="1" t="s">
        <v>698</v>
      </c>
      <c r="D14" s="3">
        <v>26.94</v>
      </c>
      <c r="E14" s="3">
        <v>0</v>
      </c>
      <c r="F14" s="3">
        <f>0.113621408203553*D14</f>
        <v>3.0609607370037182</v>
      </c>
      <c r="G14" s="5" t="s">
        <v>1090</v>
      </c>
      <c r="H14" s="2">
        <v>1</v>
      </c>
      <c r="I14" s="1" t="s">
        <v>1085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150.0048036850186</v>
      </c>
      <c r="L14" s="80" t="str">
        <f>IF(Table1[[#This Row],[Buy-now costs]]&gt;0,"X","")</f>
        <v/>
      </c>
      <c r="M14" s="80">
        <v>5</v>
      </c>
      <c r="N14" s="80"/>
      <c r="O14" s="40">
        <v>5</v>
      </c>
      <c r="P14" s="94">
        <f>Table1[[#This Row],[quantity on-hand]]*(Table1[[#This Row],[Cost ]]+Table1[[#This Row],[shipping]]+Table1[[#This Row],[Tax]])</f>
        <v>150.0048036850186</v>
      </c>
      <c r="Q14" s="40">
        <v>0</v>
      </c>
      <c r="R14" s="92">
        <f>Table1[[#This Row],[Quantity on order]]*(Table1[[#This Row],[Cost ]]+Table1[[#This Row],[shipping]]+Table1[[#This Row],[Tax]])</f>
        <v>0</v>
      </c>
      <c r="S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" s="49">
        <f>Table1[[#This Row],[Quantity  to  purchase]]+Table1[[#This Row],[Quantity purchased]]+Table1[[#This Row],[Quantity on order]]+Table1[[#This Row],[Quantity donated]]-Table1[[#This Row],[extended quantity]]</f>
        <v>0</v>
      </c>
      <c r="U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" s="51">
        <f>IFERROR(Table1[[#This Row],[Quantity  to  purchase]]*(Table1[[#This Row],[Cost ]]+Table1[[#This Row],[shipping]]+Table1[[#This Row],[Tax]]),0)</f>
        <v>0</v>
      </c>
      <c r="W14" s="36">
        <f>IFERROR(Table1[[#This Row],[leftover material]]*(Table1[[#This Row],[Cost ]]+Table1[[#This Row],[shipping]]+Table1[[#This Row],[Tax]]),0)</f>
        <v>0</v>
      </c>
      <c r="X14" s="36">
        <v>67.62</v>
      </c>
      <c r="Y14" s="84">
        <v>43890</v>
      </c>
      <c r="Z14" s="86"/>
      <c r="AA14" s="84">
        <v>43908</v>
      </c>
      <c r="AB14" s="3" t="s">
        <v>1093</v>
      </c>
      <c r="AC14" s="36">
        <f>IF(ISNA(VLOOKUP(Table1[[#This Row],[Part Number]],'Multi-level BOM'!V$4:V$449,1,FALSE)),0,Table1[[#This Row],[Remaining Extended cost]])</f>
        <v>0</v>
      </c>
    </row>
    <row r="15" spans="1:29" ht="45" x14ac:dyDescent="0.25">
      <c r="A15" s="1" t="s">
        <v>18</v>
      </c>
      <c r="B15" s="4" t="s">
        <v>757</v>
      </c>
      <c r="C15" s="1" t="s">
        <v>922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953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80" t="str">
        <f>IF(Table1[[#This Row],[Buy-now costs]]&gt;0,"X","")</f>
        <v/>
      </c>
      <c r="M15" s="80">
        <v>100</v>
      </c>
      <c r="N15" s="80"/>
      <c r="O15" s="40">
        <v>65</v>
      </c>
      <c r="P15" s="94">
        <f>Table1[[#This Row],[quantity on-hand]]*(Table1[[#This Row],[Cost ]]+Table1[[#This Row],[shipping]]+Table1[[#This Row],[Tax]])</f>
        <v>8.1835199605176534</v>
      </c>
      <c r="Q15" s="40"/>
      <c r="R15" s="92">
        <f>Table1[[#This Row],[Quantity on order]]*(Table1[[#This Row],[Cost ]]+Table1[[#This Row],[shipping]]+Table1[[#This Row],[Tax]])</f>
        <v>0</v>
      </c>
      <c r="S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" s="49">
        <f>Table1[[#This Row],[Quantity  to  purchase]]+Table1[[#This Row],[Quantity purchased]]+Table1[[#This Row],[Quantity on order]]+Table1[[#This Row],[Quantity donated]]-Table1[[#This Row],[extended quantity]]</f>
        <v>35</v>
      </c>
      <c r="U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" s="51">
        <f>IFERROR(Table1[[#This Row],[Quantity  to  purchase]]*(Table1[[#This Row],[Cost ]]+Table1[[#This Row],[shipping]]+Table1[[#This Row],[Tax]]),0)</f>
        <v>0</v>
      </c>
      <c r="W15" s="36">
        <f>IFERROR(Table1[[#This Row],[leftover material]]*(Table1[[#This Row],[Cost ]]+Table1[[#This Row],[shipping]]+Table1[[#This Row],[Tax]]),0)</f>
        <v>4.4065107479710441</v>
      </c>
      <c r="X15" s="36">
        <f>Table1[[#This Row],[Quantity purchased]]*(Table1[[#This Row],[Cost ]]+Table1[[#This Row],[shipping]]+Table1[[#This Row],[Tax]])</f>
        <v>12.590030708488698</v>
      </c>
      <c r="Y15" s="84">
        <v>43875</v>
      </c>
      <c r="Z15" s="84">
        <v>43885</v>
      </c>
      <c r="AA15" s="84">
        <v>43885</v>
      </c>
      <c r="AB15" s="3" t="s">
        <v>982</v>
      </c>
      <c r="AC15" s="59">
        <f>IF(ISNA(VLOOKUP(Table1[[#This Row],[Part Number]],'Multi-level BOM'!V$4:V$449,1,FALSE)),0,Table1[[#This Row],[Remaining Extended cost]])</f>
        <v>0</v>
      </c>
    </row>
    <row r="16" spans="1:29" ht="45" x14ac:dyDescent="0.25">
      <c r="A16" s="1" t="s">
        <v>19</v>
      </c>
      <c r="B16" s="4" t="s">
        <v>688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689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80" t="str">
        <f>IF(Table1[[#This Row],[Buy-now costs]]&gt;0,"X","")</f>
        <v/>
      </c>
      <c r="M16" s="80">
        <v>4</v>
      </c>
      <c r="N16" s="80"/>
      <c r="O16" s="40">
        <v>2</v>
      </c>
      <c r="P16" s="94">
        <f>Table1[[#This Row],[quantity on-hand]]*(Table1[[#This Row],[Cost ]]+Table1[[#This Row],[shipping]]+Table1[[#This Row],[Tax]])</f>
        <v>6.2675000000000001</v>
      </c>
      <c r="Q16" s="40">
        <v>0</v>
      </c>
      <c r="R16" s="92">
        <f>Table1[[#This Row],[Quantity on order]]*(Table1[[#This Row],[Cost ]]+Table1[[#This Row],[shipping]]+Table1[[#This Row],[Tax]])</f>
        <v>0</v>
      </c>
      <c r="S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" s="49">
        <f>Table1[[#This Row],[Quantity  to  purchase]]+Table1[[#This Row],[Quantity purchased]]+Table1[[#This Row],[Quantity on order]]+Table1[[#This Row],[Quantity donated]]-Table1[[#This Row],[extended quantity]]</f>
        <v>2</v>
      </c>
      <c r="U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" s="51">
        <f>IFERROR(Table1[[#This Row],[Quantity  to  purchase]]*(Table1[[#This Row],[Cost ]]+Table1[[#This Row],[shipping]]+Table1[[#This Row],[Tax]]),0)</f>
        <v>0</v>
      </c>
      <c r="W16" s="36">
        <f>IFERROR(Table1[[#This Row],[leftover material]]*(Table1[[#This Row],[Cost ]]+Table1[[#This Row],[shipping]]+Table1[[#This Row],[Tax]]),0)</f>
        <v>6.2675000000000001</v>
      </c>
      <c r="X16" s="36">
        <v>12.54</v>
      </c>
      <c r="Y16" s="84">
        <v>43876</v>
      </c>
      <c r="Z16" s="84"/>
      <c r="AA16" s="84"/>
      <c r="AB16" s="3" t="s">
        <v>987</v>
      </c>
      <c r="AC16" s="36">
        <f>IF(ISNA(VLOOKUP(Table1[[#This Row],[Part Number]],'Multi-level BOM'!V$4:V$449,1,FALSE)),0,Table1[[#This Row],[Remaining Extended cost]])</f>
        <v>0</v>
      </c>
    </row>
    <row r="17" spans="1:29" ht="30" x14ac:dyDescent="0.25">
      <c r="A17" s="1" t="s">
        <v>20</v>
      </c>
      <c r="B17" s="4" t="s">
        <v>931</v>
      </c>
      <c r="C17" s="1" t="s">
        <v>693</v>
      </c>
      <c r="D17" s="3">
        <v>38.68</v>
      </c>
      <c r="E17" s="3">
        <f>16.57/3</f>
        <v>5.5233333333333334</v>
      </c>
      <c r="F17" s="3">
        <v>0</v>
      </c>
      <c r="G17" s="1" t="s">
        <v>930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132.61000000000001</v>
      </c>
      <c r="L17" s="80" t="str">
        <f>IF(Table1[[#This Row],[Buy-now costs]]&gt;0,"X","")</f>
        <v/>
      </c>
      <c r="M17" s="80">
        <v>3</v>
      </c>
      <c r="N17" s="80"/>
      <c r="O17" s="40">
        <v>3</v>
      </c>
      <c r="P17" s="94">
        <f>Table1[[#This Row],[quantity on-hand]]*(Table1[[#This Row],[Cost ]]+Table1[[#This Row],[shipping]]+Table1[[#This Row],[Tax]])</f>
        <v>132.61000000000001</v>
      </c>
      <c r="Q17" s="40">
        <v>0</v>
      </c>
      <c r="R17" s="92">
        <f>Table1[[#This Row],[Quantity on order]]*(Table1[[#This Row],[Cost ]]+Table1[[#This Row],[shipping]]+Table1[[#This Row],[Tax]])</f>
        <v>0</v>
      </c>
      <c r="S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" s="49">
        <f>Table1[[#This Row],[Quantity  to  purchase]]+Table1[[#This Row],[Quantity purchased]]+Table1[[#This Row],[Quantity on order]]+Table1[[#This Row],[Quantity donated]]-Table1[[#This Row],[extended quantity]]</f>
        <v>0</v>
      </c>
      <c r="U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" s="51">
        <f>IFERROR(Table1[[#This Row],[Quantity  to  purchase]]*(Table1[[#This Row],[Cost ]]+Table1[[#This Row],[shipping]]+Table1[[#This Row],[Tax]]),0)</f>
        <v>0</v>
      </c>
      <c r="W17" s="36">
        <f>IFERROR(Table1[[#This Row],[leftover material]]*(Table1[[#This Row],[Cost ]]+Table1[[#This Row],[shipping]]+Table1[[#This Row],[Tax]]),0)</f>
        <v>0</v>
      </c>
      <c r="X17" s="36">
        <v>132.61000000000001</v>
      </c>
      <c r="Y17" s="84">
        <v>43877</v>
      </c>
      <c r="Z17" s="86">
        <v>43889</v>
      </c>
      <c r="AA17" s="84">
        <v>43889</v>
      </c>
      <c r="AB17" s="3" t="s">
        <v>989</v>
      </c>
      <c r="AC17" s="36">
        <f>IF(ISNA(VLOOKUP(Table1[[#This Row],[Part Number]],'Multi-level BOM'!V$4:V$449,1,FALSE)),0,Table1[[#This Row],[Remaining Extended cost]])</f>
        <v>0</v>
      </c>
    </row>
    <row r="18" spans="1:29" x14ac:dyDescent="0.25">
      <c r="A18" s="1" t="s">
        <v>21</v>
      </c>
      <c r="B18" s="4" t="s">
        <v>963</v>
      </c>
      <c r="C18" s="1" t="s">
        <v>922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962</v>
      </c>
      <c r="H18" s="2">
        <v>1</v>
      </c>
      <c r="I18" s="1" t="s">
        <v>923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80" t="str">
        <f>IF(Table1[[#This Row],[Buy-now costs]]&gt;0,"X","")</f>
        <v/>
      </c>
      <c r="M18" s="80">
        <v>12</v>
      </c>
      <c r="N18" s="80"/>
      <c r="O18" s="40">
        <v>12</v>
      </c>
      <c r="P18" s="94">
        <f>Table1[[#This Row],[quantity on-hand]]*(Table1[[#This Row],[Cost ]]+Table1[[#This Row],[shipping]]+Table1[[#This Row],[Tax]])</f>
        <v>3.962763763983328</v>
      </c>
      <c r="Q18" s="40"/>
      <c r="R18" s="92">
        <f>Table1[[#This Row],[Quantity on order]]*(Table1[[#This Row],[Cost ]]+Table1[[#This Row],[shipping]]+Table1[[#This Row],[Tax]])</f>
        <v>0</v>
      </c>
      <c r="S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" s="49">
        <f>Table1[[#This Row],[Quantity  to  purchase]]+Table1[[#This Row],[Quantity purchased]]+Table1[[#This Row],[Quantity on order]]+Table1[[#This Row],[Quantity donated]]-Table1[[#This Row],[extended quantity]]</f>
        <v>0</v>
      </c>
      <c r="U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" s="51">
        <f>IFERROR(Table1[[#This Row],[Quantity  to  purchase]]*(Table1[[#This Row],[Cost ]]+Table1[[#This Row],[shipping]]+Table1[[#This Row],[Tax]]),0)</f>
        <v>0</v>
      </c>
      <c r="W18" s="36">
        <f>IFERROR(Table1[[#This Row],[leftover material]]*(Table1[[#This Row],[Cost ]]+Table1[[#This Row],[shipping]]+Table1[[#This Row],[Tax]]),0)</f>
        <v>0</v>
      </c>
      <c r="X18" s="36">
        <f>Table1[[#This Row],[Quantity purchased]]*(Table1[[#This Row],[Cost ]]+Table1[[#This Row],[shipping]]+Table1[[#This Row],[Tax]])</f>
        <v>3.962763763983328</v>
      </c>
      <c r="Y18" s="84">
        <v>43875</v>
      </c>
      <c r="Z18" s="84">
        <v>43885</v>
      </c>
      <c r="AA18" s="84">
        <v>43885</v>
      </c>
      <c r="AB18" s="3" t="s">
        <v>982</v>
      </c>
      <c r="AC18" s="59">
        <f>IF(ISNA(VLOOKUP(Table1[[#This Row],[Part Number]],'Multi-level BOM'!V$4:V$449,1,FALSE)),0,Table1[[#This Row],[Remaining Extended cost]])</f>
        <v>0</v>
      </c>
    </row>
    <row r="19" spans="1:29" ht="30" x14ac:dyDescent="0.25">
      <c r="A19" s="1" t="s">
        <v>22</v>
      </c>
      <c r="B19" s="4" t="s">
        <v>1062</v>
      </c>
      <c r="C19" s="1" t="s">
        <v>698</v>
      </c>
      <c r="D19" s="3">
        <v>16.989999999999998</v>
      </c>
      <c r="E19" s="3">
        <v>2.99</v>
      </c>
      <c r="F19" s="3">
        <v>0</v>
      </c>
      <c r="G19" s="5" t="s">
        <v>699</v>
      </c>
      <c r="H19" s="2">
        <v>1</v>
      </c>
      <c r="I19" s="1" t="s">
        <v>972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80" t="str">
        <f>IF(Table1[[#This Row],[Buy-now costs]]&gt;0,"X","")</f>
        <v/>
      </c>
      <c r="M19" s="80">
        <v>1</v>
      </c>
      <c r="N19" s="80"/>
      <c r="O19" s="40">
        <v>1</v>
      </c>
      <c r="P19" s="94">
        <f>Table1[[#This Row],[quantity on-hand]]*(Table1[[#This Row],[Cost ]]+Table1[[#This Row],[shipping]]+Table1[[#This Row],[Tax]])</f>
        <v>19.979999999999997</v>
      </c>
      <c r="Q19" s="40">
        <v>0</v>
      </c>
      <c r="R19" s="92">
        <f>Table1[[#This Row],[Quantity on order]]*(Table1[[#This Row],[Cost ]]+Table1[[#This Row],[shipping]]+Table1[[#This Row],[Tax]])</f>
        <v>0</v>
      </c>
      <c r="S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" s="49">
        <f>Table1[[#This Row],[Quantity  to  purchase]]+Table1[[#This Row],[Quantity purchased]]+Table1[[#This Row],[Quantity on order]]+Table1[[#This Row],[Quantity donated]]-Table1[[#This Row],[extended quantity]]</f>
        <v>0</v>
      </c>
      <c r="U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" s="51">
        <f>IFERROR(Table1[[#This Row],[Quantity  to  purchase]]*(Table1[[#This Row],[Cost ]]+Table1[[#This Row],[shipping]]+Table1[[#This Row],[Tax]]),0)</f>
        <v>0</v>
      </c>
      <c r="W19" s="36">
        <f>IFERROR(Table1[[#This Row],[leftover material]]*(Table1[[#This Row],[Cost ]]+Table1[[#This Row],[shipping]]+Table1[[#This Row],[Tax]]),0)</f>
        <v>0</v>
      </c>
      <c r="X19" s="36">
        <v>19.98</v>
      </c>
      <c r="Y19" s="84">
        <v>43875</v>
      </c>
      <c r="Z19" s="84"/>
      <c r="AA19" s="84">
        <v>43881</v>
      </c>
      <c r="AB19" s="3" t="s">
        <v>1063</v>
      </c>
      <c r="AC19" s="36">
        <f>IF(ISNA(VLOOKUP(Table1[[#This Row],[Part Number]],'Multi-level BOM'!V$4:V$449,1,FALSE)),0,Table1[[#This Row],[Remaining Extended cost]])</f>
        <v>0</v>
      </c>
    </row>
    <row r="20" spans="1:29" x14ac:dyDescent="0.25">
      <c r="A20" s="1" t="s">
        <v>23</v>
      </c>
      <c r="B20" s="4" t="s">
        <v>748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924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80" t="str">
        <f>IF(Table1[[#This Row],[Buy-now costs]]&gt;0,"X","")</f>
        <v/>
      </c>
      <c r="M20" s="80"/>
      <c r="N20" s="80"/>
      <c r="O20" s="40">
        <v>0</v>
      </c>
      <c r="P20" s="94">
        <f>Table1[[#This Row],[quantity on-hand]]*(Table1[[#This Row],[Cost ]]+Table1[[#This Row],[shipping]]+Table1[[#This Row],[Tax]])</f>
        <v>0</v>
      </c>
      <c r="Q20" s="40">
        <v>0</v>
      </c>
      <c r="R20" s="92">
        <f>Table1[[#This Row],[Quantity on order]]*(Table1[[#This Row],[Cost ]]+Table1[[#This Row],[shipping]]+Table1[[#This Row],[Tax]])</f>
        <v>0</v>
      </c>
      <c r="S2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20" s="49">
        <f>Table1[[#This Row],[Quantity  to  purchase]]+Table1[[#This Row],[Quantity purchased]]+Table1[[#This Row],[Quantity on order]]+Table1[[#This Row],[Quantity donated]]-Table1[[#This Row],[extended quantity]]</f>
        <v>0</v>
      </c>
      <c r="U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" s="51">
        <f>IFERROR(Table1[[#This Row],[Quantity  to  purchase]]*(Table1[[#This Row],[Cost ]]+Table1[[#This Row],[shipping]]+Table1[[#This Row],[Tax]]),0)</f>
        <v>0</v>
      </c>
      <c r="W20" s="36">
        <f>IFERROR(Table1[[#This Row],[leftover material]]*(Table1[[#This Row],[Cost ]]+Table1[[#This Row],[shipping]]+Table1[[#This Row],[Tax]]),0)</f>
        <v>0</v>
      </c>
      <c r="X20" s="36"/>
      <c r="Y20" s="84"/>
      <c r="Z20" s="84"/>
      <c r="AA20" s="84"/>
      <c r="AB20" s="36"/>
      <c r="AC20" s="36">
        <f>IF(ISNA(VLOOKUP(Table1[[#This Row],[Part Number]],'Multi-level BOM'!V$4:V$449,1,FALSE)),0,Table1[[#This Row],[Remaining Extended cost]])</f>
        <v>0</v>
      </c>
    </row>
    <row r="21" spans="1:29" ht="30" x14ac:dyDescent="0.25">
      <c r="A21" s="1" t="s">
        <v>24</v>
      </c>
      <c r="B21" s="16" t="s">
        <v>1048</v>
      </c>
      <c r="C21" s="1" t="s">
        <v>1011</v>
      </c>
      <c r="D21" s="3">
        <f>11.33/50</f>
        <v>0.2266</v>
      </c>
      <c r="E21" s="3">
        <v>0</v>
      </c>
      <c r="F21" s="3">
        <f>9%*(Table1[[#This Row],[Cost ]]+Table1[[#This Row],[shipping]])</f>
        <v>2.0393999999999999E-2</v>
      </c>
      <c r="G21" s="5" t="s">
        <v>1050</v>
      </c>
      <c r="H21" s="2">
        <v>50</v>
      </c>
      <c r="I21" s="1" t="s">
        <v>702</v>
      </c>
      <c r="J21" s="49">
        <f>SUMIF('Multi-level BOM'!D$4:D$467,Table1[[#This Row],[Part Number]],'Multi-level BOM'!H$4:H$467)</f>
        <v>39</v>
      </c>
      <c r="K21" s="10">
        <f>Table1[[#This Row],[extended quantity]]*(Table1[[#This Row],[Cost ]]+Table1[[#This Row],[shipping]]+Table1[[#This Row],[Tax]])</f>
        <v>9.6327660000000002</v>
      </c>
      <c r="L21" s="80" t="str">
        <f>IF(Table1[[#This Row],[Buy-now costs]]&gt;0,"X","")</f>
        <v/>
      </c>
      <c r="M21" s="80">
        <v>50</v>
      </c>
      <c r="N21" s="80"/>
      <c r="O21" s="40">
        <v>39</v>
      </c>
      <c r="P21" s="94">
        <f>Table1[[#This Row],[quantity on-hand]]*(Table1[[#This Row],[Cost ]]+Table1[[#This Row],[shipping]]+Table1[[#This Row],[Tax]])</f>
        <v>9.6327660000000002</v>
      </c>
      <c r="Q21" s="40">
        <v>0</v>
      </c>
      <c r="R21" s="92">
        <f>Table1[[#This Row],[Quantity on order]]*(Table1[[#This Row],[Cost ]]+Table1[[#This Row],[shipping]]+Table1[[#This Row],[Tax]])</f>
        <v>0</v>
      </c>
      <c r="S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" s="49">
        <f>Table1[[#This Row],[Quantity  to  purchase]]+Table1[[#This Row],[Quantity purchased]]+Table1[[#This Row],[Quantity on order]]+Table1[[#This Row],[Quantity donated]]-Table1[[#This Row],[extended quantity]]</f>
        <v>11</v>
      </c>
      <c r="U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" s="51">
        <f>IFERROR(Table1[[#This Row],[Quantity  to  purchase]]*(Table1[[#This Row],[Cost ]]+Table1[[#This Row],[shipping]]+Table1[[#This Row],[Tax]]),0)</f>
        <v>0</v>
      </c>
      <c r="W21" s="36">
        <f>IFERROR(Table1[[#This Row],[leftover material]]*(Table1[[#This Row],[Cost ]]+Table1[[#This Row],[shipping]]+Table1[[#This Row],[Tax]]),0)</f>
        <v>2.7169339999999997</v>
      </c>
      <c r="X21" s="36">
        <f>Table1[[#This Row],[Quantity purchased]]*(Table1[[#This Row],[Cost ]]+Table1[[#This Row],[shipping]]+Table1[[#This Row],[Tax]])</f>
        <v>12.3497</v>
      </c>
      <c r="Y21" s="84">
        <v>43882</v>
      </c>
      <c r="Z21" s="84">
        <v>43913</v>
      </c>
      <c r="AA21" s="84"/>
      <c r="AB21" s="3"/>
      <c r="AC21" s="36">
        <f>IF(ISNA(VLOOKUP(Table1[[#This Row],[Part Number]],'Multi-level BOM'!V$4:V$449,1,FALSE)),0,Table1[[#This Row],[Remaining Extended cost]])</f>
        <v>0</v>
      </c>
    </row>
    <row r="22" spans="1:29" ht="30" x14ac:dyDescent="0.25">
      <c r="A22" s="1" t="s">
        <v>25</v>
      </c>
      <c r="B22" s="4" t="s">
        <v>986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985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80" t="str">
        <f>IF(Table1[[#This Row],[Buy-now costs]]&gt;0,"X","")</f>
        <v/>
      </c>
      <c r="M22" s="80">
        <v>3</v>
      </c>
      <c r="N22" s="80"/>
      <c r="O22" s="40">
        <v>3</v>
      </c>
      <c r="P22" s="94">
        <f>Table1[[#This Row],[quantity on-hand]]*(Table1[[#This Row],[Cost ]]+Table1[[#This Row],[shipping]]+Table1[[#This Row],[Tax]])</f>
        <v>70.304999999999993</v>
      </c>
      <c r="Q22" s="40">
        <v>0</v>
      </c>
      <c r="R22" s="92">
        <f>Table1[[#This Row],[Quantity on order]]*(Table1[[#This Row],[Cost ]]+Table1[[#This Row],[shipping]]+Table1[[#This Row],[Tax]])</f>
        <v>0</v>
      </c>
      <c r="S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" s="49">
        <f>Table1[[#This Row],[Quantity  to  purchase]]+Table1[[#This Row],[Quantity purchased]]+Table1[[#This Row],[Quantity on order]]+Table1[[#This Row],[Quantity donated]]-Table1[[#This Row],[extended quantity]]</f>
        <v>0</v>
      </c>
      <c r="U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" s="51">
        <f>IFERROR(Table1[[#This Row],[Quantity  to  purchase]]*(Table1[[#This Row],[Cost ]]+Table1[[#This Row],[shipping]]+Table1[[#This Row],[Tax]]),0)</f>
        <v>0</v>
      </c>
      <c r="W22" s="36">
        <f>IFERROR(Table1[[#This Row],[leftover material]]*(Table1[[#This Row],[Cost ]]+Table1[[#This Row],[shipping]]+Table1[[#This Row],[Tax]]),0)</f>
        <v>0</v>
      </c>
      <c r="X22" s="36">
        <v>45.7</v>
      </c>
      <c r="Y22" s="84"/>
      <c r="Z22" s="84"/>
      <c r="AA22" s="84"/>
      <c r="AB22" s="3" t="s">
        <v>988</v>
      </c>
      <c r="AC22" s="36">
        <f>IF(ISNA(VLOOKUP(Table1[[#This Row],[Part Number]],'Multi-level BOM'!V$4:V$449,1,FALSE)),0,Table1[[#This Row],[Remaining Extended cost]])</f>
        <v>0</v>
      </c>
    </row>
    <row r="23" spans="1:29" ht="30" x14ac:dyDescent="0.25">
      <c r="A23" s="1" t="s">
        <v>26</v>
      </c>
      <c r="B23" s="4" t="s">
        <v>973</v>
      </c>
      <c r="C23" s="1" t="s">
        <v>958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974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80" t="str">
        <f>IF(Table1[[#This Row],[Buy-now costs]]&gt;0,"X","")</f>
        <v/>
      </c>
      <c r="M23" s="80">
        <v>3</v>
      </c>
      <c r="N23" s="80"/>
      <c r="O23" s="40">
        <v>3</v>
      </c>
      <c r="P23" s="94">
        <f>Table1[[#This Row],[quantity on-hand]]*(Table1[[#This Row],[Cost ]]+Table1[[#This Row],[shipping]]+Table1[[#This Row],[Tax]])</f>
        <v>65.511750000000006</v>
      </c>
      <c r="Q23" s="40">
        <v>0</v>
      </c>
      <c r="R23" s="92">
        <f>Table1[[#This Row],[Quantity on order]]*(Table1[[#This Row],[Cost ]]+Table1[[#This Row],[shipping]]+Table1[[#This Row],[Tax]])</f>
        <v>0</v>
      </c>
      <c r="S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" s="49">
        <f>Table1[[#This Row],[Quantity  to  purchase]]+Table1[[#This Row],[Quantity purchased]]+Table1[[#This Row],[Quantity on order]]+Table1[[#This Row],[Quantity donated]]-Table1[[#This Row],[extended quantity]]</f>
        <v>0</v>
      </c>
      <c r="U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" s="51">
        <f>IFERROR(Table1[[#This Row],[Quantity  to  purchase]]*(Table1[[#This Row],[Cost ]]+Table1[[#This Row],[shipping]]+Table1[[#This Row],[Tax]]),0)</f>
        <v>0</v>
      </c>
      <c r="W23" s="36">
        <f>IFERROR(Table1[[#This Row],[leftover material]]*(Table1[[#This Row],[Cost ]]+Table1[[#This Row],[shipping]]+Table1[[#This Row],[Tax]]),0)</f>
        <v>0</v>
      </c>
      <c r="X23" s="36">
        <v>65.510000000000005</v>
      </c>
      <c r="Y23" s="84"/>
      <c r="Z23" s="84"/>
      <c r="AA23" s="84"/>
      <c r="AB23" s="3" t="s">
        <v>1065</v>
      </c>
      <c r="AC23" s="36">
        <f>IF(ISNA(VLOOKUP(Table1[[#This Row],[Part Number]],'Multi-level BOM'!V$4:V$449,1,FALSE)),0,Table1[[#This Row],[Remaining Extended cost]])</f>
        <v>0</v>
      </c>
    </row>
    <row r="24" spans="1:29" ht="30" x14ac:dyDescent="0.25">
      <c r="A24" s="1" t="s">
        <v>27</v>
      </c>
      <c r="B24" s="16" t="s">
        <v>725</v>
      </c>
      <c r="C24" s="1" t="s">
        <v>698</v>
      </c>
      <c r="D24" s="3">
        <v>8.99</v>
      </c>
      <c r="E24" s="3">
        <v>0</v>
      </c>
      <c r="F24" s="3">
        <v>0</v>
      </c>
      <c r="G24" s="1" t="s">
        <v>726</v>
      </c>
      <c r="H24" s="2">
        <v>1</v>
      </c>
      <c r="I24" s="1" t="s">
        <v>702</v>
      </c>
      <c r="J24" s="49">
        <f>SUMIF('Multi-level BOM'!D$4:D$467,Table1[[#This Row],[Part Number]],'Multi-level BOM'!H$4:H$467)</f>
        <v>1</v>
      </c>
      <c r="K24" s="10">
        <f>Table1[[#This Row],[extended quantity]]*(Table1[[#This Row],[Cost ]]+Table1[[#This Row],[shipping]]+Table1[[#This Row],[Tax]])</f>
        <v>8.99</v>
      </c>
      <c r="L24" s="80" t="str">
        <f>IF(Table1[[#This Row],[Buy-now costs]]&gt;0,"X","")</f>
        <v/>
      </c>
      <c r="M24" s="80">
        <v>1</v>
      </c>
      <c r="N24" s="80"/>
      <c r="O24" s="40">
        <v>1</v>
      </c>
      <c r="P24" s="94">
        <f>Table1[[#This Row],[quantity on-hand]]*(Table1[[#This Row],[Cost ]]+Table1[[#This Row],[shipping]]+Table1[[#This Row],[Tax]])</f>
        <v>8.99</v>
      </c>
      <c r="Q24" s="40">
        <v>0</v>
      </c>
      <c r="R24" s="92">
        <f>Table1[[#This Row],[Quantity on order]]*(Table1[[#This Row],[Cost ]]+Table1[[#This Row],[shipping]]+Table1[[#This Row],[Tax]])</f>
        <v>0</v>
      </c>
      <c r="S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" s="49">
        <f>Table1[[#This Row],[Quantity  to  purchase]]+Table1[[#This Row],[Quantity purchased]]+Table1[[#This Row],[Quantity on order]]+Table1[[#This Row],[Quantity donated]]-Table1[[#This Row],[extended quantity]]</f>
        <v>0</v>
      </c>
      <c r="U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" s="51">
        <f>IFERROR(Table1[[#This Row],[Quantity  to  purchase]]*(Table1[[#This Row],[Cost ]]+Table1[[#This Row],[shipping]]+Table1[[#This Row],[Tax]]),0)</f>
        <v>0</v>
      </c>
      <c r="W24" s="36">
        <f>IFERROR(Table1[[#This Row],[leftover material]]*(Table1[[#This Row],[Cost ]]+Table1[[#This Row],[shipping]]+Table1[[#This Row],[Tax]]),0)</f>
        <v>0</v>
      </c>
      <c r="X24" s="36">
        <v>8.99</v>
      </c>
      <c r="Y24" s="84">
        <v>43874</v>
      </c>
      <c r="Z24" s="84">
        <v>43905</v>
      </c>
      <c r="AA24" s="84">
        <v>43910</v>
      </c>
      <c r="AB24" s="3" t="s">
        <v>1072</v>
      </c>
      <c r="AC24" s="36">
        <f>IF(ISNA(VLOOKUP(Table1[[#This Row],[Part Number]],'Multi-level BOM'!V$4:V$449,1,FALSE)),0,Table1[[#This Row],[Remaining Extended cost]])</f>
        <v>0</v>
      </c>
    </row>
    <row r="25" spans="1:29" ht="30" x14ac:dyDescent="0.25">
      <c r="A25" s="1" t="s">
        <v>28</v>
      </c>
      <c r="B25" s="17" t="s">
        <v>728</v>
      </c>
      <c r="C25" s="1" t="s">
        <v>922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938</v>
      </c>
      <c r="H25" s="2">
        <v>100</v>
      </c>
      <c r="I25" s="1" t="s">
        <v>729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80" t="str">
        <f>IF(Table1[[#This Row],[Buy-now costs]]&gt;0,"X","")</f>
        <v/>
      </c>
      <c r="M25" s="80">
        <v>100</v>
      </c>
      <c r="N25" s="80"/>
      <c r="O25" s="40">
        <v>22</v>
      </c>
      <c r="P25" s="94">
        <f>Table1[[#This Row],[quantity on-hand]]*(Table1[[#This Row],[Cost ]]+Table1[[#This Row],[shipping]]+Table1[[#This Row],[Tax]])</f>
        <v>1.498420048256196</v>
      </c>
      <c r="Q25" s="40"/>
      <c r="R25" s="92">
        <f>Table1[[#This Row],[Quantity on order]]*(Table1[[#This Row],[Cost ]]+Table1[[#This Row],[shipping]]+Table1[[#This Row],[Tax]])</f>
        <v>0</v>
      </c>
      <c r="S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" s="49">
        <f>Table1[[#This Row],[Quantity  to  purchase]]+Table1[[#This Row],[Quantity purchased]]+Table1[[#This Row],[Quantity on order]]+Table1[[#This Row],[Quantity donated]]-Table1[[#This Row],[extended quantity]]</f>
        <v>78</v>
      </c>
      <c r="U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" s="51">
        <f>IFERROR(Table1[[#This Row],[Quantity  to  purchase]]*(Table1[[#This Row],[Cost ]]+Table1[[#This Row],[shipping]]+Table1[[#This Row],[Tax]]),0)</f>
        <v>0</v>
      </c>
      <c r="W25" s="36">
        <f>IFERROR(Table1[[#This Row],[leftover material]]*(Table1[[#This Row],[Cost ]]+Table1[[#This Row],[shipping]]+Table1[[#This Row],[Tax]]),0)</f>
        <v>5.3125801710901497</v>
      </c>
      <c r="X25" s="36">
        <f>Table1[[#This Row],[Quantity purchased]]*(Table1[[#This Row],[Cost ]]+Table1[[#This Row],[shipping]]+Table1[[#This Row],[Tax]])</f>
        <v>6.8110002193463455</v>
      </c>
      <c r="Y25" s="84">
        <v>43875</v>
      </c>
      <c r="Z25" s="84">
        <v>43885</v>
      </c>
      <c r="AA25" s="84">
        <v>43885</v>
      </c>
      <c r="AB25" s="3" t="s">
        <v>982</v>
      </c>
      <c r="AC25" s="59">
        <f>IF(ISNA(VLOOKUP(Table1[[#This Row],[Part Number]],'Multi-level BOM'!V$4:V$449,1,FALSE)),0,Table1[[#This Row],[Remaining Extended cost]])</f>
        <v>0</v>
      </c>
    </row>
    <row r="26" spans="1:29" x14ac:dyDescent="0.25">
      <c r="A26" s="42" t="s">
        <v>29</v>
      </c>
      <c r="B26" s="4" t="s">
        <v>975</v>
      </c>
      <c r="C26" s="1" t="s">
        <v>704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705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80" t="str">
        <f>IF(Table1[[#This Row],[Buy-now costs]]&gt;0,"X","")</f>
        <v/>
      </c>
      <c r="M26" s="80">
        <v>0</v>
      </c>
      <c r="N26" s="80">
        <v>3</v>
      </c>
      <c r="O26" s="40">
        <v>3</v>
      </c>
      <c r="P26" s="94">
        <f>Table1[[#This Row],[quantity on-hand]]*(Table1[[#This Row],[Cost ]]+Table1[[#This Row],[shipping]]+Table1[[#This Row],[Tax]])</f>
        <v>14.308125</v>
      </c>
      <c r="Q26" s="40">
        <v>0</v>
      </c>
      <c r="R26" s="92">
        <f>Table1[[#This Row],[Quantity on order]]*(Table1[[#This Row],[Cost ]]+Table1[[#This Row],[shipping]]+Table1[[#This Row],[Tax]])</f>
        <v>0</v>
      </c>
      <c r="S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" s="49">
        <f>Table1[[#This Row],[Quantity  to  purchase]]+Table1[[#This Row],[Quantity purchased]]+Table1[[#This Row],[Quantity on order]]+Table1[[#This Row],[Quantity donated]]-Table1[[#This Row],[extended quantity]]</f>
        <v>1</v>
      </c>
      <c r="U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" s="51">
        <f>IFERROR(Table1[[#This Row],[Quantity  to  purchase]]*(Table1[[#This Row],[Cost ]]+Table1[[#This Row],[shipping]]+Table1[[#This Row],[Tax]]),0)</f>
        <v>0</v>
      </c>
      <c r="W26" s="36">
        <f>IFERROR(Table1[[#This Row],[leftover material]]*(Table1[[#This Row],[Cost ]]+Table1[[#This Row],[shipping]]+Table1[[#This Row],[Tax]]),0)</f>
        <v>4.7693750000000001</v>
      </c>
      <c r="X26" s="36">
        <v>0</v>
      </c>
      <c r="Y26" s="84"/>
      <c r="Z26" s="84"/>
      <c r="AA26" s="84"/>
      <c r="AB26" s="3" t="s">
        <v>907</v>
      </c>
      <c r="AC26" s="36">
        <f>IF(ISNA(VLOOKUP(Table1[[#This Row],[Part Number]],'Multi-level BOM'!V$4:V$449,1,FALSE)),0,Table1[[#This Row],[Remaining Extended cost]])</f>
        <v>0</v>
      </c>
    </row>
    <row r="27" spans="1:29" x14ac:dyDescent="0.25">
      <c r="A27" s="1" t="s">
        <v>30</v>
      </c>
      <c r="B27" s="16" t="s">
        <v>871</v>
      </c>
      <c r="C27" s="1" t="s">
        <v>704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702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80" t="str">
        <f>IF(Table1[[#This Row],[Buy-now costs]]&gt;0,"X","")</f>
        <v/>
      </c>
      <c r="M27" s="80"/>
      <c r="N27" s="80"/>
      <c r="O27" s="40">
        <v>1</v>
      </c>
      <c r="P27" s="94">
        <f>Table1[[#This Row],[quantity on-hand]]*(Table1[[#This Row],[Cost ]]+Table1[[#This Row],[shipping]]+Table1[[#This Row],[Tax]])</f>
        <v>0.93215833333333331</v>
      </c>
      <c r="Q27" s="40">
        <v>0</v>
      </c>
      <c r="R27" s="92">
        <f>Table1[[#This Row],[Quantity on order]]*(Table1[[#This Row],[Cost ]]+Table1[[#This Row],[shipping]]+Table1[[#This Row],[Tax]])</f>
        <v>0</v>
      </c>
      <c r="S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" s="49">
        <f>Table1[[#This Row],[Quantity  to  purchase]]+Table1[[#This Row],[Quantity purchased]]+Table1[[#This Row],[Quantity on order]]+Table1[[#This Row],[Quantity donated]]-Table1[[#This Row],[extended quantity]]</f>
        <v>0</v>
      </c>
      <c r="U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" s="51">
        <f>IFERROR(Table1[[#This Row],[Quantity  to  purchase]]*(Table1[[#This Row],[Cost ]]+Table1[[#This Row],[shipping]]+Table1[[#This Row],[Tax]]),0)</f>
        <v>0</v>
      </c>
      <c r="W27" s="36">
        <f>IFERROR(Table1[[#This Row],[leftover material]]*(Table1[[#This Row],[Cost ]]+Table1[[#This Row],[shipping]]+Table1[[#This Row],[Tax]]),0)</f>
        <v>0</v>
      </c>
      <c r="X27" s="36"/>
      <c r="Y27" s="84"/>
      <c r="Z27" s="84"/>
      <c r="AA27" s="84"/>
      <c r="AB27" s="3"/>
      <c r="AC27" s="36">
        <f>IF(ISNA(VLOOKUP(Table1[[#This Row],[Part Number]],'Multi-level BOM'!V$4:V$449,1,FALSE)),0,Table1[[#This Row],[Remaining Extended cost]])</f>
        <v>0</v>
      </c>
    </row>
    <row r="28" spans="1:29" ht="30" x14ac:dyDescent="0.25">
      <c r="A28" s="1" t="s">
        <v>31</v>
      </c>
      <c r="B28" s="4" t="s">
        <v>899</v>
      </c>
      <c r="C28" s="1" t="s">
        <v>704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716</v>
      </c>
      <c r="H28" s="2">
        <v>2</v>
      </c>
      <c r="I28" s="1" t="s">
        <v>715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80" t="str">
        <f>IF(Table1[[#This Row],[Buy-now costs]]&gt;0,"X","")</f>
        <v/>
      </c>
      <c r="M28" s="80">
        <v>2</v>
      </c>
      <c r="N28" s="80"/>
      <c r="O28" s="40">
        <v>2</v>
      </c>
      <c r="P28" s="94">
        <f>Table1[[#This Row],[quantity on-hand]]*(Table1[[#This Row],[Cost ]]+Table1[[#This Row],[shipping]]+Table1[[#This Row],[Tax]])</f>
        <v>9.5108931000000005</v>
      </c>
      <c r="Q28" s="40">
        <v>0</v>
      </c>
      <c r="R28" s="92">
        <f>Table1[[#This Row],[Quantity on order]]*(Table1[[#This Row],[Cost ]]+Table1[[#This Row],[shipping]]+Table1[[#This Row],[Tax]])</f>
        <v>0</v>
      </c>
      <c r="S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" s="49">
        <f>Table1[[#This Row],[Quantity  to  purchase]]+Table1[[#This Row],[Quantity purchased]]+Table1[[#This Row],[Quantity on order]]+Table1[[#This Row],[Quantity donated]]-Table1[[#This Row],[extended quantity]]</f>
        <v>0</v>
      </c>
      <c r="U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" s="51">
        <f>IFERROR(Table1[[#This Row],[Quantity  to  purchase]]*(Table1[[#This Row],[Cost ]]+Table1[[#This Row],[shipping]]+Table1[[#This Row],[Tax]]),0)</f>
        <v>0</v>
      </c>
      <c r="W28" s="36">
        <f>IFERROR(Table1[[#This Row],[leftover material]]*(Table1[[#This Row],[Cost ]]+Table1[[#This Row],[shipping]]+Table1[[#This Row],[Tax]]),0)</f>
        <v>0</v>
      </c>
      <c r="X28" s="36">
        <v>9.51</v>
      </c>
      <c r="Y28" s="84"/>
      <c r="Z28" s="84"/>
      <c r="AA28" s="84"/>
      <c r="AB28" s="3" t="s">
        <v>989</v>
      </c>
      <c r="AC28" s="36">
        <f>IF(ISNA(VLOOKUP(Table1[[#This Row],[Part Number]],'Multi-level BOM'!V$4:V$449,1,FALSE)),0,Table1[[#This Row],[Remaining Extended cost]])</f>
        <v>0</v>
      </c>
    </row>
    <row r="29" spans="1:29" x14ac:dyDescent="0.25">
      <c r="A29" s="1" t="s">
        <v>32</v>
      </c>
      <c r="B29" s="4" t="s">
        <v>954</v>
      </c>
      <c r="C29" s="1" t="s">
        <v>922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941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80" t="str">
        <f>IF(Table1[[#This Row],[Buy-now costs]]&gt;0,"X","")</f>
        <v/>
      </c>
      <c r="M29" s="80">
        <v>8</v>
      </c>
      <c r="N29" s="80"/>
      <c r="O29" s="40">
        <v>8</v>
      </c>
      <c r="P29" s="94">
        <f>Table1[[#This Row],[quantity on-hand]]*(Table1[[#This Row],[Cost ]]+Table1[[#This Row],[shipping]]+Table1[[#This Row],[Tax]])</f>
        <v>1.3209212546611093</v>
      </c>
      <c r="Q29" s="40"/>
      <c r="R29" s="92">
        <f>Table1[[#This Row],[Quantity on order]]*(Table1[[#This Row],[Cost ]]+Table1[[#This Row],[shipping]]+Table1[[#This Row],[Tax]])</f>
        <v>0</v>
      </c>
      <c r="S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" s="49">
        <f>Table1[[#This Row],[Quantity  to  purchase]]+Table1[[#This Row],[Quantity purchased]]+Table1[[#This Row],[Quantity on order]]+Table1[[#This Row],[Quantity donated]]-Table1[[#This Row],[extended quantity]]</f>
        <v>0</v>
      </c>
      <c r="U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" s="51">
        <f>IFERROR(Table1[[#This Row],[Quantity  to  purchase]]*(Table1[[#This Row],[Cost ]]+Table1[[#This Row],[shipping]]+Table1[[#This Row],[Tax]]),0)</f>
        <v>0</v>
      </c>
      <c r="W29" s="36">
        <f>IFERROR(Table1[[#This Row],[leftover material]]*(Table1[[#This Row],[Cost ]]+Table1[[#This Row],[shipping]]+Table1[[#This Row],[Tax]]),0)</f>
        <v>0</v>
      </c>
      <c r="X29" s="36">
        <f>Table1[[#This Row],[Quantity purchased]]*(Table1[[#This Row],[Cost ]]+Table1[[#This Row],[shipping]]+Table1[[#This Row],[Tax]])</f>
        <v>1.3209212546611093</v>
      </c>
      <c r="Y29" s="84">
        <v>43875</v>
      </c>
      <c r="Z29" s="84">
        <v>43885</v>
      </c>
      <c r="AA29" s="84">
        <v>43885</v>
      </c>
      <c r="AB29" s="3" t="s">
        <v>982</v>
      </c>
      <c r="AC29" s="59">
        <f>IF(ISNA(VLOOKUP(Table1[[#This Row],[Part Number]],'Multi-level BOM'!V$4:V$449,1,FALSE)),0,Table1[[#This Row],[Remaining Extended cost]])</f>
        <v>0</v>
      </c>
    </row>
    <row r="30" spans="1:29" ht="30" x14ac:dyDescent="0.25">
      <c r="A30" s="1" t="s">
        <v>33</v>
      </c>
      <c r="B30" s="4" t="s">
        <v>708</v>
      </c>
      <c r="C30" s="1" t="s">
        <v>656</v>
      </c>
      <c r="D30" s="3">
        <f>8.09/26</f>
        <v>0.31115384615384617</v>
      </c>
      <c r="E30" s="3">
        <v>0</v>
      </c>
      <c r="F30" s="3">
        <f>9%*Table1[[#This Row],[Cost ]]</f>
        <v>2.8003846153846153E-2</v>
      </c>
      <c r="G30" s="5" t="s">
        <v>709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80" t="str">
        <f>IF(Table1[[#This Row],[Buy-now costs]]&gt;0,"X","")</f>
        <v/>
      </c>
      <c r="M30" s="80">
        <v>26</v>
      </c>
      <c r="N30" s="80"/>
      <c r="O30" s="40">
        <v>9</v>
      </c>
      <c r="P30" s="94">
        <f>Table1[[#This Row],[quantity on-hand]]*(Table1[[#This Row],[Cost ]]+Table1[[#This Row],[shipping]]+Table1[[#This Row],[Tax]])</f>
        <v>3.0524192307692308</v>
      </c>
      <c r="Q30" s="40">
        <v>0</v>
      </c>
      <c r="R30" s="92">
        <f>Table1[[#This Row],[Quantity on order]]*(Table1[[#This Row],[Cost ]]+Table1[[#This Row],[shipping]]+Table1[[#This Row],[Tax]])</f>
        <v>0</v>
      </c>
      <c r="S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" s="49">
        <f>Table1[[#This Row],[Quantity  to  purchase]]+Table1[[#This Row],[Quantity purchased]]+Table1[[#This Row],[Quantity on order]]+Table1[[#This Row],[Quantity donated]]-Table1[[#This Row],[extended quantity]]</f>
        <v>17</v>
      </c>
      <c r="U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" s="51">
        <f>IFERROR(Table1[[#This Row],[Quantity  to  purchase]]*(Table1[[#This Row],[Cost ]]+Table1[[#This Row],[shipping]]+Table1[[#This Row],[Tax]]),0)</f>
        <v>0</v>
      </c>
      <c r="W30" s="36">
        <f>IFERROR(Table1[[#This Row],[leftover material]]*(Table1[[#This Row],[Cost ]]+Table1[[#This Row],[shipping]]+Table1[[#This Row],[Tax]]),0)</f>
        <v>5.7656807692307694</v>
      </c>
      <c r="X30" s="36">
        <v>8.82</v>
      </c>
      <c r="Y30" s="84">
        <v>43876</v>
      </c>
      <c r="Z30" s="84"/>
      <c r="AA30" s="84">
        <v>43879</v>
      </c>
      <c r="AB30" s="3" t="s">
        <v>987</v>
      </c>
      <c r="AC30" s="36">
        <f>IF(ISNA(VLOOKUP(Table1[[#This Row],[Part Number]],'Multi-level BOM'!V$4:V$449,1,FALSE)),0,Table1[[#This Row],[Remaining Extended cost]])</f>
        <v>0</v>
      </c>
    </row>
    <row r="31" spans="1:29" ht="30" x14ac:dyDescent="0.25">
      <c r="A31" s="1" t="s">
        <v>34</v>
      </c>
      <c r="B31" s="4" t="s">
        <v>769</v>
      </c>
      <c r="C31" s="1" t="s">
        <v>656</v>
      </c>
      <c r="D31" s="3">
        <f>8.89/100</f>
        <v>8.8900000000000007E-2</v>
      </c>
      <c r="E31" s="3">
        <v>0</v>
      </c>
      <c r="F31" s="3">
        <f>9%*Table1[[#This Row],[Cost ]]</f>
        <v>8.0010000000000012E-3</v>
      </c>
      <c r="G31" s="1" t="s">
        <v>711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80" t="str">
        <f>IF(Table1[[#This Row],[Buy-now costs]]&gt;0,"X","")</f>
        <v/>
      </c>
      <c r="M31" s="80"/>
      <c r="N31" s="80"/>
      <c r="O31" s="40">
        <v>0</v>
      </c>
      <c r="P31" s="94">
        <f>Table1[[#This Row],[quantity on-hand]]*(Table1[[#This Row],[Cost ]]+Table1[[#This Row],[shipping]]+Table1[[#This Row],[Tax]])</f>
        <v>0</v>
      </c>
      <c r="Q31" s="40">
        <v>0</v>
      </c>
      <c r="R31" s="92">
        <f>Table1[[#This Row],[Quantity on order]]*(Table1[[#This Row],[Cost ]]+Table1[[#This Row],[shipping]]+Table1[[#This Row],[Tax]])</f>
        <v>0</v>
      </c>
      <c r="S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" s="49">
        <f>Table1[[#This Row],[Quantity  to  purchase]]+Table1[[#This Row],[Quantity purchased]]+Table1[[#This Row],[Quantity on order]]+Table1[[#This Row],[Quantity donated]]-Table1[[#This Row],[extended quantity]]</f>
        <v>0</v>
      </c>
      <c r="U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" s="51">
        <f>IFERROR(Table1[[#This Row],[Quantity  to  purchase]]*(Table1[[#This Row],[Cost ]]+Table1[[#This Row],[shipping]]+Table1[[#This Row],[Tax]]),0)</f>
        <v>0</v>
      </c>
      <c r="W31" s="36">
        <f>IFERROR(Table1[[#This Row],[leftover material]]*(Table1[[#This Row],[Cost ]]+Table1[[#This Row],[shipping]]+Table1[[#This Row],[Tax]]),0)</f>
        <v>0</v>
      </c>
      <c r="X31" s="36"/>
      <c r="Y31" s="84"/>
      <c r="Z31" s="84"/>
      <c r="AA31" s="84"/>
      <c r="AB31" s="36"/>
      <c r="AC31" s="36">
        <f>IF(ISNA(VLOOKUP(Table1[[#This Row],[Part Number]],'Multi-level BOM'!V$4:V$449,1,FALSE)),0,Table1[[#This Row],[Remaining Extended cost]])</f>
        <v>0</v>
      </c>
    </row>
    <row r="32" spans="1:29" ht="30" x14ac:dyDescent="0.25">
      <c r="A32" s="1" t="s">
        <v>35</v>
      </c>
      <c r="B32" s="4" t="s">
        <v>983</v>
      </c>
      <c r="C32" s="1" t="s">
        <v>922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984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80" t="str">
        <f>IF(Table1[[#This Row],[Buy-now costs]]&gt;0,"X","")</f>
        <v/>
      </c>
      <c r="M32" s="80">
        <v>4</v>
      </c>
      <c r="N32" s="80"/>
      <c r="O32" s="40">
        <v>4</v>
      </c>
      <c r="P32" s="94">
        <f>Table1[[#This Row],[quantity on-hand]]*(Table1[[#This Row],[Cost ]]+Table1[[#This Row],[shipping]]+Table1[[#This Row],[Tax]])</f>
        <v>2.0364202676025438</v>
      </c>
      <c r="Q32" s="40"/>
      <c r="R32" s="92">
        <f>Table1[[#This Row],[Quantity on order]]*(Table1[[#This Row],[Cost ]]+Table1[[#This Row],[shipping]]+Table1[[#This Row],[Tax]])</f>
        <v>0</v>
      </c>
      <c r="S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" s="49">
        <f>Table1[[#This Row],[Quantity  to  purchase]]+Table1[[#This Row],[Quantity purchased]]+Table1[[#This Row],[Quantity on order]]+Table1[[#This Row],[Quantity donated]]-Table1[[#This Row],[extended quantity]]</f>
        <v>0</v>
      </c>
      <c r="U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" s="51">
        <f>IFERROR(Table1[[#This Row],[Quantity  to  purchase]]*(Table1[[#This Row],[Cost ]]+Table1[[#This Row],[shipping]]+Table1[[#This Row],[Tax]]),0)</f>
        <v>0</v>
      </c>
      <c r="W32" s="36">
        <f>IFERROR(Table1[[#This Row],[leftover material]]*(Table1[[#This Row],[Cost ]]+Table1[[#This Row],[shipping]]+Table1[[#This Row],[Tax]]),0)</f>
        <v>0</v>
      </c>
      <c r="X32" s="36">
        <f>Table1[[#This Row],[Quantity purchased]]*(Table1[[#This Row],[Cost ]]+Table1[[#This Row],[shipping]]+Table1[[#This Row],[Tax]])</f>
        <v>2.0364202676025438</v>
      </c>
      <c r="Y32" s="84">
        <v>43875</v>
      </c>
      <c r="Z32" s="84">
        <v>43885</v>
      </c>
      <c r="AA32" s="84">
        <v>43885</v>
      </c>
      <c r="AB32" s="3" t="s">
        <v>982</v>
      </c>
      <c r="AC32" s="59">
        <f>IF(ISNA(VLOOKUP(Table1[[#This Row],[Part Number]],'Multi-level BOM'!V$4:V$449,1,FALSE)),0,Table1[[#This Row],[Remaining Extended cost]])</f>
        <v>0</v>
      </c>
    </row>
    <row r="33" spans="1:29" ht="30" x14ac:dyDescent="0.25">
      <c r="A33" s="1" t="s">
        <v>36</v>
      </c>
      <c r="B33" s="4" t="s">
        <v>943</v>
      </c>
      <c r="C33" s="1" t="s">
        <v>922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944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80" t="str">
        <f>IF(Table1[[#This Row],[Buy-now costs]]&gt;0,"X","")</f>
        <v/>
      </c>
      <c r="M33" s="80">
        <v>4</v>
      </c>
      <c r="N33" s="80"/>
      <c r="O33" s="40">
        <v>4</v>
      </c>
      <c r="P33" s="94">
        <f>Table1[[#This Row],[quantity on-hand]]*(Table1[[#This Row],[Cost ]]+Table1[[#This Row],[shipping]]+Table1[[#This Row],[Tax]])</f>
        <v>2.4216889668787003</v>
      </c>
      <c r="Q33" s="40"/>
      <c r="R33" s="92">
        <f>Table1[[#This Row],[Quantity on order]]*(Table1[[#This Row],[Cost ]]+Table1[[#This Row],[shipping]]+Table1[[#This Row],[Tax]])</f>
        <v>0</v>
      </c>
      <c r="S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" s="49">
        <f>Table1[[#This Row],[Quantity  to  purchase]]+Table1[[#This Row],[Quantity purchased]]+Table1[[#This Row],[Quantity on order]]+Table1[[#This Row],[Quantity donated]]-Table1[[#This Row],[extended quantity]]</f>
        <v>0</v>
      </c>
      <c r="U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" s="51">
        <f>IFERROR(Table1[[#This Row],[Quantity  to  purchase]]*(Table1[[#This Row],[Cost ]]+Table1[[#This Row],[shipping]]+Table1[[#This Row],[Tax]]),0)</f>
        <v>0</v>
      </c>
      <c r="W33" s="36">
        <f>IFERROR(Table1[[#This Row],[leftover material]]*(Table1[[#This Row],[Cost ]]+Table1[[#This Row],[shipping]]+Table1[[#This Row],[Tax]]),0)</f>
        <v>0</v>
      </c>
      <c r="X33" s="36">
        <f>Table1[[#This Row],[Quantity purchased]]*(Table1[[#This Row],[Cost ]]+Table1[[#This Row],[shipping]]+Table1[[#This Row],[Tax]])</f>
        <v>2.4216889668787003</v>
      </c>
      <c r="Y33" s="84">
        <v>43875</v>
      </c>
      <c r="Z33" s="84">
        <v>43885</v>
      </c>
      <c r="AA33" s="84">
        <v>43885</v>
      </c>
      <c r="AB33" s="3" t="s">
        <v>982</v>
      </c>
      <c r="AC33" s="59">
        <f>IF(ISNA(VLOOKUP(Table1[[#This Row],[Part Number]],'Multi-level BOM'!V$4:V$449,1,FALSE)),0,Table1[[#This Row],[Remaining Extended cost]])</f>
        <v>0</v>
      </c>
    </row>
    <row r="34" spans="1:29" x14ac:dyDescent="0.25">
      <c r="A34" s="1" t="s">
        <v>37</v>
      </c>
      <c r="B34" s="4" t="s">
        <v>945</v>
      </c>
      <c r="C34" s="1" t="s">
        <v>922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946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80" t="str">
        <f>IF(Table1[[#This Row],[Buy-now costs]]&gt;0,"X","")</f>
        <v/>
      </c>
      <c r="M34" s="80">
        <v>2</v>
      </c>
      <c r="N34" s="80"/>
      <c r="O34" s="40">
        <v>2</v>
      </c>
      <c r="P34" s="94">
        <f>Table1[[#This Row],[quantity on-hand]]*(Table1[[#This Row],[Cost ]]+Table1[[#This Row],[shipping]]+Table1[[#This Row],[Tax]])</f>
        <v>0.495345470497916</v>
      </c>
      <c r="Q34" s="40"/>
      <c r="R34" s="92">
        <f>Table1[[#This Row],[Quantity on order]]*(Table1[[#This Row],[Cost ]]+Table1[[#This Row],[shipping]]+Table1[[#This Row],[Tax]])</f>
        <v>0</v>
      </c>
      <c r="S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" s="49">
        <f>Table1[[#This Row],[Quantity  to  purchase]]+Table1[[#This Row],[Quantity purchased]]+Table1[[#This Row],[Quantity on order]]+Table1[[#This Row],[Quantity donated]]-Table1[[#This Row],[extended quantity]]</f>
        <v>0</v>
      </c>
      <c r="U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" s="51">
        <f>IFERROR(Table1[[#This Row],[Quantity  to  purchase]]*(Table1[[#This Row],[Cost ]]+Table1[[#This Row],[shipping]]+Table1[[#This Row],[Tax]]),0)</f>
        <v>0</v>
      </c>
      <c r="W34" s="36">
        <f>IFERROR(Table1[[#This Row],[leftover material]]*(Table1[[#This Row],[Cost ]]+Table1[[#This Row],[shipping]]+Table1[[#This Row],[Tax]]),0)</f>
        <v>0</v>
      </c>
      <c r="X34" s="36">
        <f>Table1[[#This Row],[Quantity purchased]]*(Table1[[#This Row],[Cost ]]+Table1[[#This Row],[shipping]]+Table1[[#This Row],[Tax]])</f>
        <v>0.495345470497916</v>
      </c>
      <c r="Y34" s="84">
        <v>43875</v>
      </c>
      <c r="Z34" s="84">
        <v>43885</v>
      </c>
      <c r="AA34" s="84">
        <v>43885</v>
      </c>
      <c r="AB34" s="3" t="s">
        <v>982</v>
      </c>
      <c r="AC34" s="59">
        <f>IF(ISNA(VLOOKUP(Table1[[#This Row],[Part Number]],'Multi-level BOM'!V$4:V$449,1,FALSE)),0,Table1[[#This Row],[Remaining Extended cost]])</f>
        <v>0</v>
      </c>
    </row>
    <row r="35" spans="1:29" x14ac:dyDescent="0.25">
      <c r="A35" s="1" t="s">
        <v>38</v>
      </c>
      <c r="B35" s="4" t="s">
        <v>955</v>
      </c>
      <c r="C35" s="1" t="s">
        <v>922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947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80" t="str">
        <f>IF(Table1[[#This Row],[Buy-now costs]]&gt;0,"X","")</f>
        <v/>
      </c>
      <c r="M35" s="80">
        <v>2</v>
      </c>
      <c r="N35" s="80"/>
      <c r="O35" s="40">
        <v>2</v>
      </c>
      <c r="P35" s="94">
        <f>Table1[[#This Row],[quantity on-hand]]*(Table1[[#This Row],[Cost ]]+Table1[[#This Row],[shipping]]+Table1[[#This Row],[Tax]])</f>
        <v>0.5503838561087957</v>
      </c>
      <c r="Q35" s="40"/>
      <c r="R35" s="92">
        <f>Table1[[#This Row],[Quantity on order]]*(Table1[[#This Row],[Cost ]]+Table1[[#This Row],[shipping]]+Table1[[#This Row],[Tax]])</f>
        <v>0</v>
      </c>
      <c r="S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" s="49">
        <f>Table1[[#This Row],[Quantity  to  purchase]]+Table1[[#This Row],[Quantity purchased]]+Table1[[#This Row],[Quantity on order]]+Table1[[#This Row],[Quantity donated]]-Table1[[#This Row],[extended quantity]]</f>
        <v>0</v>
      </c>
      <c r="U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" s="51">
        <f>IFERROR(Table1[[#This Row],[Quantity  to  purchase]]*(Table1[[#This Row],[Cost ]]+Table1[[#This Row],[shipping]]+Table1[[#This Row],[Tax]]),0)</f>
        <v>0</v>
      </c>
      <c r="W35" s="36">
        <f>IFERROR(Table1[[#This Row],[leftover material]]*(Table1[[#This Row],[Cost ]]+Table1[[#This Row],[shipping]]+Table1[[#This Row],[Tax]]),0)</f>
        <v>0</v>
      </c>
      <c r="X35" s="36">
        <f>Table1[[#This Row],[Quantity purchased]]*(Table1[[#This Row],[Cost ]]+Table1[[#This Row],[shipping]]+Table1[[#This Row],[Tax]])</f>
        <v>0.5503838561087957</v>
      </c>
      <c r="Y35" s="84">
        <v>43875</v>
      </c>
      <c r="Z35" s="84">
        <v>43885</v>
      </c>
      <c r="AA35" s="84">
        <v>43885</v>
      </c>
      <c r="AB35" s="3" t="s">
        <v>982</v>
      </c>
      <c r="AC35" s="59">
        <f>IF(ISNA(VLOOKUP(Table1[[#This Row],[Part Number]],'Multi-level BOM'!V$4:V$449,1,FALSE)),0,Table1[[#This Row],[Remaining Extended cost]])</f>
        <v>0</v>
      </c>
    </row>
    <row r="36" spans="1:29" ht="45" x14ac:dyDescent="0.25">
      <c r="A36" s="1" t="s">
        <v>39</v>
      </c>
      <c r="B36" s="4" t="s">
        <v>758</v>
      </c>
      <c r="C36" s="1" t="s">
        <v>922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981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80" t="str">
        <f>IF(Table1[[#This Row],[Buy-now costs]]&gt;0,"X","")</f>
        <v/>
      </c>
      <c r="M36" s="80">
        <v>100</v>
      </c>
      <c r="N36" s="80"/>
      <c r="O36" s="40">
        <v>20</v>
      </c>
      <c r="P36" s="94">
        <f>Table1[[#This Row],[quantity on-hand]]*(Table1[[#This Row],[Cost ]]+Table1[[#This Row],[shipping]]+Table1[[#This Row],[Tax]])</f>
        <v>1.6126246983987713</v>
      </c>
      <c r="Q36" s="40"/>
      <c r="R36" s="92">
        <f>Table1[[#This Row],[Quantity on order]]*(Table1[[#This Row],[Cost ]]+Table1[[#This Row],[shipping]]+Table1[[#This Row],[Tax]])</f>
        <v>0</v>
      </c>
      <c r="S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" s="49">
        <f>Table1[[#This Row],[Quantity  to  purchase]]+Table1[[#This Row],[Quantity purchased]]+Table1[[#This Row],[Quantity on order]]+Table1[[#This Row],[Quantity donated]]-Table1[[#This Row],[extended quantity]]</f>
        <v>80</v>
      </c>
      <c r="U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" s="51">
        <f>IFERROR(Table1[[#This Row],[Quantity  to  purchase]]*(Table1[[#This Row],[Cost ]]+Table1[[#This Row],[shipping]]+Table1[[#This Row],[Tax]]),0)</f>
        <v>0</v>
      </c>
      <c r="W36" s="36">
        <f>IFERROR(Table1[[#This Row],[leftover material]]*(Table1[[#This Row],[Cost ]]+Table1[[#This Row],[shipping]]+Table1[[#This Row],[Tax]]),0)</f>
        <v>6.4504987935950853</v>
      </c>
      <c r="X36" s="36">
        <f>Table1[[#This Row],[Quantity purchased]]*(Table1[[#This Row],[Cost ]]+Table1[[#This Row],[shipping]]+Table1[[#This Row],[Tax]])</f>
        <v>8.0631234919938564</v>
      </c>
      <c r="Y36" s="84">
        <v>43875</v>
      </c>
      <c r="Z36" s="84">
        <v>43885</v>
      </c>
      <c r="AA36" s="84">
        <v>43885</v>
      </c>
      <c r="AB36" s="3" t="s">
        <v>982</v>
      </c>
      <c r="AC36" s="59">
        <f>IF(ISNA(VLOOKUP(Table1[[#This Row],[Part Number]],'Multi-level BOM'!V$4:V$449,1,FALSE)),0,Table1[[#This Row],[Remaining Extended cost]])</f>
        <v>0</v>
      </c>
    </row>
    <row r="37" spans="1:29" ht="30" x14ac:dyDescent="0.25">
      <c r="A37" s="1" t="s">
        <v>40</v>
      </c>
      <c r="B37" s="4" t="s">
        <v>759</v>
      </c>
      <c r="C37" s="1" t="s">
        <v>922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939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80" t="str">
        <f>IF(Table1[[#This Row],[Buy-now costs]]&gt;0,"X","")</f>
        <v/>
      </c>
      <c r="M37" s="80">
        <v>100</v>
      </c>
      <c r="N37" s="80"/>
      <c r="O37" s="40">
        <v>46</v>
      </c>
      <c r="P37" s="94">
        <f>Table1[[#This Row],[quantity on-hand]]*(Table1[[#This Row],[Cost ]]+Table1[[#This Row],[shipping]]+Table1[[#This Row],[Tax]])</f>
        <v>2.019083176135116</v>
      </c>
      <c r="Q37" s="40"/>
      <c r="R37" s="92">
        <f>Table1[[#This Row],[Quantity on order]]*(Table1[[#This Row],[Cost ]]+Table1[[#This Row],[shipping]]+Table1[[#This Row],[Tax]])</f>
        <v>0</v>
      </c>
      <c r="S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" s="49">
        <f>Table1[[#This Row],[Quantity  to  purchase]]+Table1[[#This Row],[Quantity purchased]]+Table1[[#This Row],[Quantity on order]]+Table1[[#This Row],[Quantity donated]]-Table1[[#This Row],[extended quantity]]</f>
        <v>54</v>
      </c>
      <c r="U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" s="51">
        <f>IFERROR(Table1[[#This Row],[Quantity  to  purchase]]*(Table1[[#This Row],[Cost ]]+Table1[[#This Row],[shipping]]+Table1[[#This Row],[Tax]]),0)</f>
        <v>0</v>
      </c>
      <c r="W37" s="36">
        <f>IFERROR(Table1[[#This Row],[leftover material]]*(Table1[[#This Row],[Cost ]]+Table1[[#This Row],[shipping]]+Table1[[#This Row],[Tax]]),0)</f>
        <v>2.3702280763325279</v>
      </c>
      <c r="X37" s="36">
        <f>Table1[[#This Row],[Quantity purchased]]*(Table1[[#This Row],[Cost ]]+Table1[[#This Row],[shipping]]+Table1[[#This Row],[Tax]])</f>
        <v>4.3893112524676443</v>
      </c>
      <c r="Y37" s="84">
        <v>43875</v>
      </c>
      <c r="Z37" s="84">
        <v>43885</v>
      </c>
      <c r="AA37" s="84">
        <v>43885</v>
      </c>
      <c r="AB37" s="3" t="s">
        <v>982</v>
      </c>
      <c r="AC37" s="59">
        <f>IF(ISNA(VLOOKUP(Table1[[#This Row],[Part Number]],'Multi-level BOM'!V$4:V$449,1,FALSE)),0,Table1[[#This Row],[Remaining Extended cost]])</f>
        <v>0</v>
      </c>
    </row>
    <row r="38" spans="1:29" x14ac:dyDescent="0.25">
      <c r="A38" s="1" t="s">
        <v>41</v>
      </c>
      <c r="B38" s="4" t="s">
        <v>760</v>
      </c>
      <c r="C38" s="1" t="s">
        <v>922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949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80" t="str">
        <f>IF(Table1[[#This Row],[Buy-now costs]]&gt;0,"X","")</f>
        <v/>
      </c>
      <c r="M38" s="80">
        <v>100</v>
      </c>
      <c r="N38" s="80"/>
      <c r="O38" s="40">
        <v>46</v>
      </c>
      <c r="P38" s="94">
        <f>Table1[[#This Row],[quantity on-hand]]*(Table1[[#This Row],[Cost ]]+Table1[[#This Row],[shipping]]+Table1[[#This Row],[Tax]])</f>
        <v>0.69623557797762647</v>
      </c>
      <c r="Q38" s="40"/>
      <c r="R38" s="92">
        <f>Table1[[#This Row],[Quantity on order]]*(Table1[[#This Row],[Cost ]]+Table1[[#This Row],[shipping]]+Table1[[#This Row],[Tax]])</f>
        <v>0</v>
      </c>
      <c r="S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" s="49">
        <f>Table1[[#This Row],[Quantity  to  purchase]]+Table1[[#This Row],[Quantity purchased]]+Table1[[#This Row],[Quantity on order]]+Table1[[#This Row],[Quantity donated]]-Table1[[#This Row],[extended quantity]]</f>
        <v>54</v>
      </c>
      <c r="U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" s="51">
        <f>IFERROR(Table1[[#This Row],[Quantity  to  purchase]]*(Table1[[#This Row],[Cost ]]+Table1[[#This Row],[shipping]]+Table1[[#This Row],[Tax]]),0)</f>
        <v>0</v>
      </c>
      <c r="W38" s="36">
        <f>IFERROR(Table1[[#This Row],[leftover material]]*(Table1[[#This Row],[Cost ]]+Table1[[#This Row],[shipping]]+Table1[[#This Row],[Tax]]),0)</f>
        <v>0.81732002632156153</v>
      </c>
      <c r="X38" s="36">
        <f>Table1[[#This Row],[Quantity purchased]]*(Table1[[#This Row],[Cost ]]+Table1[[#This Row],[shipping]]+Table1[[#This Row],[Tax]])</f>
        <v>1.513555604299188</v>
      </c>
      <c r="Y38" s="84">
        <v>43875</v>
      </c>
      <c r="Z38" s="84">
        <v>43885</v>
      </c>
      <c r="AA38" s="84">
        <v>43885</v>
      </c>
      <c r="AB38" s="3" t="s">
        <v>982</v>
      </c>
      <c r="AC38" s="59">
        <f>IF(ISNA(VLOOKUP(Table1[[#This Row],[Part Number]],'Multi-level BOM'!V$4:V$449,1,FALSE)),0,Table1[[#This Row],[Remaining Extended cost]])</f>
        <v>0</v>
      </c>
    </row>
    <row r="39" spans="1:29" x14ac:dyDescent="0.25">
      <c r="A39" s="1" t="s">
        <v>42</v>
      </c>
      <c r="B39" s="58" t="s">
        <v>766</v>
      </c>
      <c r="C39" s="1" t="s">
        <v>767</v>
      </c>
      <c r="D39" s="3">
        <v>5.69</v>
      </c>
      <c r="E39" s="3">
        <v>1</v>
      </c>
      <c r="F39" s="3">
        <f>9%*Table1[[#This Row],[Cost ]]</f>
        <v>0.5121</v>
      </c>
      <c r="G39" s="1" t="s">
        <v>768</v>
      </c>
      <c r="H39" s="2">
        <v>1</v>
      </c>
      <c r="I39" s="1" t="s">
        <v>777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80" t="str">
        <f>IF(Table1[[#This Row],[Buy-now costs]]&gt;0,"X","")</f>
        <v/>
      </c>
      <c r="M39" s="80"/>
      <c r="N39" s="80">
        <v>3</v>
      </c>
      <c r="O39" s="40">
        <v>3</v>
      </c>
      <c r="P39" s="94">
        <f>Table1[[#This Row],[quantity on-hand]]*(Table1[[#This Row],[Cost ]]+Table1[[#This Row],[shipping]]+Table1[[#This Row],[Tax]])</f>
        <v>21.606300000000001</v>
      </c>
      <c r="Q39" s="40">
        <v>0</v>
      </c>
      <c r="R39" s="92">
        <f>Table1[[#This Row],[Quantity on order]]*(Table1[[#This Row],[Cost ]]+Table1[[#This Row],[shipping]]+Table1[[#This Row],[Tax]])</f>
        <v>0</v>
      </c>
      <c r="S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" s="49">
        <f>Table1[[#This Row],[Quantity  to  purchase]]+Table1[[#This Row],[Quantity purchased]]+Table1[[#This Row],[Quantity on order]]+Table1[[#This Row],[Quantity donated]]-Table1[[#This Row],[extended quantity]]</f>
        <v>0</v>
      </c>
      <c r="U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" s="51">
        <f>IFERROR(Table1[[#This Row],[Quantity  to  purchase]]*(Table1[[#This Row],[Cost ]]+Table1[[#This Row],[shipping]]+Table1[[#This Row],[Tax]]),0)</f>
        <v>0</v>
      </c>
      <c r="W39" s="36">
        <f>IFERROR(Table1[[#This Row],[leftover material]]*(Table1[[#This Row],[Cost ]]+Table1[[#This Row],[shipping]]+Table1[[#This Row],[Tax]]),0)</f>
        <v>0</v>
      </c>
      <c r="X39" s="36"/>
      <c r="Y39" s="84"/>
      <c r="Z39" s="84"/>
      <c r="AA39" s="84"/>
      <c r="AB39" s="36"/>
      <c r="AC39" s="36">
        <f>IF(ISNA(VLOOKUP(Table1[[#This Row],[Part Number]],'Multi-level BOM'!V$4:V$449,1,FALSE)),0,Table1[[#This Row],[Remaining Extended cost]])</f>
        <v>0</v>
      </c>
    </row>
    <row r="40" spans="1:29" ht="30" x14ac:dyDescent="0.25">
      <c r="A40" s="1" t="s">
        <v>43</v>
      </c>
      <c r="B40" s="4" t="s">
        <v>957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777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80" t="str">
        <f>IF(Table1[[#This Row],[Buy-now costs]]&gt;0,"X","")</f>
        <v/>
      </c>
      <c r="M40" s="80"/>
      <c r="N40" s="80"/>
      <c r="O40" s="40">
        <v>1</v>
      </c>
      <c r="P40" s="94">
        <f>Table1[[#This Row],[quantity on-hand]]*(Table1[[#This Row],[Cost ]]+Table1[[#This Row],[shipping]]+Table1[[#This Row],[Tax]])</f>
        <v>0</v>
      </c>
      <c r="Q40" s="40">
        <v>0</v>
      </c>
      <c r="R40" s="92">
        <f>Table1[[#This Row],[Quantity on order]]*(Table1[[#This Row],[Cost ]]+Table1[[#This Row],[shipping]]+Table1[[#This Row],[Tax]])</f>
        <v>0</v>
      </c>
      <c r="S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" s="49">
        <f>Table1[[#This Row],[Quantity  to  purchase]]+Table1[[#This Row],[Quantity purchased]]+Table1[[#This Row],[Quantity on order]]+Table1[[#This Row],[Quantity donated]]-Table1[[#This Row],[extended quantity]]</f>
        <v>-1</v>
      </c>
      <c r="U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" s="51">
        <f>IFERROR(Table1[[#This Row],[Quantity  to  purchase]]*(Table1[[#This Row],[Cost ]]+Table1[[#This Row],[shipping]]+Table1[[#This Row],[Tax]]),0)</f>
        <v>0</v>
      </c>
      <c r="W40" s="36">
        <f>IFERROR(Table1[[#This Row],[leftover material]]*(Table1[[#This Row],[Cost ]]+Table1[[#This Row],[shipping]]+Table1[[#This Row],[Tax]]),0)</f>
        <v>0</v>
      </c>
      <c r="X40" s="36"/>
      <c r="Y40" s="84"/>
      <c r="Z40" s="84"/>
      <c r="AA40" s="84"/>
      <c r="AB40" s="36"/>
      <c r="AC40" s="36">
        <f>IF(ISNA(VLOOKUP(Table1[[#This Row],[Part Number]],'Multi-level BOM'!V$4:V$449,1,FALSE)),0,Table1[[#This Row],[Remaining Extended cost]])</f>
        <v>0</v>
      </c>
    </row>
    <row r="41" spans="1:29" x14ac:dyDescent="0.25">
      <c r="A41" s="1" t="s">
        <v>44</v>
      </c>
      <c r="B41" s="4" t="s">
        <v>780</v>
      </c>
      <c r="C41" s="1" t="s">
        <v>781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779</v>
      </c>
      <c r="H41" s="2">
        <v>1</v>
      </c>
      <c r="I41" s="1" t="s">
        <v>798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80" t="str">
        <f>IF(Table1[[#This Row],[Buy-now costs]]&gt;0,"X","")</f>
        <v/>
      </c>
      <c r="M41" s="80"/>
      <c r="N41" s="80"/>
      <c r="O41" s="40">
        <v>0</v>
      </c>
      <c r="P41" s="94">
        <f>Table1[[#This Row],[quantity on-hand]]*(Table1[[#This Row],[Cost ]]+Table1[[#This Row],[shipping]]+Table1[[#This Row],[Tax]])</f>
        <v>0</v>
      </c>
      <c r="Q41" s="40">
        <v>0</v>
      </c>
      <c r="R41" s="92">
        <f>Table1[[#This Row],[Quantity on order]]*(Table1[[#This Row],[Cost ]]+Table1[[#This Row],[shipping]]+Table1[[#This Row],[Tax]])</f>
        <v>0</v>
      </c>
      <c r="S41" s="49">
        <f>IFERROR(CEILING((Table1[[#This Row],[extended quantity]]-Table1[[#This Row],[quantity on-hand]]-Table1[[#This Row],[Quantity on order]])/Table1[[#This Row],[Minimum order quantity]],1)*Table1[[#This Row],[Minimum order quantity]],0)</f>
        <v>5</v>
      </c>
      <c r="T41" s="49">
        <f>Table1[[#This Row],[Quantity  to  purchase]]+Table1[[#This Row],[Quantity purchased]]+Table1[[#This Row],[Quantity on order]]+Table1[[#This Row],[Quantity donated]]-Table1[[#This Row],[extended quantity]]</f>
        <v>0</v>
      </c>
      <c r="U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36.290000000000006</v>
      </c>
      <c r="V41" s="51">
        <f>IFERROR(Table1[[#This Row],[Quantity  to  purchase]]*(Table1[[#This Row],[Cost ]]+Table1[[#This Row],[shipping]]+Table1[[#This Row],[Tax]]),0)</f>
        <v>36.290000000000006</v>
      </c>
      <c r="W41" s="36">
        <f>IFERROR(Table1[[#This Row],[leftover material]]*(Table1[[#This Row],[Cost ]]+Table1[[#This Row],[shipping]]+Table1[[#This Row],[Tax]]),0)</f>
        <v>0</v>
      </c>
      <c r="X41" s="36"/>
      <c r="Y41" s="84"/>
      <c r="Z41" s="84"/>
      <c r="AA41" s="84"/>
      <c r="AB41" s="36"/>
      <c r="AC41" s="36">
        <f>IF(ISNA(VLOOKUP(Table1[[#This Row],[Part Number]],'Multi-level BOM'!V$4:V$449,1,FALSE)),0,Table1[[#This Row],[Remaining Extended cost]])</f>
        <v>0</v>
      </c>
    </row>
    <row r="42" spans="1:29" x14ac:dyDescent="0.25">
      <c r="A42" s="1" t="s">
        <v>45</v>
      </c>
      <c r="B42" t="s">
        <v>801</v>
      </c>
      <c r="C42" s="1" t="s">
        <v>802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803</v>
      </c>
      <c r="H42" s="2">
        <v>2</v>
      </c>
      <c r="I42" s="1" t="s">
        <v>808</v>
      </c>
      <c r="J42" s="49">
        <f>SUMIF('Multi-level BOM'!D$4:D$467,Table1[[#This Row],[Part Number]],'Multi-level BOM'!H$4:H$467)</f>
        <v>0</v>
      </c>
      <c r="K42" s="10">
        <f>Table1[[#This Row],[extended quantity]]*(Table1[[#This Row],[Cost ]]+Table1[[#This Row],[shipping]]+Table1[[#This Row],[Tax]])</f>
        <v>0</v>
      </c>
      <c r="L42" s="80" t="str">
        <f>IF(Table1[[#This Row],[Buy-now costs]]&gt;0,"X","")</f>
        <v/>
      </c>
      <c r="M42" s="80"/>
      <c r="N42" s="80"/>
      <c r="O42" s="40">
        <v>0</v>
      </c>
      <c r="P42" s="94">
        <f>Table1[[#This Row],[quantity on-hand]]*(Table1[[#This Row],[Cost ]]+Table1[[#This Row],[shipping]]+Table1[[#This Row],[Tax]])</f>
        <v>0</v>
      </c>
      <c r="Q42" s="40">
        <v>0</v>
      </c>
      <c r="R42" s="92">
        <f>Table1[[#This Row],[Quantity on order]]*(Table1[[#This Row],[Cost ]]+Table1[[#This Row],[shipping]]+Table1[[#This Row],[Tax]])</f>
        <v>0</v>
      </c>
      <c r="S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" s="49">
        <f>Table1[[#This Row],[Quantity  to  purchase]]+Table1[[#This Row],[Quantity purchased]]+Table1[[#This Row],[Quantity on order]]+Table1[[#This Row],[Quantity donated]]-Table1[[#This Row],[extended quantity]]</f>
        <v>0</v>
      </c>
      <c r="U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" s="51">
        <f>IFERROR(Table1[[#This Row],[Quantity  to  purchase]]*(Table1[[#This Row],[Cost ]]+Table1[[#This Row],[shipping]]+Table1[[#This Row],[Tax]]),0)</f>
        <v>0</v>
      </c>
      <c r="W42" s="36">
        <f>IFERROR(Table1[[#This Row],[leftover material]]*(Table1[[#This Row],[Cost ]]+Table1[[#This Row],[shipping]]+Table1[[#This Row],[Tax]]),0)</f>
        <v>0</v>
      </c>
      <c r="X42" s="36"/>
      <c r="Y42" s="84"/>
      <c r="Z42" s="84"/>
      <c r="AA42" s="84"/>
      <c r="AB42" s="36"/>
      <c r="AC42" s="36">
        <f>IF(ISNA(VLOOKUP(Table1[[#This Row],[Part Number]],'Multi-level BOM'!V$4:V$449,1,FALSE)),0,Table1[[#This Row],[Remaining Extended cost]])</f>
        <v>0</v>
      </c>
    </row>
    <row r="43" spans="1:29" x14ac:dyDescent="0.25">
      <c r="A43" s="1" t="s">
        <v>46</v>
      </c>
      <c r="B43" s="4" t="s">
        <v>809</v>
      </c>
      <c r="C43" s="1" t="s">
        <v>922</v>
      </c>
      <c r="D43" s="3">
        <f>3.6/100</f>
        <v>3.6000000000000004E-2</v>
      </c>
      <c r="E43" s="3">
        <f>0.262338232068436*D43</f>
        <v>9.4441763544636965E-3</v>
      </c>
      <c r="F43" s="3">
        <f>0.113621408203553*D43</f>
        <v>4.0903706953279084E-3</v>
      </c>
      <c r="G43" s="5" t="s">
        <v>940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80" t="str">
        <f>IF(Table1[[#This Row],[Buy-now costs]]&gt;0,"X","")</f>
        <v/>
      </c>
      <c r="M43" s="80">
        <v>100</v>
      </c>
      <c r="N43" s="80"/>
      <c r="O43" s="40">
        <v>6</v>
      </c>
      <c r="P43" s="94">
        <f>Table1[[#This Row],[quantity on-hand]]*(Table1[[#This Row],[Cost ]]+Table1[[#This Row],[shipping]]+Table1[[#This Row],[Tax]])</f>
        <v>0.29720728229874965</v>
      </c>
      <c r="Q43" s="40"/>
      <c r="R43" s="92">
        <f>Table1[[#This Row],[Quantity on order]]*(Table1[[#This Row],[Cost ]]+Table1[[#This Row],[shipping]]+Table1[[#This Row],[Tax]])</f>
        <v>0</v>
      </c>
      <c r="S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" s="49">
        <f>Table1[[#This Row],[Quantity  to  purchase]]+Table1[[#This Row],[Quantity purchased]]+Table1[[#This Row],[Quantity on order]]+Table1[[#This Row],[Quantity donated]]-Table1[[#This Row],[extended quantity]]</f>
        <v>94</v>
      </c>
      <c r="U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" s="51">
        <f>IFERROR(Table1[[#This Row],[Quantity  to  purchase]]*(Table1[[#This Row],[Cost ]]+Table1[[#This Row],[shipping]]+Table1[[#This Row],[Tax]]),0)</f>
        <v>0</v>
      </c>
      <c r="W43" s="36">
        <f>IFERROR(Table1[[#This Row],[leftover material]]*(Table1[[#This Row],[Cost ]]+Table1[[#This Row],[shipping]]+Table1[[#This Row],[Tax]]),0)</f>
        <v>4.6562474226804111</v>
      </c>
      <c r="X43" s="36">
        <f>Table1[[#This Row],[Quantity purchased]]*(Table1[[#This Row],[Cost ]]+Table1[[#This Row],[shipping]]+Table1[[#This Row],[Tax]])</f>
        <v>4.9534547049791611</v>
      </c>
      <c r="Y43" s="84">
        <v>43875</v>
      </c>
      <c r="Z43" s="84">
        <v>43885</v>
      </c>
      <c r="AA43" s="84">
        <v>43885</v>
      </c>
      <c r="AB43" s="3" t="s">
        <v>982</v>
      </c>
      <c r="AC43" s="59">
        <f>IF(ISNA(VLOOKUP(Table1[[#This Row],[Part Number]],'Multi-level BOM'!V$4:V$449,1,FALSE)),0,Table1[[#This Row],[Remaining Extended cost]])</f>
        <v>0</v>
      </c>
    </row>
    <row r="44" spans="1:29" x14ac:dyDescent="0.25">
      <c r="A44" s="1" t="s">
        <v>47</v>
      </c>
      <c r="B44" s="4" t="s">
        <v>929</v>
      </c>
      <c r="C44" s="1" t="s">
        <v>922</v>
      </c>
      <c r="D44" s="3">
        <f>1.25/100</f>
        <v>1.2500000000000001E-2</v>
      </c>
      <c r="E44" s="3">
        <f>0.262338232068436*D44</f>
        <v>3.2792279008554501E-3</v>
      </c>
      <c r="F44" s="3">
        <f>0.113621408203553*D44</f>
        <v>1.4202676025444126E-3</v>
      </c>
      <c r="G44" s="5" t="s">
        <v>950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80" t="str">
        <f>IF(Table1[[#This Row],[Buy-now costs]]&gt;0,"X","")</f>
        <v/>
      </c>
      <c r="M44" s="80">
        <v>100</v>
      </c>
      <c r="N44" s="80"/>
      <c r="O44" s="40">
        <v>30</v>
      </c>
      <c r="P44" s="94">
        <f>Table1[[#This Row],[quantity on-hand]]*(Table1[[#This Row],[Cost ]]+Table1[[#This Row],[shipping]]+Table1[[#This Row],[Tax]])</f>
        <v>0.51598486510199593</v>
      </c>
      <c r="Q44" s="40"/>
      <c r="R44" s="92">
        <f>Table1[[#This Row],[Quantity on order]]*(Table1[[#This Row],[Cost ]]+Table1[[#This Row],[shipping]]+Table1[[#This Row],[Tax]])</f>
        <v>0</v>
      </c>
      <c r="S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" s="49">
        <f>Table1[[#This Row],[Quantity  to  purchase]]+Table1[[#This Row],[Quantity purchased]]+Table1[[#This Row],[Quantity on order]]+Table1[[#This Row],[Quantity donated]]-Table1[[#This Row],[extended quantity]]</f>
        <v>70</v>
      </c>
      <c r="U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" s="51">
        <f>IFERROR(Table1[[#This Row],[Quantity  to  purchase]]*(Table1[[#This Row],[Cost ]]+Table1[[#This Row],[shipping]]+Table1[[#This Row],[Tax]]),0)</f>
        <v>0</v>
      </c>
      <c r="W44" s="36">
        <f>IFERROR(Table1[[#This Row],[leftover material]]*(Table1[[#This Row],[Cost ]]+Table1[[#This Row],[shipping]]+Table1[[#This Row],[Tax]]),0)</f>
        <v>1.2039646852379906</v>
      </c>
      <c r="X44" s="36">
        <f>Table1[[#This Row],[Quantity purchased]]*(Table1[[#This Row],[Cost ]]+Table1[[#This Row],[shipping]]+Table1[[#This Row],[Tax]])</f>
        <v>1.7199495503399866</v>
      </c>
      <c r="Y44" s="84">
        <v>43875</v>
      </c>
      <c r="Z44" s="84">
        <v>43885</v>
      </c>
      <c r="AA44" s="84">
        <v>43885</v>
      </c>
      <c r="AB44" s="3" t="s">
        <v>982</v>
      </c>
      <c r="AC44" s="59">
        <f>IF(ISNA(VLOOKUP(Table1[[#This Row],[Part Number]],'Multi-level BOM'!V$4:V$449,1,FALSE)),0,Table1[[#This Row],[Remaining Extended cost]])</f>
        <v>0</v>
      </c>
    </row>
    <row r="45" spans="1:29" ht="30" x14ac:dyDescent="0.25">
      <c r="A45" s="1" t="s">
        <v>48</v>
      </c>
      <c r="B45" s="4" t="s">
        <v>817</v>
      </c>
      <c r="C45" s="1" t="s">
        <v>656</v>
      </c>
      <c r="D45" s="3">
        <f>10.99/4</f>
        <v>2.7475000000000001</v>
      </c>
      <c r="E45" s="3">
        <v>0</v>
      </c>
      <c r="F45" s="3">
        <f>9%*Table1[[#This Row],[Cost ]]</f>
        <v>0.24727499999999999</v>
      </c>
      <c r="G45" s="1" t="s">
        <v>818</v>
      </c>
      <c r="H45" s="2">
        <v>4</v>
      </c>
      <c r="J45" s="49">
        <f>SUMIF('Multi-level BOM'!D$4:D$467,Table1[[#This Row],[Part Number]],'Multi-level BOM'!H$4:H$467)</f>
        <v>0</v>
      </c>
      <c r="K45" s="10">
        <f>Table1[[#This Row],[extended quantity]]*(Table1[[#This Row],[Cost ]]+Table1[[#This Row],[shipping]]+Table1[[#This Row],[Tax]])</f>
        <v>0</v>
      </c>
      <c r="L45" s="80" t="str">
        <f>IF(Table1[[#This Row],[Buy-now costs]]&gt;0,"X","")</f>
        <v/>
      </c>
      <c r="M45" s="80"/>
      <c r="N45" s="80"/>
      <c r="O45" s="40">
        <v>0</v>
      </c>
      <c r="P45" s="94">
        <f>Table1[[#This Row],[quantity on-hand]]*(Table1[[#This Row],[Cost ]]+Table1[[#This Row],[shipping]]+Table1[[#This Row],[Tax]])</f>
        <v>0</v>
      </c>
      <c r="Q45" s="40">
        <v>0</v>
      </c>
      <c r="R45" s="92">
        <f>Table1[[#This Row],[Quantity on order]]*(Table1[[#This Row],[Cost ]]+Table1[[#This Row],[shipping]]+Table1[[#This Row],[Tax]])</f>
        <v>0</v>
      </c>
      <c r="S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" s="49">
        <f>Table1[[#This Row],[Quantity  to  purchase]]+Table1[[#This Row],[Quantity purchased]]+Table1[[#This Row],[Quantity on order]]+Table1[[#This Row],[Quantity donated]]-Table1[[#This Row],[extended quantity]]</f>
        <v>0</v>
      </c>
      <c r="U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" s="51">
        <f>IFERROR(Table1[[#This Row],[Quantity  to  purchase]]*(Table1[[#This Row],[Cost ]]+Table1[[#This Row],[shipping]]+Table1[[#This Row],[Tax]]),0)</f>
        <v>0</v>
      </c>
      <c r="W45" s="36">
        <f>IFERROR(Table1[[#This Row],[leftover material]]*(Table1[[#This Row],[Cost ]]+Table1[[#This Row],[shipping]]+Table1[[#This Row],[Tax]]),0)</f>
        <v>0</v>
      </c>
      <c r="X45" s="36"/>
      <c r="Y45" s="84"/>
      <c r="Z45" s="84"/>
      <c r="AA45" s="84"/>
      <c r="AB45" s="36"/>
      <c r="AC45" s="36">
        <f>IF(ISNA(VLOOKUP(Table1[[#This Row],[Part Number]],'Multi-level BOM'!V$4:V$449,1,FALSE)),0,Table1[[#This Row],[Remaining Extended cost]])</f>
        <v>0</v>
      </c>
    </row>
    <row r="46" spans="1:29" x14ac:dyDescent="0.25">
      <c r="A46" s="1" t="s">
        <v>49</v>
      </c>
      <c r="B46" s="4" t="s">
        <v>829</v>
      </c>
      <c r="C46" s="1" t="s">
        <v>693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827</v>
      </c>
      <c r="H46" s="2">
        <v>1</v>
      </c>
      <c r="I46" s="1" t="s">
        <v>777</v>
      </c>
      <c r="J46" s="49">
        <f>SUMIF('Multi-level BOM'!D$4:D$467,Table1[[#This Row],[Part Number]],'Multi-level BOM'!H$4:H$467)</f>
        <v>0</v>
      </c>
      <c r="K46" s="10">
        <f>Table1[[#This Row],[extended quantity]]*(Table1[[#This Row],[Cost ]]+Table1[[#This Row],[shipping]]+Table1[[#This Row],[Tax]])</f>
        <v>0</v>
      </c>
      <c r="L46" s="80" t="str">
        <f>IF(Table1[[#This Row],[Buy-now costs]]&gt;0,"X","")</f>
        <v/>
      </c>
      <c r="M46" s="80"/>
      <c r="N46" s="80"/>
      <c r="O46" s="40">
        <v>0</v>
      </c>
      <c r="P46" s="94">
        <f>Table1[[#This Row],[quantity on-hand]]*(Table1[[#This Row],[Cost ]]+Table1[[#This Row],[shipping]]+Table1[[#This Row],[Tax]])</f>
        <v>0</v>
      </c>
      <c r="Q46" s="40">
        <v>0</v>
      </c>
      <c r="R46" s="92">
        <f>Table1[[#This Row],[Quantity on order]]*(Table1[[#This Row],[Cost ]]+Table1[[#This Row],[shipping]]+Table1[[#This Row],[Tax]])</f>
        <v>0</v>
      </c>
      <c r="S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" s="49">
        <f>Table1[[#This Row],[Quantity  to  purchase]]+Table1[[#This Row],[Quantity purchased]]+Table1[[#This Row],[Quantity on order]]+Table1[[#This Row],[Quantity donated]]-Table1[[#This Row],[extended quantity]]</f>
        <v>0</v>
      </c>
      <c r="U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" s="51">
        <f>IFERROR(Table1[[#This Row],[Quantity  to  purchase]]*(Table1[[#This Row],[Cost ]]+Table1[[#This Row],[shipping]]+Table1[[#This Row],[Tax]]),0)</f>
        <v>0</v>
      </c>
      <c r="W46" s="36">
        <f>IFERROR(Table1[[#This Row],[leftover material]]*(Table1[[#This Row],[Cost ]]+Table1[[#This Row],[shipping]]+Table1[[#This Row],[Tax]]),0)</f>
        <v>0</v>
      </c>
      <c r="X46" s="36"/>
      <c r="Y46" s="84"/>
      <c r="Z46" s="84"/>
      <c r="AA46" s="84"/>
      <c r="AB46" s="36"/>
      <c r="AC46" s="36">
        <f>IF(ISNA(VLOOKUP(Table1[[#This Row],[Part Number]],'Multi-level BOM'!V$4:V$449,1,FALSE)),0,Table1[[#This Row],[Remaining Extended cost]])</f>
        <v>0</v>
      </c>
    </row>
    <row r="47" spans="1:29" x14ac:dyDescent="0.25">
      <c r="A47" s="1" t="s">
        <v>50</v>
      </c>
      <c r="B47" s="4" t="s">
        <v>830</v>
      </c>
      <c r="C47" s="1" t="s">
        <v>693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827</v>
      </c>
      <c r="H47" s="2">
        <v>1</v>
      </c>
      <c r="J47" s="49">
        <f>SUMIF('Multi-level BOM'!D$4:D$467,Table1[[#This Row],[Part Number]],'Multi-level BOM'!H$4:H$467)</f>
        <v>0</v>
      </c>
      <c r="K47" s="10">
        <f>Table1[[#This Row],[extended quantity]]*(Table1[[#This Row],[Cost ]]+Table1[[#This Row],[shipping]]+Table1[[#This Row],[Tax]])</f>
        <v>0</v>
      </c>
      <c r="L47" s="80" t="str">
        <f>IF(Table1[[#This Row],[Buy-now costs]]&gt;0,"X","")</f>
        <v/>
      </c>
      <c r="M47" s="80"/>
      <c r="N47" s="80"/>
      <c r="O47" s="40">
        <v>0</v>
      </c>
      <c r="P47" s="94">
        <f>Table1[[#This Row],[quantity on-hand]]*(Table1[[#This Row],[Cost ]]+Table1[[#This Row],[shipping]]+Table1[[#This Row],[Tax]])</f>
        <v>0</v>
      </c>
      <c r="Q47" s="40">
        <v>0</v>
      </c>
      <c r="R47" s="92">
        <f>Table1[[#This Row],[Quantity on order]]*(Table1[[#This Row],[Cost ]]+Table1[[#This Row],[shipping]]+Table1[[#This Row],[Tax]])</f>
        <v>0</v>
      </c>
      <c r="S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" s="49">
        <f>Table1[[#This Row],[Quantity  to  purchase]]+Table1[[#This Row],[Quantity purchased]]+Table1[[#This Row],[Quantity on order]]+Table1[[#This Row],[Quantity donated]]-Table1[[#This Row],[extended quantity]]</f>
        <v>0</v>
      </c>
      <c r="U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" s="51">
        <f>IFERROR(Table1[[#This Row],[Quantity  to  purchase]]*(Table1[[#This Row],[Cost ]]+Table1[[#This Row],[shipping]]+Table1[[#This Row],[Tax]]),0)</f>
        <v>0</v>
      </c>
      <c r="W47" s="36">
        <f>IFERROR(Table1[[#This Row],[leftover material]]*(Table1[[#This Row],[Cost ]]+Table1[[#This Row],[shipping]]+Table1[[#This Row],[Tax]]),0)</f>
        <v>0</v>
      </c>
      <c r="X47" s="36"/>
      <c r="Y47" s="84"/>
      <c r="Z47" s="84"/>
      <c r="AA47" s="84"/>
      <c r="AB47" s="36"/>
      <c r="AC47" s="36">
        <f>IF(ISNA(VLOOKUP(Table1[[#This Row],[Part Number]],'Multi-level BOM'!V$4:V$449,1,FALSE)),0,Table1[[#This Row],[Remaining Extended cost]])</f>
        <v>0</v>
      </c>
    </row>
    <row r="48" spans="1:29" x14ac:dyDescent="0.25">
      <c r="A48" s="1" t="s">
        <v>51</v>
      </c>
      <c r="B48" s="16" t="s">
        <v>905</v>
      </c>
      <c r="C48" s="1" t="s">
        <v>704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906</v>
      </c>
      <c r="H48" s="2">
        <v>3</v>
      </c>
      <c r="I48" s="1" t="s">
        <v>777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80" t="str">
        <f>IF(Table1[[#This Row],[Buy-now costs]]&gt;0,"X","")</f>
        <v/>
      </c>
      <c r="M48" s="80">
        <v>0</v>
      </c>
      <c r="N48" s="80">
        <v>3</v>
      </c>
      <c r="O48" s="40">
        <v>3</v>
      </c>
      <c r="P48" s="94">
        <f>Table1[[#This Row],[quantity on-hand]]*(Table1[[#This Row],[Cost ]]+Table1[[#This Row],[shipping]]+Table1[[#This Row],[Tax]])</f>
        <v>16.352499999999999</v>
      </c>
      <c r="Q48" s="40">
        <v>0</v>
      </c>
      <c r="R48" s="92">
        <f>Table1[[#This Row],[Quantity on order]]*(Table1[[#This Row],[Cost ]]+Table1[[#This Row],[shipping]]+Table1[[#This Row],[Tax]])</f>
        <v>0</v>
      </c>
      <c r="S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" s="49">
        <f>Table1[[#This Row],[Quantity  to  purchase]]+Table1[[#This Row],[Quantity purchased]]+Table1[[#This Row],[Quantity on order]]+Table1[[#This Row],[Quantity donated]]-Table1[[#This Row],[extended quantity]]</f>
        <v>0</v>
      </c>
      <c r="U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" s="51">
        <f>IFERROR(Table1[[#This Row],[Quantity  to  purchase]]*(Table1[[#This Row],[Cost ]]+Table1[[#This Row],[shipping]]+Table1[[#This Row],[Tax]]),0)</f>
        <v>0</v>
      </c>
      <c r="W48" s="36">
        <f>IFERROR(Table1[[#This Row],[leftover material]]*(Table1[[#This Row],[Cost ]]+Table1[[#This Row],[shipping]]+Table1[[#This Row],[Tax]]),0)</f>
        <v>0</v>
      </c>
      <c r="X48" s="36">
        <v>0</v>
      </c>
      <c r="Y48" s="84"/>
      <c r="Z48" s="84"/>
      <c r="AA48" s="84"/>
      <c r="AB48" s="36" t="s">
        <v>907</v>
      </c>
      <c r="AC48" s="36">
        <f>IF(ISNA(VLOOKUP(Table1[[#This Row],[Part Number]],'Multi-level BOM'!V$4:V$449,1,FALSE)),0,Table1[[#This Row],[Remaining Extended cost]])</f>
        <v>0</v>
      </c>
    </row>
    <row r="49" spans="1:29" x14ac:dyDescent="0.25">
      <c r="A49" s="1" t="s">
        <v>52</v>
      </c>
      <c r="B49" s="4" t="s">
        <v>828</v>
      </c>
      <c r="C49" s="1" t="s">
        <v>693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827</v>
      </c>
      <c r="H49" s="2">
        <v>1</v>
      </c>
      <c r="I49" s="1" t="s">
        <v>777</v>
      </c>
      <c r="J49" s="49">
        <f>SUMIF('Multi-level BOM'!D$4:D$467,Table1[[#This Row],[Part Number]],'Multi-level BOM'!H$4:H$467)</f>
        <v>0</v>
      </c>
      <c r="K49" s="10">
        <f>Table1[[#This Row],[extended quantity]]*(Table1[[#This Row],[Cost ]]+Table1[[#This Row],[shipping]]+Table1[[#This Row],[Tax]])</f>
        <v>0</v>
      </c>
      <c r="L49" s="80" t="str">
        <f>IF(Table1[[#This Row],[Buy-now costs]]&gt;0,"X","")</f>
        <v/>
      </c>
      <c r="M49" s="80"/>
      <c r="N49" s="80"/>
      <c r="O49" s="40">
        <v>0</v>
      </c>
      <c r="P49" s="94">
        <f>Table1[[#This Row],[quantity on-hand]]*(Table1[[#This Row],[Cost ]]+Table1[[#This Row],[shipping]]+Table1[[#This Row],[Tax]])</f>
        <v>0</v>
      </c>
      <c r="Q49" s="40">
        <v>0</v>
      </c>
      <c r="R49" s="92">
        <f>Table1[[#This Row],[Quantity on order]]*(Table1[[#This Row],[Cost ]]+Table1[[#This Row],[shipping]]+Table1[[#This Row],[Tax]])</f>
        <v>0</v>
      </c>
      <c r="S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" s="49">
        <f>Table1[[#This Row],[Quantity  to  purchase]]+Table1[[#This Row],[Quantity purchased]]+Table1[[#This Row],[Quantity on order]]+Table1[[#This Row],[Quantity donated]]-Table1[[#This Row],[extended quantity]]</f>
        <v>0</v>
      </c>
      <c r="U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" s="51">
        <f>IFERROR(Table1[[#This Row],[Quantity  to  purchase]]*(Table1[[#This Row],[Cost ]]+Table1[[#This Row],[shipping]]+Table1[[#This Row],[Tax]]),0)</f>
        <v>0</v>
      </c>
      <c r="W49" s="36">
        <f>IFERROR(Table1[[#This Row],[leftover material]]*(Table1[[#This Row],[Cost ]]+Table1[[#This Row],[shipping]]+Table1[[#This Row],[Tax]]),0)</f>
        <v>0</v>
      </c>
      <c r="X49" s="36"/>
      <c r="Y49" s="84"/>
      <c r="Z49" s="84"/>
      <c r="AA49" s="84"/>
      <c r="AB49" s="36"/>
      <c r="AC49" s="36">
        <f>IF(ISNA(VLOOKUP(Table1[[#This Row],[Part Number]],'Multi-level BOM'!V$4:V$449,1,FALSE)),0,Table1[[#This Row],[Remaining Extended cost]])</f>
        <v>0</v>
      </c>
    </row>
    <row r="50" spans="1:29" x14ac:dyDescent="0.25">
      <c r="A50" s="1" t="s">
        <v>53</v>
      </c>
      <c r="B50" t="s">
        <v>831</v>
      </c>
      <c r="C50" s="1" t="s">
        <v>656</v>
      </c>
      <c r="D50" s="3">
        <v>34.1</v>
      </c>
      <c r="E50" s="3">
        <v>0</v>
      </c>
      <c r="F50" s="3">
        <f>9%*Table1[[#This Row],[Cost ]]</f>
        <v>3.069</v>
      </c>
      <c r="G50" s="1" t="s">
        <v>832</v>
      </c>
      <c r="H50" s="2">
        <v>2</v>
      </c>
      <c r="J50" s="49">
        <f>SUMIF('Multi-level BOM'!D$4:D$467,Table1[[#This Row],[Part Number]],'Multi-level BOM'!H$4:H$467)</f>
        <v>0</v>
      </c>
      <c r="K50" s="10">
        <f>Table1[[#This Row],[extended quantity]]*(Table1[[#This Row],[Cost ]]+Table1[[#This Row],[shipping]]+Table1[[#This Row],[Tax]])</f>
        <v>0</v>
      </c>
      <c r="L50" s="80" t="str">
        <f>IF(Table1[[#This Row],[Buy-now costs]]&gt;0,"X","")</f>
        <v/>
      </c>
      <c r="M50" s="80"/>
      <c r="N50" s="80"/>
      <c r="O50" s="40">
        <v>0</v>
      </c>
      <c r="P50" s="94">
        <f>Table1[[#This Row],[quantity on-hand]]*(Table1[[#This Row],[Cost ]]+Table1[[#This Row],[shipping]]+Table1[[#This Row],[Tax]])</f>
        <v>0</v>
      </c>
      <c r="Q50" s="40">
        <v>0</v>
      </c>
      <c r="R50" s="92">
        <f>Table1[[#This Row],[Quantity on order]]*(Table1[[#This Row],[Cost ]]+Table1[[#This Row],[shipping]]+Table1[[#This Row],[Tax]])</f>
        <v>0</v>
      </c>
      <c r="S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" s="49">
        <f>Table1[[#This Row],[Quantity  to  purchase]]+Table1[[#This Row],[Quantity purchased]]+Table1[[#This Row],[Quantity on order]]+Table1[[#This Row],[Quantity donated]]-Table1[[#This Row],[extended quantity]]</f>
        <v>0</v>
      </c>
      <c r="U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" s="51">
        <f>IFERROR(Table1[[#This Row],[Quantity  to  purchase]]*(Table1[[#This Row],[Cost ]]+Table1[[#This Row],[shipping]]+Table1[[#This Row],[Tax]]),0)</f>
        <v>0</v>
      </c>
      <c r="W50" s="36">
        <f>IFERROR(Table1[[#This Row],[leftover material]]*(Table1[[#This Row],[Cost ]]+Table1[[#This Row],[shipping]]+Table1[[#This Row],[Tax]]),0)</f>
        <v>0</v>
      </c>
      <c r="X50" s="36"/>
      <c r="Y50" s="84"/>
      <c r="Z50" s="84"/>
      <c r="AA50" s="84"/>
      <c r="AB50" s="36"/>
      <c r="AC50" s="36">
        <f>IF(ISNA(VLOOKUP(Table1[[#This Row],[Part Number]],'Multi-level BOM'!V$4:V$449,1,FALSE)),0,Table1[[#This Row],[Remaining Extended cost]])</f>
        <v>0</v>
      </c>
    </row>
    <row r="51" spans="1:29" x14ac:dyDescent="0.25">
      <c r="A51" s="1" t="s">
        <v>54</v>
      </c>
      <c r="B51" t="s">
        <v>831</v>
      </c>
      <c r="C51" s="1" t="s">
        <v>656</v>
      </c>
      <c r="D51" s="3">
        <f>34.1/2</f>
        <v>17.05</v>
      </c>
      <c r="E51" s="3">
        <v>0</v>
      </c>
      <c r="F51" s="3">
        <f>9%*Table1[[#This Row],[Cost ]]</f>
        <v>1.5345</v>
      </c>
      <c r="G51" s="1" t="s">
        <v>832</v>
      </c>
      <c r="H51" s="2">
        <v>2</v>
      </c>
      <c r="J51" s="49">
        <f>SUMIF('Multi-level BOM'!D$4:D$467,Table1[[#This Row],[Part Number]],'Multi-level BOM'!H$4:H$467)</f>
        <v>0</v>
      </c>
      <c r="K51" s="10">
        <f>Table1[[#This Row],[extended quantity]]*(Table1[[#This Row],[Cost ]]+Table1[[#This Row],[shipping]]+Table1[[#This Row],[Tax]])</f>
        <v>0</v>
      </c>
      <c r="L51" s="80" t="str">
        <f>IF(Table1[[#This Row],[Buy-now costs]]&gt;0,"X","")</f>
        <v/>
      </c>
      <c r="M51" s="80"/>
      <c r="N51" s="80"/>
      <c r="O51" s="40">
        <v>0</v>
      </c>
      <c r="P51" s="94">
        <f>Table1[[#This Row],[quantity on-hand]]*(Table1[[#This Row],[Cost ]]+Table1[[#This Row],[shipping]]+Table1[[#This Row],[Tax]])</f>
        <v>0</v>
      </c>
      <c r="Q51" s="40">
        <v>0</v>
      </c>
      <c r="R51" s="92">
        <f>Table1[[#This Row],[Quantity on order]]*(Table1[[#This Row],[Cost ]]+Table1[[#This Row],[shipping]]+Table1[[#This Row],[Tax]])</f>
        <v>0</v>
      </c>
      <c r="S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" s="49">
        <f>Table1[[#This Row],[Quantity  to  purchase]]+Table1[[#This Row],[Quantity purchased]]+Table1[[#This Row],[Quantity on order]]+Table1[[#This Row],[Quantity donated]]-Table1[[#This Row],[extended quantity]]</f>
        <v>0</v>
      </c>
      <c r="U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" s="51">
        <f>IFERROR(Table1[[#This Row],[Quantity  to  purchase]]*(Table1[[#This Row],[Cost ]]+Table1[[#This Row],[shipping]]+Table1[[#This Row],[Tax]]),0)</f>
        <v>0</v>
      </c>
      <c r="W51" s="36">
        <f>IFERROR(Table1[[#This Row],[leftover material]]*(Table1[[#This Row],[Cost ]]+Table1[[#This Row],[shipping]]+Table1[[#This Row],[Tax]]),0)</f>
        <v>0</v>
      </c>
      <c r="X51" s="36"/>
      <c r="Y51" s="84"/>
      <c r="Z51" s="84"/>
      <c r="AA51" s="84"/>
      <c r="AB51" s="36"/>
      <c r="AC51" s="36">
        <f>IF(ISNA(VLOOKUP(Table1[[#This Row],[Part Number]],'Multi-level BOM'!V$4:V$449,1,FALSE)),0,Table1[[#This Row],[Remaining Extended cost]])</f>
        <v>0</v>
      </c>
    </row>
    <row r="52" spans="1:29" ht="60" x14ac:dyDescent="0.25">
      <c r="A52" s="1" t="s">
        <v>55</v>
      </c>
      <c r="B52" s="4" t="s">
        <v>1095</v>
      </c>
      <c r="C52" s="1" t="s">
        <v>656</v>
      </c>
      <c r="D52" s="3">
        <v>69.989999999999995</v>
      </c>
      <c r="E52" s="3">
        <v>0</v>
      </c>
      <c r="F52" s="3">
        <v>6.3</v>
      </c>
      <c r="G52" s="5" t="s">
        <v>927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76.289999999999992</v>
      </c>
      <c r="L52" s="80"/>
      <c r="M52" s="80">
        <v>1</v>
      </c>
      <c r="N52" s="80"/>
      <c r="O52" s="40">
        <v>1</v>
      </c>
      <c r="P52" s="94">
        <f>Table1[[#This Row],[quantity on-hand]]*(Table1[[#This Row],[Cost ]]+Table1[[#This Row],[shipping]]+Table1[[#This Row],[Tax]])</f>
        <v>76.289999999999992</v>
      </c>
      <c r="Q52" s="40">
        <v>0</v>
      </c>
      <c r="R52" s="92">
        <f>Table1[[#This Row],[Quantity on order]]*(Table1[[#This Row],[Cost ]]+Table1[[#This Row],[shipping]]+Table1[[#This Row],[Tax]])</f>
        <v>0</v>
      </c>
      <c r="S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" s="49">
        <f>Table1[[#This Row],[Quantity  to  purchase]]+Table1[[#This Row],[Quantity purchased]]+Table1[[#This Row],[Quantity on order]]+Table1[[#This Row],[Quantity donated]]-Table1[[#This Row],[extended quantity]]</f>
        <v>0</v>
      </c>
      <c r="U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" s="51">
        <f>IFERROR(Table1[[#This Row],[Quantity  to  purchase]]*(Table1[[#This Row],[Cost ]]+Table1[[#This Row],[shipping]]+Table1[[#This Row],[Tax]]),0)</f>
        <v>0</v>
      </c>
      <c r="W52" s="36">
        <f>IFERROR(Table1[[#This Row],[leftover material]]*(Table1[[#This Row],[Cost ]]+Table1[[#This Row],[shipping]]+Table1[[#This Row],[Tax]]),0)</f>
        <v>0</v>
      </c>
      <c r="X52" s="36">
        <v>76.290000000000006</v>
      </c>
      <c r="Y52" s="84">
        <v>44048</v>
      </c>
      <c r="Z52" s="84"/>
      <c r="AA52" s="84">
        <v>44060</v>
      </c>
      <c r="AB52" s="36"/>
      <c r="AC52" s="36">
        <f>IF(ISNA(VLOOKUP(Table1[[#This Row],[Part Number]],'Multi-level BOM'!V$4:V$449,1,FALSE)),0,Table1[[#This Row],[Remaining Extended cost]])</f>
        <v>0</v>
      </c>
    </row>
    <row r="53" spans="1:29" ht="45" x14ac:dyDescent="0.25">
      <c r="A53" s="1" t="s">
        <v>56</v>
      </c>
      <c r="B53" s="4" t="s">
        <v>834</v>
      </c>
      <c r="C53" s="1" t="s">
        <v>656</v>
      </c>
      <c r="D53" s="3">
        <v>10.99</v>
      </c>
      <c r="E53" s="3">
        <v>0</v>
      </c>
      <c r="F53" s="3">
        <f>9%*Table1[[#This Row],[Cost ]]</f>
        <v>0.98909999999999998</v>
      </c>
      <c r="G53" s="1" t="s">
        <v>838</v>
      </c>
      <c r="H53" s="2">
        <v>1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80" t="s">
        <v>910</v>
      </c>
      <c r="M53" s="80"/>
      <c r="N53" s="80"/>
      <c r="O53" s="40">
        <v>0</v>
      </c>
      <c r="P53" s="94">
        <f>Table1[[#This Row],[quantity on-hand]]*(Table1[[#This Row],[Cost ]]+Table1[[#This Row],[shipping]]+Table1[[#This Row],[Tax]])</f>
        <v>0</v>
      </c>
      <c r="Q53" s="40">
        <v>0</v>
      </c>
      <c r="R53" s="92">
        <f>Table1[[#This Row],[Quantity on order]]*(Table1[[#This Row],[Cost ]]+Table1[[#This Row],[shipping]]+Table1[[#This Row],[Tax]])</f>
        <v>0</v>
      </c>
      <c r="S53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3" s="49">
        <f>Table1[[#This Row],[Quantity  to  purchase]]+Table1[[#This Row],[Quantity purchased]]+Table1[[#This Row],[Quantity on order]]+Table1[[#This Row],[Quantity donated]]-Table1[[#This Row],[extended quantity]]</f>
        <v>0</v>
      </c>
      <c r="U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11.979100000000001</v>
      </c>
      <c r="V53" s="51">
        <f>IFERROR(Table1[[#This Row],[Quantity  to  purchase]]*(Table1[[#This Row],[Cost ]]+Table1[[#This Row],[shipping]]+Table1[[#This Row],[Tax]]),0)</f>
        <v>11.979100000000001</v>
      </c>
      <c r="W53" s="36">
        <f>IFERROR(Table1[[#This Row],[leftover material]]*(Table1[[#This Row],[Cost ]]+Table1[[#This Row],[shipping]]+Table1[[#This Row],[Tax]]),0)</f>
        <v>0</v>
      </c>
      <c r="X53" s="36"/>
      <c r="Y53" s="84"/>
      <c r="Z53" s="84"/>
      <c r="AA53" s="84"/>
      <c r="AB53" s="36"/>
      <c r="AC53" s="36">
        <f>IF(ISNA(VLOOKUP(Table1[[#This Row],[Part Number]],'Multi-level BOM'!V$4:V$449,1,FALSE)),0,Table1[[#This Row],[Remaining Extended cost]])</f>
        <v>0</v>
      </c>
    </row>
    <row r="54" spans="1:29" x14ac:dyDescent="0.25">
      <c r="A54" s="1" t="s">
        <v>57</v>
      </c>
      <c r="B54" s="16" t="s">
        <v>1096</v>
      </c>
      <c r="C54" s="1" t="s">
        <v>845</v>
      </c>
      <c r="D54" s="3">
        <v>43.37</v>
      </c>
      <c r="E54" s="3">
        <v>0</v>
      </c>
      <c r="F54" s="3">
        <f>9%*Table1[[#This Row],[Cost ]]</f>
        <v>3.9032999999999998</v>
      </c>
      <c r="G54" s="5" t="s">
        <v>898</v>
      </c>
      <c r="H54" s="2">
        <v>1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47.273299999999999</v>
      </c>
      <c r="L54" s="80"/>
      <c r="M54" s="80">
        <v>1</v>
      </c>
      <c r="N54" s="80"/>
      <c r="O54" s="40">
        <v>1</v>
      </c>
      <c r="P54" s="94">
        <f>Table1[[#This Row],[quantity on-hand]]*(Table1[[#This Row],[Cost ]]+Table1[[#This Row],[shipping]]+Table1[[#This Row],[Tax]])</f>
        <v>47.273299999999999</v>
      </c>
      <c r="Q54" s="40">
        <v>0</v>
      </c>
      <c r="R54" s="92">
        <f>Table1[[#This Row],[Quantity on order]]*(Table1[[#This Row],[Cost ]]+Table1[[#This Row],[shipping]]+Table1[[#This Row],[Tax]])</f>
        <v>0</v>
      </c>
      <c r="S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" s="49">
        <f>Table1[[#This Row],[Quantity  to  purchase]]+Table1[[#This Row],[Quantity purchased]]+Table1[[#This Row],[Quantity on order]]+Table1[[#This Row],[Quantity donated]]-Table1[[#This Row],[extended quantity]]</f>
        <v>0</v>
      </c>
      <c r="U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" s="51">
        <f>IFERROR(Table1[[#This Row],[Quantity  to  purchase]]*(Table1[[#This Row],[Cost ]]+Table1[[#This Row],[shipping]]+Table1[[#This Row],[Tax]]),0)</f>
        <v>0</v>
      </c>
      <c r="W54" s="36">
        <f>IFERROR(Table1[[#This Row],[leftover material]]*(Table1[[#This Row],[Cost ]]+Table1[[#This Row],[shipping]]+Table1[[#This Row],[Tax]]),0)</f>
        <v>0</v>
      </c>
      <c r="X54" s="36">
        <v>47.27</v>
      </c>
      <c r="Y54" s="84">
        <v>44048</v>
      </c>
      <c r="Z54" s="84"/>
      <c r="AA54" s="84">
        <v>44059</v>
      </c>
      <c r="AB54" s="36"/>
      <c r="AC54" s="36">
        <f>IF(ISNA(VLOOKUP(Table1[[#This Row],[Part Number]],'Multi-level BOM'!V$4:V$449,1,FALSE)),0,Table1[[#This Row],[Remaining Extended cost]])</f>
        <v>0</v>
      </c>
    </row>
    <row r="55" spans="1:29" ht="30" x14ac:dyDescent="0.25">
      <c r="A55" s="1" t="s">
        <v>58</v>
      </c>
      <c r="B55" s="4" t="s">
        <v>836</v>
      </c>
      <c r="C55" s="1" t="s">
        <v>656</v>
      </c>
      <c r="D55" s="3">
        <v>23.99</v>
      </c>
      <c r="E55" s="3">
        <v>0</v>
      </c>
      <c r="F55" s="3">
        <f>9%*Table1[[#This Row],[Cost ]]</f>
        <v>2.1590999999999996</v>
      </c>
      <c r="G55" s="1" t="s">
        <v>837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26.149099999999997</v>
      </c>
      <c r="L55" s="80"/>
      <c r="M55" s="80">
        <v>1</v>
      </c>
      <c r="N55" s="80"/>
      <c r="O55" s="40">
        <v>1</v>
      </c>
      <c r="P55" s="94">
        <f>Table1[[#This Row],[quantity on-hand]]*(Table1[[#This Row],[Cost ]]+Table1[[#This Row],[shipping]]+Table1[[#This Row],[Tax]])</f>
        <v>26.149099999999997</v>
      </c>
      <c r="Q55" s="40">
        <v>0</v>
      </c>
      <c r="R55" s="92">
        <f>Table1[[#This Row],[Quantity on order]]*(Table1[[#This Row],[Cost ]]+Table1[[#This Row],[shipping]]+Table1[[#This Row],[Tax]])</f>
        <v>0</v>
      </c>
      <c r="S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" s="49">
        <f>Table1[[#This Row],[Quantity  to  purchase]]+Table1[[#This Row],[Quantity purchased]]+Table1[[#This Row],[Quantity on order]]+Table1[[#This Row],[Quantity donated]]-Table1[[#This Row],[extended quantity]]</f>
        <v>0</v>
      </c>
      <c r="U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" s="51">
        <f>IFERROR(Table1[[#This Row],[Quantity  to  purchase]]*(Table1[[#This Row],[Cost ]]+Table1[[#This Row],[shipping]]+Table1[[#This Row],[Tax]]),0)</f>
        <v>0</v>
      </c>
      <c r="W55" s="36">
        <f>IFERROR(Table1[[#This Row],[leftover material]]*(Table1[[#This Row],[Cost ]]+Table1[[#This Row],[shipping]]+Table1[[#This Row],[Tax]]),0)</f>
        <v>0</v>
      </c>
      <c r="X55" s="36">
        <f>Table1[[#This Row],[Cost ]]+Table1[[#This Row],[Tax]]</f>
        <v>26.149099999999997</v>
      </c>
      <c r="Y55" s="84">
        <v>44048</v>
      </c>
      <c r="Z55" s="84"/>
      <c r="AA55" s="84">
        <v>44053</v>
      </c>
      <c r="AB55" s="36"/>
      <c r="AC55" s="36">
        <f>IF(ISNA(VLOOKUP(Table1[[#This Row],[Part Number]],'Multi-level BOM'!V$4:V$449,1,FALSE)),0,Table1[[#This Row],[Remaining Extended cost]])</f>
        <v>0</v>
      </c>
    </row>
    <row r="56" spans="1:29" ht="30" x14ac:dyDescent="0.25">
      <c r="A56" s="1" t="s">
        <v>59</v>
      </c>
      <c r="B56" s="4" t="s">
        <v>839</v>
      </c>
      <c r="C56" s="1" t="s">
        <v>656</v>
      </c>
      <c r="D56" s="3">
        <v>9.98</v>
      </c>
      <c r="E56" s="3">
        <v>0</v>
      </c>
      <c r="F56" s="3">
        <f>9%*Table1[[#This Row],[Cost ]]</f>
        <v>0.8982</v>
      </c>
      <c r="G56" s="5" t="s">
        <v>840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10.8782</v>
      </c>
      <c r="L56" s="80"/>
      <c r="M56" s="80">
        <v>1</v>
      </c>
      <c r="N56" s="80"/>
      <c r="O56" s="40">
        <v>1</v>
      </c>
      <c r="P56" s="94">
        <f>Table1[[#This Row],[quantity on-hand]]*(Table1[[#This Row],[Cost ]]+Table1[[#This Row],[shipping]]+Table1[[#This Row],[Tax]])</f>
        <v>10.8782</v>
      </c>
      <c r="Q56" s="40">
        <v>0</v>
      </c>
      <c r="R56" s="92">
        <f>Table1[[#This Row],[Quantity on order]]*(Table1[[#This Row],[Cost ]]+Table1[[#This Row],[shipping]]+Table1[[#This Row],[Tax]])</f>
        <v>0</v>
      </c>
      <c r="S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" s="49">
        <f>Table1[[#This Row],[Quantity  to  purchase]]+Table1[[#This Row],[Quantity purchased]]+Table1[[#This Row],[Quantity on order]]+Table1[[#This Row],[Quantity donated]]-Table1[[#This Row],[extended quantity]]</f>
        <v>0</v>
      </c>
      <c r="U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" s="51">
        <f>IFERROR(Table1[[#This Row],[Quantity  to  purchase]]*(Table1[[#This Row],[Cost ]]+Table1[[#This Row],[shipping]]+Table1[[#This Row],[Tax]]),0)</f>
        <v>0</v>
      </c>
      <c r="W56" s="36">
        <f>IFERROR(Table1[[#This Row],[leftover material]]*(Table1[[#This Row],[Cost ]]+Table1[[#This Row],[shipping]]+Table1[[#This Row],[Tax]]),0)</f>
        <v>0</v>
      </c>
      <c r="X56" s="36">
        <f>Table1[[#This Row],[Cost ]]+Table1[[#This Row],[Tax]]</f>
        <v>10.8782</v>
      </c>
      <c r="Y56" s="84">
        <v>44048</v>
      </c>
      <c r="Z56" s="84"/>
      <c r="AA56" s="84">
        <v>44053</v>
      </c>
      <c r="AB56" s="36"/>
      <c r="AC56" s="36">
        <f>IF(ISNA(VLOOKUP(Table1[[#This Row],[Part Number]],'Multi-level BOM'!V$4:V$449,1,FALSE)),0,Table1[[#This Row],[Remaining Extended cost]])</f>
        <v>0</v>
      </c>
    </row>
    <row r="57" spans="1:29" ht="45" x14ac:dyDescent="0.25">
      <c r="A57" s="1" t="s">
        <v>60</v>
      </c>
      <c r="B57" s="4" t="s">
        <v>844</v>
      </c>
      <c r="C57" s="1" t="s">
        <v>845</v>
      </c>
      <c r="D57" s="3">
        <v>59.2</v>
      </c>
      <c r="E57" s="3">
        <v>3.16</v>
      </c>
      <c r="F57" s="3">
        <v>5.62</v>
      </c>
      <c r="G57" s="5" t="s">
        <v>846</v>
      </c>
      <c r="H57" s="2">
        <v>1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67.98</v>
      </c>
      <c r="L57" s="80" t="str">
        <f>IF(Table1[[#This Row],[Buy-now costs]]&gt;0,"X","")</f>
        <v/>
      </c>
      <c r="M57" s="80">
        <v>1</v>
      </c>
      <c r="N57" s="80"/>
      <c r="O57" s="40">
        <v>1</v>
      </c>
      <c r="P57" s="94">
        <f>Table1[[#This Row],[quantity on-hand]]*(Table1[[#This Row],[Cost ]]+Table1[[#This Row],[shipping]]+Table1[[#This Row],[Tax]])</f>
        <v>67.98</v>
      </c>
      <c r="Q57" s="40">
        <v>0</v>
      </c>
      <c r="R57" s="92">
        <f>Table1[[#This Row],[Quantity on order]]*(Table1[[#This Row],[Cost ]]+Table1[[#This Row],[shipping]]+Table1[[#This Row],[Tax]])</f>
        <v>0</v>
      </c>
      <c r="S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" s="49">
        <f>Table1[[#This Row],[Quantity  to  purchase]]+Table1[[#This Row],[Quantity purchased]]+Table1[[#This Row],[Quantity on order]]+Table1[[#This Row],[Quantity donated]]-Table1[[#This Row],[extended quantity]]</f>
        <v>0</v>
      </c>
      <c r="U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" s="51">
        <f>IFERROR(Table1[[#This Row],[Quantity  to  purchase]]*(Table1[[#This Row],[Cost ]]+Table1[[#This Row],[shipping]]+Table1[[#This Row],[Tax]]),0)</f>
        <v>0</v>
      </c>
      <c r="W57" s="36">
        <f>IFERROR(Table1[[#This Row],[leftover material]]*(Table1[[#This Row],[Cost ]]+Table1[[#This Row],[shipping]]+Table1[[#This Row],[Tax]]),0)</f>
        <v>0</v>
      </c>
      <c r="X57" s="36">
        <v>67.98</v>
      </c>
      <c r="Y57" s="84">
        <v>43899</v>
      </c>
      <c r="Z57" s="84">
        <v>43913</v>
      </c>
      <c r="AA57" s="84">
        <v>43939</v>
      </c>
      <c r="AB57" s="36"/>
      <c r="AC57" s="36">
        <f>IF(ISNA(VLOOKUP(Table1[[#This Row],[Part Number]],'Multi-level BOM'!V$4:V$449,1,FALSE)),0,Table1[[#This Row],[Remaining Extended cost]])</f>
        <v>0</v>
      </c>
    </row>
    <row r="58" spans="1:29" ht="30" x14ac:dyDescent="0.25">
      <c r="A58" s="1" t="s">
        <v>61</v>
      </c>
      <c r="B58" s="58" t="s">
        <v>1069</v>
      </c>
      <c r="C58" s="1" t="s">
        <v>845</v>
      </c>
      <c r="D58" s="3">
        <v>73.959999999999994</v>
      </c>
      <c r="E58" s="3">
        <v>15</v>
      </c>
      <c r="F58" s="3">
        <v>0</v>
      </c>
      <c r="G58" s="1" t="s">
        <v>848</v>
      </c>
      <c r="H58" s="2">
        <v>1</v>
      </c>
      <c r="I58" s="1" t="s">
        <v>777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88.96</v>
      </c>
      <c r="L58" s="80" t="str">
        <f>IF(Table1[[#This Row],[Buy-now costs]]&gt;0,"X","")</f>
        <v/>
      </c>
      <c r="M58" s="80">
        <v>0</v>
      </c>
      <c r="N58" s="80">
        <v>1</v>
      </c>
      <c r="O58" s="40">
        <v>1</v>
      </c>
      <c r="P58" s="94">
        <f>Table1[[#This Row],[quantity on-hand]]*(Table1[[#This Row],[Cost ]]+Table1[[#This Row],[shipping]]+Table1[[#This Row],[Tax]])</f>
        <v>88.96</v>
      </c>
      <c r="Q58" s="40">
        <v>0</v>
      </c>
      <c r="R58" s="92">
        <f>Table1[[#This Row],[Quantity on order]]*(Table1[[#This Row],[Cost ]]+Table1[[#This Row],[shipping]]+Table1[[#This Row],[Tax]])</f>
        <v>0</v>
      </c>
      <c r="S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" s="49">
        <f>Table1[[#This Row],[Quantity  to  purchase]]+Table1[[#This Row],[Quantity purchased]]+Table1[[#This Row],[Quantity on order]]+Table1[[#This Row],[Quantity donated]]-Table1[[#This Row],[extended quantity]]</f>
        <v>0</v>
      </c>
      <c r="U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" s="51">
        <f>IFERROR(Table1[[#This Row],[Quantity  to  purchase]]*(Table1[[#This Row],[Cost ]]+Table1[[#This Row],[shipping]]+Table1[[#This Row],[Tax]]),0)</f>
        <v>0</v>
      </c>
      <c r="W58" s="36">
        <f>IFERROR(Table1[[#This Row],[leftover material]]*(Table1[[#This Row],[Cost ]]+Table1[[#This Row],[shipping]]+Table1[[#This Row],[Tax]]),0)</f>
        <v>0</v>
      </c>
      <c r="X58" s="36">
        <v>0</v>
      </c>
      <c r="Y58" s="84"/>
      <c r="Z58" s="84"/>
      <c r="AA58" s="84"/>
      <c r="AB58" s="36" t="s">
        <v>868</v>
      </c>
      <c r="AC58" s="36">
        <f>IF(ISNA(VLOOKUP(Table1[[#This Row],[Part Number]],'Multi-level BOM'!V$4:V$449,1,FALSE)),0,Table1[[#This Row],[Remaining Extended cost]])</f>
        <v>0</v>
      </c>
    </row>
    <row r="59" spans="1:29" ht="45" x14ac:dyDescent="0.25">
      <c r="A59" s="1" t="s">
        <v>62</v>
      </c>
      <c r="B59" s="4" t="s">
        <v>849</v>
      </c>
      <c r="C59" s="1" t="s">
        <v>845</v>
      </c>
      <c r="D59" s="3">
        <v>72</v>
      </c>
      <c r="E59" s="3">
        <v>0</v>
      </c>
      <c r="F59" s="3">
        <v>6.48</v>
      </c>
      <c r="G59" s="5" t="s">
        <v>1092</v>
      </c>
      <c r="H59" s="2">
        <v>1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78.48</v>
      </c>
      <c r="L59" s="80" t="str">
        <f>IF(Table1[[#This Row],[Buy-now costs]]&gt;0,"X","")</f>
        <v/>
      </c>
      <c r="M59" s="80">
        <v>1</v>
      </c>
      <c r="N59" s="80"/>
      <c r="O59" s="40">
        <v>1</v>
      </c>
      <c r="P59" s="94">
        <f>Table1[[#This Row],[quantity on-hand]]*(Table1[[#This Row],[Cost ]]+Table1[[#This Row],[shipping]]+Table1[[#This Row],[Tax]])</f>
        <v>78.48</v>
      </c>
      <c r="Q59" s="40">
        <v>0</v>
      </c>
      <c r="R59" s="92">
        <f>Table1[[#This Row],[Quantity on order]]*(Table1[[#This Row],[Cost ]]+Table1[[#This Row],[shipping]]+Table1[[#This Row],[Tax]])</f>
        <v>0</v>
      </c>
      <c r="S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" s="49">
        <f>Table1[[#This Row],[Quantity  to  purchase]]+Table1[[#This Row],[Quantity purchased]]+Table1[[#This Row],[Quantity on order]]+Table1[[#This Row],[Quantity donated]]-Table1[[#This Row],[extended quantity]]</f>
        <v>0</v>
      </c>
      <c r="U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" s="51">
        <f>IFERROR(Table1[[#This Row],[Quantity  to  purchase]]*(Table1[[#This Row],[Cost ]]+Table1[[#This Row],[shipping]]+Table1[[#This Row],[Tax]]),0)</f>
        <v>0</v>
      </c>
      <c r="W59" s="36">
        <f>IFERROR(Table1[[#This Row],[leftover material]]*(Table1[[#This Row],[Cost ]]+Table1[[#This Row],[shipping]]+Table1[[#This Row],[Tax]]),0)</f>
        <v>0</v>
      </c>
      <c r="X59" s="36">
        <v>78.48</v>
      </c>
      <c r="Y59" s="84">
        <v>43899</v>
      </c>
      <c r="Z59" s="84">
        <v>43913</v>
      </c>
      <c r="AA59" s="84">
        <v>43939</v>
      </c>
      <c r="AB59" s="36"/>
      <c r="AC59" s="36">
        <f>IF(ISNA(VLOOKUP(Table1[[#This Row],[Part Number]],'Multi-level BOM'!V$4:V$449,1,FALSE)),0,Table1[[#This Row],[Remaining Extended cost]])</f>
        <v>0</v>
      </c>
    </row>
    <row r="60" spans="1:29" ht="30" x14ac:dyDescent="0.25">
      <c r="A60" s="1" t="s">
        <v>63</v>
      </c>
      <c r="B60" s="4" t="s">
        <v>852</v>
      </c>
      <c r="C60" s="1" t="s">
        <v>656</v>
      </c>
      <c r="D60" s="3">
        <v>28.68</v>
      </c>
      <c r="E60" s="3">
        <v>0</v>
      </c>
      <c r="F60" s="3">
        <f>9%*Table1[[#This Row],[Cost ]]</f>
        <v>2.5811999999999999</v>
      </c>
      <c r="G60" s="5" t="s">
        <v>853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80" t="str">
        <f>IF(Table1[[#This Row],[Buy-now costs]]&gt;0,"X","")</f>
        <v/>
      </c>
      <c r="M60" s="80">
        <v>1</v>
      </c>
      <c r="N60" s="80"/>
      <c r="O60" s="40">
        <v>1</v>
      </c>
      <c r="P60" s="94">
        <f>Table1[[#This Row],[quantity on-hand]]*(Table1[[#This Row],[Cost ]]+Table1[[#This Row],[shipping]]+Table1[[#This Row],[Tax]])</f>
        <v>31.261199999999999</v>
      </c>
      <c r="Q60" s="40">
        <v>0</v>
      </c>
      <c r="R60" s="92">
        <f>Table1[[#This Row],[Quantity on order]]*(Table1[[#This Row],[Cost ]]+Table1[[#This Row],[shipping]]+Table1[[#This Row],[Tax]])</f>
        <v>0</v>
      </c>
      <c r="S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" s="49">
        <f>Table1[[#This Row],[Quantity  to  purchase]]+Table1[[#This Row],[Quantity purchased]]+Table1[[#This Row],[Quantity on order]]+Table1[[#This Row],[Quantity donated]]-Table1[[#This Row],[extended quantity]]</f>
        <v>0</v>
      </c>
      <c r="U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" s="51">
        <f>IFERROR(Table1[[#This Row],[Quantity  to  purchase]]*(Table1[[#This Row],[Cost ]]+Table1[[#This Row],[shipping]]+Table1[[#This Row],[Tax]]),0)</f>
        <v>0</v>
      </c>
      <c r="W60" s="36">
        <f>IFERROR(Table1[[#This Row],[leftover material]]*(Table1[[#This Row],[Cost ]]+Table1[[#This Row],[shipping]]+Table1[[#This Row],[Tax]]),0)</f>
        <v>0</v>
      </c>
      <c r="X60" s="36">
        <v>31.26</v>
      </c>
      <c r="Y60" s="84"/>
      <c r="Z60" s="84"/>
      <c r="AA60" s="84"/>
      <c r="AB60" s="3" t="s">
        <v>987</v>
      </c>
      <c r="AC60" s="36">
        <f>IF(ISNA(VLOOKUP(Table1[[#This Row],[Part Number]],'Multi-level BOM'!V$4:V$449,1,FALSE)),0,Table1[[#This Row],[Remaining Extended cost]])</f>
        <v>0</v>
      </c>
    </row>
    <row r="61" spans="1:29" ht="30" x14ac:dyDescent="0.25">
      <c r="A61" s="1" t="s">
        <v>64</v>
      </c>
      <c r="B61" s="4" t="s">
        <v>969</v>
      </c>
      <c r="C61" s="1" t="s">
        <v>656</v>
      </c>
      <c r="D61" s="3">
        <v>13.99</v>
      </c>
      <c r="E61" s="3">
        <v>0</v>
      </c>
      <c r="F61" s="3">
        <f>9%*Table1[[#This Row],[Cost ]]</f>
        <v>1.2590999999999999</v>
      </c>
      <c r="G61" s="5" t="s">
        <v>956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80" t="s">
        <v>910</v>
      </c>
      <c r="M61" s="80"/>
      <c r="N61" s="80"/>
      <c r="O61" s="40">
        <v>0</v>
      </c>
      <c r="P61" s="94">
        <f>Table1[[#This Row],[quantity on-hand]]*(Table1[[#This Row],[Cost ]]+Table1[[#This Row],[shipping]]+Table1[[#This Row],[Tax]])</f>
        <v>0</v>
      </c>
      <c r="Q61" s="40">
        <v>0</v>
      </c>
      <c r="R61" s="92">
        <f>Table1[[#This Row],[Quantity on order]]*(Table1[[#This Row],[Cost ]]+Table1[[#This Row],[shipping]]+Table1[[#This Row],[Tax]])</f>
        <v>0</v>
      </c>
      <c r="S6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61" s="49">
        <f>Table1[[#This Row],[Quantity  to  purchase]]+Table1[[#This Row],[Quantity purchased]]+Table1[[#This Row],[Quantity on order]]+Table1[[#This Row],[Quantity donated]]-Table1[[#This Row],[extended quantity]]</f>
        <v>0</v>
      </c>
      <c r="U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15.2491</v>
      </c>
      <c r="V61" s="51">
        <f>IFERROR(Table1[[#This Row],[Quantity  to  purchase]]*(Table1[[#This Row],[Cost ]]+Table1[[#This Row],[shipping]]+Table1[[#This Row],[Tax]]),0)</f>
        <v>15.2491</v>
      </c>
      <c r="W61" s="36">
        <f>IFERROR(Table1[[#This Row],[leftover material]]*(Table1[[#This Row],[Cost ]]+Table1[[#This Row],[shipping]]+Table1[[#This Row],[Tax]]),0)</f>
        <v>0</v>
      </c>
      <c r="X61" s="36"/>
      <c r="Y61" s="84"/>
      <c r="Z61" s="84"/>
      <c r="AA61" s="84"/>
      <c r="AB61" s="36"/>
      <c r="AC61" s="36">
        <f>IF(ISNA(VLOOKUP(Table1[[#This Row],[Part Number]],'Multi-level BOM'!V$4:V$449,1,FALSE)),0,Table1[[#This Row],[Remaining Extended cost]])</f>
        <v>0</v>
      </c>
    </row>
    <row r="62" spans="1:29" ht="30" x14ac:dyDescent="0.25">
      <c r="A62" s="1" t="s">
        <v>65</v>
      </c>
      <c r="B62" s="4" t="s">
        <v>855</v>
      </c>
      <c r="C62" s="1" t="s">
        <v>656</v>
      </c>
      <c r="D62" s="3">
        <v>20.99</v>
      </c>
      <c r="E62" s="3">
        <v>0</v>
      </c>
      <c r="F62" s="3">
        <f>9%*Table1[[#This Row],[Cost ]]</f>
        <v>1.8890999999999998</v>
      </c>
      <c r="G62" s="1" t="s">
        <v>854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80" t="str">
        <f>IF(Table1[[#This Row],[Buy-now costs]]&gt;0,"X","")</f>
        <v/>
      </c>
      <c r="M62" s="80"/>
      <c r="N62" s="80"/>
      <c r="O62" s="40">
        <v>0</v>
      </c>
      <c r="P62" s="94">
        <f>Table1[[#This Row],[quantity on-hand]]*(Table1[[#This Row],[Cost ]]+Table1[[#This Row],[shipping]]+Table1[[#This Row],[Tax]])</f>
        <v>0</v>
      </c>
      <c r="Q62" s="40">
        <v>0</v>
      </c>
      <c r="R62" s="92">
        <f>Table1[[#This Row],[Quantity on order]]*(Table1[[#This Row],[Cost ]]+Table1[[#This Row],[shipping]]+Table1[[#This Row],[Tax]])</f>
        <v>0</v>
      </c>
      <c r="S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" s="49">
        <f>Table1[[#This Row],[Quantity  to  purchase]]+Table1[[#This Row],[Quantity purchased]]+Table1[[#This Row],[Quantity on order]]+Table1[[#This Row],[Quantity donated]]-Table1[[#This Row],[extended quantity]]</f>
        <v>0</v>
      </c>
      <c r="U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" s="51">
        <f>IFERROR(Table1[[#This Row],[Quantity  to  purchase]]*(Table1[[#This Row],[Cost ]]+Table1[[#This Row],[shipping]]+Table1[[#This Row],[Tax]]),0)</f>
        <v>0</v>
      </c>
      <c r="W62" s="36">
        <f>IFERROR(Table1[[#This Row],[leftover material]]*(Table1[[#This Row],[Cost ]]+Table1[[#This Row],[shipping]]+Table1[[#This Row],[Tax]]),0)</f>
        <v>0</v>
      </c>
      <c r="X62" s="36"/>
      <c r="Y62" s="84"/>
      <c r="Z62" s="84"/>
      <c r="AA62" s="84"/>
      <c r="AB62" s="36"/>
      <c r="AC62" s="36">
        <f>IF(ISNA(VLOOKUP(Table1[[#This Row],[Part Number]],'Multi-level BOM'!V$4:V$449,1,FALSE)),0,Table1[[#This Row],[Remaining Extended cost]])</f>
        <v>0</v>
      </c>
    </row>
    <row r="63" spans="1:29" ht="30" x14ac:dyDescent="0.25">
      <c r="A63" s="1" t="s">
        <v>66</v>
      </c>
      <c r="B63" s="16" t="s">
        <v>856</v>
      </c>
      <c r="C63" s="1" t="s">
        <v>958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959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80" t="str">
        <f>IF(Table1[[#This Row],[Buy-now costs]]&gt;0,"X","")</f>
        <v/>
      </c>
      <c r="M63" s="80">
        <v>3</v>
      </c>
      <c r="N63" s="80"/>
      <c r="O63" s="40">
        <v>3</v>
      </c>
      <c r="P63" s="94">
        <f>Table1[[#This Row],[quantity on-hand]]*(Table1[[#This Row],[Cost ]]+Table1[[#This Row],[shipping]]+Table1[[#This Row],[Tax]])</f>
        <v>15.266750000000002</v>
      </c>
      <c r="Q63" s="40">
        <v>0</v>
      </c>
      <c r="R63" s="92">
        <f>Table1[[#This Row],[Quantity on order]]*(Table1[[#This Row],[Cost ]]+Table1[[#This Row],[shipping]]+Table1[[#This Row],[Tax]])</f>
        <v>0</v>
      </c>
      <c r="S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" s="49">
        <f>Table1[[#This Row],[Quantity  to  purchase]]+Table1[[#This Row],[Quantity purchased]]+Table1[[#This Row],[Quantity on order]]+Table1[[#This Row],[Quantity donated]]-Table1[[#This Row],[extended quantity]]</f>
        <v>0</v>
      </c>
      <c r="U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" s="51">
        <f>IFERROR(Table1[[#This Row],[Quantity  to  purchase]]*(Table1[[#This Row],[Cost ]]+Table1[[#This Row],[shipping]]+Table1[[#This Row],[Tax]]),0)</f>
        <v>0</v>
      </c>
      <c r="W63" s="36">
        <f>IFERROR(Table1[[#This Row],[leftover material]]*(Table1[[#This Row],[Cost ]]+Table1[[#This Row],[shipping]]+Table1[[#This Row],[Tax]]),0)</f>
        <v>0</v>
      </c>
      <c r="X63" s="36">
        <v>15.27</v>
      </c>
      <c r="Y63" s="84"/>
      <c r="Z63" s="84"/>
      <c r="AA63" s="84"/>
      <c r="AB63" s="3" t="s">
        <v>1065</v>
      </c>
      <c r="AC63" s="36">
        <f>IF(ISNA(VLOOKUP(Table1[[#This Row],[Part Number]],'Multi-level BOM'!V$4:V$449,1,FALSE)),0,Table1[[#This Row],[Remaining Extended cost]])</f>
        <v>0</v>
      </c>
    </row>
    <row r="64" spans="1:29" ht="30" x14ac:dyDescent="0.25">
      <c r="A64" s="1" t="s">
        <v>67</v>
      </c>
      <c r="B64" s="4" t="s">
        <v>861</v>
      </c>
      <c r="C64" s="1" t="s">
        <v>922</v>
      </c>
      <c r="D64" s="3">
        <v>0.1</v>
      </c>
      <c r="E64" s="3">
        <f>0.262338232068436*D64</f>
        <v>2.6233823206843601E-2</v>
      </c>
      <c r="F64" s="3">
        <f>0.113621408203553*D64</f>
        <v>1.1362140820355301E-2</v>
      </c>
      <c r="G64" s="1" t="s">
        <v>948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80" t="str">
        <f>IF(Table1[[#This Row],[Buy-now costs]]&gt;0,"X","")</f>
        <v/>
      </c>
      <c r="M64" s="80">
        <v>12</v>
      </c>
      <c r="N64" s="80"/>
      <c r="O64" s="40">
        <v>12</v>
      </c>
      <c r="P64" s="94">
        <f>Table1[[#This Row],[quantity on-hand]]*(Table1[[#This Row],[Cost ]]+Table1[[#This Row],[shipping]]+Table1[[#This Row],[Tax]])</f>
        <v>1.6511515683263871</v>
      </c>
      <c r="Q64" s="40"/>
      <c r="R64" s="92">
        <f>Table1[[#This Row],[Quantity on order]]*(Table1[[#This Row],[Cost ]]+Table1[[#This Row],[shipping]]+Table1[[#This Row],[Tax]])</f>
        <v>0</v>
      </c>
      <c r="S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4" s="49">
        <f>Table1[[#This Row],[Quantity  to  purchase]]+Table1[[#This Row],[Quantity purchased]]+Table1[[#This Row],[Quantity on order]]+Table1[[#This Row],[Quantity donated]]-Table1[[#This Row],[extended quantity]]</f>
        <v>0</v>
      </c>
      <c r="U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4" s="51">
        <f>IFERROR(Table1[[#This Row],[Quantity  to  purchase]]*(Table1[[#This Row],[Cost ]]+Table1[[#This Row],[shipping]]+Table1[[#This Row],[Tax]]),0)</f>
        <v>0</v>
      </c>
      <c r="W64" s="36">
        <f>IFERROR(Table1[[#This Row],[leftover material]]*(Table1[[#This Row],[Cost ]]+Table1[[#This Row],[shipping]]+Table1[[#This Row],[Tax]]),0)</f>
        <v>0</v>
      </c>
      <c r="X64" s="36">
        <f>Table1[[#This Row],[Quantity purchased]]*(Table1[[#This Row],[Cost ]]+Table1[[#This Row],[shipping]]+Table1[[#This Row],[Tax]])</f>
        <v>1.6511515683263871</v>
      </c>
      <c r="Y64" s="84">
        <v>43875</v>
      </c>
      <c r="Z64" s="84">
        <v>43885</v>
      </c>
      <c r="AA64" s="84">
        <v>43885</v>
      </c>
      <c r="AB64" s="3" t="s">
        <v>982</v>
      </c>
      <c r="AC64" s="59">
        <f>IF(ISNA(VLOOKUP(Table1[[#This Row],[Part Number]],'Multi-level BOM'!V$4:V$449,1,FALSE)),0,Table1[[#This Row],[Remaining Extended cost]])</f>
        <v>0</v>
      </c>
    </row>
    <row r="65" spans="1:29" ht="30" x14ac:dyDescent="0.25">
      <c r="A65" s="1" t="s">
        <v>68</v>
      </c>
      <c r="B65" s="4" t="s">
        <v>864</v>
      </c>
      <c r="C65" s="1" t="s">
        <v>922</v>
      </c>
      <c r="D65" s="3">
        <f>1.77/100</f>
        <v>1.77E-2</v>
      </c>
      <c r="E65" s="3">
        <f>0.262338232068436*D65</f>
        <v>4.643386707611317E-3</v>
      </c>
      <c r="F65" s="3">
        <f>0.113621408203553*D65</f>
        <v>2.0110989252028881E-3</v>
      </c>
      <c r="G65" s="5" t="s">
        <v>952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80" t="str">
        <f>IF(Table1[[#This Row],[Buy-now costs]]&gt;0,"X","")</f>
        <v/>
      </c>
      <c r="M65" s="80">
        <v>100</v>
      </c>
      <c r="N65" s="80"/>
      <c r="O65" s="40">
        <v>9</v>
      </c>
      <c r="P65" s="94">
        <f>Table1[[#This Row],[quantity on-hand]]*(Table1[[#This Row],[Cost ]]+Table1[[#This Row],[shipping]]+Table1[[#This Row],[Tax]])</f>
        <v>0.21919037069532785</v>
      </c>
      <c r="Q65" s="40"/>
      <c r="R65" s="92">
        <f>Table1[[#This Row],[Quantity on order]]*(Table1[[#This Row],[Cost ]]+Table1[[#This Row],[shipping]]+Table1[[#This Row],[Tax]])</f>
        <v>0</v>
      </c>
      <c r="S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5" s="49">
        <f>Table1[[#This Row],[Quantity  to  purchase]]+Table1[[#This Row],[Quantity purchased]]+Table1[[#This Row],[Quantity on order]]+Table1[[#This Row],[Quantity donated]]-Table1[[#This Row],[extended quantity]]</f>
        <v>91</v>
      </c>
      <c r="U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5" s="51">
        <f>IFERROR(Table1[[#This Row],[Quantity  to  purchase]]*(Table1[[#This Row],[Cost ]]+Table1[[#This Row],[shipping]]+Table1[[#This Row],[Tax]]),0)</f>
        <v>0</v>
      </c>
      <c r="W65" s="36">
        <f>IFERROR(Table1[[#This Row],[leftover material]]*(Table1[[#This Row],[Cost ]]+Table1[[#This Row],[shipping]]+Table1[[#This Row],[Tax]]),0)</f>
        <v>2.2162581925860927</v>
      </c>
      <c r="X65" s="36">
        <f>Table1[[#This Row],[Quantity purchased]]*(Table1[[#This Row],[Cost ]]+Table1[[#This Row],[shipping]]+Table1[[#This Row],[Tax]])</f>
        <v>2.4354485632814207</v>
      </c>
      <c r="Y65" s="84">
        <v>43875</v>
      </c>
      <c r="Z65" s="84">
        <v>43885</v>
      </c>
      <c r="AA65" s="84">
        <v>43885</v>
      </c>
      <c r="AB65" s="3" t="s">
        <v>982</v>
      </c>
      <c r="AC65" s="59">
        <f>IF(ISNA(VLOOKUP(Table1[[#This Row],[Part Number]],'Multi-level BOM'!V$4:V$449,1,FALSE)),0,Table1[[#This Row],[Remaining Extended cost]])</f>
        <v>0</v>
      </c>
    </row>
    <row r="66" spans="1:29" x14ac:dyDescent="0.25">
      <c r="A66" s="1" t="s">
        <v>69</v>
      </c>
      <c r="B66" s="4" t="s">
        <v>875</v>
      </c>
      <c r="C66" s="1" t="s">
        <v>922</v>
      </c>
      <c r="D66" s="3">
        <v>0.16</v>
      </c>
      <c r="E66" s="3">
        <f>0.262338232068436*D66</f>
        <v>4.1974117130949756E-2</v>
      </c>
      <c r="F66" s="3">
        <f>0.113621408203553*D66</f>
        <v>1.8179425312568481E-2</v>
      </c>
      <c r="G66" s="1" t="s">
        <v>942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80" t="str">
        <f>IF(Table1[[#This Row],[Buy-now costs]]&gt;0,"X","")</f>
        <v/>
      </c>
      <c r="M66" s="80">
        <v>8</v>
      </c>
      <c r="N66" s="80"/>
      <c r="O66" s="40">
        <v>8</v>
      </c>
      <c r="P66" s="94">
        <f>Table1[[#This Row],[quantity on-hand]]*(Table1[[#This Row],[Cost ]]+Table1[[#This Row],[shipping]]+Table1[[#This Row],[Tax]])</f>
        <v>1.7612283395481458</v>
      </c>
      <c r="Q66" s="40"/>
      <c r="R66" s="92">
        <f>Table1[[#This Row],[Quantity on order]]*(Table1[[#This Row],[Cost ]]+Table1[[#This Row],[shipping]]+Table1[[#This Row],[Tax]])</f>
        <v>0</v>
      </c>
      <c r="S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6" s="49">
        <f>Table1[[#This Row],[Quantity  to  purchase]]+Table1[[#This Row],[Quantity purchased]]+Table1[[#This Row],[Quantity on order]]+Table1[[#This Row],[Quantity donated]]-Table1[[#This Row],[extended quantity]]</f>
        <v>0</v>
      </c>
      <c r="U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6" s="51">
        <f>IFERROR(Table1[[#This Row],[Quantity  to  purchase]]*(Table1[[#This Row],[Cost ]]+Table1[[#This Row],[shipping]]+Table1[[#This Row],[Tax]]),0)</f>
        <v>0</v>
      </c>
      <c r="W66" s="36">
        <f>IFERROR(Table1[[#This Row],[leftover material]]*(Table1[[#This Row],[Cost ]]+Table1[[#This Row],[shipping]]+Table1[[#This Row],[Tax]]),0)</f>
        <v>0</v>
      </c>
      <c r="X66" s="36">
        <f>Table1[[#This Row],[Quantity purchased]]*(Table1[[#This Row],[Cost ]]+Table1[[#This Row],[shipping]]+Table1[[#This Row],[Tax]])</f>
        <v>1.7612283395481458</v>
      </c>
      <c r="Y66" s="84">
        <v>43875</v>
      </c>
      <c r="Z66" s="84">
        <v>43885</v>
      </c>
      <c r="AA66" s="84">
        <v>43885</v>
      </c>
      <c r="AB66" s="3" t="s">
        <v>982</v>
      </c>
      <c r="AC66" s="59">
        <f>IF(ISNA(VLOOKUP(Table1[[#This Row],[Part Number]],'Multi-level BOM'!V$4:V$449,1,FALSE)),0,Table1[[#This Row],[Remaining Extended cost]])</f>
        <v>0</v>
      </c>
    </row>
    <row r="67" spans="1:29" x14ac:dyDescent="0.25">
      <c r="A67" s="1" t="s">
        <v>70</v>
      </c>
      <c r="B67" s="16" t="s">
        <v>878</v>
      </c>
      <c r="C67" s="1" t="s">
        <v>704</v>
      </c>
      <c r="D67" s="3">
        <f>4.69/13</f>
        <v>0.36076923076923079</v>
      </c>
      <c r="E67" s="3">
        <v>0</v>
      </c>
      <c r="F67" s="3">
        <f>9%*Table1[[#This Row],[Cost ]]</f>
        <v>3.2469230769230771E-2</v>
      </c>
      <c r="G67" s="1" t="s">
        <v>895</v>
      </c>
      <c r="H67" s="2">
        <v>12</v>
      </c>
      <c r="I67" s="1" t="s">
        <v>896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80" t="str">
        <f>IF(Table1[[#This Row],[Buy-now costs]]&gt;0,"X","")</f>
        <v/>
      </c>
      <c r="M67" s="80">
        <v>0</v>
      </c>
      <c r="N67" s="80">
        <v>12</v>
      </c>
      <c r="O67" s="40">
        <v>12</v>
      </c>
      <c r="P67" s="94">
        <f>Table1[[#This Row],[quantity on-hand]]*(Table1[[#This Row],[Cost ]]+Table1[[#This Row],[shipping]]+Table1[[#This Row],[Tax]])</f>
        <v>4.7188615384615389</v>
      </c>
      <c r="Q67" s="40">
        <v>0</v>
      </c>
      <c r="R67" s="92">
        <f>Table1[[#This Row],[Quantity on order]]*(Table1[[#This Row],[Cost ]]+Table1[[#This Row],[shipping]]+Table1[[#This Row],[Tax]])</f>
        <v>0</v>
      </c>
      <c r="S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7" s="49">
        <f>Table1[[#This Row],[Quantity  to  purchase]]+Table1[[#This Row],[Quantity purchased]]+Table1[[#This Row],[Quantity on order]]+Table1[[#This Row],[Quantity donated]]-Table1[[#This Row],[extended quantity]]</f>
        <v>4</v>
      </c>
      <c r="U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7" s="51">
        <f>IFERROR(Table1[[#This Row],[Quantity  to  purchase]]*(Table1[[#This Row],[Cost ]]+Table1[[#This Row],[shipping]]+Table1[[#This Row],[Tax]]),0)</f>
        <v>0</v>
      </c>
      <c r="W67" s="36">
        <f>IFERROR(Table1[[#This Row],[leftover material]]*(Table1[[#This Row],[Cost ]]+Table1[[#This Row],[shipping]]+Table1[[#This Row],[Tax]]),0)</f>
        <v>1.5729538461538461</v>
      </c>
      <c r="X67" s="36"/>
      <c r="Y67" s="84"/>
      <c r="Z67" s="84"/>
      <c r="AA67" s="84"/>
      <c r="AB67" s="3" t="s">
        <v>907</v>
      </c>
      <c r="AC67" s="36">
        <f>IF(ISNA(VLOOKUP(Table1[[#This Row],[Part Number]],'Multi-level BOM'!V$4:V$449,1,FALSE)),0,Table1[[#This Row],[Remaining Extended cost]])</f>
        <v>0</v>
      </c>
    </row>
    <row r="68" spans="1:29" x14ac:dyDescent="0.25">
      <c r="A68" s="1" t="s">
        <v>71</v>
      </c>
      <c r="B68" s="4" t="s">
        <v>897</v>
      </c>
      <c r="C68" s="1" t="s">
        <v>704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777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80" t="str">
        <f>IF(Table1[[#This Row],[Buy-now costs]]&gt;0,"X","")</f>
        <v/>
      </c>
      <c r="M68" s="80"/>
      <c r="N68" s="80"/>
      <c r="O68" s="40">
        <v>0</v>
      </c>
      <c r="P68" s="94">
        <f>Table1[[#This Row],[quantity on-hand]]*(Table1[[#This Row],[Cost ]]+Table1[[#This Row],[shipping]]+Table1[[#This Row],[Tax]])</f>
        <v>0</v>
      </c>
      <c r="Q68" s="40">
        <v>0</v>
      </c>
      <c r="R68" s="92">
        <f>Table1[[#This Row],[Quantity on order]]*(Table1[[#This Row],[Cost ]]+Table1[[#This Row],[shipping]]+Table1[[#This Row],[Tax]])</f>
        <v>0</v>
      </c>
      <c r="S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8" s="49">
        <f>Table1[[#This Row],[Quantity  to  purchase]]+Table1[[#This Row],[Quantity purchased]]+Table1[[#This Row],[Quantity on order]]+Table1[[#This Row],[Quantity donated]]-Table1[[#This Row],[extended quantity]]</f>
        <v>0</v>
      </c>
      <c r="U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8" s="51">
        <f>IFERROR(Table1[[#This Row],[Quantity  to  purchase]]*(Table1[[#This Row],[Cost ]]+Table1[[#This Row],[shipping]]+Table1[[#This Row],[Tax]]),0)</f>
        <v>0</v>
      </c>
      <c r="W68" s="36">
        <f>IFERROR(Table1[[#This Row],[leftover material]]*(Table1[[#This Row],[Cost ]]+Table1[[#This Row],[shipping]]+Table1[[#This Row],[Tax]]),0)</f>
        <v>0</v>
      </c>
      <c r="X68" s="36"/>
      <c r="Y68" s="84"/>
      <c r="Z68" s="84"/>
      <c r="AA68" s="84"/>
      <c r="AB68" s="36"/>
      <c r="AC68" s="36">
        <f>IF(ISNA(VLOOKUP(Table1[[#This Row],[Part Number]],'Multi-level BOM'!V$4:V$449,1,FALSE)),0,Table1[[#This Row],[Remaining Extended cost]])</f>
        <v>0</v>
      </c>
    </row>
    <row r="69" spans="1:29" ht="30" x14ac:dyDescent="0.25">
      <c r="A69" s="1" t="s">
        <v>72</v>
      </c>
      <c r="B69" s="4" t="s">
        <v>883</v>
      </c>
      <c r="C69" s="1" t="s">
        <v>656</v>
      </c>
      <c r="D69" s="3">
        <f>5.99/50</f>
        <v>0.1198</v>
      </c>
      <c r="E69" s="3">
        <v>0</v>
      </c>
      <c r="F69" s="3">
        <f>9%*Table1[[#This Row],[Cost ]]</f>
        <v>1.0782E-2</v>
      </c>
      <c r="G69" s="1" t="s">
        <v>884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80" t="str">
        <f>IF(Table1[[#This Row],[Buy-now costs]]&gt;0,"X","")</f>
        <v/>
      </c>
      <c r="M69" s="80"/>
      <c r="N69" s="80"/>
      <c r="O69" s="40">
        <v>0</v>
      </c>
      <c r="P69" s="94">
        <f>Table1[[#This Row],[quantity on-hand]]*(Table1[[#This Row],[Cost ]]+Table1[[#This Row],[shipping]]+Table1[[#This Row],[Tax]])</f>
        <v>0</v>
      </c>
      <c r="Q69" s="40">
        <v>0</v>
      </c>
      <c r="R69" s="92">
        <f>Table1[[#This Row],[Quantity on order]]*(Table1[[#This Row],[Cost ]]+Table1[[#This Row],[shipping]]+Table1[[#This Row],[Tax]])</f>
        <v>0</v>
      </c>
      <c r="S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9" s="49">
        <f>Table1[[#This Row],[Quantity  to  purchase]]+Table1[[#This Row],[Quantity purchased]]+Table1[[#This Row],[Quantity on order]]+Table1[[#This Row],[Quantity donated]]-Table1[[#This Row],[extended quantity]]</f>
        <v>0</v>
      </c>
      <c r="U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9" s="51">
        <f>IFERROR(Table1[[#This Row],[Quantity  to  purchase]]*(Table1[[#This Row],[Cost ]]+Table1[[#This Row],[shipping]]+Table1[[#This Row],[Tax]]),0)</f>
        <v>0</v>
      </c>
      <c r="W69" s="36">
        <f>IFERROR(Table1[[#This Row],[leftover material]]*(Table1[[#This Row],[Cost ]]+Table1[[#This Row],[shipping]]+Table1[[#This Row],[Tax]]),0)</f>
        <v>0</v>
      </c>
      <c r="X69" s="36"/>
      <c r="Y69" s="84"/>
      <c r="Z69" s="84"/>
      <c r="AA69" s="84"/>
      <c r="AB69" s="36"/>
      <c r="AC69" s="36">
        <f>IF(ISNA(VLOOKUP(Table1[[#This Row],[Part Number]],'Multi-level BOM'!V$4:V$449,1,FALSE)),0,Table1[[#This Row],[Remaining Extended cost]])</f>
        <v>0</v>
      </c>
    </row>
    <row r="70" spans="1:29" x14ac:dyDescent="0.25">
      <c r="A70" s="1" t="s">
        <v>73</v>
      </c>
      <c r="B70" s="16" t="s">
        <v>894</v>
      </c>
      <c r="C70" s="1" t="s">
        <v>704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777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80" t="str">
        <f>IF(Table1[[#This Row],[Buy-now costs]]&gt;0,"X","")</f>
        <v/>
      </c>
      <c r="M70" s="80"/>
      <c r="N70" s="80"/>
      <c r="O70" s="40">
        <v>0</v>
      </c>
      <c r="P70" s="94">
        <f>Table1[[#This Row],[quantity on-hand]]*(Table1[[#This Row],[Cost ]]+Table1[[#This Row],[shipping]]+Table1[[#This Row],[Tax]])</f>
        <v>0</v>
      </c>
      <c r="Q70" s="40">
        <v>0</v>
      </c>
      <c r="R70" s="92">
        <f>Table1[[#This Row],[Quantity on order]]*(Table1[[#This Row],[Cost ]]+Table1[[#This Row],[shipping]]+Table1[[#This Row],[Tax]])</f>
        <v>0</v>
      </c>
      <c r="S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0" s="49">
        <f>Table1[[#This Row],[Quantity  to  purchase]]+Table1[[#This Row],[Quantity purchased]]+Table1[[#This Row],[Quantity on order]]+Table1[[#This Row],[Quantity donated]]-Table1[[#This Row],[extended quantity]]</f>
        <v>0</v>
      </c>
      <c r="U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0" s="51">
        <f>IFERROR(Table1[[#This Row],[Quantity  to  purchase]]*(Table1[[#This Row],[Cost ]]+Table1[[#This Row],[shipping]]+Table1[[#This Row],[Tax]]),0)</f>
        <v>0</v>
      </c>
      <c r="W70" s="36">
        <f>IFERROR(Table1[[#This Row],[leftover material]]*(Table1[[#This Row],[Cost ]]+Table1[[#This Row],[shipping]]+Table1[[#This Row],[Tax]]),0)</f>
        <v>0</v>
      </c>
      <c r="X70" s="36"/>
      <c r="Y70" s="84"/>
      <c r="Z70" s="84"/>
      <c r="AA70" s="84"/>
      <c r="AB70" s="36"/>
      <c r="AC70" s="36">
        <f>IF(ISNA(VLOOKUP(Table1[[#This Row],[Part Number]],'Multi-level BOM'!V$4:V$449,1,FALSE)),0,Table1[[#This Row],[Remaining Extended cost]])</f>
        <v>0</v>
      </c>
    </row>
    <row r="71" spans="1:29" x14ac:dyDescent="0.25">
      <c r="A71" s="1" t="s">
        <v>74</v>
      </c>
      <c r="B71" s="4" t="s">
        <v>911</v>
      </c>
      <c r="C71" s="1" t="s">
        <v>704</v>
      </c>
      <c r="E71" s="3">
        <v>0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80" t="str">
        <f>IF(Table1[[#This Row],[Buy-now costs]]&gt;0,"X","")</f>
        <v/>
      </c>
      <c r="M71" s="80">
        <v>0</v>
      </c>
      <c r="N71" s="80">
        <v>12</v>
      </c>
      <c r="O71" s="40">
        <v>12</v>
      </c>
      <c r="P71" s="94">
        <f>Table1[[#This Row],[quantity on-hand]]*(Table1[[#This Row],[Cost ]]+Table1[[#This Row],[shipping]]+Table1[[#This Row],[Tax]])</f>
        <v>0</v>
      </c>
      <c r="Q71" s="40">
        <v>0</v>
      </c>
      <c r="R71" s="92">
        <f>Table1[[#This Row],[Quantity on order]]*(Table1[[#This Row],[Cost ]]+Table1[[#This Row],[shipping]]+Table1[[#This Row],[Tax]])</f>
        <v>0</v>
      </c>
      <c r="S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1" s="49">
        <f>Table1[[#This Row],[Quantity  to  purchase]]+Table1[[#This Row],[Quantity purchased]]+Table1[[#This Row],[Quantity on order]]+Table1[[#This Row],[Quantity donated]]-Table1[[#This Row],[extended quantity]]</f>
        <v>9</v>
      </c>
      <c r="U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1" s="51">
        <f>IFERROR(Table1[[#This Row],[Quantity  to  purchase]]*(Table1[[#This Row],[Cost ]]+Table1[[#This Row],[shipping]]+Table1[[#This Row],[Tax]]),0)</f>
        <v>0</v>
      </c>
      <c r="W71" s="36">
        <f>IFERROR(Table1[[#This Row],[leftover material]]*(Table1[[#This Row],[Cost ]]+Table1[[#This Row],[shipping]]+Table1[[#This Row],[Tax]]),0)</f>
        <v>0</v>
      </c>
      <c r="X71" s="36">
        <v>0</v>
      </c>
      <c r="Y71" s="84"/>
      <c r="Z71" s="84"/>
      <c r="AA71" s="84"/>
      <c r="AB71" s="3" t="s">
        <v>907</v>
      </c>
      <c r="AC71" s="36">
        <f>IF(ISNA(VLOOKUP(Table1[[#This Row],[Part Number]],'Multi-level BOM'!V$4:V$449,1,FALSE)),0,Table1[[#This Row],[Remaining Extended cost]])</f>
        <v>0</v>
      </c>
    </row>
    <row r="72" spans="1:29" x14ac:dyDescent="0.25">
      <c r="A72" s="1" t="s">
        <v>75</v>
      </c>
      <c r="B72" t="s">
        <v>919</v>
      </c>
      <c r="C72" s="1" t="s">
        <v>845</v>
      </c>
      <c r="D72" s="3">
        <v>1.49</v>
      </c>
      <c r="E72" s="3">
        <v>5</v>
      </c>
      <c r="F72" s="3">
        <f>9%*Table1[[#This Row],[Cost ]]</f>
        <v>0.1341</v>
      </c>
      <c r="G72" s="1" t="s">
        <v>920</v>
      </c>
      <c r="H72" s="2">
        <v>1</v>
      </c>
      <c r="I72" s="1" t="s">
        <v>921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80" t="str">
        <f>IF(Table1[[#This Row],[Buy-now costs]]&gt;0,"X","")</f>
        <v/>
      </c>
      <c r="M72" s="80"/>
      <c r="N72" s="80"/>
      <c r="O72" s="40">
        <v>0</v>
      </c>
      <c r="P72" s="94">
        <f>Table1[[#This Row],[quantity on-hand]]*(Table1[[#This Row],[Cost ]]+Table1[[#This Row],[shipping]]+Table1[[#This Row],[Tax]])</f>
        <v>0</v>
      </c>
      <c r="Q72" s="40">
        <v>0</v>
      </c>
      <c r="R72" s="92">
        <f>Table1[[#This Row],[Quantity on order]]*(Table1[[#This Row],[Cost ]]+Table1[[#This Row],[shipping]]+Table1[[#This Row],[Tax]])</f>
        <v>0</v>
      </c>
      <c r="S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2" s="49">
        <f>Table1[[#This Row],[Quantity  to  purchase]]+Table1[[#This Row],[Quantity purchased]]+Table1[[#This Row],[Quantity on order]]+Table1[[#This Row],[Quantity donated]]-Table1[[#This Row],[extended quantity]]</f>
        <v>0</v>
      </c>
      <c r="U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2" s="51">
        <f>IFERROR(Table1[[#This Row],[Quantity  to  purchase]]*(Table1[[#This Row],[Cost ]]+Table1[[#This Row],[shipping]]+Table1[[#This Row],[Tax]]),0)</f>
        <v>0</v>
      </c>
      <c r="W72" s="36">
        <f>IFERROR(Table1[[#This Row],[leftover material]]*(Table1[[#This Row],[Cost ]]+Table1[[#This Row],[shipping]]+Table1[[#This Row],[Tax]]),0)</f>
        <v>0</v>
      </c>
      <c r="X72" s="36"/>
      <c r="Y72" s="84"/>
      <c r="Z72" s="84"/>
      <c r="AA72" s="84"/>
      <c r="AB72" s="36"/>
      <c r="AC72" s="36">
        <f>IF(ISNA(VLOOKUP(Table1[[#This Row],[Part Number]],'Multi-level BOM'!V$4:V$449,1,FALSE)),0,Table1[[#This Row],[Remaining Extended cost]])</f>
        <v>0</v>
      </c>
    </row>
    <row r="73" spans="1:29" ht="30" x14ac:dyDescent="0.25">
      <c r="A73" s="1" t="s">
        <v>76</v>
      </c>
      <c r="B73" s="4" t="s">
        <v>926</v>
      </c>
      <c r="C73" s="1" t="s">
        <v>927</v>
      </c>
      <c r="D73" s="3">
        <f>10.97/10</f>
        <v>1.097</v>
      </c>
      <c r="E73" s="3">
        <f>2.5/10</f>
        <v>0.25</v>
      </c>
      <c r="F73" s="3">
        <v>0</v>
      </c>
      <c r="G73" s="1" t="s">
        <v>925</v>
      </c>
      <c r="H73" s="2">
        <v>10</v>
      </c>
      <c r="I73" s="1" t="s">
        <v>777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80" t="str">
        <f>IF(Table1[[#This Row],[Buy-now costs]]&gt;0,"X","")</f>
        <v/>
      </c>
      <c r="M73" s="80"/>
      <c r="N73" s="80"/>
      <c r="O73" s="40">
        <v>0</v>
      </c>
      <c r="P73" s="94">
        <f>Table1[[#This Row],[quantity on-hand]]*(Table1[[#This Row],[Cost ]]+Table1[[#This Row],[shipping]]+Table1[[#This Row],[Tax]])</f>
        <v>0</v>
      </c>
      <c r="Q73" s="40">
        <v>0</v>
      </c>
      <c r="R73" s="92">
        <f>Table1[[#This Row],[Quantity on order]]*(Table1[[#This Row],[Cost ]]+Table1[[#This Row],[shipping]]+Table1[[#This Row],[Tax]])</f>
        <v>0</v>
      </c>
      <c r="S73" s="49">
        <f>IFERROR(CEILING((Table1[[#This Row],[extended quantity]]-Table1[[#This Row],[quantity on-hand]]-Table1[[#This Row],[Quantity on order]])/Table1[[#This Row],[Minimum order quantity]],1)*Table1[[#This Row],[Minimum order quantity]],0)</f>
        <v>40</v>
      </c>
      <c r="T73" s="49">
        <f>Table1[[#This Row],[Quantity  to  purchase]]+Table1[[#This Row],[Quantity purchased]]+Table1[[#This Row],[Quantity on order]]+Table1[[#This Row],[Quantity donated]]-Table1[[#This Row],[extended quantity]]</f>
        <v>4</v>
      </c>
      <c r="U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48.491999999999997</v>
      </c>
      <c r="V73" s="51">
        <f>IFERROR(Table1[[#This Row],[Quantity  to  purchase]]*(Table1[[#This Row],[Cost ]]+Table1[[#This Row],[shipping]]+Table1[[#This Row],[Tax]]),0)</f>
        <v>53.879999999999995</v>
      </c>
      <c r="W73" s="36">
        <f>IFERROR(Table1[[#This Row],[leftover material]]*(Table1[[#This Row],[Cost ]]+Table1[[#This Row],[shipping]]+Table1[[#This Row],[Tax]]),0)</f>
        <v>5.3879999999999999</v>
      </c>
      <c r="X73" s="36"/>
      <c r="Y73" s="84"/>
      <c r="Z73" s="84"/>
      <c r="AA73" s="84"/>
      <c r="AB73" s="36"/>
      <c r="AC73" s="36">
        <f>IF(ISNA(VLOOKUP(Table1[[#This Row],[Part Number]],'Multi-level BOM'!V$4:V$449,1,FALSE)),0,Table1[[#This Row],[Remaining Extended cost]])</f>
        <v>0</v>
      </c>
    </row>
    <row r="74" spans="1:29" x14ac:dyDescent="0.25">
      <c r="A74" s="1" t="s">
        <v>77</v>
      </c>
      <c r="B74" s="4" t="s">
        <v>968</v>
      </c>
      <c r="C74" s="1" t="s">
        <v>922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967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80" t="str">
        <f>IF(Table1[[#This Row],[Buy-now costs]]&gt;0,"X","")</f>
        <v/>
      </c>
      <c r="M74" s="80">
        <v>12</v>
      </c>
      <c r="N74" s="80"/>
      <c r="O74" s="40">
        <v>12</v>
      </c>
      <c r="P74" s="94">
        <f>Table1[[#This Row],[quantity on-hand]]*(Table1[[#This Row],[Cost ]]+Table1[[#This Row],[shipping]]+Table1[[#This Row],[Tax]])</f>
        <v>1.3209212546611093</v>
      </c>
      <c r="Q74" s="40"/>
      <c r="R74" s="92">
        <f>Table1[[#This Row],[Quantity on order]]*(Table1[[#This Row],[Cost ]]+Table1[[#This Row],[shipping]]+Table1[[#This Row],[Tax]])</f>
        <v>0</v>
      </c>
      <c r="S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4" s="49">
        <f>Table1[[#This Row],[Quantity  to  purchase]]+Table1[[#This Row],[Quantity purchased]]+Table1[[#This Row],[Quantity on order]]+Table1[[#This Row],[Quantity donated]]-Table1[[#This Row],[extended quantity]]</f>
        <v>0</v>
      </c>
      <c r="U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4" s="51">
        <f>IFERROR(Table1[[#This Row],[Quantity  to  purchase]]*(Table1[[#This Row],[Cost ]]+Table1[[#This Row],[shipping]]+Table1[[#This Row],[Tax]]),0)</f>
        <v>0</v>
      </c>
      <c r="W74" s="36">
        <f>IFERROR(Table1[[#This Row],[leftover material]]*(Table1[[#This Row],[Cost ]]+Table1[[#This Row],[shipping]]+Table1[[#This Row],[Tax]]),0)</f>
        <v>0</v>
      </c>
      <c r="X74" s="36">
        <f>Table1[[#This Row],[Quantity purchased]]*(Table1[[#This Row],[Cost ]]+Table1[[#This Row],[shipping]]+Table1[[#This Row],[Tax]])</f>
        <v>1.3209212546611093</v>
      </c>
      <c r="Y74" s="84">
        <v>43875</v>
      </c>
      <c r="Z74" s="84">
        <v>43885</v>
      </c>
      <c r="AA74" s="84">
        <v>43885</v>
      </c>
      <c r="AB74" s="3" t="s">
        <v>982</v>
      </c>
      <c r="AC74" s="59">
        <f>IF(ISNA(VLOOKUP(Table1[[#This Row],[Part Number]],'Multi-level BOM'!V$4:V$449,1,FALSE)),0,Table1[[#This Row],[Remaining Extended cost]])</f>
        <v>0</v>
      </c>
    </row>
    <row r="75" spans="1:29" x14ac:dyDescent="0.25">
      <c r="A75" s="1" t="s">
        <v>78</v>
      </c>
      <c r="B75" s="4" t="s">
        <v>996</v>
      </c>
      <c r="C75" s="1" t="s">
        <v>994</v>
      </c>
      <c r="D75" s="3">
        <v>1.33</v>
      </c>
      <c r="E75" s="3">
        <v>0</v>
      </c>
      <c r="F75" s="3">
        <f>9%*Table1[[#This Row],[Cost ]]</f>
        <v>0.1197</v>
      </c>
      <c r="G75" s="1" t="s">
        <v>995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1.4497</v>
      </c>
      <c r="L75" s="80" t="str">
        <f>IF(Table1[[#This Row],[Buy-now costs]]&gt;0,"X","")</f>
        <v/>
      </c>
      <c r="M75" s="80"/>
      <c r="N75" s="80"/>
      <c r="O75" s="40">
        <v>1</v>
      </c>
      <c r="P75" s="94">
        <f>Table1[[#This Row],[quantity on-hand]]*(Table1[[#This Row],[Cost ]]+Table1[[#This Row],[shipping]]+Table1[[#This Row],[Tax]])</f>
        <v>1.4497</v>
      </c>
      <c r="Q75" s="40">
        <v>0</v>
      </c>
      <c r="R75" s="92">
        <f>Table1[[#This Row],[Quantity on order]]*(Table1[[#This Row],[Cost ]]+Table1[[#This Row],[shipping]]+Table1[[#This Row],[Tax]])</f>
        <v>0</v>
      </c>
      <c r="S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5" s="49">
        <f>Table1[[#This Row],[Quantity  to  purchase]]+Table1[[#This Row],[Quantity purchased]]+Table1[[#This Row],[Quantity on order]]+Table1[[#This Row],[Quantity donated]]-Table1[[#This Row],[extended quantity]]</f>
        <v>-1</v>
      </c>
      <c r="U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5" s="51">
        <f>IFERROR(Table1[[#This Row],[Quantity  to  purchase]]*(Table1[[#This Row],[Cost ]]+Table1[[#This Row],[shipping]]+Table1[[#This Row],[Tax]]),0)</f>
        <v>0</v>
      </c>
      <c r="W75" s="36">
        <f>IFERROR(Table1[[#This Row],[leftover material]]*(Table1[[#This Row],[Cost ]]+Table1[[#This Row],[shipping]]+Table1[[#This Row],[Tax]]),0)</f>
        <v>-1.4497</v>
      </c>
      <c r="X75" s="36"/>
      <c r="Y75" s="84"/>
      <c r="Z75" s="84"/>
      <c r="AA75" s="84"/>
      <c r="AB75" s="36"/>
      <c r="AC75" s="36">
        <f>IF(ISNA(VLOOKUP(Table1[[#This Row],[Part Number]],'Multi-level BOM'!V$4:V$449,1,FALSE)),0,Table1[[#This Row],[Remaining Extended cost]])</f>
        <v>0</v>
      </c>
    </row>
    <row r="76" spans="1:29" x14ac:dyDescent="0.25">
      <c r="A76" s="1" t="s">
        <v>79</v>
      </c>
      <c r="B76" s="62" t="s">
        <v>990</v>
      </c>
      <c r="C76" s="1" t="s">
        <v>845</v>
      </c>
      <c r="D76" s="3">
        <v>63.64</v>
      </c>
      <c r="E76" s="3">
        <v>0</v>
      </c>
      <c r="F76" s="3">
        <v>0</v>
      </c>
      <c r="G76" s="1" t="s">
        <v>991</v>
      </c>
      <c r="H76" s="2">
        <v>1</v>
      </c>
      <c r="J76" s="49">
        <f>SUMIF('Multi-level BOM'!D$4:D$467,Table1[[#This Row],[Part Number]],'Multi-level BOM'!H$4:H$467)</f>
        <v>1</v>
      </c>
      <c r="K76" s="10">
        <f>Table1[[#This Row],[extended quantity]]*(Table1[[#This Row],[Cost ]]+Table1[[#This Row],[shipping]]+Table1[[#This Row],[Tax]])</f>
        <v>63.64</v>
      </c>
      <c r="L76" s="80" t="str">
        <f>IF(Table1[[#This Row],[Buy-now costs]]&gt;0,"X","")</f>
        <v/>
      </c>
      <c r="M76" s="80"/>
      <c r="N76" s="80"/>
      <c r="O76" s="40">
        <v>0</v>
      </c>
      <c r="P76" s="94">
        <f>Table1[[#This Row],[quantity on-hand]]*(Table1[[#This Row],[Cost ]]+Table1[[#This Row],[shipping]]+Table1[[#This Row],[Tax]])</f>
        <v>0</v>
      </c>
      <c r="Q76" s="40">
        <v>0</v>
      </c>
      <c r="R76" s="92">
        <f>Table1[[#This Row],[Quantity on order]]*(Table1[[#This Row],[Cost ]]+Table1[[#This Row],[shipping]]+Table1[[#This Row],[Tax]])</f>
        <v>0</v>
      </c>
      <c r="S7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6" s="49">
        <f>Table1[[#This Row],[Quantity  to  purchase]]+Table1[[#This Row],[Quantity purchased]]+Table1[[#This Row],[Quantity on order]]+Table1[[#This Row],[Quantity donated]]-Table1[[#This Row],[extended quantity]]</f>
        <v>0</v>
      </c>
      <c r="U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63.64</v>
      </c>
      <c r="V76" s="51">
        <f>IFERROR(Table1[[#This Row],[Quantity  to  purchase]]*(Table1[[#This Row],[Cost ]]+Table1[[#This Row],[shipping]]+Table1[[#This Row],[Tax]]),0)</f>
        <v>63.64</v>
      </c>
      <c r="W76" s="36">
        <f>IFERROR(Table1[[#This Row],[leftover material]]*(Table1[[#This Row],[Cost ]]+Table1[[#This Row],[shipping]]+Table1[[#This Row],[Tax]]),0)</f>
        <v>0</v>
      </c>
      <c r="X76" s="36"/>
      <c r="Y76" s="84"/>
      <c r="Z76" s="84"/>
      <c r="AA76" s="84"/>
      <c r="AB76" s="36"/>
      <c r="AC76" s="36">
        <f>IF(ISNA(VLOOKUP(Table1[[#This Row],[Part Number]],'Multi-level BOM'!V$4:V$449,1,FALSE)),0,Table1[[#This Row],[Remaining Extended cost]])</f>
        <v>0</v>
      </c>
    </row>
    <row r="77" spans="1:29" ht="30" x14ac:dyDescent="0.25">
      <c r="A77" s="1" t="s">
        <v>80</v>
      </c>
      <c r="B77" s="4" t="s">
        <v>992</v>
      </c>
      <c r="C77" s="1" t="s">
        <v>994</v>
      </c>
      <c r="D77" s="3">
        <v>3.01</v>
      </c>
      <c r="E77" s="3">
        <v>0</v>
      </c>
      <c r="F77" s="3">
        <f>9%*Table1[[#This Row],[Cost ]]</f>
        <v>0.27089999999999997</v>
      </c>
      <c r="G77" s="1" t="s">
        <v>993</v>
      </c>
      <c r="H77" s="2">
        <v>1</v>
      </c>
      <c r="J77" s="49">
        <f>SUMIF('Multi-level BOM'!D$4:D$467,Table1[[#This Row],[Part Number]],'Multi-level BOM'!H$4:H$467)</f>
        <v>1</v>
      </c>
      <c r="K77" s="10">
        <f>Table1[[#This Row],[extended quantity]]*(Table1[[#This Row],[Cost ]]+Table1[[#This Row],[shipping]]+Table1[[#This Row],[Tax]])</f>
        <v>3.2808999999999999</v>
      </c>
      <c r="L77" s="80" t="str">
        <f>IF(Table1[[#This Row],[Buy-now costs]]&gt;0,"X","")</f>
        <v/>
      </c>
      <c r="M77" s="80"/>
      <c r="N77" s="80"/>
      <c r="O77" s="40">
        <v>0</v>
      </c>
      <c r="P77" s="94">
        <f>Table1[[#This Row],[quantity on-hand]]*(Table1[[#This Row],[Cost ]]+Table1[[#This Row],[shipping]]+Table1[[#This Row],[Tax]])</f>
        <v>0</v>
      </c>
      <c r="Q77" s="40">
        <v>0</v>
      </c>
      <c r="R77" s="92">
        <f>Table1[[#This Row],[Quantity on order]]*(Table1[[#This Row],[Cost ]]+Table1[[#This Row],[shipping]]+Table1[[#This Row],[Tax]])</f>
        <v>0</v>
      </c>
      <c r="S7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7" s="49">
        <f>Table1[[#This Row],[Quantity  to  purchase]]+Table1[[#This Row],[Quantity purchased]]+Table1[[#This Row],[Quantity on order]]+Table1[[#This Row],[Quantity donated]]-Table1[[#This Row],[extended quantity]]</f>
        <v>0</v>
      </c>
      <c r="U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3.2808999999999999</v>
      </c>
      <c r="V77" s="51">
        <f>IFERROR(Table1[[#This Row],[Quantity  to  purchase]]*(Table1[[#This Row],[Cost ]]+Table1[[#This Row],[shipping]]+Table1[[#This Row],[Tax]]),0)</f>
        <v>3.2808999999999999</v>
      </c>
      <c r="W77" s="36">
        <f>IFERROR(Table1[[#This Row],[leftover material]]*(Table1[[#This Row],[Cost ]]+Table1[[#This Row],[shipping]]+Table1[[#This Row],[Tax]]),0)</f>
        <v>0</v>
      </c>
      <c r="X77" s="36"/>
      <c r="Y77" s="84"/>
      <c r="Z77" s="84"/>
      <c r="AA77" s="84"/>
      <c r="AB77" s="36"/>
      <c r="AC77" s="36">
        <f>IF(ISNA(VLOOKUP(Table1[[#This Row],[Part Number]],'Multi-level BOM'!V$4:V$449,1,FALSE)),0,Table1[[#This Row],[Remaining Extended cost]])</f>
        <v>0</v>
      </c>
    </row>
    <row r="78" spans="1:29" x14ac:dyDescent="0.25">
      <c r="A78" s="1" t="s">
        <v>81</v>
      </c>
      <c r="B78" s="4" t="s">
        <v>997</v>
      </c>
      <c r="C78" s="1" t="s">
        <v>994</v>
      </c>
      <c r="D78" s="3">
        <v>5.0999999999999996</v>
      </c>
      <c r="E78" s="3">
        <v>0</v>
      </c>
      <c r="F78" s="3">
        <f>9%*Table1[[#This Row],[Cost ]]</f>
        <v>0.45899999999999996</v>
      </c>
      <c r="G78" s="1" t="s">
        <v>998</v>
      </c>
      <c r="H78" s="2">
        <v>1</v>
      </c>
      <c r="J78" s="49">
        <f>SUMIF('Multi-level BOM'!D$4:D$467,Table1[[#This Row],[Part Number]],'Multi-level BOM'!H$4:H$467)</f>
        <v>1</v>
      </c>
      <c r="K78" s="10">
        <f>Table1[[#This Row],[extended quantity]]*(Table1[[#This Row],[Cost ]]+Table1[[#This Row],[shipping]]+Table1[[#This Row],[Tax]])</f>
        <v>5.5589999999999993</v>
      </c>
      <c r="L78" s="80" t="str">
        <f>IF(Table1[[#This Row],[Buy-now costs]]&gt;0,"X","")</f>
        <v/>
      </c>
      <c r="M78" s="80"/>
      <c r="N78" s="80"/>
      <c r="O78" s="40">
        <v>0</v>
      </c>
      <c r="P78" s="94">
        <f>Table1[[#This Row],[quantity on-hand]]*(Table1[[#This Row],[Cost ]]+Table1[[#This Row],[shipping]]+Table1[[#This Row],[Tax]])</f>
        <v>0</v>
      </c>
      <c r="Q78" s="40">
        <v>0</v>
      </c>
      <c r="R78" s="92">
        <f>Table1[[#This Row],[Quantity on order]]*(Table1[[#This Row],[Cost ]]+Table1[[#This Row],[shipping]]+Table1[[#This Row],[Tax]])</f>
        <v>0</v>
      </c>
      <c r="S78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8" s="49">
        <f>Table1[[#This Row],[Quantity  to  purchase]]+Table1[[#This Row],[Quantity purchased]]+Table1[[#This Row],[Quantity on order]]+Table1[[#This Row],[Quantity donated]]-Table1[[#This Row],[extended quantity]]</f>
        <v>0</v>
      </c>
      <c r="U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5.5589999999999993</v>
      </c>
      <c r="V78" s="51">
        <f>IFERROR(Table1[[#This Row],[Quantity  to  purchase]]*(Table1[[#This Row],[Cost ]]+Table1[[#This Row],[shipping]]+Table1[[#This Row],[Tax]]),0)</f>
        <v>5.5589999999999993</v>
      </c>
      <c r="W78" s="36">
        <f>IFERROR(Table1[[#This Row],[leftover material]]*(Table1[[#This Row],[Cost ]]+Table1[[#This Row],[shipping]]+Table1[[#This Row],[Tax]]),0)</f>
        <v>0</v>
      </c>
      <c r="X78" s="36"/>
      <c r="Y78" s="84"/>
      <c r="Z78" s="84"/>
      <c r="AA78" s="84"/>
      <c r="AB78" s="36"/>
      <c r="AC78" s="36">
        <f>IF(ISNA(VLOOKUP(Table1[[#This Row],[Part Number]],'Multi-level BOM'!V$4:V$449,1,FALSE)),0,Table1[[#This Row],[Remaining Extended cost]])</f>
        <v>0</v>
      </c>
    </row>
    <row r="79" spans="1:29" x14ac:dyDescent="0.25">
      <c r="A79" s="1" t="s">
        <v>82</v>
      </c>
      <c r="B79" s="58" t="s">
        <v>1047</v>
      </c>
      <c r="E79" s="3">
        <v>0</v>
      </c>
      <c r="F79" s="3">
        <f>9%*Table1[[#This Row],[Cost ]]</f>
        <v>0</v>
      </c>
      <c r="H79" s="2">
        <v>1</v>
      </c>
      <c r="J79" s="49">
        <f>SUMIF('Multi-level BOM'!D$4:D$467,Table1[[#This Row],[Part Number]],'Multi-level BOM'!H$4:H$467)</f>
        <v>1</v>
      </c>
      <c r="K79" s="10">
        <f>Table1[[#This Row],[extended quantity]]*(Table1[[#This Row],[Cost ]]+Table1[[#This Row],[shipping]]+Table1[[#This Row],[Tax]])</f>
        <v>0</v>
      </c>
      <c r="L79" s="80" t="str">
        <f>IF(Table1[[#This Row],[Buy-now costs]]&gt;0,"X","")</f>
        <v/>
      </c>
      <c r="M79" s="80"/>
      <c r="N79" s="80"/>
      <c r="O79" s="40">
        <v>0</v>
      </c>
      <c r="P79" s="94">
        <f>Table1[[#This Row],[quantity on-hand]]*(Table1[[#This Row],[Cost ]]+Table1[[#This Row],[shipping]]+Table1[[#This Row],[Tax]])</f>
        <v>0</v>
      </c>
      <c r="Q79" s="40">
        <v>0</v>
      </c>
      <c r="R79" s="92">
        <f>Table1[[#This Row],[Quantity on order]]*(Table1[[#This Row],[Cost ]]+Table1[[#This Row],[shipping]]+Table1[[#This Row],[Tax]])</f>
        <v>0</v>
      </c>
      <c r="S7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9" s="49">
        <f>Table1[[#This Row],[Quantity  to  purchase]]+Table1[[#This Row],[Quantity purchased]]+Table1[[#This Row],[Quantity on order]]+Table1[[#This Row],[Quantity donated]]-Table1[[#This Row],[extended quantity]]</f>
        <v>0</v>
      </c>
      <c r="U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9" s="51">
        <f>IFERROR(Table1[[#This Row],[Quantity  to  purchase]]*(Table1[[#This Row],[Cost ]]+Table1[[#This Row],[shipping]]+Table1[[#This Row],[Tax]]),0)</f>
        <v>0</v>
      </c>
      <c r="W79" s="36">
        <f>IFERROR(Table1[[#This Row],[leftover material]]*(Table1[[#This Row],[Cost ]]+Table1[[#This Row],[shipping]]+Table1[[#This Row],[Tax]]),0)</f>
        <v>0</v>
      </c>
      <c r="X79" s="36"/>
      <c r="Y79" s="84"/>
      <c r="Z79" s="84"/>
      <c r="AA79" s="84"/>
      <c r="AB79" s="36"/>
      <c r="AC79" s="36">
        <f>IF(ISNA(VLOOKUP(Table1[[#This Row],[Part Number]],'Multi-level BOM'!V$4:V$449,1,FALSE)),0,Table1[[#This Row],[Remaining Extended cost]])</f>
        <v>0</v>
      </c>
    </row>
    <row r="80" spans="1:29" x14ac:dyDescent="0.25">
      <c r="A80" s="1" t="s">
        <v>83</v>
      </c>
      <c r="B80" s="4" t="s">
        <v>1001</v>
      </c>
      <c r="C80" s="1" t="s">
        <v>994</v>
      </c>
      <c r="D80" s="3">
        <v>1.1000000000000001</v>
      </c>
      <c r="E80" s="3">
        <v>0</v>
      </c>
      <c r="F80" s="3">
        <f>9%*Table1[[#This Row],[Cost ]]</f>
        <v>9.9000000000000005E-2</v>
      </c>
      <c r="G80" s="1" t="s">
        <v>1000</v>
      </c>
      <c r="H80" s="2">
        <v>1</v>
      </c>
      <c r="J80" s="49">
        <f>SUMIF('Multi-level BOM'!D$4:D$467,Table1[[#This Row],[Part Number]],'Multi-level BOM'!H$4:H$467)</f>
        <v>1</v>
      </c>
      <c r="K80" s="10">
        <f>Table1[[#This Row],[extended quantity]]*(Table1[[#This Row],[Cost ]]+Table1[[#This Row],[shipping]]+Table1[[#This Row],[Tax]])</f>
        <v>1.1990000000000001</v>
      </c>
      <c r="L80" s="80" t="str">
        <f>IF(Table1[[#This Row],[Buy-now costs]]&gt;0,"X","")</f>
        <v/>
      </c>
      <c r="M80" s="80"/>
      <c r="N80" s="80"/>
      <c r="O80" s="40">
        <v>0</v>
      </c>
      <c r="P80" s="94">
        <f>Table1[[#This Row],[quantity on-hand]]*(Table1[[#This Row],[Cost ]]+Table1[[#This Row],[shipping]]+Table1[[#This Row],[Tax]])</f>
        <v>0</v>
      </c>
      <c r="Q80" s="40">
        <v>0</v>
      </c>
      <c r="R80" s="92">
        <f>Table1[[#This Row],[Quantity on order]]*(Table1[[#This Row],[Cost ]]+Table1[[#This Row],[shipping]]+Table1[[#This Row],[Tax]])</f>
        <v>0</v>
      </c>
      <c r="S8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0" s="49">
        <f>Table1[[#This Row],[Quantity  to  purchase]]+Table1[[#This Row],[Quantity purchased]]+Table1[[#This Row],[Quantity on order]]+Table1[[#This Row],[Quantity donated]]-Table1[[#This Row],[extended quantity]]</f>
        <v>0</v>
      </c>
      <c r="U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1.1990000000000001</v>
      </c>
      <c r="V80" s="51">
        <f>IFERROR(Table1[[#This Row],[Quantity  to  purchase]]*(Table1[[#This Row],[Cost ]]+Table1[[#This Row],[shipping]]+Table1[[#This Row],[Tax]]),0)</f>
        <v>1.1990000000000001</v>
      </c>
      <c r="W80" s="36">
        <f>IFERROR(Table1[[#This Row],[leftover material]]*(Table1[[#This Row],[Cost ]]+Table1[[#This Row],[shipping]]+Table1[[#This Row],[Tax]]),0)</f>
        <v>0</v>
      </c>
      <c r="X80" s="36"/>
      <c r="Y80" s="84"/>
      <c r="Z80" s="84"/>
      <c r="AA80" s="84"/>
      <c r="AB80" s="36"/>
      <c r="AC80" s="36">
        <f>IF(ISNA(VLOOKUP(Table1[[#This Row],[Part Number]],'Multi-level BOM'!V$4:V$449,1,FALSE)),0,Table1[[#This Row],[Remaining Extended cost]])</f>
        <v>0</v>
      </c>
    </row>
    <row r="81" spans="1:29" x14ac:dyDescent="0.25">
      <c r="A81" s="1" t="s">
        <v>84</v>
      </c>
      <c r="B81" s="58" t="s">
        <v>1002</v>
      </c>
      <c r="D81" s="3">
        <v>17.98</v>
      </c>
      <c r="E81" s="3">
        <v>0</v>
      </c>
      <c r="F81" s="3">
        <f>9%*Table1[[#This Row],[Cost ]]</f>
        <v>1.6182000000000001</v>
      </c>
      <c r="G81" s="1" t="s">
        <v>1003</v>
      </c>
      <c r="H81" s="2">
        <v>1</v>
      </c>
      <c r="J81" s="49">
        <f>SUMIF('Multi-level BOM'!D$4:D$467,Table1[[#This Row],[Part Number]],'Multi-level BOM'!H$4:H$467)</f>
        <v>1</v>
      </c>
      <c r="K81" s="10">
        <f>Table1[[#This Row],[extended quantity]]*(Table1[[#This Row],[Cost ]]+Table1[[#This Row],[shipping]]+Table1[[#This Row],[Tax]])</f>
        <v>19.598200000000002</v>
      </c>
      <c r="L81" s="80" t="str">
        <f>IF(Table1[[#This Row],[Buy-now costs]]&gt;0,"X","")</f>
        <v/>
      </c>
      <c r="M81" s="80"/>
      <c r="N81" s="80"/>
      <c r="O81" s="40">
        <v>0</v>
      </c>
      <c r="P81" s="94">
        <f>Table1[[#This Row],[quantity on-hand]]*(Table1[[#This Row],[Cost ]]+Table1[[#This Row],[shipping]]+Table1[[#This Row],[Tax]])</f>
        <v>0</v>
      </c>
      <c r="Q81" s="40">
        <v>0</v>
      </c>
      <c r="R81" s="92">
        <f>Table1[[#This Row],[Quantity on order]]*(Table1[[#This Row],[Cost ]]+Table1[[#This Row],[shipping]]+Table1[[#This Row],[Tax]])</f>
        <v>0</v>
      </c>
      <c r="S8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1" s="49">
        <f>Table1[[#This Row],[Quantity  to  purchase]]+Table1[[#This Row],[Quantity purchased]]+Table1[[#This Row],[Quantity on order]]+Table1[[#This Row],[Quantity donated]]-Table1[[#This Row],[extended quantity]]</f>
        <v>0</v>
      </c>
      <c r="U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19.598200000000002</v>
      </c>
      <c r="V81" s="51">
        <f>IFERROR(Table1[[#This Row],[Quantity  to  purchase]]*(Table1[[#This Row],[Cost ]]+Table1[[#This Row],[shipping]]+Table1[[#This Row],[Tax]]),0)</f>
        <v>19.598200000000002</v>
      </c>
      <c r="W81" s="36">
        <f>IFERROR(Table1[[#This Row],[leftover material]]*(Table1[[#This Row],[Cost ]]+Table1[[#This Row],[shipping]]+Table1[[#This Row],[Tax]]),0)</f>
        <v>0</v>
      </c>
      <c r="X81" s="36"/>
      <c r="Y81" s="84"/>
      <c r="Z81" s="84"/>
      <c r="AA81" s="84"/>
      <c r="AB81" s="36"/>
      <c r="AC81" s="36">
        <f>IF(ISNA(VLOOKUP(Table1[[#This Row],[Part Number]],'Multi-level BOM'!V$4:V$449,1,FALSE)),0,Table1[[#This Row],[Remaining Extended cost]])</f>
        <v>0</v>
      </c>
    </row>
    <row r="82" spans="1:29" ht="30" x14ac:dyDescent="0.25">
      <c r="A82" s="1" t="s">
        <v>85</v>
      </c>
      <c r="B82" s="58" t="s">
        <v>1005</v>
      </c>
      <c r="C82" s="1" t="s">
        <v>656</v>
      </c>
      <c r="D82" s="3">
        <f>10.99/2</f>
        <v>5.4950000000000001</v>
      </c>
      <c r="E82" s="3">
        <v>0</v>
      </c>
      <c r="F82" s="3">
        <f>9%*Table1[[#This Row],[Cost ]]</f>
        <v>0.49454999999999999</v>
      </c>
      <c r="G82" s="1" t="s">
        <v>1004</v>
      </c>
      <c r="H82" s="2">
        <v>2</v>
      </c>
      <c r="J82" s="49">
        <f>SUMIF('Multi-level BOM'!D$4:D$467,Table1[[#This Row],[Part Number]],'Multi-level BOM'!H$4:H$467)</f>
        <v>1</v>
      </c>
      <c r="K82" s="10">
        <f>Table1[[#This Row],[extended quantity]]*(Table1[[#This Row],[Cost ]]+Table1[[#This Row],[shipping]]+Table1[[#This Row],[Tax]])</f>
        <v>5.9895500000000004</v>
      </c>
      <c r="L82" s="80" t="str">
        <f>IF(Table1[[#This Row],[Buy-now costs]]&gt;0,"X","")</f>
        <v/>
      </c>
      <c r="M82" s="80"/>
      <c r="N82" s="80"/>
      <c r="O82" s="40">
        <v>0</v>
      </c>
      <c r="P82" s="94">
        <f>Table1[[#This Row],[quantity on-hand]]*(Table1[[#This Row],[Cost ]]+Table1[[#This Row],[shipping]]+Table1[[#This Row],[Tax]])</f>
        <v>0</v>
      </c>
      <c r="Q82" s="40">
        <v>0</v>
      </c>
      <c r="R82" s="92">
        <f>Table1[[#This Row],[Quantity on order]]*(Table1[[#This Row],[Cost ]]+Table1[[#This Row],[shipping]]+Table1[[#This Row],[Tax]])</f>
        <v>0</v>
      </c>
      <c r="S82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2" s="49">
        <f>Table1[[#This Row],[Quantity  to  purchase]]+Table1[[#This Row],[Quantity purchased]]+Table1[[#This Row],[Quantity on order]]+Table1[[#This Row],[Quantity donated]]-Table1[[#This Row],[extended quantity]]</f>
        <v>1</v>
      </c>
      <c r="U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5.9895500000000004</v>
      </c>
      <c r="V82" s="51">
        <f>IFERROR(Table1[[#This Row],[Quantity  to  purchase]]*(Table1[[#This Row],[Cost ]]+Table1[[#This Row],[shipping]]+Table1[[#This Row],[Tax]]),0)</f>
        <v>11.979100000000001</v>
      </c>
      <c r="W82" s="36">
        <f>IFERROR(Table1[[#This Row],[leftover material]]*(Table1[[#This Row],[Cost ]]+Table1[[#This Row],[shipping]]+Table1[[#This Row],[Tax]]),0)</f>
        <v>5.9895500000000004</v>
      </c>
      <c r="X82" s="36"/>
      <c r="Y82" s="84"/>
      <c r="Z82" s="84"/>
      <c r="AA82" s="84"/>
      <c r="AB82" s="36"/>
      <c r="AC82" s="36">
        <f>IF(ISNA(VLOOKUP(Table1[[#This Row],[Part Number]],'Multi-level BOM'!V$4:V$449,1,FALSE)),0,Table1[[#This Row],[Remaining Extended cost]])</f>
        <v>0</v>
      </c>
    </row>
    <row r="83" spans="1:29" ht="30" x14ac:dyDescent="0.25">
      <c r="A83" s="1" t="s">
        <v>86</v>
      </c>
      <c r="B83" s="58" t="s">
        <v>1006</v>
      </c>
      <c r="C83" s="1" t="s">
        <v>656</v>
      </c>
      <c r="D83" s="3">
        <f>9.39/2</f>
        <v>4.6950000000000003</v>
      </c>
      <c r="E83" s="3">
        <v>0</v>
      </c>
      <c r="F83" s="3">
        <f>9%*Table1[[#This Row],[Cost ]]</f>
        <v>0.42255000000000004</v>
      </c>
      <c r="G83" s="1" t="s">
        <v>1007</v>
      </c>
      <c r="H83" s="2">
        <v>2</v>
      </c>
      <c r="J83" s="49">
        <f>SUMIF('Multi-level BOM'!D$4:D$467,Table1[[#This Row],[Part Number]],'Multi-level BOM'!H$4:H$467)</f>
        <v>1</v>
      </c>
      <c r="K83" s="10">
        <f>Table1[[#This Row],[extended quantity]]*(Table1[[#This Row],[Cost ]]+Table1[[#This Row],[shipping]]+Table1[[#This Row],[Tax]])</f>
        <v>5.1175500000000005</v>
      </c>
      <c r="L83" s="80" t="str">
        <f>IF(Table1[[#This Row],[Buy-now costs]]&gt;0,"X","")</f>
        <v/>
      </c>
      <c r="M83" s="80"/>
      <c r="N83" s="80"/>
      <c r="O83" s="40">
        <v>0</v>
      </c>
      <c r="P83" s="94">
        <f>Table1[[#This Row],[quantity on-hand]]*(Table1[[#This Row],[Cost ]]+Table1[[#This Row],[shipping]]+Table1[[#This Row],[Tax]])</f>
        <v>0</v>
      </c>
      <c r="Q83" s="40">
        <v>0</v>
      </c>
      <c r="R83" s="92">
        <f>Table1[[#This Row],[Quantity on order]]*(Table1[[#This Row],[Cost ]]+Table1[[#This Row],[shipping]]+Table1[[#This Row],[Tax]])</f>
        <v>0</v>
      </c>
      <c r="S8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3" s="49">
        <f>Table1[[#This Row],[Quantity  to  purchase]]+Table1[[#This Row],[Quantity purchased]]+Table1[[#This Row],[Quantity on order]]+Table1[[#This Row],[Quantity donated]]-Table1[[#This Row],[extended quantity]]</f>
        <v>1</v>
      </c>
      <c r="U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5.1175500000000005</v>
      </c>
      <c r="V83" s="51">
        <f>IFERROR(Table1[[#This Row],[Quantity  to  purchase]]*(Table1[[#This Row],[Cost ]]+Table1[[#This Row],[shipping]]+Table1[[#This Row],[Tax]]),0)</f>
        <v>10.235100000000001</v>
      </c>
      <c r="W83" s="36">
        <f>IFERROR(Table1[[#This Row],[leftover material]]*(Table1[[#This Row],[Cost ]]+Table1[[#This Row],[shipping]]+Table1[[#This Row],[Tax]]),0)</f>
        <v>5.1175500000000005</v>
      </c>
      <c r="X83" s="36"/>
      <c r="Y83" s="84"/>
      <c r="Z83" s="84"/>
      <c r="AA83" s="84"/>
      <c r="AB83" s="36"/>
      <c r="AC83" s="36">
        <f>IF(ISNA(VLOOKUP(Table1[[#This Row],[Part Number]],'Multi-level BOM'!V$4:V$449,1,FALSE)),0,Table1[[#This Row],[Remaining Extended cost]])</f>
        <v>0</v>
      </c>
    </row>
    <row r="84" spans="1:29" x14ac:dyDescent="0.25">
      <c r="A84" s="1" t="s">
        <v>87</v>
      </c>
      <c r="B84" s="4" t="s">
        <v>1008</v>
      </c>
      <c r="E84" s="3">
        <v>0</v>
      </c>
      <c r="F84" s="3">
        <f>9%*Table1[[#This Row],[Cost ]]</f>
        <v>0</v>
      </c>
      <c r="H84" s="2">
        <v>1</v>
      </c>
      <c r="J84" s="49">
        <f>SUMIF('Multi-level BOM'!D$4:D$467,Table1[[#This Row],[Part Number]],'Multi-level BOM'!H$4:H$467)</f>
        <v>1</v>
      </c>
      <c r="K84" s="10">
        <f>Table1[[#This Row],[extended quantity]]*(Table1[[#This Row],[Cost ]]+Table1[[#This Row],[shipping]]+Table1[[#This Row],[Tax]])</f>
        <v>0</v>
      </c>
      <c r="L84" s="80" t="s">
        <v>910</v>
      </c>
      <c r="M84" s="80"/>
      <c r="N84" s="80"/>
      <c r="O84" s="40">
        <v>0</v>
      </c>
      <c r="P84" s="94">
        <f>Table1[[#This Row],[quantity on-hand]]*(Table1[[#This Row],[Cost ]]+Table1[[#This Row],[shipping]]+Table1[[#This Row],[Tax]])</f>
        <v>0</v>
      </c>
      <c r="Q84" s="40">
        <v>0</v>
      </c>
      <c r="R84" s="92">
        <f>Table1[[#This Row],[Quantity on order]]*(Table1[[#This Row],[Cost ]]+Table1[[#This Row],[shipping]]+Table1[[#This Row],[Tax]])</f>
        <v>0</v>
      </c>
      <c r="S8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4" s="49">
        <f>Table1[[#This Row],[Quantity  to  purchase]]+Table1[[#This Row],[Quantity purchased]]+Table1[[#This Row],[Quantity on order]]+Table1[[#This Row],[Quantity donated]]-Table1[[#This Row],[extended quantity]]</f>
        <v>0</v>
      </c>
      <c r="U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4" s="51">
        <f>IFERROR(Table1[[#This Row],[Quantity  to  purchase]]*(Table1[[#This Row],[Cost ]]+Table1[[#This Row],[shipping]]+Table1[[#This Row],[Tax]]),0)</f>
        <v>0</v>
      </c>
      <c r="W84" s="36">
        <f>IFERROR(Table1[[#This Row],[leftover material]]*(Table1[[#This Row],[Cost ]]+Table1[[#This Row],[shipping]]+Table1[[#This Row],[Tax]]),0)</f>
        <v>0</v>
      </c>
      <c r="X84" s="36"/>
      <c r="Y84" s="84"/>
      <c r="Z84" s="84"/>
      <c r="AA84" s="84"/>
      <c r="AB84" s="36"/>
      <c r="AC84" s="36">
        <f>IF(ISNA(VLOOKUP(Table1[[#This Row],[Part Number]],'Multi-level BOM'!V$4:V$449,1,FALSE)),0,Table1[[#This Row],[Remaining Extended cost]])</f>
        <v>0</v>
      </c>
    </row>
    <row r="85" spans="1:29" x14ac:dyDescent="0.25">
      <c r="A85" s="1" t="s">
        <v>88</v>
      </c>
      <c r="B85" s="4" t="s">
        <v>1009</v>
      </c>
      <c r="E85" s="3">
        <v>0</v>
      </c>
      <c r="F85" s="3">
        <f>9%*Table1[[#This Row],[Cost ]]</f>
        <v>0</v>
      </c>
      <c r="H85" s="2">
        <v>1</v>
      </c>
      <c r="J85" s="49">
        <f>SUMIF('Multi-level BOM'!D$4:D$467,Table1[[#This Row],[Part Number]],'Multi-level BOM'!H$4:H$467)</f>
        <v>1</v>
      </c>
      <c r="K85" s="10">
        <f>Table1[[#This Row],[extended quantity]]*(Table1[[#This Row],[Cost ]]+Table1[[#This Row],[shipping]]+Table1[[#This Row],[Tax]])</f>
        <v>0</v>
      </c>
      <c r="L85" s="80" t="str">
        <f>IF(Table1[[#This Row],[Buy-now costs]]&gt;0,"X","")</f>
        <v/>
      </c>
      <c r="M85" s="80"/>
      <c r="N85" s="80"/>
      <c r="O85" s="40">
        <v>0</v>
      </c>
      <c r="P85" s="94">
        <f>Table1[[#This Row],[quantity on-hand]]*(Table1[[#This Row],[Cost ]]+Table1[[#This Row],[shipping]]+Table1[[#This Row],[Tax]])</f>
        <v>0</v>
      </c>
      <c r="Q85" s="40">
        <v>0</v>
      </c>
      <c r="R85" s="92">
        <f>Table1[[#This Row],[Quantity on order]]*(Table1[[#This Row],[Cost ]]+Table1[[#This Row],[shipping]]+Table1[[#This Row],[Tax]])</f>
        <v>0</v>
      </c>
      <c r="S8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5" s="49">
        <f>Table1[[#This Row],[Quantity  to  purchase]]+Table1[[#This Row],[Quantity purchased]]+Table1[[#This Row],[Quantity on order]]+Table1[[#This Row],[Quantity donated]]-Table1[[#This Row],[extended quantity]]</f>
        <v>0</v>
      </c>
      <c r="U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5" s="51">
        <f>IFERROR(Table1[[#This Row],[Quantity  to  purchase]]*(Table1[[#This Row],[Cost ]]+Table1[[#This Row],[shipping]]+Table1[[#This Row],[Tax]]),0)</f>
        <v>0</v>
      </c>
      <c r="W85" s="36">
        <f>IFERROR(Table1[[#This Row],[leftover material]]*(Table1[[#This Row],[Cost ]]+Table1[[#This Row],[shipping]]+Table1[[#This Row],[Tax]]),0)</f>
        <v>0</v>
      </c>
      <c r="X85" s="36"/>
      <c r="Y85" s="84"/>
      <c r="Z85" s="84"/>
      <c r="AA85" s="84"/>
      <c r="AB85" s="36"/>
      <c r="AC85" s="36">
        <f>IF(ISNA(VLOOKUP(Table1[[#This Row],[Part Number]],'Multi-level BOM'!V$4:V$449,1,FALSE)),0,Table1[[#This Row],[Remaining Extended cost]])</f>
        <v>0</v>
      </c>
    </row>
    <row r="86" spans="1:29" x14ac:dyDescent="0.25">
      <c r="A86" s="1" t="s">
        <v>89</v>
      </c>
      <c r="B86" s="61" t="s">
        <v>1010</v>
      </c>
      <c r="C86" s="1" t="s">
        <v>1011</v>
      </c>
      <c r="D86" s="3">
        <v>14.99</v>
      </c>
      <c r="E86" s="3">
        <v>0</v>
      </c>
      <c r="F86" s="3">
        <f>9%*Table1[[#This Row],[Cost ]]</f>
        <v>1.3491</v>
      </c>
      <c r="G86" s="1" t="s">
        <v>1012</v>
      </c>
      <c r="H86" s="2">
        <v>1</v>
      </c>
      <c r="J86" s="49">
        <f>SUMIF('Multi-level BOM'!D$4:D$467,Table1[[#This Row],[Part Number]],'Multi-level BOM'!H$4:H$467)</f>
        <v>1</v>
      </c>
      <c r="K86" s="10">
        <f>Table1[[#This Row],[extended quantity]]*(Table1[[#This Row],[Cost ]]+Table1[[#This Row],[shipping]]+Table1[[#This Row],[Tax]])</f>
        <v>16.339100000000002</v>
      </c>
      <c r="L86" s="80" t="str">
        <f>IF(Table1[[#This Row],[Buy-now costs]]&gt;0,"X","")</f>
        <v/>
      </c>
      <c r="M86" s="80">
        <v>1</v>
      </c>
      <c r="N86" s="80"/>
      <c r="O86" s="40">
        <v>1</v>
      </c>
      <c r="P86" s="94">
        <f>Table1[[#This Row],[quantity on-hand]]*(Table1[[#This Row],[Cost ]]+Table1[[#This Row],[shipping]]+Table1[[#This Row],[Tax]])</f>
        <v>16.339100000000002</v>
      </c>
      <c r="Q86" s="40"/>
      <c r="R86" s="92">
        <f>Table1[[#This Row],[Quantity on order]]*(Table1[[#This Row],[Cost ]]+Table1[[#This Row],[shipping]]+Table1[[#This Row],[Tax]])</f>
        <v>0</v>
      </c>
      <c r="S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6" s="49">
        <f>Table1[[#This Row],[Quantity  to  purchase]]+Table1[[#This Row],[Quantity purchased]]+Table1[[#This Row],[Quantity on order]]+Table1[[#This Row],[Quantity donated]]-Table1[[#This Row],[extended quantity]]</f>
        <v>0</v>
      </c>
      <c r="U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6" s="51">
        <f>IFERROR(Table1[[#This Row],[Quantity  to  purchase]]*(Table1[[#This Row],[Cost ]]+Table1[[#This Row],[shipping]]+Table1[[#This Row],[Tax]]),0)</f>
        <v>0</v>
      </c>
      <c r="W86" s="36">
        <f>IFERROR(Table1[[#This Row],[leftover material]]*(Table1[[#This Row],[Cost ]]+Table1[[#This Row],[shipping]]+Table1[[#This Row],[Tax]]),0)</f>
        <v>0</v>
      </c>
      <c r="X86" s="36">
        <f>Table1[[#This Row],[Quantity purchased]]*(Table1[[#This Row],[Cost ]]+Table1[[#This Row],[shipping]]+Table1[[#This Row],[Tax]])</f>
        <v>16.339100000000002</v>
      </c>
      <c r="Y86" s="84">
        <v>43882</v>
      </c>
      <c r="Z86" s="84">
        <v>43913</v>
      </c>
      <c r="AA86" s="84"/>
      <c r="AB86" s="36"/>
      <c r="AC86" s="36">
        <f>IF(ISNA(VLOOKUP(Table1[[#This Row],[Part Number]],'Multi-level BOM'!V$4:V$449,1,FALSE)),0,Table1[[#This Row],[Remaining Extended cost]])</f>
        <v>0</v>
      </c>
    </row>
    <row r="87" spans="1:29" x14ac:dyDescent="0.25">
      <c r="A87" s="1" t="s">
        <v>90</v>
      </c>
      <c r="B87" s="4" t="s">
        <v>1013</v>
      </c>
      <c r="C87" s="1" t="s">
        <v>1011</v>
      </c>
      <c r="D87" s="3">
        <v>6.15</v>
      </c>
      <c r="E87" s="3">
        <v>0</v>
      </c>
      <c r="F87" s="3">
        <f>9%*Table1[[#This Row],[Cost ]]</f>
        <v>0.55349999999999999</v>
      </c>
      <c r="G87" s="1" t="s">
        <v>1014</v>
      </c>
      <c r="H87" s="2">
        <v>1</v>
      </c>
      <c r="J87" s="49">
        <f>SUMIF('Multi-level BOM'!D$4:D$467,Table1[[#This Row],[Part Number]],'Multi-level BOM'!H$4:H$467)</f>
        <v>1</v>
      </c>
      <c r="K87" s="10">
        <f>Table1[[#This Row],[extended quantity]]*(Table1[[#This Row],[Cost ]]+Table1[[#This Row],[shipping]]+Table1[[#This Row],[Tax]])</f>
        <v>6.7035</v>
      </c>
      <c r="L87" s="80" t="str">
        <f>IF(Table1[[#This Row],[Buy-now costs]]&gt;0,"X","")</f>
        <v/>
      </c>
      <c r="M87" s="80">
        <v>1</v>
      </c>
      <c r="N87" s="80"/>
      <c r="O87" s="40">
        <v>1</v>
      </c>
      <c r="P87" s="94">
        <f>Table1[[#This Row],[quantity on-hand]]*(Table1[[#This Row],[Cost ]]+Table1[[#This Row],[shipping]]+Table1[[#This Row],[Tax]])</f>
        <v>6.7035</v>
      </c>
      <c r="Q87" s="40">
        <v>0</v>
      </c>
      <c r="R87" s="92">
        <f>Table1[[#This Row],[Quantity on order]]*(Table1[[#This Row],[Cost ]]+Table1[[#This Row],[shipping]]+Table1[[#This Row],[Tax]])</f>
        <v>0</v>
      </c>
      <c r="S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7" s="49">
        <f>Table1[[#This Row],[Quantity  to  purchase]]+Table1[[#This Row],[Quantity purchased]]+Table1[[#This Row],[Quantity on order]]+Table1[[#This Row],[Quantity donated]]-Table1[[#This Row],[extended quantity]]</f>
        <v>0</v>
      </c>
      <c r="U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7" s="51">
        <f>IFERROR(Table1[[#This Row],[Quantity  to  purchase]]*(Table1[[#This Row],[Cost ]]+Table1[[#This Row],[shipping]]+Table1[[#This Row],[Tax]]),0)</f>
        <v>0</v>
      </c>
      <c r="W87" s="36">
        <f>IFERROR(Table1[[#This Row],[leftover material]]*(Table1[[#This Row],[Cost ]]+Table1[[#This Row],[shipping]]+Table1[[#This Row],[Tax]]),0)</f>
        <v>0</v>
      </c>
      <c r="X87" s="36">
        <f>Table1[[#This Row],[Quantity purchased]]*(Table1[[#This Row],[Cost ]]+Table1[[#This Row],[shipping]]+Table1[[#This Row],[Tax]])</f>
        <v>6.7035</v>
      </c>
      <c r="Y87" s="84">
        <v>43882</v>
      </c>
      <c r="Z87" s="84">
        <v>43913</v>
      </c>
      <c r="AA87" s="84"/>
      <c r="AB87" s="36"/>
      <c r="AC87" s="36">
        <f>IF(ISNA(VLOOKUP(Table1[[#This Row],[Part Number]],'Multi-level BOM'!V$4:V$449,1,FALSE)),0,Table1[[#This Row],[Remaining Extended cost]])</f>
        <v>0</v>
      </c>
    </row>
    <row r="88" spans="1:29" ht="30" x14ac:dyDescent="0.25">
      <c r="A88" s="1" t="s">
        <v>91</v>
      </c>
      <c r="B88" s="16" t="s">
        <v>1015</v>
      </c>
      <c r="C88" s="1" t="s">
        <v>994</v>
      </c>
      <c r="D88" s="3">
        <v>2.4700000000000002</v>
      </c>
      <c r="E88" s="3">
        <f>0.72*Table1[[#This Row],[Cost ]]</f>
        <v>1.7784</v>
      </c>
      <c r="F88" s="3">
        <f>15.4%*Table1[[#This Row],[Cost ]]</f>
        <v>0.38038000000000005</v>
      </c>
      <c r="G88" s="1" t="s">
        <v>1070</v>
      </c>
      <c r="H88" s="41">
        <v>1</v>
      </c>
      <c r="J88" s="49">
        <f>SUMIF('Multi-level BOM'!D$4:D$467,Table1[[#This Row],[Part Number]],'Multi-level BOM'!H$4:H$467)</f>
        <v>1</v>
      </c>
      <c r="K88" s="10">
        <f>Table1[[#This Row],[extended quantity]]*(Table1[[#This Row],[Cost ]]+Table1[[#This Row],[shipping]]+Table1[[#This Row],[Tax]])</f>
        <v>4.6287799999999999</v>
      </c>
      <c r="L88" s="80" t="str">
        <f>IF(Table1[[#This Row],[Buy-now costs]]&gt;0,"X","")</f>
        <v/>
      </c>
      <c r="M88" s="80">
        <v>1</v>
      </c>
      <c r="N88" s="80"/>
      <c r="O88" s="40">
        <v>1</v>
      </c>
      <c r="P88" s="94">
        <f>Table1[[#This Row],[quantity on-hand]]*(Table1[[#This Row],[Cost ]]+Table1[[#This Row],[shipping]]+Table1[[#This Row],[Tax]])</f>
        <v>4.6287799999999999</v>
      </c>
      <c r="Q88" s="40">
        <v>0</v>
      </c>
      <c r="R88" s="92">
        <f>Table1[[#This Row],[Quantity on order]]*(Table1[[#This Row],[Cost ]]+Table1[[#This Row],[shipping]]+Table1[[#This Row],[Tax]])</f>
        <v>0</v>
      </c>
      <c r="S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8" s="49">
        <f>Table1[[#This Row],[Quantity  to  purchase]]+Table1[[#This Row],[Quantity purchased]]+Table1[[#This Row],[Quantity on order]]+Table1[[#This Row],[Quantity donated]]-Table1[[#This Row],[extended quantity]]</f>
        <v>0</v>
      </c>
      <c r="U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8" s="51">
        <f>IFERROR(Table1[[#This Row],[Quantity  to  purchase]]*(Table1[[#This Row],[Cost ]]+Table1[[#This Row],[shipping]]+Table1[[#This Row],[Tax]]),0)</f>
        <v>0</v>
      </c>
      <c r="W88" s="36">
        <f>IFERROR(Table1[[#This Row],[leftover material]]*(Table1[[#This Row],[Cost ]]+Table1[[#This Row],[shipping]]+Table1[[#This Row],[Tax]]),0)</f>
        <v>0</v>
      </c>
      <c r="X88" s="36">
        <f>Table1[[#This Row],[Quantity purchased]]*(Table1[[#This Row],[Cost ]]+Table1[[#This Row],[shipping]]+Table1[[#This Row],[Tax]])</f>
        <v>4.6287799999999999</v>
      </c>
      <c r="Y88" s="84">
        <v>43882</v>
      </c>
      <c r="Z88" s="84"/>
      <c r="AA88" s="84">
        <v>43887</v>
      </c>
      <c r="AB88" s="36"/>
      <c r="AC88" s="36">
        <f>IF(ISNA(VLOOKUP(Table1[[#This Row],[Part Number]],'Multi-level BOM'!V$4:V$449,1,FALSE)),0,Table1[[#This Row],[Remaining Extended cost]])</f>
        <v>0</v>
      </c>
    </row>
    <row r="89" spans="1:29" x14ac:dyDescent="0.25">
      <c r="A89" s="1" t="s">
        <v>92</v>
      </c>
      <c r="B89" s="4" t="s">
        <v>1016</v>
      </c>
      <c r="C89" s="1" t="s">
        <v>1011</v>
      </c>
      <c r="D89" s="3">
        <f>9.49/6</f>
        <v>1.5816666666666668</v>
      </c>
      <c r="E89" s="3">
        <v>0</v>
      </c>
      <c r="F89" s="3">
        <f>9%*Table1[[#This Row],[Cost ]]</f>
        <v>0.14235</v>
      </c>
      <c r="G89" s="5" t="s">
        <v>1091</v>
      </c>
      <c r="H89" s="2">
        <v>6</v>
      </c>
      <c r="J89" s="49">
        <f>SUMIF('Multi-level BOM'!D$4:D$467,Table1[[#This Row],[Part Number]],'Multi-level BOM'!H$4:H$467)</f>
        <v>4</v>
      </c>
      <c r="K89" s="10">
        <f>Table1[[#This Row],[extended quantity]]*(Table1[[#This Row],[Cost ]]+Table1[[#This Row],[shipping]]+Table1[[#This Row],[Tax]])</f>
        <v>6.896066666666667</v>
      </c>
      <c r="L89" s="80" t="str">
        <f>IF(Table1[[#This Row],[Buy-now costs]]&gt;0,"X","")</f>
        <v/>
      </c>
      <c r="M89" s="80">
        <v>6</v>
      </c>
      <c r="N89" s="80"/>
      <c r="O89" s="40">
        <v>4</v>
      </c>
      <c r="P89" s="94">
        <f>Table1[[#This Row],[quantity on-hand]]*(Table1[[#This Row],[Cost ]]+Table1[[#This Row],[shipping]]+Table1[[#This Row],[Tax]])</f>
        <v>6.896066666666667</v>
      </c>
      <c r="Q89" s="40">
        <v>0</v>
      </c>
      <c r="R89" s="92">
        <f>Table1[[#This Row],[Quantity on order]]*(Table1[[#This Row],[Cost ]]+Table1[[#This Row],[shipping]]+Table1[[#This Row],[Tax]])</f>
        <v>0</v>
      </c>
      <c r="S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9" s="49">
        <f>Table1[[#This Row],[Quantity  to  purchase]]+Table1[[#This Row],[Quantity purchased]]+Table1[[#This Row],[Quantity on order]]+Table1[[#This Row],[Quantity donated]]-Table1[[#This Row],[extended quantity]]</f>
        <v>2</v>
      </c>
      <c r="U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9" s="51">
        <f>IFERROR(Table1[[#This Row],[Quantity  to  purchase]]*(Table1[[#This Row],[Cost ]]+Table1[[#This Row],[shipping]]+Table1[[#This Row],[Tax]]),0)</f>
        <v>0</v>
      </c>
      <c r="W89" s="36">
        <f>IFERROR(Table1[[#This Row],[leftover material]]*(Table1[[#This Row],[Cost ]]+Table1[[#This Row],[shipping]]+Table1[[#This Row],[Tax]]),0)</f>
        <v>3.4480333333333335</v>
      </c>
      <c r="X89" s="36">
        <f>6.9+3.45</f>
        <v>10.350000000000001</v>
      </c>
      <c r="Y89" s="84">
        <v>43895</v>
      </c>
      <c r="Z89" s="84">
        <v>43897</v>
      </c>
      <c r="AA89" s="84">
        <v>43897</v>
      </c>
      <c r="AB89" s="3"/>
      <c r="AC89" s="36">
        <f>IF(ISNA(VLOOKUP(Table1[[#This Row],[Part Number]],'Multi-level BOM'!V$4:V$449,1,FALSE)),0,Table1[[#This Row],[Remaining Extended cost]])</f>
        <v>0</v>
      </c>
    </row>
    <row r="90" spans="1:29" ht="30" x14ac:dyDescent="0.25">
      <c r="A90" s="1" t="s">
        <v>93</v>
      </c>
      <c r="B90" s="4" t="s">
        <v>1017</v>
      </c>
      <c r="C90" s="1" t="s">
        <v>994</v>
      </c>
      <c r="D90" s="3">
        <f>2.76/10</f>
        <v>0.27599999999999997</v>
      </c>
      <c r="E90" s="3">
        <f>0.72*Table1[[#This Row],[Cost ]]</f>
        <v>0.19871999999999998</v>
      </c>
      <c r="F90" s="3">
        <f>15.4%*Table1[[#This Row],[Cost ]]</f>
        <v>4.2503999999999993E-2</v>
      </c>
      <c r="G90" s="5" t="s">
        <v>1018</v>
      </c>
      <c r="H90" s="2">
        <v>10</v>
      </c>
      <c r="J90" s="49">
        <f>SUMIF('Multi-level BOM'!D$4:D$467,Table1[[#This Row],[Part Number]],'Multi-level BOM'!H$4:H$467)</f>
        <v>10</v>
      </c>
      <c r="K90" s="10">
        <f>Table1[[#This Row],[extended quantity]]*(Table1[[#This Row],[Cost ]]+Table1[[#This Row],[shipping]]+Table1[[#This Row],[Tax]])</f>
        <v>5.1722399999999986</v>
      </c>
      <c r="L90" s="80" t="str">
        <f>IF(Table1[[#This Row],[Buy-now costs]]&gt;0,"X","")</f>
        <v/>
      </c>
      <c r="M90" s="80">
        <v>10</v>
      </c>
      <c r="N90" s="80"/>
      <c r="O90" s="40">
        <v>10</v>
      </c>
      <c r="P90" s="94">
        <f>Table1[[#This Row],[quantity on-hand]]*(Table1[[#This Row],[Cost ]]+Table1[[#This Row],[shipping]]+Table1[[#This Row],[Tax]])</f>
        <v>5.1722399999999986</v>
      </c>
      <c r="Q90" s="40">
        <v>0</v>
      </c>
      <c r="R90" s="92">
        <f>Table1[[#This Row],[Quantity on order]]*(Table1[[#This Row],[Cost ]]+Table1[[#This Row],[shipping]]+Table1[[#This Row],[Tax]])</f>
        <v>0</v>
      </c>
      <c r="S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0" s="49">
        <f>Table1[[#This Row],[Quantity  to  purchase]]+Table1[[#This Row],[Quantity purchased]]+Table1[[#This Row],[Quantity on order]]+Table1[[#This Row],[Quantity donated]]-Table1[[#This Row],[extended quantity]]</f>
        <v>0</v>
      </c>
      <c r="U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0" s="51">
        <f>IFERROR(Table1[[#This Row],[Quantity  to  purchase]]*(Table1[[#This Row],[Cost ]]+Table1[[#This Row],[shipping]]+Table1[[#This Row],[Tax]]),0)</f>
        <v>0</v>
      </c>
      <c r="W90" s="36">
        <f>IFERROR(Table1[[#This Row],[leftover material]]*(Table1[[#This Row],[Cost ]]+Table1[[#This Row],[shipping]]+Table1[[#This Row],[Tax]]),0)</f>
        <v>0</v>
      </c>
      <c r="X90" s="36">
        <f>Table1[[#This Row],[Quantity purchased]]*(Table1[[#This Row],[Cost ]]+Table1[[#This Row],[shipping]]+Table1[[#This Row],[Tax]])</f>
        <v>5.1722399999999986</v>
      </c>
      <c r="Y90" s="84">
        <v>43882</v>
      </c>
      <c r="Z90" s="84"/>
      <c r="AA90" s="84">
        <v>43887</v>
      </c>
      <c r="AB90" s="36"/>
      <c r="AC90" s="36">
        <f>IF(ISNA(VLOOKUP(Table1[[#This Row],[Part Number]],'Multi-level BOM'!V$4:V$449,1,FALSE)),0,Table1[[#This Row],[Remaining Extended cost]])</f>
        <v>0</v>
      </c>
    </row>
    <row r="91" spans="1:29" x14ac:dyDescent="0.25">
      <c r="A91" s="1" t="s">
        <v>94</v>
      </c>
      <c r="B91" s="4" t="s">
        <v>1019</v>
      </c>
      <c r="C91" s="1" t="s">
        <v>994</v>
      </c>
      <c r="D91" s="3">
        <f>1.7/10</f>
        <v>0.16999999999999998</v>
      </c>
      <c r="E91" s="3">
        <f>0.72*Table1[[#This Row],[Cost ]]</f>
        <v>0.12239999999999998</v>
      </c>
      <c r="F91" s="3">
        <f>15.4%*Table1[[#This Row],[Cost ]]</f>
        <v>2.6179999999999998E-2</v>
      </c>
      <c r="G91" s="5" t="s">
        <v>1020</v>
      </c>
      <c r="H91" s="2">
        <v>10</v>
      </c>
      <c r="J91" s="49">
        <f>SUMIF('Multi-level BOM'!D$4:D$467,Table1[[#This Row],[Part Number]],'Multi-level BOM'!H$4:H$467)</f>
        <v>10</v>
      </c>
      <c r="K91" s="10">
        <f>Table1[[#This Row],[extended quantity]]*(Table1[[#This Row],[Cost ]]+Table1[[#This Row],[shipping]]+Table1[[#This Row],[Tax]])</f>
        <v>3.1857999999999995</v>
      </c>
      <c r="L91" s="80" t="str">
        <f>IF(Table1[[#This Row],[Buy-now costs]]&gt;0,"X","")</f>
        <v/>
      </c>
      <c r="M91" s="80">
        <v>10</v>
      </c>
      <c r="N91" s="80"/>
      <c r="O91" s="40">
        <v>10</v>
      </c>
      <c r="P91" s="94">
        <f>Table1[[#This Row],[quantity on-hand]]*(Table1[[#This Row],[Cost ]]+Table1[[#This Row],[shipping]]+Table1[[#This Row],[Tax]])</f>
        <v>3.1857999999999995</v>
      </c>
      <c r="Q91" s="40">
        <v>0</v>
      </c>
      <c r="R91" s="92">
        <f>Table1[[#This Row],[Quantity on order]]*(Table1[[#This Row],[Cost ]]+Table1[[#This Row],[shipping]]+Table1[[#This Row],[Tax]])</f>
        <v>0</v>
      </c>
      <c r="S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1" s="49">
        <f>Table1[[#This Row],[Quantity  to  purchase]]+Table1[[#This Row],[Quantity purchased]]+Table1[[#This Row],[Quantity on order]]+Table1[[#This Row],[Quantity donated]]-Table1[[#This Row],[extended quantity]]</f>
        <v>0</v>
      </c>
      <c r="U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1" s="51">
        <f>IFERROR(Table1[[#This Row],[Quantity  to  purchase]]*(Table1[[#This Row],[Cost ]]+Table1[[#This Row],[shipping]]+Table1[[#This Row],[Tax]]),0)</f>
        <v>0</v>
      </c>
      <c r="W91" s="36">
        <f>IFERROR(Table1[[#This Row],[leftover material]]*(Table1[[#This Row],[Cost ]]+Table1[[#This Row],[shipping]]+Table1[[#This Row],[Tax]]),0)</f>
        <v>0</v>
      </c>
      <c r="X91" s="36">
        <f>Table1[[#This Row],[Quantity purchased]]*(Table1[[#This Row],[Cost ]]+Table1[[#This Row],[shipping]]+Table1[[#This Row],[Tax]])</f>
        <v>3.1857999999999995</v>
      </c>
      <c r="Y91" s="84">
        <v>43882</v>
      </c>
      <c r="Z91" s="84"/>
      <c r="AA91" s="84">
        <v>43887</v>
      </c>
      <c r="AB91" s="36"/>
      <c r="AC91" s="36">
        <f>IF(ISNA(VLOOKUP(Table1[[#This Row],[Part Number]],'Multi-level BOM'!V$4:V$449,1,FALSE)),0,Table1[[#This Row],[Remaining Extended cost]])</f>
        <v>0</v>
      </c>
    </row>
    <row r="92" spans="1:29" ht="30" x14ac:dyDescent="0.25">
      <c r="A92" s="1" t="s">
        <v>95</v>
      </c>
      <c r="B92" s="4" t="s">
        <v>1021</v>
      </c>
      <c r="C92" s="1" t="s">
        <v>1011</v>
      </c>
      <c r="D92" s="3">
        <f>27.55/4</f>
        <v>6.8875000000000002</v>
      </c>
      <c r="E92" s="3">
        <v>0</v>
      </c>
      <c r="F92" s="3">
        <f>9%*Table1[[#This Row],[Cost ]]</f>
        <v>0.61987499999999995</v>
      </c>
      <c r="G92" s="1" t="s">
        <v>1025</v>
      </c>
      <c r="H92" s="2">
        <v>1</v>
      </c>
      <c r="J92" s="49">
        <f>SUMIF('Multi-level BOM'!D$4:D$467,Table1[[#This Row],[Part Number]],'Multi-level BOM'!H$4:H$467)</f>
        <v>1</v>
      </c>
      <c r="K92" s="10">
        <f>Table1[[#This Row],[extended quantity]]*(Table1[[#This Row],[Cost ]]+Table1[[#This Row],[shipping]]+Table1[[#This Row],[Tax]])</f>
        <v>7.5073749999999997</v>
      </c>
      <c r="L92" s="80" t="str">
        <f>IF(Table1[[#This Row],[Buy-now costs]]&gt;0,"X","")</f>
        <v/>
      </c>
      <c r="M92" s="80">
        <v>1</v>
      </c>
      <c r="N92" s="80"/>
      <c r="O92" s="40">
        <v>1</v>
      </c>
      <c r="P92" s="94">
        <f>Table1[[#This Row],[quantity on-hand]]*(Table1[[#This Row],[Cost ]]+Table1[[#This Row],[shipping]]+Table1[[#This Row],[Tax]])</f>
        <v>7.5073749999999997</v>
      </c>
      <c r="Q92" s="40">
        <v>0</v>
      </c>
      <c r="R92" s="92">
        <f>Table1[[#This Row],[Quantity on order]]*(Table1[[#This Row],[Cost ]]+Table1[[#This Row],[shipping]]+Table1[[#This Row],[Tax]])</f>
        <v>0</v>
      </c>
      <c r="S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2" s="49">
        <f>Table1[[#This Row],[Quantity  to  purchase]]+Table1[[#This Row],[Quantity purchased]]+Table1[[#This Row],[Quantity on order]]+Table1[[#This Row],[Quantity donated]]-Table1[[#This Row],[extended quantity]]</f>
        <v>0</v>
      </c>
      <c r="U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2" s="51">
        <f>IFERROR(Table1[[#This Row],[Quantity  to  purchase]]*(Table1[[#This Row],[Cost ]]+Table1[[#This Row],[shipping]]+Table1[[#This Row],[Tax]]),0)</f>
        <v>0</v>
      </c>
      <c r="W92" s="36">
        <f>IFERROR(Table1[[#This Row],[leftover material]]*(Table1[[#This Row],[Cost ]]+Table1[[#This Row],[shipping]]+Table1[[#This Row],[Tax]]),0)</f>
        <v>0</v>
      </c>
      <c r="X92" s="36">
        <f>Table1[[#This Row],[Quantity purchased]]*(Table1[[#This Row],[Cost ]]+Table1[[#This Row],[shipping]]+Table1[[#This Row],[Tax]])</f>
        <v>7.5073749999999997</v>
      </c>
      <c r="Y92" s="84">
        <v>43882</v>
      </c>
      <c r="Z92" s="86"/>
      <c r="AA92" s="84">
        <v>43887</v>
      </c>
      <c r="AB92" s="36"/>
      <c r="AC92" s="36">
        <f>IF(ISNA(VLOOKUP(Table1[[#This Row],[Part Number]],'Multi-level BOM'!V$4:V$449,1,FALSE)),0,Table1[[#This Row],[Remaining Extended cost]])</f>
        <v>0</v>
      </c>
    </row>
    <row r="93" spans="1:29" ht="30" x14ac:dyDescent="0.25">
      <c r="A93" s="1" t="s">
        <v>96</v>
      </c>
      <c r="B93" s="4" t="s">
        <v>1022</v>
      </c>
      <c r="C93" s="1" t="s">
        <v>1011</v>
      </c>
      <c r="D93" s="3">
        <f>27.55/4</f>
        <v>6.8875000000000002</v>
      </c>
      <c r="E93" s="3">
        <v>0</v>
      </c>
      <c r="F93" s="3">
        <f>9%*Table1[[#This Row],[Cost ]]</f>
        <v>0.61987499999999995</v>
      </c>
      <c r="G93" s="1" t="s">
        <v>1025</v>
      </c>
      <c r="H93" s="2">
        <v>1</v>
      </c>
      <c r="J93" s="49">
        <f>SUMIF('Multi-level BOM'!D$4:D$467,Table1[[#This Row],[Part Number]],'Multi-level BOM'!H$4:H$467)</f>
        <v>1</v>
      </c>
      <c r="K93" s="10">
        <f>Table1[[#This Row],[extended quantity]]*(Table1[[#This Row],[Cost ]]+Table1[[#This Row],[shipping]]+Table1[[#This Row],[Tax]])</f>
        <v>7.5073749999999997</v>
      </c>
      <c r="L93" s="80" t="str">
        <f>IF(Table1[[#This Row],[Buy-now costs]]&gt;0,"X","")</f>
        <v/>
      </c>
      <c r="M93" s="80">
        <v>1</v>
      </c>
      <c r="N93" s="80"/>
      <c r="O93" s="40">
        <v>1</v>
      </c>
      <c r="P93" s="94">
        <f>Table1[[#This Row],[quantity on-hand]]*(Table1[[#This Row],[Cost ]]+Table1[[#This Row],[shipping]]+Table1[[#This Row],[Tax]])</f>
        <v>7.5073749999999997</v>
      </c>
      <c r="Q93" s="40">
        <v>0</v>
      </c>
      <c r="R93" s="92">
        <f>Table1[[#This Row],[Quantity on order]]*(Table1[[#This Row],[Cost ]]+Table1[[#This Row],[shipping]]+Table1[[#This Row],[Tax]])</f>
        <v>0</v>
      </c>
      <c r="S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3" s="49">
        <f>Table1[[#This Row],[Quantity  to  purchase]]+Table1[[#This Row],[Quantity purchased]]+Table1[[#This Row],[Quantity on order]]+Table1[[#This Row],[Quantity donated]]-Table1[[#This Row],[extended quantity]]</f>
        <v>0</v>
      </c>
      <c r="U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3" s="51">
        <f>IFERROR(Table1[[#This Row],[Quantity  to  purchase]]*(Table1[[#This Row],[Cost ]]+Table1[[#This Row],[shipping]]+Table1[[#This Row],[Tax]]),0)</f>
        <v>0</v>
      </c>
      <c r="W93" s="36">
        <f>IFERROR(Table1[[#This Row],[leftover material]]*(Table1[[#This Row],[Cost ]]+Table1[[#This Row],[shipping]]+Table1[[#This Row],[Tax]]),0)</f>
        <v>0</v>
      </c>
      <c r="X93" s="36">
        <f>Table1[[#This Row],[Quantity purchased]]*(Table1[[#This Row],[Cost ]]+Table1[[#This Row],[shipping]]+Table1[[#This Row],[Tax]])</f>
        <v>7.5073749999999997</v>
      </c>
      <c r="Y93" s="84">
        <v>43882</v>
      </c>
      <c r="Z93" s="86"/>
      <c r="AA93" s="84">
        <v>43887</v>
      </c>
      <c r="AB93" s="36"/>
      <c r="AC93" s="36">
        <f>IF(ISNA(VLOOKUP(Table1[[#This Row],[Part Number]],'Multi-level BOM'!V$4:V$449,1,FALSE)),0,Table1[[#This Row],[Remaining Extended cost]])</f>
        <v>0</v>
      </c>
    </row>
    <row r="94" spans="1:29" ht="30" x14ac:dyDescent="0.25">
      <c r="A94" s="1" t="s">
        <v>97</v>
      </c>
      <c r="B94" s="4" t="s">
        <v>1023</v>
      </c>
      <c r="C94" s="1" t="s">
        <v>1011</v>
      </c>
      <c r="D94" s="3">
        <f>27.55/4</f>
        <v>6.8875000000000002</v>
      </c>
      <c r="E94" s="3">
        <v>0</v>
      </c>
      <c r="F94" s="3">
        <f>9%*Table1[[#This Row],[Cost ]]</f>
        <v>0.61987499999999995</v>
      </c>
      <c r="G94" s="1" t="s">
        <v>1025</v>
      </c>
      <c r="H94" s="2">
        <v>1</v>
      </c>
      <c r="J94" s="49">
        <f>SUMIF('Multi-level BOM'!D$4:D$467,Table1[[#This Row],[Part Number]],'Multi-level BOM'!H$4:H$467)</f>
        <v>1</v>
      </c>
      <c r="K94" s="10">
        <f>Table1[[#This Row],[extended quantity]]*(Table1[[#This Row],[Cost ]]+Table1[[#This Row],[shipping]]+Table1[[#This Row],[Tax]])</f>
        <v>7.5073749999999997</v>
      </c>
      <c r="L94" s="80" t="str">
        <f>IF(Table1[[#This Row],[Buy-now costs]]&gt;0,"X","")</f>
        <v/>
      </c>
      <c r="M94" s="80">
        <v>1</v>
      </c>
      <c r="N94" s="80"/>
      <c r="O94" s="40">
        <v>1</v>
      </c>
      <c r="P94" s="94">
        <f>Table1[[#This Row],[quantity on-hand]]*(Table1[[#This Row],[Cost ]]+Table1[[#This Row],[shipping]]+Table1[[#This Row],[Tax]])</f>
        <v>7.5073749999999997</v>
      </c>
      <c r="Q94" s="40">
        <v>0</v>
      </c>
      <c r="R94" s="92">
        <f>Table1[[#This Row],[Quantity on order]]*(Table1[[#This Row],[Cost ]]+Table1[[#This Row],[shipping]]+Table1[[#This Row],[Tax]])</f>
        <v>0</v>
      </c>
      <c r="S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4" s="49">
        <f>Table1[[#This Row],[Quantity  to  purchase]]+Table1[[#This Row],[Quantity purchased]]+Table1[[#This Row],[Quantity on order]]+Table1[[#This Row],[Quantity donated]]-Table1[[#This Row],[extended quantity]]</f>
        <v>0</v>
      </c>
      <c r="U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4" s="51">
        <f>IFERROR(Table1[[#This Row],[Quantity  to  purchase]]*(Table1[[#This Row],[Cost ]]+Table1[[#This Row],[shipping]]+Table1[[#This Row],[Tax]]),0)</f>
        <v>0</v>
      </c>
      <c r="W94" s="36">
        <f>IFERROR(Table1[[#This Row],[leftover material]]*(Table1[[#This Row],[Cost ]]+Table1[[#This Row],[shipping]]+Table1[[#This Row],[Tax]]),0)</f>
        <v>0</v>
      </c>
      <c r="X94" s="36">
        <f>Table1[[#This Row],[Quantity purchased]]*(Table1[[#This Row],[Cost ]]+Table1[[#This Row],[shipping]]+Table1[[#This Row],[Tax]])</f>
        <v>7.5073749999999997</v>
      </c>
      <c r="Y94" s="84">
        <v>43882</v>
      </c>
      <c r="Z94" s="86"/>
      <c r="AA94" s="84">
        <v>43887</v>
      </c>
      <c r="AB94" s="36"/>
      <c r="AC94" s="36">
        <f>IF(ISNA(VLOOKUP(Table1[[#This Row],[Part Number]],'Multi-level BOM'!V$4:V$449,1,FALSE)),0,Table1[[#This Row],[Remaining Extended cost]])</f>
        <v>0</v>
      </c>
    </row>
    <row r="95" spans="1:29" ht="30" x14ac:dyDescent="0.25">
      <c r="A95" s="1" t="s">
        <v>98</v>
      </c>
      <c r="B95" s="4" t="s">
        <v>1024</v>
      </c>
      <c r="C95" s="1" t="s">
        <v>1011</v>
      </c>
      <c r="D95" s="3">
        <f>27.55/4</f>
        <v>6.8875000000000002</v>
      </c>
      <c r="E95" s="3">
        <v>0</v>
      </c>
      <c r="F95" s="3">
        <f>9%*Table1[[#This Row],[Cost ]]</f>
        <v>0.61987499999999995</v>
      </c>
      <c r="G95" s="1" t="s">
        <v>1025</v>
      </c>
      <c r="H95" s="2">
        <v>1</v>
      </c>
      <c r="J95" s="49">
        <f>SUMIF('Multi-level BOM'!D$4:D$467,Table1[[#This Row],[Part Number]],'Multi-level BOM'!H$4:H$467)</f>
        <v>1</v>
      </c>
      <c r="K95" s="10">
        <f>Table1[[#This Row],[extended quantity]]*(Table1[[#This Row],[Cost ]]+Table1[[#This Row],[shipping]]+Table1[[#This Row],[Tax]])</f>
        <v>7.5073749999999997</v>
      </c>
      <c r="L95" s="80" t="str">
        <f>IF(Table1[[#This Row],[Buy-now costs]]&gt;0,"X","")</f>
        <v/>
      </c>
      <c r="M95" s="80">
        <v>1</v>
      </c>
      <c r="N95" s="80"/>
      <c r="O95" s="40">
        <v>1</v>
      </c>
      <c r="P95" s="94">
        <f>Table1[[#This Row],[quantity on-hand]]*(Table1[[#This Row],[Cost ]]+Table1[[#This Row],[shipping]]+Table1[[#This Row],[Tax]])</f>
        <v>7.5073749999999997</v>
      </c>
      <c r="Q95" s="40">
        <v>0</v>
      </c>
      <c r="R95" s="92">
        <f>Table1[[#This Row],[Quantity on order]]*(Table1[[#This Row],[Cost ]]+Table1[[#This Row],[shipping]]+Table1[[#This Row],[Tax]])</f>
        <v>0</v>
      </c>
      <c r="S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5" s="49">
        <f>Table1[[#This Row],[Quantity  to  purchase]]+Table1[[#This Row],[Quantity purchased]]+Table1[[#This Row],[Quantity on order]]+Table1[[#This Row],[Quantity donated]]-Table1[[#This Row],[extended quantity]]</f>
        <v>0</v>
      </c>
      <c r="U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5" s="51">
        <f>IFERROR(Table1[[#This Row],[Quantity  to  purchase]]*(Table1[[#This Row],[Cost ]]+Table1[[#This Row],[shipping]]+Table1[[#This Row],[Tax]]),0)</f>
        <v>0</v>
      </c>
      <c r="W95" s="36">
        <f>IFERROR(Table1[[#This Row],[leftover material]]*(Table1[[#This Row],[Cost ]]+Table1[[#This Row],[shipping]]+Table1[[#This Row],[Tax]]),0)</f>
        <v>0</v>
      </c>
      <c r="X95" s="36">
        <f>Table1[[#This Row],[Quantity purchased]]*(Table1[[#This Row],[Cost ]]+Table1[[#This Row],[shipping]]+Table1[[#This Row],[Tax]])</f>
        <v>7.5073749999999997</v>
      </c>
      <c r="Y95" s="84">
        <v>43882</v>
      </c>
      <c r="Z95" s="86"/>
      <c r="AA95" s="84">
        <v>43887</v>
      </c>
      <c r="AB95" s="36"/>
      <c r="AC95" s="36">
        <f>IF(ISNA(VLOOKUP(Table1[[#This Row],[Part Number]],'Multi-level BOM'!V$4:V$449,1,FALSE)),0,Table1[[#This Row],[Remaining Extended cost]])</f>
        <v>0</v>
      </c>
    </row>
    <row r="96" spans="1:29" x14ac:dyDescent="0.25">
      <c r="A96" s="1" t="s">
        <v>99</v>
      </c>
      <c r="B96" s="96" t="s">
        <v>1026</v>
      </c>
      <c r="C96" s="42" t="s">
        <v>1027</v>
      </c>
      <c r="D96" s="3">
        <v>9.02</v>
      </c>
      <c r="E96" s="95">
        <v>1.48</v>
      </c>
      <c r="F96" s="95">
        <v>7.47</v>
      </c>
      <c r="G96" s="5" t="s">
        <v>1028</v>
      </c>
      <c r="H96" s="2">
        <v>1</v>
      </c>
      <c r="J96" s="49">
        <f>SUMIF('Multi-level BOM'!D$4:D$467,Table1[[#This Row],[Part Number]],'Multi-level BOM'!H$4:H$467)</f>
        <v>1</v>
      </c>
      <c r="K96" s="10">
        <f>Table1[[#This Row],[extended quantity]]*(Table1[[#This Row],[Cost ]]+Table1[[#This Row],[shipping]]+Table1[[#This Row],[Tax]])</f>
        <v>17.97</v>
      </c>
      <c r="L96" s="80" t="str">
        <f>IF(Table1[[#This Row],[Buy-now costs]]&gt;0,"X","")</f>
        <v/>
      </c>
      <c r="M96" s="80">
        <v>1</v>
      </c>
      <c r="N96" s="80"/>
      <c r="O96" s="40">
        <v>1</v>
      </c>
      <c r="P96" s="94">
        <f>Table1[[#This Row],[quantity on-hand]]*(Table1[[#This Row],[Cost ]]+Table1[[#This Row],[shipping]]+Table1[[#This Row],[Tax]])</f>
        <v>17.97</v>
      </c>
      <c r="Q96" s="40">
        <v>0</v>
      </c>
      <c r="R96" s="92">
        <f>Table1[[#This Row],[Quantity on order]]*(Table1[[#This Row],[Cost ]]+Table1[[#This Row],[shipping]]+Table1[[#This Row],[Tax]])</f>
        <v>0</v>
      </c>
      <c r="S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6" s="49">
        <f>Table1[[#This Row],[Quantity  to  purchase]]+Table1[[#This Row],[Quantity purchased]]+Table1[[#This Row],[Quantity on order]]+Table1[[#This Row],[Quantity donated]]-Table1[[#This Row],[extended quantity]]</f>
        <v>0</v>
      </c>
      <c r="U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6" s="51">
        <f>IFERROR(Table1[[#This Row],[Quantity  to  purchase]]*(Table1[[#This Row],[Cost ]]+Table1[[#This Row],[shipping]]+Table1[[#This Row],[Tax]]),0)</f>
        <v>0</v>
      </c>
      <c r="W96" s="36">
        <f>IFERROR(Table1[[#This Row],[leftover material]]*(Table1[[#This Row],[Cost ]]+Table1[[#This Row],[shipping]]+Table1[[#This Row],[Tax]]),0)</f>
        <v>0</v>
      </c>
      <c r="X96" s="36">
        <f>Table1[[#This Row],[Quantity purchased]]*(Table1[[#This Row],[Cost ]]+Table1[[#This Row],[shipping]]+Table1[[#This Row],[Tax]])</f>
        <v>17.97</v>
      </c>
      <c r="Y96" s="84">
        <v>43882</v>
      </c>
      <c r="Z96" s="84"/>
      <c r="AA96" s="84">
        <v>43886</v>
      </c>
      <c r="AB96" s="36"/>
      <c r="AC96" s="36">
        <f>IF(ISNA(VLOOKUP(Table1[[#This Row],[Part Number]],'Multi-level BOM'!V$4:V$449,1,FALSE)),0,Table1[[#This Row],[Remaining Extended cost]])</f>
        <v>0</v>
      </c>
    </row>
    <row r="97" spans="1:29" x14ac:dyDescent="0.25">
      <c r="A97" s="1" t="s">
        <v>100</v>
      </c>
      <c r="B97" s="4" t="s">
        <v>1029</v>
      </c>
      <c r="C97" s="1" t="s">
        <v>1011</v>
      </c>
      <c r="D97" s="3">
        <f>5.99/200</f>
        <v>2.9950000000000001E-2</v>
      </c>
      <c r="E97" s="3">
        <v>0</v>
      </c>
      <c r="F97" s="3">
        <f>9%*Table1[[#This Row],[Cost ]]</f>
        <v>2.6955E-3</v>
      </c>
      <c r="G97" s="1" t="s">
        <v>1030</v>
      </c>
      <c r="H97" s="2">
        <v>200</v>
      </c>
      <c r="J97" s="49">
        <f>SUMIF('Multi-level BOM'!D$4:D$467,Table1[[#This Row],[Part Number]],'Multi-level BOM'!H$4:H$467)</f>
        <v>1</v>
      </c>
      <c r="K97" s="10">
        <f>Table1[[#This Row],[extended quantity]]*(Table1[[#This Row],[Cost ]]+Table1[[#This Row],[shipping]]+Table1[[#This Row],[Tax]])</f>
        <v>3.2645500000000001E-2</v>
      </c>
      <c r="L97" s="80" t="str">
        <f>IF(Table1[[#This Row],[Buy-now costs]]&gt;0,"X","")</f>
        <v/>
      </c>
      <c r="M97" s="80"/>
      <c r="N97" s="80"/>
      <c r="O97" s="40">
        <v>0</v>
      </c>
      <c r="P97" s="94">
        <f>Table1[[#This Row],[quantity on-hand]]*(Table1[[#This Row],[Cost ]]+Table1[[#This Row],[shipping]]+Table1[[#This Row],[Tax]])</f>
        <v>0</v>
      </c>
      <c r="Q97" s="40">
        <v>0</v>
      </c>
      <c r="R97" s="92">
        <f>Table1[[#This Row],[Quantity on order]]*(Table1[[#This Row],[Cost ]]+Table1[[#This Row],[shipping]]+Table1[[#This Row],[Tax]])</f>
        <v>0</v>
      </c>
      <c r="S97" s="49">
        <f>IFERROR(CEILING((Table1[[#This Row],[extended quantity]]-Table1[[#This Row],[quantity on-hand]]-Table1[[#This Row],[Quantity on order]])/Table1[[#This Row],[Minimum order quantity]],1)*Table1[[#This Row],[Minimum order quantity]],0)</f>
        <v>200</v>
      </c>
      <c r="T97" s="49">
        <f>Table1[[#This Row],[Quantity  to  purchase]]+Table1[[#This Row],[Quantity purchased]]+Table1[[#This Row],[Quantity on order]]+Table1[[#This Row],[Quantity donated]]-Table1[[#This Row],[extended quantity]]</f>
        <v>199</v>
      </c>
      <c r="U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3.2645500000000001E-2</v>
      </c>
      <c r="V97" s="51">
        <f>IFERROR(Table1[[#This Row],[Quantity  to  purchase]]*(Table1[[#This Row],[Cost ]]+Table1[[#This Row],[shipping]]+Table1[[#This Row],[Tax]]),0)</f>
        <v>6.5291000000000006</v>
      </c>
      <c r="W97" s="36">
        <f>IFERROR(Table1[[#This Row],[leftover material]]*(Table1[[#This Row],[Cost ]]+Table1[[#This Row],[shipping]]+Table1[[#This Row],[Tax]]),0)</f>
        <v>6.4964545000000005</v>
      </c>
      <c r="X97" s="36"/>
      <c r="Y97" s="84"/>
      <c r="Z97" s="84"/>
      <c r="AA97" s="84"/>
      <c r="AB97" s="36"/>
      <c r="AC97" s="36">
        <f>IF(ISNA(VLOOKUP(Table1[[#This Row],[Part Number]],'Multi-level BOM'!V$4:V$449,1,FALSE)),0,Table1[[#This Row],[Remaining Extended cost]])</f>
        <v>0</v>
      </c>
    </row>
    <row r="98" spans="1:29" ht="30" x14ac:dyDescent="0.25">
      <c r="A98" s="1" t="s">
        <v>101</v>
      </c>
      <c r="B98" s="4" t="s">
        <v>1031</v>
      </c>
      <c r="C98" s="1" t="s">
        <v>1011</v>
      </c>
      <c r="D98" s="3">
        <f>8.99/100</f>
        <v>8.9900000000000008E-2</v>
      </c>
      <c r="E98" s="3">
        <v>0</v>
      </c>
      <c r="F98" s="3">
        <f>9%*Table1[[#This Row],[Cost ]]</f>
        <v>8.091000000000001E-3</v>
      </c>
      <c r="G98" s="1" t="s">
        <v>1032</v>
      </c>
      <c r="H98" s="2">
        <v>100</v>
      </c>
      <c r="J98" s="49">
        <f>SUMIF('Multi-level BOM'!D$4:D$467,Table1[[#This Row],[Part Number]],'Multi-level BOM'!H$4:H$467)</f>
        <v>1</v>
      </c>
      <c r="K98" s="10">
        <f>Table1[[#This Row],[extended quantity]]*(Table1[[#This Row],[Cost ]]+Table1[[#This Row],[shipping]]+Table1[[#This Row],[Tax]])</f>
        <v>9.7991000000000009E-2</v>
      </c>
      <c r="L98" s="80" t="str">
        <f>IF(Table1[[#This Row],[Buy-now costs]]&gt;0,"X","")</f>
        <v/>
      </c>
      <c r="M98" s="80"/>
      <c r="N98" s="80"/>
      <c r="O98" s="40">
        <v>0</v>
      </c>
      <c r="P98" s="94">
        <f>Table1[[#This Row],[quantity on-hand]]*(Table1[[#This Row],[Cost ]]+Table1[[#This Row],[shipping]]+Table1[[#This Row],[Tax]])</f>
        <v>0</v>
      </c>
      <c r="Q98" s="40">
        <v>0</v>
      </c>
      <c r="R98" s="92">
        <f>Table1[[#This Row],[Quantity on order]]*(Table1[[#This Row],[Cost ]]+Table1[[#This Row],[shipping]]+Table1[[#This Row],[Tax]])</f>
        <v>0</v>
      </c>
      <c r="S98" s="49">
        <f>IFERROR(CEILING((Table1[[#This Row],[extended quantity]]-Table1[[#This Row],[quantity on-hand]]-Table1[[#This Row],[Quantity on order]])/Table1[[#This Row],[Minimum order quantity]],1)*Table1[[#This Row],[Minimum order quantity]],0)</f>
        <v>100</v>
      </c>
      <c r="T98" s="49">
        <f>Table1[[#This Row],[Quantity  to  purchase]]+Table1[[#This Row],[Quantity purchased]]+Table1[[#This Row],[Quantity on order]]+Table1[[#This Row],[Quantity donated]]-Table1[[#This Row],[extended quantity]]</f>
        <v>99</v>
      </c>
      <c r="U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9.7991000000000009E-2</v>
      </c>
      <c r="V98" s="51">
        <f>IFERROR(Table1[[#This Row],[Quantity  to  purchase]]*(Table1[[#This Row],[Cost ]]+Table1[[#This Row],[shipping]]+Table1[[#This Row],[Tax]]),0)</f>
        <v>9.799100000000001</v>
      </c>
      <c r="W98" s="36">
        <f>IFERROR(Table1[[#This Row],[leftover material]]*(Table1[[#This Row],[Cost ]]+Table1[[#This Row],[shipping]]+Table1[[#This Row],[Tax]]),0)</f>
        <v>9.7011090000000006</v>
      </c>
      <c r="X98" s="36"/>
      <c r="Y98" s="84"/>
      <c r="Z98" s="84"/>
      <c r="AA98" s="84"/>
      <c r="AB98" s="36"/>
      <c r="AC98" s="36">
        <f>IF(ISNA(VLOOKUP(Table1[[#This Row],[Part Number]],'Multi-level BOM'!V$4:V$449,1,FALSE)),0,Table1[[#This Row],[Remaining Extended cost]])</f>
        <v>0</v>
      </c>
    </row>
    <row r="99" spans="1:29" x14ac:dyDescent="0.25">
      <c r="A99" s="1" t="s">
        <v>102</v>
      </c>
      <c r="B99" s="4" t="s">
        <v>1036</v>
      </c>
      <c r="C99" s="1" t="s">
        <v>1011</v>
      </c>
      <c r="D99" s="3">
        <v>6.81</v>
      </c>
      <c r="E99" s="3">
        <v>0</v>
      </c>
      <c r="F99" s="3">
        <f>9%*Table1[[#This Row],[Cost ]]</f>
        <v>0.61289999999999989</v>
      </c>
      <c r="G99" s="1" t="s">
        <v>1033</v>
      </c>
      <c r="H99" s="2">
        <v>1</v>
      </c>
      <c r="J99" s="49">
        <f>SUMIF('Multi-level BOM'!D$4:D$467,Table1[[#This Row],[Part Number]],'Multi-level BOM'!H$4:H$467)</f>
        <v>1</v>
      </c>
      <c r="K99" s="10">
        <f>Table1[[#This Row],[extended quantity]]*(Table1[[#This Row],[Cost ]]+Table1[[#This Row],[shipping]]+Table1[[#This Row],[Tax]])</f>
        <v>7.4228999999999994</v>
      </c>
      <c r="L99" s="80" t="str">
        <f>IF(Table1[[#This Row],[Buy-now costs]]&gt;0,"X","")</f>
        <v/>
      </c>
      <c r="M99" s="80"/>
      <c r="N99" s="80"/>
      <c r="O99" s="40">
        <v>0</v>
      </c>
      <c r="P99" s="94">
        <f>Table1[[#This Row],[quantity on-hand]]*(Table1[[#This Row],[Cost ]]+Table1[[#This Row],[shipping]]+Table1[[#This Row],[Tax]])</f>
        <v>0</v>
      </c>
      <c r="Q99" s="40">
        <v>0</v>
      </c>
      <c r="R99" s="92">
        <f>Table1[[#This Row],[Quantity on order]]*(Table1[[#This Row],[Cost ]]+Table1[[#This Row],[shipping]]+Table1[[#This Row],[Tax]])</f>
        <v>0</v>
      </c>
      <c r="S9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99" s="49">
        <f>Table1[[#This Row],[Quantity  to  purchase]]+Table1[[#This Row],[Quantity purchased]]+Table1[[#This Row],[Quantity on order]]+Table1[[#This Row],[Quantity donated]]-Table1[[#This Row],[extended quantity]]</f>
        <v>0</v>
      </c>
      <c r="U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7.4228999999999994</v>
      </c>
      <c r="V99" s="51">
        <f>IFERROR(Table1[[#This Row],[Quantity  to  purchase]]*(Table1[[#This Row],[Cost ]]+Table1[[#This Row],[shipping]]+Table1[[#This Row],[Tax]]),0)</f>
        <v>7.4228999999999994</v>
      </c>
      <c r="W99" s="36">
        <f>IFERROR(Table1[[#This Row],[leftover material]]*(Table1[[#This Row],[Cost ]]+Table1[[#This Row],[shipping]]+Table1[[#This Row],[Tax]]),0)</f>
        <v>0</v>
      </c>
      <c r="X99" s="36"/>
      <c r="Y99" s="84"/>
      <c r="Z99" s="84"/>
      <c r="AA99" s="84"/>
      <c r="AB99" s="36"/>
      <c r="AC99" s="36">
        <f>IF(ISNA(VLOOKUP(Table1[[#This Row],[Part Number]],'Multi-level BOM'!V$4:V$449,1,FALSE)),0,Table1[[#This Row],[Remaining Extended cost]])</f>
        <v>0</v>
      </c>
    </row>
    <row r="100" spans="1:29" x14ac:dyDescent="0.25">
      <c r="A100" s="1" t="s">
        <v>103</v>
      </c>
      <c r="B100" s="4" t="s">
        <v>1037</v>
      </c>
      <c r="C100" s="1" t="s">
        <v>1011</v>
      </c>
      <c r="D100" s="3">
        <v>6.93</v>
      </c>
      <c r="E100" s="3">
        <v>0</v>
      </c>
      <c r="F100" s="3">
        <f>9%*Table1[[#This Row],[Cost ]]</f>
        <v>0.62369999999999992</v>
      </c>
      <c r="G100" s="1" t="s">
        <v>1045</v>
      </c>
      <c r="H100" s="2">
        <v>1</v>
      </c>
      <c r="J100" s="49">
        <f>SUMIF('Multi-level BOM'!D$4:D$467,Table1[[#This Row],[Part Number]],'Multi-level BOM'!H$4:H$467)</f>
        <v>1</v>
      </c>
      <c r="K100" s="10">
        <f>Table1[[#This Row],[extended quantity]]*(Table1[[#This Row],[Cost ]]+Table1[[#This Row],[shipping]]+Table1[[#This Row],[Tax]])</f>
        <v>7.5536999999999992</v>
      </c>
      <c r="L100" s="80" t="str">
        <f>IF(Table1[[#This Row],[Buy-now costs]]&gt;0,"X","")</f>
        <v/>
      </c>
      <c r="M100" s="80"/>
      <c r="N100" s="80"/>
      <c r="O100" s="40">
        <v>0</v>
      </c>
      <c r="P100" s="94">
        <f>Table1[[#This Row],[quantity on-hand]]*(Table1[[#This Row],[Cost ]]+Table1[[#This Row],[shipping]]+Table1[[#This Row],[Tax]])</f>
        <v>0</v>
      </c>
      <c r="Q100" s="40">
        <v>0</v>
      </c>
      <c r="R100" s="92">
        <f>Table1[[#This Row],[Quantity on order]]*(Table1[[#This Row],[Cost ]]+Table1[[#This Row],[shipping]]+Table1[[#This Row],[Tax]])</f>
        <v>0</v>
      </c>
      <c r="S10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0" s="49">
        <f>Table1[[#This Row],[Quantity  to  purchase]]+Table1[[#This Row],[Quantity purchased]]+Table1[[#This Row],[Quantity on order]]+Table1[[#This Row],[Quantity donated]]-Table1[[#This Row],[extended quantity]]</f>
        <v>0</v>
      </c>
      <c r="U1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7.5536999999999992</v>
      </c>
      <c r="V100" s="51">
        <f>IFERROR(Table1[[#This Row],[Quantity  to  purchase]]*(Table1[[#This Row],[Cost ]]+Table1[[#This Row],[shipping]]+Table1[[#This Row],[Tax]]),0)</f>
        <v>7.5536999999999992</v>
      </c>
      <c r="W100" s="36">
        <f>IFERROR(Table1[[#This Row],[leftover material]]*(Table1[[#This Row],[Cost ]]+Table1[[#This Row],[shipping]]+Table1[[#This Row],[Tax]]),0)</f>
        <v>0</v>
      </c>
      <c r="X100" s="36"/>
      <c r="Y100" s="84"/>
      <c r="Z100" s="84"/>
      <c r="AA100" s="84"/>
      <c r="AB100" s="36"/>
      <c r="AC100" s="36">
        <f>IF(ISNA(VLOOKUP(Table1[[#This Row],[Part Number]],'Multi-level BOM'!V$4:V$449,1,FALSE)),0,Table1[[#This Row],[Remaining Extended cost]])</f>
        <v>0</v>
      </c>
    </row>
    <row r="101" spans="1:29" x14ac:dyDescent="0.25">
      <c r="A101" s="1" t="s">
        <v>104</v>
      </c>
      <c r="B101" s="58" t="s">
        <v>1034</v>
      </c>
      <c r="C101" s="1" t="s">
        <v>1011</v>
      </c>
      <c r="D101" s="3">
        <v>8.6999999999999993</v>
      </c>
      <c r="E101" s="3">
        <v>0</v>
      </c>
      <c r="F101" s="3">
        <f>9%*Table1[[#This Row],[Cost ]]</f>
        <v>0.78299999999999992</v>
      </c>
      <c r="G101" s="1" t="s">
        <v>1035</v>
      </c>
      <c r="H101" s="2">
        <v>1</v>
      </c>
      <c r="J101" s="49">
        <f>SUMIF('Multi-level BOM'!D$4:D$467,Table1[[#This Row],[Part Number]],'Multi-level BOM'!H$4:H$467)</f>
        <v>1</v>
      </c>
      <c r="K101" s="10">
        <f>Table1[[#This Row],[extended quantity]]*(Table1[[#This Row],[Cost ]]+Table1[[#This Row],[shipping]]+Table1[[#This Row],[Tax]])</f>
        <v>9.4829999999999988</v>
      </c>
      <c r="L101" s="80" t="str">
        <f>IF(Table1[[#This Row],[Buy-now costs]]&gt;0,"X","")</f>
        <v/>
      </c>
      <c r="M101" s="80"/>
      <c r="N101" s="80"/>
      <c r="O101" s="40">
        <v>0</v>
      </c>
      <c r="P101" s="94">
        <f>Table1[[#This Row],[quantity on-hand]]*(Table1[[#This Row],[Cost ]]+Table1[[#This Row],[shipping]]+Table1[[#This Row],[Tax]])</f>
        <v>0</v>
      </c>
      <c r="Q101" s="40">
        <v>0</v>
      </c>
      <c r="R101" s="92">
        <f>Table1[[#This Row],[Quantity on order]]*(Table1[[#This Row],[Cost ]]+Table1[[#This Row],[shipping]]+Table1[[#This Row],[Tax]])</f>
        <v>0</v>
      </c>
      <c r="S10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1" s="49">
        <f>Table1[[#This Row],[Quantity  to  purchase]]+Table1[[#This Row],[Quantity purchased]]+Table1[[#This Row],[Quantity on order]]+Table1[[#This Row],[Quantity donated]]-Table1[[#This Row],[extended quantity]]</f>
        <v>0</v>
      </c>
      <c r="U1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9.4829999999999988</v>
      </c>
      <c r="V101" s="51">
        <f>IFERROR(Table1[[#This Row],[Quantity  to  purchase]]*(Table1[[#This Row],[Cost ]]+Table1[[#This Row],[shipping]]+Table1[[#This Row],[Tax]]),0)</f>
        <v>9.4829999999999988</v>
      </c>
      <c r="W101" s="36">
        <f>IFERROR(Table1[[#This Row],[leftover material]]*(Table1[[#This Row],[Cost ]]+Table1[[#This Row],[shipping]]+Table1[[#This Row],[Tax]]),0)</f>
        <v>0</v>
      </c>
      <c r="X101" s="36"/>
      <c r="Y101" s="84"/>
      <c r="Z101" s="84"/>
      <c r="AA101" s="84"/>
      <c r="AB101" s="36"/>
      <c r="AC101" s="36">
        <f>IF(ISNA(VLOOKUP(Table1[[#This Row],[Part Number]],'Multi-level BOM'!V$4:V$449,1,FALSE)),0,Table1[[#This Row],[Remaining Extended cost]])</f>
        <v>0</v>
      </c>
    </row>
    <row r="102" spans="1:29" x14ac:dyDescent="0.25">
      <c r="A102" s="1" t="s">
        <v>105</v>
      </c>
      <c r="B102" s="4" t="s">
        <v>1097</v>
      </c>
      <c r="C102" s="1" t="s">
        <v>1098</v>
      </c>
      <c r="D102" s="3">
        <v>4.95</v>
      </c>
      <c r="F102" s="3">
        <f>9%*Table1[[#This Row],[Cost ]]</f>
        <v>0.44550000000000001</v>
      </c>
      <c r="G102" s="1" t="s">
        <v>1099</v>
      </c>
      <c r="H102" s="2">
        <v>1</v>
      </c>
      <c r="J102" s="49">
        <v>1</v>
      </c>
      <c r="K102" s="10">
        <f>Table1[[#This Row],[extended quantity]]*(Table1[[#This Row],[Cost ]]+Table1[[#This Row],[shipping]]+Table1[[#This Row],[Tax]])</f>
        <v>5.3955000000000002</v>
      </c>
      <c r="L102" s="80" t="str">
        <f>IF(Table1[[#This Row],[Buy-now costs]]&gt;0,"X","")</f>
        <v/>
      </c>
      <c r="M102" s="80"/>
      <c r="N102" s="80"/>
      <c r="O102" s="40">
        <v>0</v>
      </c>
      <c r="P102" s="94">
        <f>Table1[[#This Row],[quantity on-hand]]*(Table1[[#This Row],[Cost ]]+Table1[[#This Row],[shipping]]+Table1[[#This Row],[Tax]])</f>
        <v>0</v>
      </c>
      <c r="Q102" s="40">
        <v>0</v>
      </c>
      <c r="R102" s="92">
        <f>Table1[[#This Row],[Quantity on order]]*(Table1[[#This Row],[Cost ]]+Table1[[#This Row],[shipping]]+Table1[[#This Row],[Tax]])</f>
        <v>0</v>
      </c>
      <c r="S102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2" s="49">
        <f>Table1[[#This Row],[Quantity  to  purchase]]+Table1[[#This Row],[Quantity purchased]]+Table1[[#This Row],[Quantity on order]]+Table1[[#This Row],[Quantity donated]]-Table1[[#This Row],[extended quantity]]</f>
        <v>0</v>
      </c>
      <c r="U1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5.3955000000000002</v>
      </c>
      <c r="V102" s="51">
        <f>IFERROR(Table1[[#This Row],[Quantity  to  purchase]]*(Table1[[#This Row],[Cost ]]+Table1[[#This Row],[shipping]]+Table1[[#This Row],[Tax]]),0)</f>
        <v>5.3955000000000002</v>
      </c>
      <c r="W102" s="36">
        <f>IFERROR(Table1[[#This Row],[leftover material]]*(Table1[[#This Row],[Cost ]]+Table1[[#This Row],[shipping]]+Table1[[#This Row],[Tax]]),0)</f>
        <v>0</v>
      </c>
      <c r="X102" s="36"/>
      <c r="Y102" s="84"/>
      <c r="Z102" s="84"/>
      <c r="AA102" s="84"/>
      <c r="AB102" s="36"/>
      <c r="AC102" s="36">
        <f>IF(ISNA(VLOOKUP(Table1[[#This Row],[Part Number]],'Multi-level BOM'!V$4:V$449,1,FALSE)),0,Table1[[#This Row],[Remaining Extended cost]])</f>
        <v>0</v>
      </c>
    </row>
    <row r="103" spans="1:29" x14ac:dyDescent="0.25">
      <c r="A103" s="1" t="s">
        <v>106</v>
      </c>
      <c r="B103" s="4" t="s">
        <v>1100</v>
      </c>
      <c r="C103" s="1" t="s">
        <v>1101</v>
      </c>
      <c r="D103" s="3">
        <v>22.34</v>
      </c>
      <c r="E103" s="3">
        <f>18.58/2</f>
        <v>9.2899999999999991</v>
      </c>
      <c r="F103" s="3">
        <v>0</v>
      </c>
      <c r="G103" s="1" t="s">
        <v>1106</v>
      </c>
      <c r="H103" s="2">
        <v>2</v>
      </c>
      <c r="J103" s="49">
        <v>1</v>
      </c>
      <c r="K103" s="10">
        <f>Table1[[#This Row],[extended quantity]]*(Table1[[#This Row],[Cost ]]+Table1[[#This Row],[shipping]]+Table1[[#This Row],[Tax]])</f>
        <v>31.63</v>
      </c>
      <c r="L103" s="80" t="str">
        <f>IF(Table1[[#This Row],[Buy-now costs]]&gt;0,"X","")</f>
        <v/>
      </c>
      <c r="M103" s="80">
        <v>2</v>
      </c>
      <c r="N103" s="80"/>
      <c r="O103" s="40">
        <v>0</v>
      </c>
      <c r="P103" s="94">
        <f>Table1[[#This Row],[quantity on-hand]]*(Table1[[#This Row],[Cost ]]+Table1[[#This Row],[shipping]]+Table1[[#This Row],[Tax]])</f>
        <v>0</v>
      </c>
      <c r="Q103" s="40">
        <v>0</v>
      </c>
      <c r="R103" s="92">
        <f>Table1[[#This Row],[Quantity on order]]*(Table1[[#This Row],[Cost ]]+Table1[[#This Row],[shipping]]+Table1[[#This Row],[Tax]])</f>
        <v>0</v>
      </c>
      <c r="S10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103" s="49">
        <f>Table1[[#This Row],[Quantity  to  purchase]]+Table1[[#This Row],[Quantity purchased]]+Table1[[#This Row],[Quantity on order]]+Table1[[#This Row],[Quantity donated]]-Table1[[#This Row],[extended quantity]]</f>
        <v>3</v>
      </c>
      <c r="U1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31.63</v>
      </c>
      <c r="V103" s="51">
        <f>IFERROR(Table1[[#This Row],[Quantity  to  purchase]]*(Table1[[#This Row],[Cost ]]+Table1[[#This Row],[shipping]]+Table1[[#This Row],[Tax]]),0)</f>
        <v>63.26</v>
      </c>
      <c r="W103" s="36">
        <f>IFERROR(Table1[[#This Row],[leftover material]]*(Table1[[#This Row],[Cost ]]+Table1[[#This Row],[shipping]]+Table1[[#This Row],[Tax]]),0)</f>
        <v>94.89</v>
      </c>
      <c r="X103" s="36"/>
      <c r="Y103" s="84"/>
      <c r="Z103" s="84"/>
      <c r="AA103" s="84"/>
      <c r="AB103" s="36"/>
      <c r="AC103" s="36">
        <f>IF(ISNA(VLOOKUP(Table1[[#This Row],[Part Number]],'Multi-level BOM'!V$4:V$449,1,FALSE)),0,Table1[[#This Row],[Remaining Extended cost]])</f>
        <v>0</v>
      </c>
    </row>
    <row r="104" spans="1:29" x14ac:dyDescent="0.25">
      <c r="A104" s="1" t="s">
        <v>107</v>
      </c>
      <c r="B104" s="4" t="s">
        <v>1102</v>
      </c>
      <c r="C104" s="1" t="s">
        <v>656</v>
      </c>
      <c r="D104" s="3">
        <v>24</v>
      </c>
      <c r="F104" s="3">
        <v>2.21</v>
      </c>
      <c r="G104" s="1" t="s">
        <v>1104</v>
      </c>
      <c r="H104" s="2">
        <v>1</v>
      </c>
      <c r="J104" s="49">
        <v>1</v>
      </c>
      <c r="K104" s="10">
        <f>Table1[[#This Row],[extended quantity]]*(Table1[[#This Row],[Cost ]]+Table1[[#This Row],[shipping]]+Table1[[#This Row],[Tax]])</f>
        <v>26.21</v>
      </c>
      <c r="L104" s="80" t="str">
        <f>IF(Table1[[#This Row],[Buy-now costs]]&gt;0,"X","")</f>
        <v/>
      </c>
      <c r="M104" s="80">
        <v>1</v>
      </c>
      <c r="N104" s="80"/>
      <c r="O104" s="40">
        <v>0</v>
      </c>
      <c r="P104" s="94">
        <f>Table1[[#This Row],[quantity on-hand]]*(Table1[[#This Row],[Cost ]]+Table1[[#This Row],[shipping]]+Table1[[#This Row],[Tax]])</f>
        <v>0</v>
      </c>
      <c r="Q104" s="40">
        <v>0</v>
      </c>
      <c r="R104" s="92">
        <f>Table1[[#This Row],[Quantity on order]]*(Table1[[#This Row],[Cost ]]+Table1[[#This Row],[shipping]]+Table1[[#This Row],[Tax]])</f>
        <v>0</v>
      </c>
      <c r="S10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4" s="49">
        <f>Table1[[#This Row],[Quantity  to  purchase]]+Table1[[#This Row],[Quantity purchased]]+Table1[[#This Row],[Quantity on order]]+Table1[[#This Row],[Quantity donated]]-Table1[[#This Row],[extended quantity]]</f>
        <v>1</v>
      </c>
      <c r="U1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26.21</v>
      </c>
      <c r="V104" s="51">
        <f>IFERROR(Table1[[#This Row],[Quantity  to  purchase]]*(Table1[[#This Row],[Cost ]]+Table1[[#This Row],[shipping]]+Table1[[#This Row],[Tax]]),0)</f>
        <v>26.21</v>
      </c>
      <c r="W104" s="36">
        <f>IFERROR(Table1[[#This Row],[leftover material]]*(Table1[[#This Row],[Cost ]]+Table1[[#This Row],[shipping]]+Table1[[#This Row],[Tax]]),0)</f>
        <v>26.21</v>
      </c>
      <c r="X104" s="36"/>
      <c r="Y104" s="84"/>
      <c r="Z104" s="84"/>
      <c r="AA104" s="84"/>
      <c r="AB104" s="36"/>
      <c r="AC104" s="36">
        <f>IF(ISNA(VLOOKUP(Table1[[#This Row],[Part Number]],'Multi-level BOM'!V$4:V$449,1,FALSE)),0,Table1[[#This Row],[Remaining Extended cost]])</f>
        <v>0</v>
      </c>
    </row>
    <row r="105" spans="1:29" x14ac:dyDescent="0.25">
      <c r="A105" s="1" t="s">
        <v>108</v>
      </c>
      <c r="B105" s="4" t="s">
        <v>1103</v>
      </c>
      <c r="C105" s="1" t="s">
        <v>656</v>
      </c>
      <c r="D105" s="3">
        <v>16.989999999999998</v>
      </c>
      <c r="F105" s="3">
        <v>1.56</v>
      </c>
      <c r="G105" s="1" t="s">
        <v>1105</v>
      </c>
      <c r="H105" s="2">
        <v>1</v>
      </c>
      <c r="J105" s="49">
        <v>1</v>
      </c>
      <c r="K105" s="10">
        <f>Table1[[#This Row],[extended quantity]]*(Table1[[#This Row],[Cost ]]+Table1[[#This Row],[shipping]]+Table1[[#This Row],[Tax]])</f>
        <v>18.549999999999997</v>
      </c>
      <c r="L105" s="80" t="str">
        <f>IF(Table1[[#This Row],[Buy-now costs]]&gt;0,"X","")</f>
        <v/>
      </c>
      <c r="M105" s="80">
        <v>1</v>
      </c>
      <c r="N105" s="80"/>
      <c r="O105" s="40">
        <v>0</v>
      </c>
      <c r="P105" s="94">
        <f>Table1[[#This Row],[quantity on-hand]]*(Table1[[#This Row],[Cost ]]+Table1[[#This Row],[shipping]]+Table1[[#This Row],[Tax]])</f>
        <v>0</v>
      </c>
      <c r="Q105" s="40">
        <v>0</v>
      </c>
      <c r="R105" s="92">
        <f>Table1[[#This Row],[Quantity on order]]*(Table1[[#This Row],[Cost ]]+Table1[[#This Row],[shipping]]+Table1[[#This Row],[Tax]])</f>
        <v>0</v>
      </c>
      <c r="S10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5" s="49">
        <f>Table1[[#This Row],[Quantity  to  purchase]]+Table1[[#This Row],[Quantity purchased]]+Table1[[#This Row],[Quantity on order]]+Table1[[#This Row],[Quantity donated]]-Table1[[#This Row],[extended quantity]]</f>
        <v>1</v>
      </c>
      <c r="U1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18.549999999999997</v>
      </c>
      <c r="V105" s="51">
        <f>IFERROR(Table1[[#This Row],[Quantity  to  purchase]]*(Table1[[#This Row],[Cost ]]+Table1[[#This Row],[shipping]]+Table1[[#This Row],[Tax]]),0)</f>
        <v>18.549999999999997</v>
      </c>
      <c r="W105" s="36">
        <f>IFERROR(Table1[[#This Row],[leftover material]]*(Table1[[#This Row],[Cost ]]+Table1[[#This Row],[shipping]]+Table1[[#This Row],[Tax]]),0)</f>
        <v>18.549999999999997</v>
      </c>
      <c r="X105" s="36"/>
      <c r="Y105" s="84"/>
      <c r="Z105" s="84"/>
      <c r="AA105" s="84"/>
      <c r="AB105" s="36"/>
      <c r="AC105" s="36">
        <f>IF(ISNA(VLOOKUP(Table1[[#This Row],[Part Number]],'Multi-level BOM'!V$4:V$449,1,FALSE)),0,Table1[[#This Row],[Remaining Extended cost]])</f>
        <v>0</v>
      </c>
    </row>
    <row r="106" spans="1:29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80" t="str">
        <f>IF(Table1[[#This Row],[Buy-now costs]]&gt;0,"X","")</f>
        <v/>
      </c>
      <c r="M106" s="80"/>
      <c r="N106" s="80"/>
      <c r="O106" s="40">
        <v>0</v>
      </c>
      <c r="P106" s="94">
        <f>Table1[[#This Row],[quantity on-hand]]*(Table1[[#This Row],[Cost ]]+Table1[[#This Row],[shipping]]+Table1[[#This Row],[Tax]])</f>
        <v>0</v>
      </c>
      <c r="Q106" s="40">
        <v>0</v>
      </c>
      <c r="R106" s="92">
        <f>Table1[[#This Row],[Quantity on order]]*(Table1[[#This Row],[Cost ]]+Table1[[#This Row],[shipping]]+Table1[[#This Row],[Tax]])</f>
        <v>0</v>
      </c>
      <c r="S1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6" s="49">
        <f>Table1[[#This Row],[Quantity  to  purchase]]+Table1[[#This Row],[Quantity purchased]]+Table1[[#This Row],[Quantity on order]]+Table1[[#This Row],[Quantity donated]]-Table1[[#This Row],[extended quantity]]</f>
        <v>0</v>
      </c>
      <c r="U1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6" s="51">
        <f>IFERROR(Table1[[#This Row],[Quantity  to  purchase]]*(Table1[[#This Row],[Cost ]]+Table1[[#This Row],[shipping]]+Table1[[#This Row],[Tax]]),0)</f>
        <v>0</v>
      </c>
      <c r="W106" s="36">
        <f>IFERROR(Table1[[#This Row],[leftover material]]*(Table1[[#This Row],[Cost ]]+Table1[[#This Row],[shipping]]+Table1[[#This Row],[Tax]]),0)</f>
        <v>0</v>
      </c>
      <c r="X106" s="36"/>
      <c r="Y106" s="84"/>
      <c r="Z106" s="84"/>
      <c r="AA106" s="84"/>
      <c r="AB106" s="36"/>
      <c r="AC106" s="36">
        <f>IF(ISNA(VLOOKUP(Table1[[#This Row],[Part Number]],'Multi-level BOM'!V$4:V$449,1,FALSE)),0,Table1[[#This Row],[Remaining Extended cost]])</f>
        <v>0</v>
      </c>
    </row>
    <row r="107" spans="1:29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80" t="str">
        <f>IF(Table1[[#This Row],[Buy-now costs]]&gt;0,"X","")</f>
        <v/>
      </c>
      <c r="M107" s="80"/>
      <c r="N107" s="80"/>
      <c r="O107" s="40">
        <v>0</v>
      </c>
      <c r="P107" s="94">
        <f>Table1[[#This Row],[quantity on-hand]]*(Table1[[#This Row],[Cost ]]+Table1[[#This Row],[shipping]]+Table1[[#This Row],[Tax]])</f>
        <v>0</v>
      </c>
      <c r="Q107" s="40">
        <v>0</v>
      </c>
      <c r="R107" s="92">
        <f>Table1[[#This Row],[Quantity on order]]*(Table1[[#This Row],[Cost ]]+Table1[[#This Row],[shipping]]+Table1[[#This Row],[Tax]])</f>
        <v>0</v>
      </c>
      <c r="S1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7" s="49">
        <f>Table1[[#This Row],[Quantity  to  purchase]]+Table1[[#This Row],[Quantity purchased]]+Table1[[#This Row],[Quantity on order]]+Table1[[#This Row],[Quantity donated]]-Table1[[#This Row],[extended quantity]]</f>
        <v>0</v>
      </c>
      <c r="U1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7" s="51">
        <f>IFERROR(Table1[[#This Row],[Quantity  to  purchase]]*(Table1[[#This Row],[Cost ]]+Table1[[#This Row],[shipping]]+Table1[[#This Row],[Tax]]),0)</f>
        <v>0</v>
      </c>
      <c r="W107" s="36">
        <f>IFERROR(Table1[[#This Row],[leftover material]]*(Table1[[#This Row],[Cost ]]+Table1[[#This Row],[shipping]]+Table1[[#This Row],[Tax]]),0)</f>
        <v>0</v>
      </c>
      <c r="X107" s="36"/>
      <c r="Y107" s="84"/>
      <c r="Z107" s="84"/>
      <c r="AA107" s="84"/>
      <c r="AB107" s="36"/>
      <c r="AC107" s="36">
        <f>IF(ISNA(VLOOKUP(Table1[[#This Row],[Part Number]],'Multi-level BOM'!V$4:V$449,1,FALSE)),0,Table1[[#This Row],[Remaining Extended cost]])</f>
        <v>0</v>
      </c>
    </row>
    <row r="108" spans="1:29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80" t="str">
        <f>IF(Table1[[#This Row],[Buy-now costs]]&gt;0,"X","")</f>
        <v/>
      </c>
      <c r="M108" s="80"/>
      <c r="N108" s="80"/>
      <c r="O108" s="40">
        <v>0</v>
      </c>
      <c r="P108" s="94">
        <f>Table1[[#This Row],[quantity on-hand]]*(Table1[[#This Row],[Cost ]]+Table1[[#This Row],[shipping]]+Table1[[#This Row],[Tax]])</f>
        <v>0</v>
      </c>
      <c r="Q108" s="40">
        <v>0</v>
      </c>
      <c r="R108" s="92">
        <f>Table1[[#This Row],[Quantity on order]]*(Table1[[#This Row],[Cost ]]+Table1[[#This Row],[shipping]]+Table1[[#This Row],[Tax]])</f>
        <v>0</v>
      </c>
      <c r="S1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8" s="49">
        <f>Table1[[#This Row],[Quantity  to  purchase]]+Table1[[#This Row],[Quantity purchased]]+Table1[[#This Row],[Quantity on order]]+Table1[[#This Row],[Quantity donated]]-Table1[[#This Row],[extended quantity]]</f>
        <v>0</v>
      </c>
      <c r="U1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8" s="51">
        <f>IFERROR(Table1[[#This Row],[Quantity  to  purchase]]*(Table1[[#This Row],[Cost ]]+Table1[[#This Row],[shipping]]+Table1[[#This Row],[Tax]]),0)</f>
        <v>0</v>
      </c>
      <c r="W108" s="36">
        <f>IFERROR(Table1[[#This Row],[leftover material]]*(Table1[[#This Row],[Cost ]]+Table1[[#This Row],[shipping]]+Table1[[#This Row],[Tax]]),0)</f>
        <v>0</v>
      </c>
      <c r="X108" s="36"/>
      <c r="Y108" s="84"/>
      <c r="Z108" s="84"/>
      <c r="AA108" s="84"/>
      <c r="AB108" s="36"/>
      <c r="AC108" s="36">
        <f>IF(ISNA(VLOOKUP(Table1[[#This Row],[Part Number]],'Multi-level BOM'!V$4:V$449,1,FALSE)),0,Table1[[#This Row],[Remaining Extended cost]])</f>
        <v>0</v>
      </c>
    </row>
    <row r="109" spans="1:29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80" t="str">
        <f>IF(Table1[[#This Row],[Buy-now costs]]&gt;0,"X","")</f>
        <v/>
      </c>
      <c r="M109" s="80"/>
      <c r="N109" s="80"/>
      <c r="O109" s="40">
        <v>0</v>
      </c>
      <c r="P109" s="94">
        <f>Table1[[#This Row],[quantity on-hand]]*(Table1[[#This Row],[Cost ]]+Table1[[#This Row],[shipping]]+Table1[[#This Row],[Tax]])</f>
        <v>0</v>
      </c>
      <c r="Q109" s="40">
        <v>0</v>
      </c>
      <c r="R109" s="92">
        <f>Table1[[#This Row],[Quantity on order]]*(Table1[[#This Row],[Cost ]]+Table1[[#This Row],[shipping]]+Table1[[#This Row],[Tax]])</f>
        <v>0</v>
      </c>
      <c r="S1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9" s="49">
        <f>Table1[[#This Row],[Quantity  to  purchase]]+Table1[[#This Row],[Quantity purchased]]+Table1[[#This Row],[Quantity on order]]+Table1[[#This Row],[Quantity donated]]-Table1[[#This Row],[extended quantity]]</f>
        <v>0</v>
      </c>
      <c r="U1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9" s="51">
        <f>IFERROR(Table1[[#This Row],[Quantity  to  purchase]]*(Table1[[#This Row],[Cost ]]+Table1[[#This Row],[shipping]]+Table1[[#This Row],[Tax]]),0)</f>
        <v>0</v>
      </c>
      <c r="W109" s="36">
        <f>IFERROR(Table1[[#This Row],[leftover material]]*(Table1[[#This Row],[Cost ]]+Table1[[#This Row],[shipping]]+Table1[[#This Row],[Tax]]),0)</f>
        <v>0</v>
      </c>
      <c r="X109" s="36"/>
      <c r="Y109" s="84"/>
      <c r="Z109" s="84"/>
      <c r="AA109" s="84"/>
      <c r="AB109" s="36"/>
      <c r="AC109" s="36">
        <f>IF(ISNA(VLOOKUP(Table1[[#This Row],[Part Number]],'Multi-level BOM'!V$4:V$449,1,FALSE)),0,Table1[[#This Row],[Remaining Extended cost]])</f>
        <v>0</v>
      </c>
    </row>
    <row r="110" spans="1:29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80" t="str">
        <f>IF(Table1[[#This Row],[Buy-now costs]]&gt;0,"X","")</f>
        <v/>
      </c>
      <c r="M110" s="80"/>
      <c r="N110" s="80"/>
      <c r="O110" s="40">
        <v>0</v>
      </c>
      <c r="P110" s="94">
        <f>Table1[[#This Row],[quantity on-hand]]*(Table1[[#This Row],[Cost ]]+Table1[[#This Row],[shipping]]+Table1[[#This Row],[Tax]])</f>
        <v>0</v>
      </c>
      <c r="Q110" s="40">
        <v>0</v>
      </c>
      <c r="R110" s="92">
        <f>Table1[[#This Row],[Quantity on order]]*(Table1[[#This Row],[Cost ]]+Table1[[#This Row],[shipping]]+Table1[[#This Row],[Tax]])</f>
        <v>0</v>
      </c>
      <c r="S1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0" s="49">
        <f>Table1[[#This Row],[Quantity  to  purchase]]+Table1[[#This Row],[Quantity purchased]]+Table1[[#This Row],[Quantity on order]]+Table1[[#This Row],[Quantity donated]]-Table1[[#This Row],[extended quantity]]</f>
        <v>0</v>
      </c>
      <c r="U1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0" s="51">
        <f>IFERROR(Table1[[#This Row],[Quantity  to  purchase]]*(Table1[[#This Row],[Cost ]]+Table1[[#This Row],[shipping]]+Table1[[#This Row],[Tax]]),0)</f>
        <v>0</v>
      </c>
      <c r="W110" s="36">
        <f>IFERROR(Table1[[#This Row],[leftover material]]*(Table1[[#This Row],[Cost ]]+Table1[[#This Row],[shipping]]+Table1[[#This Row],[Tax]]),0)</f>
        <v>0</v>
      </c>
      <c r="X110" s="36"/>
      <c r="Y110" s="84"/>
      <c r="Z110" s="84"/>
      <c r="AA110" s="84"/>
      <c r="AB110" s="36"/>
      <c r="AC110" s="36">
        <f>IF(ISNA(VLOOKUP(Table1[[#This Row],[Part Number]],'Multi-level BOM'!V$4:V$449,1,FALSE)),0,Table1[[#This Row],[Remaining Extended cost]])</f>
        <v>0</v>
      </c>
    </row>
    <row r="111" spans="1:29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80" t="str">
        <f>IF(Table1[[#This Row],[Buy-now costs]]&gt;0,"X","")</f>
        <v/>
      </c>
      <c r="M111" s="80"/>
      <c r="N111" s="80"/>
      <c r="O111" s="40">
        <v>0</v>
      </c>
      <c r="P111" s="94">
        <f>Table1[[#This Row],[quantity on-hand]]*(Table1[[#This Row],[Cost ]]+Table1[[#This Row],[shipping]]+Table1[[#This Row],[Tax]])</f>
        <v>0</v>
      </c>
      <c r="Q111" s="40">
        <v>0</v>
      </c>
      <c r="R111" s="92">
        <f>Table1[[#This Row],[Quantity on order]]*(Table1[[#This Row],[Cost ]]+Table1[[#This Row],[shipping]]+Table1[[#This Row],[Tax]])</f>
        <v>0</v>
      </c>
      <c r="S1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1" s="49">
        <f>Table1[[#This Row],[Quantity  to  purchase]]+Table1[[#This Row],[Quantity purchased]]+Table1[[#This Row],[Quantity on order]]+Table1[[#This Row],[Quantity donated]]-Table1[[#This Row],[extended quantity]]</f>
        <v>0</v>
      </c>
      <c r="U1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1" s="51">
        <f>IFERROR(Table1[[#This Row],[Quantity  to  purchase]]*(Table1[[#This Row],[Cost ]]+Table1[[#This Row],[shipping]]+Table1[[#This Row],[Tax]]),0)</f>
        <v>0</v>
      </c>
      <c r="W111" s="36">
        <f>IFERROR(Table1[[#This Row],[leftover material]]*(Table1[[#This Row],[Cost ]]+Table1[[#This Row],[shipping]]+Table1[[#This Row],[Tax]]),0)</f>
        <v>0</v>
      </c>
      <c r="X111" s="36"/>
      <c r="Y111" s="84"/>
      <c r="Z111" s="84"/>
      <c r="AA111" s="84"/>
      <c r="AB111" s="36"/>
      <c r="AC111" s="36">
        <f>IF(ISNA(VLOOKUP(Table1[[#This Row],[Part Number]],'Multi-level BOM'!V$4:V$449,1,FALSE)),0,Table1[[#This Row],[Remaining Extended cost]])</f>
        <v>0</v>
      </c>
    </row>
    <row r="112" spans="1:29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80" t="str">
        <f>IF(Table1[[#This Row],[Buy-now costs]]&gt;0,"X","")</f>
        <v/>
      </c>
      <c r="M112" s="80"/>
      <c r="N112" s="80"/>
      <c r="O112" s="40">
        <v>0</v>
      </c>
      <c r="P112" s="94">
        <f>Table1[[#This Row],[quantity on-hand]]*(Table1[[#This Row],[Cost ]]+Table1[[#This Row],[shipping]]+Table1[[#This Row],[Tax]])</f>
        <v>0</v>
      </c>
      <c r="Q112" s="40">
        <v>0</v>
      </c>
      <c r="R112" s="92">
        <f>Table1[[#This Row],[Quantity on order]]*(Table1[[#This Row],[Cost ]]+Table1[[#This Row],[shipping]]+Table1[[#This Row],[Tax]])</f>
        <v>0</v>
      </c>
      <c r="S1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2" s="49">
        <f>Table1[[#This Row],[Quantity  to  purchase]]+Table1[[#This Row],[Quantity purchased]]+Table1[[#This Row],[Quantity on order]]+Table1[[#This Row],[Quantity donated]]-Table1[[#This Row],[extended quantity]]</f>
        <v>0</v>
      </c>
      <c r="U1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2" s="51">
        <f>IFERROR(Table1[[#This Row],[Quantity  to  purchase]]*(Table1[[#This Row],[Cost ]]+Table1[[#This Row],[shipping]]+Table1[[#This Row],[Tax]]),0)</f>
        <v>0</v>
      </c>
      <c r="W112" s="36">
        <f>IFERROR(Table1[[#This Row],[leftover material]]*(Table1[[#This Row],[Cost ]]+Table1[[#This Row],[shipping]]+Table1[[#This Row],[Tax]]),0)</f>
        <v>0</v>
      </c>
      <c r="X112" s="36"/>
      <c r="Y112" s="84"/>
      <c r="Z112" s="84"/>
      <c r="AA112" s="84"/>
      <c r="AB112" s="36"/>
      <c r="AC112" s="36">
        <f>IF(ISNA(VLOOKUP(Table1[[#This Row],[Part Number]],'Multi-level BOM'!V$4:V$449,1,FALSE)),0,Table1[[#This Row],[Remaining Extended cost]])</f>
        <v>0</v>
      </c>
    </row>
    <row r="113" spans="1:29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80" t="str">
        <f>IF(Table1[[#This Row],[Buy-now costs]]&gt;0,"X","")</f>
        <v/>
      </c>
      <c r="M113" s="80"/>
      <c r="N113" s="80"/>
      <c r="O113" s="40">
        <v>0</v>
      </c>
      <c r="P113" s="94">
        <f>Table1[[#This Row],[quantity on-hand]]*(Table1[[#This Row],[Cost ]]+Table1[[#This Row],[shipping]]+Table1[[#This Row],[Tax]])</f>
        <v>0</v>
      </c>
      <c r="Q113" s="40">
        <v>0</v>
      </c>
      <c r="R113" s="92">
        <f>Table1[[#This Row],[Quantity on order]]*(Table1[[#This Row],[Cost ]]+Table1[[#This Row],[shipping]]+Table1[[#This Row],[Tax]])</f>
        <v>0</v>
      </c>
      <c r="S1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3" s="49">
        <f>Table1[[#This Row],[Quantity  to  purchase]]+Table1[[#This Row],[Quantity purchased]]+Table1[[#This Row],[Quantity on order]]+Table1[[#This Row],[Quantity donated]]-Table1[[#This Row],[extended quantity]]</f>
        <v>0</v>
      </c>
      <c r="U1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3" s="51">
        <f>IFERROR(Table1[[#This Row],[Quantity  to  purchase]]*(Table1[[#This Row],[Cost ]]+Table1[[#This Row],[shipping]]+Table1[[#This Row],[Tax]]),0)</f>
        <v>0</v>
      </c>
      <c r="W113" s="36">
        <f>IFERROR(Table1[[#This Row],[leftover material]]*(Table1[[#This Row],[Cost ]]+Table1[[#This Row],[shipping]]+Table1[[#This Row],[Tax]]),0)</f>
        <v>0</v>
      </c>
      <c r="X113" s="36"/>
      <c r="Y113" s="84"/>
      <c r="Z113" s="84"/>
      <c r="AA113" s="84"/>
      <c r="AB113" s="36"/>
      <c r="AC113" s="36">
        <f>IF(ISNA(VLOOKUP(Table1[[#This Row],[Part Number]],'Multi-level BOM'!V$4:V$449,1,FALSE)),0,Table1[[#This Row],[Remaining Extended cost]])</f>
        <v>0</v>
      </c>
    </row>
    <row r="114" spans="1:29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80" t="str">
        <f>IF(Table1[[#This Row],[Buy-now costs]]&gt;0,"X","")</f>
        <v/>
      </c>
      <c r="M114" s="80"/>
      <c r="N114" s="80"/>
      <c r="O114" s="40">
        <v>0</v>
      </c>
      <c r="P114" s="94">
        <f>Table1[[#This Row],[quantity on-hand]]*(Table1[[#This Row],[Cost ]]+Table1[[#This Row],[shipping]]+Table1[[#This Row],[Tax]])</f>
        <v>0</v>
      </c>
      <c r="Q114" s="40">
        <v>0</v>
      </c>
      <c r="R114" s="92">
        <f>Table1[[#This Row],[Quantity on order]]*(Table1[[#This Row],[Cost ]]+Table1[[#This Row],[shipping]]+Table1[[#This Row],[Tax]])</f>
        <v>0</v>
      </c>
      <c r="S1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4" s="49">
        <f>Table1[[#This Row],[Quantity  to  purchase]]+Table1[[#This Row],[Quantity purchased]]+Table1[[#This Row],[Quantity on order]]+Table1[[#This Row],[Quantity donated]]-Table1[[#This Row],[extended quantity]]</f>
        <v>0</v>
      </c>
      <c r="U1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4" s="51">
        <f>IFERROR(Table1[[#This Row],[Quantity  to  purchase]]*(Table1[[#This Row],[Cost ]]+Table1[[#This Row],[shipping]]+Table1[[#This Row],[Tax]]),0)</f>
        <v>0</v>
      </c>
      <c r="W114" s="36">
        <f>IFERROR(Table1[[#This Row],[leftover material]]*(Table1[[#This Row],[Cost ]]+Table1[[#This Row],[shipping]]+Table1[[#This Row],[Tax]]),0)</f>
        <v>0</v>
      </c>
      <c r="X114" s="36"/>
      <c r="Y114" s="84"/>
      <c r="Z114" s="84"/>
      <c r="AA114" s="84"/>
      <c r="AB114" s="36"/>
      <c r="AC114" s="36">
        <f>IF(ISNA(VLOOKUP(Table1[[#This Row],[Part Number]],'Multi-level BOM'!V$4:V$449,1,FALSE)),0,Table1[[#This Row],[Remaining Extended cost]])</f>
        <v>0</v>
      </c>
    </row>
    <row r="115" spans="1:29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80" t="str">
        <f>IF(Table1[[#This Row],[Buy-now costs]]&gt;0,"X","")</f>
        <v/>
      </c>
      <c r="M115" s="80"/>
      <c r="N115" s="80"/>
      <c r="O115" s="40">
        <v>0</v>
      </c>
      <c r="P115" s="94">
        <f>Table1[[#This Row],[quantity on-hand]]*(Table1[[#This Row],[Cost ]]+Table1[[#This Row],[shipping]]+Table1[[#This Row],[Tax]])</f>
        <v>0</v>
      </c>
      <c r="Q115" s="40">
        <v>0</v>
      </c>
      <c r="R115" s="92">
        <f>Table1[[#This Row],[Quantity on order]]*(Table1[[#This Row],[Cost ]]+Table1[[#This Row],[shipping]]+Table1[[#This Row],[Tax]])</f>
        <v>0</v>
      </c>
      <c r="S1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5" s="49">
        <f>Table1[[#This Row],[Quantity  to  purchase]]+Table1[[#This Row],[Quantity purchased]]+Table1[[#This Row],[Quantity on order]]+Table1[[#This Row],[Quantity donated]]-Table1[[#This Row],[extended quantity]]</f>
        <v>0</v>
      </c>
      <c r="U1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5" s="51">
        <f>IFERROR(Table1[[#This Row],[Quantity  to  purchase]]*(Table1[[#This Row],[Cost ]]+Table1[[#This Row],[shipping]]+Table1[[#This Row],[Tax]]),0)</f>
        <v>0</v>
      </c>
      <c r="W115" s="36">
        <f>IFERROR(Table1[[#This Row],[leftover material]]*(Table1[[#This Row],[Cost ]]+Table1[[#This Row],[shipping]]+Table1[[#This Row],[Tax]]),0)</f>
        <v>0</v>
      </c>
      <c r="X115" s="36"/>
      <c r="Y115" s="84"/>
      <c r="Z115" s="84"/>
      <c r="AA115" s="84"/>
      <c r="AB115" s="36"/>
      <c r="AC115" s="36">
        <f>IF(ISNA(VLOOKUP(Table1[[#This Row],[Part Number]],'Multi-level BOM'!V$4:V$449,1,FALSE)),0,Table1[[#This Row],[Remaining Extended cost]])</f>
        <v>0</v>
      </c>
    </row>
    <row r="116" spans="1:29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80" t="str">
        <f>IF(Table1[[#This Row],[Buy-now costs]]&gt;0,"X","")</f>
        <v/>
      </c>
      <c r="M116" s="80"/>
      <c r="N116" s="80"/>
      <c r="O116" s="40">
        <v>0</v>
      </c>
      <c r="P116" s="94">
        <f>Table1[[#This Row],[quantity on-hand]]*(Table1[[#This Row],[Cost ]]+Table1[[#This Row],[shipping]]+Table1[[#This Row],[Tax]])</f>
        <v>0</v>
      </c>
      <c r="Q116" s="40">
        <v>0</v>
      </c>
      <c r="R116" s="92">
        <f>Table1[[#This Row],[Quantity on order]]*(Table1[[#This Row],[Cost ]]+Table1[[#This Row],[shipping]]+Table1[[#This Row],[Tax]])</f>
        <v>0</v>
      </c>
      <c r="S1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6" s="49">
        <f>Table1[[#This Row],[Quantity  to  purchase]]+Table1[[#This Row],[Quantity purchased]]+Table1[[#This Row],[Quantity on order]]+Table1[[#This Row],[Quantity donated]]-Table1[[#This Row],[extended quantity]]</f>
        <v>0</v>
      </c>
      <c r="U1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6" s="51">
        <f>IFERROR(Table1[[#This Row],[Quantity  to  purchase]]*(Table1[[#This Row],[Cost ]]+Table1[[#This Row],[shipping]]+Table1[[#This Row],[Tax]]),0)</f>
        <v>0</v>
      </c>
      <c r="W116" s="36">
        <f>IFERROR(Table1[[#This Row],[leftover material]]*(Table1[[#This Row],[Cost ]]+Table1[[#This Row],[shipping]]+Table1[[#This Row],[Tax]]),0)</f>
        <v>0</v>
      </c>
      <c r="X116" s="36"/>
      <c r="Y116" s="84"/>
      <c r="Z116" s="84"/>
      <c r="AA116" s="84"/>
      <c r="AB116" s="36"/>
      <c r="AC116" s="36">
        <f>IF(ISNA(VLOOKUP(Table1[[#This Row],[Part Number]],'Multi-level BOM'!V$4:V$449,1,FALSE)),0,Table1[[#This Row],[Remaining Extended cost]])</f>
        <v>0</v>
      </c>
    </row>
    <row r="117" spans="1:29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80" t="str">
        <f>IF(Table1[[#This Row],[Buy-now costs]]&gt;0,"X","")</f>
        <v/>
      </c>
      <c r="M117" s="80"/>
      <c r="N117" s="80"/>
      <c r="O117" s="40">
        <v>0</v>
      </c>
      <c r="P117" s="94">
        <f>Table1[[#This Row],[quantity on-hand]]*(Table1[[#This Row],[Cost ]]+Table1[[#This Row],[shipping]]+Table1[[#This Row],[Tax]])</f>
        <v>0</v>
      </c>
      <c r="Q117" s="40">
        <v>0</v>
      </c>
      <c r="R117" s="92">
        <f>Table1[[#This Row],[Quantity on order]]*(Table1[[#This Row],[Cost ]]+Table1[[#This Row],[shipping]]+Table1[[#This Row],[Tax]])</f>
        <v>0</v>
      </c>
      <c r="S1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7" s="49">
        <f>Table1[[#This Row],[Quantity  to  purchase]]+Table1[[#This Row],[Quantity purchased]]+Table1[[#This Row],[Quantity on order]]+Table1[[#This Row],[Quantity donated]]-Table1[[#This Row],[extended quantity]]</f>
        <v>0</v>
      </c>
      <c r="U1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7" s="51">
        <f>IFERROR(Table1[[#This Row],[Quantity  to  purchase]]*(Table1[[#This Row],[Cost ]]+Table1[[#This Row],[shipping]]+Table1[[#This Row],[Tax]]),0)</f>
        <v>0</v>
      </c>
      <c r="W117" s="36">
        <f>IFERROR(Table1[[#This Row],[leftover material]]*(Table1[[#This Row],[Cost ]]+Table1[[#This Row],[shipping]]+Table1[[#This Row],[Tax]]),0)</f>
        <v>0</v>
      </c>
      <c r="X117" s="36"/>
      <c r="Y117" s="84"/>
      <c r="Z117" s="84"/>
      <c r="AA117" s="84"/>
      <c r="AB117" s="36"/>
      <c r="AC117" s="36">
        <f>IF(ISNA(VLOOKUP(Table1[[#This Row],[Part Number]],'Multi-level BOM'!V$4:V$449,1,FALSE)),0,Table1[[#This Row],[Remaining Extended cost]])</f>
        <v>0</v>
      </c>
    </row>
    <row r="118" spans="1:29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80" t="str">
        <f>IF(Table1[[#This Row],[Buy-now costs]]&gt;0,"X","")</f>
        <v/>
      </c>
      <c r="M118" s="80"/>
      <c r="N118" s="80"/>
      <c r="O118" s="40">
        <v>0</v>
      </c>
      <c r="P118" s="94">
        <f>Table1[[#This Row],[quantity on-hand]]*(Table1[[#This Row],[Cost ]]+Table1[[#This Row],[shipping]]+Table1[[#This Row],[Tax]])</f>
        <v>0</v>
      </c>
      <c r="Q118" s="40">
        <v>0</v>
      </c>
      <c r="R118" s="92">
        <f>Table1[[#This Row],[Quantity on order]]*(Table1[[#This Row],[Cost ]]+Table1[[#This Row],[shipping]]+Table1[[#This Row],[Tax]])</f>
        <v>0</v>
      </c>
      <c r="S1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8" s="49">
        <f>Table1[[#This Row],[Quantity  to  purchase]]+Table1[[#This Row],[Quantity purchased]]+Table1[[#This Row],[Quantity on order]]+Table1[[#This Row],[Quantity donated]]-Table1[[#This Row],[extended quantity]]</f>
        <v>0</v>
      </c>
      <c r="U1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8" s="51">
        <f>IFERROR(Table1[[#This Row],[Quantity  to  purchase]]*(Table1[[#This Row],[Cost ]]+Table1[[#This Row],[shipping]]+Table1[[#This Row],[Tax]]),0)</f>
        <v>0</v>
      </c>
      <c r="W118" s="36">
        <f>IFERROR(Table1[[#This Row],[leftover material]]*(Table1[[#This Row],[Cost ]]+Table1[[#This Row],[shipping]]+Table1[[#This Row],[Tax]]),0)</f>
        <v>0</v>
      </c>
      <c r="X118" s="36"/>
      <c r="Y118" s="84"/>
      <c r="Z118" s="84"/>
      <c r="AA118" s="84"/>
      <c r="AB118" s="36"/>
      <c r="AC118" s="36">
        <f>IF(ISNA(VLOOKUP(Table1[[#This Row],[Part Number]],'Multi-level BOM'!V$4:V$449,1,FALSE)),0,Table1[[#This Row],[Remaining Extended cost]])</f>
        <v>0</v>
      </c>
    </row>
    <row r="119" spans="1:29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80" t="str">
        <f>IF(Table1[[#This Row],[Buy-now costs]]&gt;0,"X","")</f>
        <v/>
      </c>
      <c r="M119" s="80"/>
      <c r="N119" s="80"/>
      <c r="O119" s="40">
        <v>0</v>
      </c>
      <c r="P119" s="94">
        <f>Table1[[#This Row],[quantity on-hand]]*(Table1[[#This Row],[Cost ]]+Table1[[#This Row],[shipping]]+Table1[[#This Row],[Tax]])</f>
        <v>0</v>
      </c>
      <c r="Q119" s="40">
        <v>0</v>
      </c>
      <c r="R119" s="92">
        <f>Table1[[#This Row],[Quantity on order]]*(Table1[[#This Row],[Cost ]]+Table1[[#This Row],[shipping]]+Table1[[#This Row],[Tax]])</f>
        <v>0</v>
      </c>
      <c r="S1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9" s="49">
        <f>Table1[[#This Row],[Quantity  to  purchase]]+Table1[[#This Row],[Quantity purchased]]+Table1[[#This Row],[Quantity on order]]+Table1[[#This Row],[Quantity donated]]-Table1[[#This Row],[extended quantity]]</f>
        <v>0</v>
      </c>
      <c r="U1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9" s="51">
        <f>IFERROR(Table1[[#This Row],[Quantity  to  purchase]]*(Table1[[#This Row],[Cost ]]+Table1[[#This Row],[shipping]]+Table1[[#This Row],[Tax]]),0)</f>
        <v>0</v>
      </c>
      <c r="W119" s="36">
        <f>IFERROR(Table1[[#This Row],[leftover material]]*(Table1[[#This Row],[Cost ]]+Table1[[#This Row],[shipping]]+Table1[[#This Row],[Tax]]),0)</f>
        <v>0</v>
      </c>
      <c r="X119" s="36"/>
      <c r="Y119" s="84"/>
      <c r="Z119" s="84"/>
      <c r="AA119" s="84"/>
      <c r="AB119" s="36"/>
      <c r="AC119" s="36">
        <f>IF(ISNA(VLOOKUP(Table1[[#This Row],[Part Number]],'Multi-level BOM'!V$4:V$449,1,FALSE)),0,Table1[[#This Row],[Remaining Extended cost]])</f>
        <v>0</v>
      </c>
    </row>
    <row r="120" spans="1:29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80" t="str">
        <f>IF(Table1[[#This Row],[Buy-now costs]]&gt;0,"X","")</f>
        <v/>
      </c>
      <c r="M120" s="80"/>
      <c r="N120" s="80"/>
      <c r="O120" s="40">
        <v>0</v>
      </c>
      <c r="P120" s="94">
        <f>Table1[[#This Row],[quantity on-hand]]*(Table1[[#This Row],[Cost ]]+Table1[[#This Row],[shipping]]+Table1[[#This Row],[Tax]])</f>
        <v>0</v>
      </c>
      <c r="Q120" s="40">
        <v>0</v>
      </c>
      <c r="R120" s="92">
        <f>Table1[[#This Row],[Quantity on order]]*(Table1[[#This Row],[Cost ]]+Table1[[#This Row],[shipping]]+Table1[[#This Row],[Tax]])</f>
        <v>0</v>
      </c>
      <c r="S1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0" s="49">
        <f>Table1[[#This Row],[Quantity  to  purchase]]+Table1[[#This Row],[Quantity purchased]]+Table1[[#This Row],[Quantity on order]]+Table1[[#This Row],[Quantity donated]]-Table1[[#This Row],[extended quantity]]</f>
        <v>0</v>
      </c>
      <c r="U1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0" s="51">
        <f>IFERROR(Table1[[#This Row],[Quantity  to  purchase]]*(Table1[[#This Row],[Cost ]]+Table1[[#This Row],[shipping]]+Table1[[#This Row],[Tax]]),0)</f>
        <v>0</v>
      </c>
      <c r="W120" s="36">
        <f>IFERROR(Table1[[#This Row],[leftover material]]*(Table1[[#This Row],[Cost ]]+Table1[[#This Row],[shipping]]+Table1[[#This Row],[Tax]]),0)</f>
        <v>0</v>
      </c>
      <c r="X120" s="36"/>
      <c r="Y120" s="84"/>
      <c r="Z120" s="84"/>
      <c r="AA120" s="84"/>
      <c r="AB120" s="36"/>
      <c r="AC120" s="36">
        <f>IF(ISNA(VLOOKUP(Table1[[#This Row],[Part Number]],'Multi-level BOM'!V$4:V$449,1,FALSE)),0,Table1[[#This Row],[Remaining Extended cost]])</f>
        <v>0</v>
      </c>
    </row>
    <row r="121" spans="1:29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80" t="str">
        <f>IF(Table1[[#This Row],[Buy-now costs]]&gt;0,"X","")</f>
        <v/>
      </c>
      <c r="M121" s="80"/>
      <c r="N121" s="80"/>
      <c r="O121" s="40">
        <v>0</v>
      </c>
      <c r="P121" s="94">
        <f>Table1[[#This Row],[quantity on-hand]]*(Table1[[#This Row],[Cost ]]+Table1[[#This Row],[shipping]]+Table1[[#This Row],[Tax]])</f>
        <v>0</v>
      </c>
      <c r="Q121" s="40">
        <v>0</v>
      </c>
      <c r="R121" s="92">
        <f>Table1[[#This Row],[Quantity on order]]*(Table1[[#This Row],[Cost ]]+Table1[[#This Row],[shipping]]+Table1[[#This Row],[Tax]])</f>
        <v>0</v>
      </c>
      <c r="S1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1" s="49">
        <f>Table1[[#This Row],[Quantity  to  purchase]]+Table1[[#This Row],[Quantity purchased]]+Table1[[#This Row],[Quantity on order]]+Table1[[#This Row],[Quantity donated]]-Table1[[#This Row],[extended quantity]]</f>
        <v>0</v>
      </c>
      <c r="U1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1" s="51">
        <f>IFERROR(Table1[[#This Row],[Quantity  to  purchase]]*(Table1[[#This Row],[Cost ]]+Table1[[#This Row],[shipping]]+Table1[[#This Row],[Tax]]),0)</f>
        <v>0</v>
      </c>
      <c r="W121" s="36">
        <f>IFERROR(Table1[[#This Row],[leftover material]]*(Table1[[#This Row],[Cost ]]+Table1[[#This Row],[shipping]]+Table1[[#This Row],[Tax]]),0)</f>
        <v>0</v>
      </c>
      <c r="X121" s="36"/>
      <c r="Y121" s="84"/>
      <c r="Z121" s="84"/>
      <c r="AA121" s="84"/>
      <c r="AB121" s="36"/>
      <c r="AC121" s="36">
        <f>IF(ISNA(VLOOKUP(Table1[[#This Row],[Part Number]],'Multi-level BOM'!V$4:V$449,1,FALSE)),0,Table1[[#This Row],[Remaining Extended cost]])</f>
        <v>0</v>
      </c>
    </row>
    <row r="122" spans="1:29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80" t="str">
        <f>IF(Table1[[#This Row],[Buy-now costs]]&gt;0,"X","")</f>
        <v/>
      </c>
      <c r="M122" s="80"/>
      <c r="N122" s="80"/>
      <c r="O122" s="40">
        <v>0</v>
      </c>
      <c r="P122" s="94">
        <f>Table1[[#This Row],[quantity on-hand]]*(Table1[[#This Row],[Cost ]]+Table1[[#This Row],[shipping]]+Table1[[#This Row],[Tax]])</f>
        <v>0</v>
      </c>
      <c r="Q122" s="40">
        <v>0</v>
      </c>
      <c r="R122" s="92">
        <f>Table1[[#This Row],[Quantity on order]]*(Table1[[#This Row],[Cost ]]+Table1[[#This Row],[shipping]]+Table1[[#This Row],[Tax]])</f>
        <v>0</v>
      </c>
      <c r="S1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2" s="49">
        <f>Table1[[#This Row],[Quantity  to  purchase]]+Table1[[#This Row],[Quantity purchased]]+Table1[[#This Row],[Quantity on order]]+Table1[[#This Row],[Quantity donated]]-Table1[[#This Row],[extended quantity]]</f>
        <v>0</v>
      </c>
      <c r="U1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2" s="51">
        <f>IFERROR(Table1[[#This Row],[Quantity  to  purchase]]*(Table1[[#This Row],[Cost ]]+Table1[[#This Row],[shipping]]+Table1[[#This Row],[Tax]]),0)</f>
        <v>0</v>
      </c>
      <c r="W122" s="36">
        <f>IFERROR(Table1[[#This Row],[leftover material]]*(Table1[[#This Row],[Cost ]]+Table1[[#This Row],[shipping]]+Table1[[#This Row],[Tax]]),0)</f>
        <v>0</v>
      </c>
      <c r="X122" s="36"/>
      <c r="Y122" s="84"/>
      <c r="Z122" s="84"/>
      <c r="AA122" s="84"/>
      <c r="AB122" s="36"/>
      <c r="AC122" s="36">
        <f>IF(ISNA(VLOOKUP(Table1[[#This Row],[Part Number]],'Multi-level BOM'!V$4:V$449,1,FALSE)),0,Table1[[#This Row],[Remaining Extended cost]])</f>
        <v>0</v>
      </c>
    </row>
    <row r="123" spans="1:29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80" t="str">
        <f>IF(Table1[[#This Row],[Buy-now costs]]&gt;0,"X","")</f>
        <v/>
      </c>
      <c r="M123" s="80"/>
      <c r="N123" s="80"/>
      <c r="O123" s="40">
        <v>0</v>
      </c>
      <c r="P123" s="94">
        <f>Table1[[#This Row],[quantity on-hand]]*(Table1[[#This Row],[Cost ]]+Table1[[#This Row],[shipping]]+Table1[[#This Row],[Tax]])</f>
        <v>0</v>
      </c>
      <c r="Q123" s="40">
        <v>0</v>
      </c>
      <c r="R123" s="92">
        <f>Table1[[#This Row],[Quantity on order]]*(Table1[[#This Row],[Cost ]]+Table1[[#This Row],[shipping]]+Table1[[#This Row],[Tax]])</f>
        <v>0</v>
      </c>
      <c r="S1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3" s="49">
        <f>Table1[[#This Row],[Quantity  to  purchase]]+Table1[[#This Row],[Quantity purchased]]+Table1[[#This Row],[Quantity on order]]+Table1[[#This Row],[Quantity donated]]-Table1[[#This Row],[extended quantity]]</f>
        <v>0</v>
      </c>
      <c r="U1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3" s="51">
        <f>IFERROR(Table1[[#This Row],[Quantity  to  purchase]]*(Table1[[#This Row],[Cost ]]+Table1[[#This Row],[shipping]]+Table1[[#This Row],[Tax]]),0)</f>
        <v>0</v>
      </c>
      <c r="W123" s="36">
        <f>IFERROR(Table1[[#This Row],[leftover material]]*(Table1[[#This Row],[Cost ]]+Table1[[#This Row],[shipping]]+Table1[[#This Row],[Tax]]),0)</f>
        <v>0</v>
      </c>
      <c r="X123" s="36"/>
      <c r="Y123" s="84"/>
      <c r="Z123" s="84"/>
      <c r="AA123" s="84"/>
      <c r="AB123" s="36"/>
      <c r="AC123" s="36">
        <f>IF(ISNA(VLOOKUP(Table1[[#This Row],[Part Number]],'Multi-level BOM'!V$4:V$449,1,FALSE)),0,Table1[[#This Row],[Remaining Extended cost]])</f>
        <v>0</v>
      </c>
    </row>
    <row r="124" spans="1:29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80" t="str">
        <f>IF(Table1[[#This Row],[Buy-now costs]]&gt;0,"X","")</f>
        <v/>
      </c>
      <c r="M124" s="80"/>
      <c r="N124" s="80"/>
      <c r="O124" s="40">
        <v>0</v>
      </c>
      <c r="P124" s="94">
        <f>Table1[[#This Row],[quantity on-hand]]*(Table1[[#This Row],[Cost ]]+Table1[[#This Row],[shipping]]+Table1[[#This Row],[Tax]])</f>
        <v>0</v>
      </c>
      <c r="Q124" s="40">
        <v>0</v>
      </c>
      <c r="R124" s="92">
        <f>Table1[[#This Row],[Quantity on order]]*(Table1[[#This Row],[Cost ]]+Table1[[#This Row],[shipping]]+Table1[[#This Row],[Tax]])</f>
        <v>0</v>
      </c>
      <c r="S1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4" s="49">
        <f>Table1[[#This Row],[Quantity  to  purchase]]+Table1[[#This Row],[Quantity purchased]]+Table1[[#This Row],[Quantity on order]]+Table1[[#This Row],[Quantity donated]]-Table1[[#This Row],[extended quantity]]</f>
        <v>0</v>
      </c>
      <c r="U1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4" s="51">
        <f>IFERROR(Table1[[#This Row],[Quantity  to  purchase]]*(Table1[[#This Row],[Cost ]]+Table1[[#This Row],[shipping]]+Table1[[#This Row],[Tax]]),0)</f>
        <v>0</v>
      </c>
      <c r="W124" s="36">
        <f>IFERROR(Table1[[#This Row],[leftover material]]*(Table1[[#This Row],[Cost ]]+Table1[[#This Row],[shipping]]+Table1[[#This Row],[Tax]]),0)</f>
        <v>0</v>
      </c>
      <c r="X124" s="36"/>
      <c r="Y124" s="84"/>
      <c r="Z124" s="84"/>
      <c r="AA124" s="84"/>
      <c r="AB124" s="36"/>
      <c r="AC124" s="36">
        <f>IF(ISNA(VLOOKUP(Table1[[#This Row],[Part Number]],'Multi-level BOM'!V$4:V$449,1,FALSE)),0,Table1[[#This Row],[Remaining Extended cost]])</f>
        <v>0</v>
      </c>
    </row>
    <row r="125" spans="1:29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80" t="str">
        <f>IF(Table1[[#This Row],[Buy-now costs]]&gt;0,"X","")</f>
        <v/>
      </c>
      <c r="M125" s="80"/>
      <c r="N125" s="80"/>
      <c r="O125" s="40">
        <v>0</v>
      </c>
      <c r="P125" s="94">
        <f>Table1[[#This Row],[quantity on-hand]]*(Table1[[#This Row],[Cost ]]+Table1[[#This Row],[shipping]]+Table1[[#This Row],[Tax]])</f>
        <v>0</v>
      </c>
      <c r="Q125" s="40">
        <v>0</v>
      </c>
      <c r="R125" s="92">
        <f>Table1[[#This Row],[Quantity on order]]*(Table1[[#This Row],[Cost ]]+Table1[[#This Row],[shipping]]+Table1[[#This Row],[Tax]])</f>
        <v>0</v>
      </c>
      <c r="S1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5" s="49">
        <f>Table1[[#This Row],[Quantity  to  purchase]]+Table1[[#This Row],[Quantity purchased]]+Table1[[#This Row],[Quantity on order]]+Table1[[#This Row],[Quantity donated]]-Table1[[#This Row],[extended quantity]]</f>
        <v>0</v>
      </c>
      <c r="U1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5" s="51">
        <f>IFERROR(Table1[[#This Row],[Quantity  to  purchase]]*(Table1[[#This Row],[Cost ]]+Table1[[#This Row],[shipping]]+Table1[[#This Row],[Tax]]),0)</f>
        <v>0</v>
      </c>
      <c r="W125" s="36">
        <f>IFERROR(Table1[[#This Row],[leftover material]]*(Table1[[#This Row],[Cost ]]+Table1[[#This Row],[shipping]]+Table1[[#This Row],[Tax]]),0)</f>
        <v>0</v>
      </c>
      <c r="X125" s="36"/>
      <c r="Y125" s="84"/>
      <c r="Z125" s="84"/>
      <c r="AA125" s="84"/>
      <c r="AB125" s="36"/>
      <c r="AC125" s="36">
        <f>IF(ISNA(VLOOKUP(Table1[[#This Row],[Part Number]],'Multi-level BOM'!V$4:V$449,1,FALSE)),0,Table1[[#This Row],[Remaining Extended cost]])</f>
        <v>0</v>
      </c>
    </row>
    <row r="126" spans="1:29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80" t="str">
        <f>IF(Table1[[#This Row],[Buy-now costs]]&gt;0,"X","")</f>
        <v/>
      </c>
      <c r="M126" s="80"/>
      <c r="N126" s="80"/>
      <c r="O126" s="40">
        <v>0</v>
      </c>
      <c r="P126" s="94">
        <f>Table1[[#This Row],[quantity on-hand]]*(Table1[[#This Row],[Cost ]]+Table1[[#This Row],[shipping]]+Table1[[#This Row],[Tax]])</f>
        <v>0</v>
      </c>
      <c r="Q126" s="40">
        <v>0</v>
      </c>
      <c r="R126" s="92">
        <f>Table1[[#This Row],[Quantity on order]]*(Table1[[#This Row],[Cost ]]+Table1[[#This Row],[shipping]]+Table1[[#This Row],[Tax]])</f>
        <v>0</v>
      </c>
      <c r="S1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6" s="49">
        <f>Table1[[#This Row],[Quantity  to  purchase]]+Table1[[#This Row],[Quantity purchased]]+Table1[[#This Row],[Quantity on order]]+Table1[[#This Row],[Quantity donated]]-Table1[[#This Row],[extended quantity]]</f>
        <v>0</v>
      </c>
      <c r="U1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6" s="51">
        <f>IFERROR(Table1[[#This Row],[Quantity  to  purchase]]*(Table1[[#This Row],[Cost ]]+Table1[[#This Row],[shipping]]+Table1[[#This Row],[Tax]]),0)</f>
        <v>0</v>
      </c>
      <c r="W126" s="36">
        <f>IFERROR(Table1[[#This Row],[leftover material]]*(Table1[[#This Row],[Cost ]]+Table1[[#This Row],[shipping]]+Table1[[#This Row],[Tax]]),0)</f>
        <v>0</v>
      </c>
      <c r="X126" s="36"/>
      <c r="Y126" s="84"/>
      <c r="Z126" s="84"/>
      <c r="AA126" s="84"/>
      <c r="AB126" s="36"/>
      <c r="AC126" s="36">
        <f>IF(ISNA(VLOOKUP(Table1[[#This Row],[Part Number]],'Multi-level BOM'!V$4:V$449,1,FALSE)),0,Table1[[#This Row],[Remaining Extended cost]])</f>
        <v>0</v>
      </c>
    </row>
    <row r="127" spans="1:29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80" t="str">
        <f>IF(Table1[[#This Row],[Buy-now costs]]&gt;0,"X","")</f>
        <v/>
      </c>
      <c r="M127" s="80"/>
      <c r="N127" s="80"/>
      <c r="O127" s="40">
        <v>0</v>
      </c>
      <c r="P127" s="94">
        <f>Table1[[#This Row],[quantity on-hand]]*(Table1[[#This Row],[Cost ]]+Table1[[#This Row],[shipping]]+Table1[[#This Row],[Tax]])</f>
        <v>0</v>
      </c>
      <c r="Q127" s="40">
        <v>0</v>
      </c>
      <c r="R127" s="92">
        <f>Table1[[#This Row],[Quantity on order]]*(Table1[[#This Row],[Cost ]]+Table1[[#This Row],[shipping]]+Table1[[#This Row],[Tax]])</f>
        <v>0</v>
      </c>
      <c r="S1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7" s="49">
        <f>Table1[[#This Row],[Quantity  to  purchase]]+Table1[[#This Row],[Quantity purchased]]+Table1[[#This Row],[Quantity on order]]+Table1[[#This Row],[Quantity donated]]-Table1[[#This Row],[extended quantity]]</f>
        <v>0</v>
      </c>
      <c r="U1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7" s="51">
        <f>IFERROR(Table1[[#This Row],[Quantity  to  purchase]]*(Table1[[#This Row],[Cost ]]+Table1[[#This Row],[shipping]]+Table1[[#This Row],[Tax]]),0)</f>
        <v>0</v>
      </c>
      <c r="W127" s="36">
        <f>IFERROR(Table1[[#This Row],[leftover material]]*(Table1[[#This Row],[Cost ]]+Table1[[#This Row],[shipping]]+Table1[[#This Row],[Tax]]),0)</f>
        <v>0</v>
      </c>
      <c r="X127" s="36"/>
      <c r="Y127" s="84"/>
      <c r="Z127" s="84"/>
      <c r="AA127" s="84"/>
      <c r="AB127" s="36"/>
      <c r="AC127" s="36">
        <f>IF(ISNA(VLOOKUP(Table1[[#This Row],[Part Number]],'Multi-level BOM'!V$4:V$449,1,FALSE)),0,Table1[[#This Row],[Remaining Extended cost]])</f>
        <v>0</v>
      </c>
    </row>
    <row r="128" spans="1:29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80" t="str">
        <f>IF(Table1[[#This Row],[Buy-now costs]]&gt;0,"X","")</f>
        <v/>
      </c>
      <c r="M128" s="80"/>
      <c r="N128" s="80"/>
      <c r="O128" s="40">
        <v>0</v>
      </c>
      <c r="P128" s="94">
        <f>Table1[[#This Row],[quantity on-hand]]*(Table1[[#This Row],[Cost ]]+Table1[[#This Row],[shipping]]+Table1[[#This Row],[Tax]])</f>
        <v>0</v>
      </c>
      <c r="Q128" s="40">
        <v>0</v>
      </c>
      <c r="R128" s="92">
        <f>Table1[[#This Row],[Quantity on order]]*(Table1[[#This Row],[Cost ]]+Table1[[#This Row],[shipping]]+Table1[[#This Row],[Tax]])</f>
        <v>0</v>
      </c>
      <c r="S1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8" s="49">
        <f>Table1[[#This Row],[Quantity  to  purchase]]+Table1[[#This Row],[Quantity purchased]]+Table1[[#This Row],[Quantity on order]]+Table1[[#This Row],[Quantity donated]]-Table1[[#This Row],[extended quantity]]</f>
        <v>0</v>
      </c>
      <c r="U1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8" s="51">
        <f>IFERROR(Table1[[#This Row],[Quantity  to  purchase]]*(Table1[[#This Row],[Cost ]]+Table1[[#This Row],[shipping]]+Table1[[#This Row],[Tax]]),0)</f>
        <v>0</v>
      </c>
      <c r="W128" s="36">
        <f>IFERROR(Table1[[#This Row],[leftover material]]*(Table1[[#This Row],[Cost ]]+Table1[[#This Row],[shipping]]+Table1[[#This Row],[Tax]]),0)</f>
        <v>0</v>
      </c>
      <c r="X128" s="36"/>
      <c r="Y128" s="84"/>
      <c r="Z128" s="84"/>
      <c r="AA128" s="84"/>
      <c r="AB128" s="36"/>
      <c r="AC128" s="36">
        <f>IF(ISNA(VLOOKUP(Table1[[#This Row],[Part Number]],'Multi-level BOM'!V$4:V$449,1,FALSE)),0,Table1[[#This Row],[Remaining Extended cost]])</f>
        <v>0</v>
      </c>
    </row>
    <row r="129" spans="1:29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80" t="str">
        <f>IF(Table1[[#This Row],[Buy-now costs]]&gt;0,"X","")</f>
        <v/>
      </c>
      <c r="M129" s="80"/>
      <c r="N129" s="80"/>
      <c r="O129" s="40">
        <v>0</v>
      </c>
      <c r="P129" s="94">
        <f>Table1[[#This Row],[quantity on-hand]]*(Table1[[#This Row],[Cost ]]+Table1[[#This Row],[shipping]]+Table1[[#This Row],[Tax]])</f>
        <v>0</v>
      </c>
      <c r="Q129" s="40">
        <v>0</v>
      </c>
      <c r="R129" s="92">
        <f>Table1[[#This Row],[Quantity on order]]*(Table1[[#This Row],[Cost ]]+Table1[[#This Row],[shipping]]+Table1[[#This Row],[Tax]])</f>
        <v>0</v>
      </c>
      <c r="S1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9" s="49">
        <f>Table1[[#This Row],[Quantity  to  purchase]]+Table1[[#This Row],[Quantity purchased]]+Table1[[#This Row],[Quantity on order]]+Table1[[#This Row],[Quantity donated]]-Table1[[#This Row],[extended quantity]]</f>
        <v>0</v>
      </c>
      <c r="U1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9" s="51">
        <f>IFERROR(Table1[[#This Row],[Quantity  to  purchase]]*(Table1[[#This Row],[Cost ]]+Table1[[#This Row],[shipping]]+Table1[[#This Row],[Tax]]),0)</f>
        <v>0</v>
      </c>
      <c r="W129" s="36">
        <f>IFERROR(Table1[[#This Row],[leftover material]]*(Table1[[#This Row],[Cost ]]+Table1[[#This Row],[shipping]]+Table1[[#This Row],[Tax]]),0)</f>
        <v>0</v>
      </c>
      <c r="X129" s="36"/>
      <c r="Y129" s="84"/>
      <c r="Z129" s="84"/>
      <c r="AA129" s="84"/>
      <c r="AB129" s="36"/>
      <c r="AC129" s="36">
        <f>IF(ISNA(VLOOKUP(Table1[[#This Row],[Part Number]],'Multi-level BOM'!V$4:V$449,1,FALSE)),0,Table1[[#This Row],[Remaining Extended cost]])</f>
        <v>0</v>
      </c>
    </row>
    <row r="130" spans="1:29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80" t="str">
        <f>IF(Table1[[#This Row],[Buy-now costs]]&gt;0,"X","")</f>
        <v/>
      </c>
      <c r="M130" s="80"/>
      <c r="N130" s="80"/>
      <c r="O130" s="40">
        <v>0</v>
      </c>
      <c r="P130" s="94">
        <f>Table1[[#This Row],[quantity on-hand]]*(Table1[[#This Row],[Cost ]]+Table1[[#This Row],[shipping]]+Table1[[#This Row],[Tax]])</f>
        <v>0</v>
      </c>
      <c r="Q130" s="40">
        <v>0</v>
      </c>
      <c r="R130" s="92">
        <f>Table1[[#This Row],[Quantity on order]]*(Table1[[#This Row],[Cost ]]+Table1[[#This Row],[shipping]]+Table1[[#This Row],[Tax]])</f>
        <v>0</v>
      </c>
      <c r="S1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0" s="49">
        <f>Table1[[#This Row],[Quantity  to  purchase]]+Table1[[#This Row],[Quantity purchased]]+Table1[[#This Row],[Quantity on order]]+Table1[[#This Row],[Quantity donated]]-Table1[[#This Row],[extended quantity]]</f>
        <v>0</v>
      </c>
      <c r="U1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0" s="51">
        <f>IFERROR(Table1[[#This Row],[Quantity  to  purchase]]*(Table1[[#This Row],[Cost ]]+Table1[[#This Row],[shipping]]+Table1[[#This Row],[Tax]]),0)</f>
        <v>0</v>
      </c>
      <c r="W130" s="36">
        <f>IFERROR(Table1[[#This Row],[leftover material]]*(Table1[[#This Row],[Cost ]]+Table1[[#This Row],[shipping]]+Table1[[#This Row],[Tax]]),0)</f>
        <v>0</v>
      </c>
      <c r="X130" s="36"/>
      <c r="Y130" s="84"/>
      <c r="Z130" s="84"/>
      <c r="AA130" s="84"/>
      <c r="AB130" s="36"/>
      <c r="AC130" s="36">
        <f>IF(ISNA(VLOOKUP(Table1[[#This Row],[Part Number]],'Multi-level BOM'!V$4:V$449,1,FALSE)),0,Table1[[#This Row],[Remaining Extended cost]])</f>
        <v>0</v>
      </c>
    </row>
    <row r="131" spans="1:29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80" t="str">
        <f>IF(Table1[[#This Row],[Buy-now costs]]&gt;0,"X","")</f>
        <v/>
      </c>
      <c r="M131" s="80"/>
      <c r="N131" s="80"/>
      <c r="O131" s="40">
        <v>0</v>
      </c>
      <c r="P131" s="94">
        <f>Table1[[#This Row],[quantity on-hand]]*(Table1[[#This Row],[Cost ]]+Table1[[#This Row],[shipping]]+Table1[[#This Row],[Tax]])</f>
        <v>0</v>
      </c>
      <c r="Q131" s="40">
        <v>0</v>
      </c>
      <c r="R131" s="92">
        <f>Table1[[#This Row],[Quantity on order]]*(Table1[[#This Row],[Cost ]]+Table1[[#This Row],[shipping]]+Table1[[#This Row],[Tax]])</f>
        <v>0</v>
      </c>
      <c r="S1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1" s="49">
        <f>Table1[[#This Row],[Quantity  to  purchase]]+Table1[[#This Row],[Quantity purchased]]+Table1[[#This Row],[Quantity on order]]+Table1[[#This Row],[Quantity donated]]-Table1[[#This Row],[extended quantity]]</f>
        <v>0</v>
      </c>
      <c r="U1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1" s="51">
        <f>IFERROR(Table1[[#This Row],[Quantity  to  purchase]]*(Table1[[#This Row],[Cost ]]+Table1[[#This Row],[shipping]]+Table1[[#This Row],[Tax]]),0)</f>
        <v>0</v>
      </c>
      <c r="W131" s="36">
        <f>IFERROR(Table1[[#This Row],[leftover material]]*(Table1[[#This Row],[Cost ]]+Table1[[#This Row],[shipping]]+Table1[[#This Row],[Tax]]),0)</f>
        <v>0</v>
      </c>
      <c r="X131" s="36"/>
      <c r="Y131" s="84"/>
      <c r="Z131" s="84"/>
      <c r="AA131" s="84"/>
      <c r="AB131" s="36"/>
      <c r="AC131" s="36">
        <f>IF(ISNA(VLOOKUP(Table1[[#This Row],[Part Number]],'Multi-level BOM'!V$4:V$449,1,FALSE)),0,Table1[[#This Row],[Remaining Extended cost]])</f>
        <v>0</v>
      </c>
    </row>
    <row r="132" spans="1:29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80" t="str">
        <f>IF(Table1[[#This Row],[Buy-now costs]]&gt;0,"X","")</f>
        <v/>
      </c>
      <c r="M132" s="80"/>
      <c r="N132" s="80"/>
      <c r="O132" s="40">
        <v>0</v>
      </c>
      <c r="P132" s="94">
        <f>Table1[[#This Row],[quantity on-hand]]*(Table1[[#This Row],[Cost ]]+Table1[[#This Row],[shipping]]+Table1[[#This Row],[Tax]])</f>
        <v>0</v>
      </c>
      <c r="Q132" s="40">
        <v>0</v>
      </c>
      <c r="R132" s="92">
        <f>Table1[[#This Row],[Quantity on order]]*(Table1[[#This Row],[Cost ]]+Table1[[#This Row],[shipping]]+Table1[[#This Row],[Tax]])</f>
        <v>0</v>
      </c>
      <c r="S1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2" s="49">
        <f>Table1[[#This Row],[Quantity  to  purchase]]+Table1[[#This Row],[Quantity purchased]]+Table1[[#This Row],[Quantity on order]]+Table1[[#This Row],[Quantity donated]]-Table1[[#This Row],[extended quantity]]</f>
        <v>0</v>
      </c>
      <c r="U1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2" s="51">
        <f>IFERROR(Table1[[#This Row],[Quantity  to  purchase]]*(Table1[[#This Row],[Cost ]]+Table1[[#This Row],[shipping]]+Table1[[#This Row],[Tax]]),0)</f>
        <v>0</v>
      </c>
      <c r="W132" s="36">
        <f>IFERROR(Table1[[#This Row],[leftover material]]*(Table1[[#This Row],[Cost ]]+Table1[[#This Row],[shipping]]+Table1[[#This Row],[Tax]]),0)</f>
        <v>0</v>
      </c>
      <c r="X132" s="36"/>
      <c r="Y132" s="84"/>
      <c r="Z132" s="84"/>
      <c r="AA132" s="84"/>
      <c r="AB132" s="36"/>
      <c r="AC132" s="36">
        <f>IF(ISNA(VLOOKUP(Table1[[#This Row],[Part Number]],'Multi-level BOM'!V$4:V$449,1,FALSE)),0,Table1[[#This Row],[Remaining Extended cost]])</f>
        <v>0</v>
      </c>
    </row>
    <row r="133" spans="1:29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80" t="str">
        <f>IF(Table1[[#This Row],[Buy-now costs]]&gt;0,"X","")</f>
        <v/>
      </c>
      <c r="M133" s="80"/>
      <c r="N133" s="80"/>
      <c r="O133" s="40">
        <v>0</v>
      </c>
      <c r="P133" s="94">
        <f>Table1[[#This Row],[quantity on-hand]]*(Table1[[#This Row],[Cost ]]+Table1[[#This Row],[shipping]]+Table1[[#This Row],[Tax]])</f>
        <v>0</v>
      </c>
      <c r="Q133" s="40">
        <v>0</v>
      </c>
      <c r="R133" s="92">
        <f>Table1[[#This Row],[Quantity on order]]*(Table1[[#This Row],[Cost ]]+Table1[[#This Row],[shipping]]+Table1[[#This Row],[Tax]])</f>
        <v>0</v>
      </c>
      <c r="S1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3" s="49">
        <f>Table1[[#This Row],[Quantity  to  purchase]]+Table1[[#This Row],[Quantity purchased]]+Table1[[#This Row],[Quantity on order]]+Table1[[#This Row],[Quantity donated]]-Table1[[#This Row],[extended quantity]]</f>
        <v>0</v>
      </c>
      <c r="U1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3" s="51">
        <f>IFERROR(Table1[[#This Row],[Quantity  to  purchase]]*(Table1[[#This Row],[Cost ]]+Table1[[#This Row],[shipping]]+Table1[[#This Row],[Tax]]),0)</f>
        <v>0</v>
      </c>
      <c r="W133" s="36">
        <f>IFERROR(Table1[[#This Row],[leftover material]]*(Table1[[#This Row],[Cost ]]+Table1[[#This Row],[shipping]]+Table1[[#This Row],[Tax]]),0)</f>
        <v>0</v>
      </c>
      <c r="X133" s="36"/>
      <c r="Y133" s="84"/>
      <c r="Z133" s="84"/>
      <c r="AA133" s="84"/>
      <c r="AB133" s="36"/>
      <c r="AC133" s="36">
        <f>IF(ISNA(VLOOKUP(Table1[[#This Row],[Part Number]],'Multi-level BOM'!V$4:V$449,1,FALSE)),0,Table1[[#This Row],[Remaining Extended cost]])</f>
        <v>0</v>
      </c>
    </row>
    <row r="134" spans="1:29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80" t="str">
        <f>IF(Table1[[#This Row],[Buy-now costs]]&gt;0,"X","")</f>
        <v/>
      </c>
      <c r="M134" s="80"/>
      <c r="N134" s="80"/>
      <c r="O134" s="40">
        <v>0</v>
      </c>
      <c r="P134" s="94">
        <f>Table1[[#This Row],[quantity on-hand]]*(Table1[[#This Row],[Cost ]]+Table1[[#This Row],[shipping]]+Table1[[#This Row],[Tax]])</f>
        <v>0</v>
      </c>
      <c r="Q134" s="40">
        <v>0</v>
      </c>
      <c r="R134" s="92">
        <f>Table1[[#This Row],[Quantity on order]]*(Table1[[#This Row],[Cost ]]+Table1[[#This Row],[shipping]]+Table1[[#This Row],[Tax]])</f>
        <v>0</v>
      </c>
      <c r="S1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4" s="49">
        <f>Table1[[#This Row],[Quantity  to  purchase]]+Table1[[#This Row],[Quantity purchased]]+Table1[[#This Row],[Quantity on order]]+Table1[[#This Row],[Quantity donated]]-Table1[[#This Row],[extended quantity]]</f>
        <v>0</v>
      </c>
      <c r="U1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4" s="51">
        <f>IFERROR(Table1[[#This Row],[Quantity  to  purchase]]*(Table1[[#This Row],[Cost ]]+Table1[[#This Row],[shipping]]+Table1[[#This Row],[Tax]]),0)</f>
        <v>0</v>
      </c>
      <c r="W134" s="36">
        <f>IFERROR(Table1[[#This Row],[leftover material]]*(Table1[[#This Row],[Cost ]]+Table1[[#This Row],[shipping]]+Table1[[#This Row],[Tax]]),0)</f>
        <v>0</v>
      </c>
      <c r="X134" s="36"/>
      <c r="Y134" s="84"/>
      <c r="Z134" s="84"/>
      <c r="AA134" s="84"/>
      <c r="AB134" s="36"/>
      <c r="AC134" s="36">
        <f>IF(ISNA(VLOOKUP(Table1[[#This Row],[Part Number]],'Multi-level BOM'!V$4:V$449,1,FALSE)),0,Table1[[#This Row],[Remaining Extended cost]])</f>
        <v>0</v>
      </c>
    </row>
    <row r="135" spans="1:29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80" t="str">
        <f>IF(Table1[[#This Row],[Buy-now costs]]&gt;0,"X","")</f>
        <v/>
      </c>
      <c r="M135" s="80"/>
      <c r="N135" s="80"/>
      <c r="O135" s="40">
        <v>0</v>
      </c>
      <c r="P135" s="94">
        <f>Table1[[#This Row],[quantity on-hand]]*(Table1[[#This Row],[Cost ]]+Table1[[#This Row],[shipping]]+Table1[[#This Row],[Tax]])</f>
        <v>0</v>
      </c>
      <c r="Q135" s="40">
        <v>0</v>
      </c>
      <c r="R135" s="92">
        <f>Table1[[#This Row],[Quantity on order]]*(Table1[[#This Row],[Cost ]]+Table1[[#This Row],[shipping]]+Table1[[#This Row],[Tax]])</f>
        <v>0</v>
      </c>
      <c r="S1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5" s="49">
        <f>Table1[[#This Row],[Quantity  to  purchase]]+Table1[[#This Row],[Quantity purchased]]+Table1[[#This Row],[Quantity on order]]+Table1[[#This Row],[Quantity donated]]-Table1[[#This Row],[extended quantity]]</f>
        <v>0</v>
      </c>
      <c r="U1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5" s="51">
        <f>IFERROR(Table1[[#This Row],[Quantity  to  purchase]]*(Table1[[#This Row],[Cost ]]+Table1[[#This Row],[shipping]]+Table1[[#This Row],[Tax]]),0)</f>
        <v>0</v>
      </c>
      <c r="W135" s="36">
        <f>IFERROR(Table1[[#This Row],[leftover material]]*(Table1[[#This Row],[Cost ]]+Table1[[#This Row],[shipping]]+Table1[[#This Row],[Tax]]),0)</f>
        <v>0</v>
      </c>
      <c r="X135" s="36"/>
      <c r="Y135" s="84"/>
      <c r="Z135" s="84"/>
      <c r="AA135" s="84"/>
      <c r="AB135" s="36"/>
      <c r="AC135" s="36">
        <f>IF(ISNA(VLOOKUP(Table1[[#This Row],[Part Number]],'Multi-level BOM'!V$4:V$449,1,FALSE)),0,Table1[[#This Row],[Remaining Extended cost]])</f>
        <v>0</v>
      </c>
    </row>
    <row r="136" spans="1:29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80" t="str">
        <f>IF(Table1[[#This Row],[Buy-now costs]]&gt;0,"X","")</f>
        <v/>
      </c>
      <c r="M136" s="80"/>
      <c r="N136" s="80"/>
      <c r="O136" s="40">
        <v>0</v>
      </c>
      <c r="P136" s="94">
        <f>Table1[[#This Row],[quantity on-hand]]*(Table1[[#This Row],[Cost ]]+Table1[[#This Row],[shipping]]+Table1[[#This Row],[Tax]])</f>
        <v>0</v>
      </c>
      <c r="Q136" s="40">
        <v>0</v>
      </c>
      <c r="R136" s="92">
        <f>Table1[[#This Row],[Quantity on order]]*(Table1[[#This Row],[Cost ]]+Table1[[#This Row],[shipping]]+Table1[[#This Row],[Tax]])</f>
        <v>0</v>
      </c>
      <c r="S1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6" s="49">
        <f>Table1[[#This Row],[Quantity  to  purchase]]+Table1[[#This Row],[Quantity purchased]]+Table1[[#This Row],[Quantity on order]]+Table1[[#This Row],[Quantity donated]]-Table1[[#This Row],[extended quantity]]</f>
        <v>0</v>
      </c>
      <c r="U1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6" s="51">
        <f>IFERROR(Table1[[#This Row],[Quantity  to  purchase]]*(Table1[[#This Row],[Cost ]]+Table1[[#This Row],[shipping]]+Table1[[#This Row],[Tax]]),0)</f>
        <v>0</v>
      </c>
      <c r="W136" s="36">
        <f>IFERROR(Table1[[#This Row],[leftover material]]*(Table1[[#This Row],[Cost ]]+Table1[[#This Row],[shipping]]+Table1[[#This Row],[Tax]]),0)</f>
        <v>0</v>
      </c>
      <c r="X136" s="36"/>
      <c r="Y136" s="84"/>
      <c r="Z136" s="84"/>
      <c r="AA136" s="84"/>
      <c r="AB136" s="36"/>
      <c r="AC136" s="36">
        <f>IF(ISNA(VLOOKUP(Table1[[#This Row],[Part Number]],'Multi-level BOM'!V$4:V$449,1,FALSE)),0,Table1[[#This Row],[Remaining Extended cost]])</f>
        <v>0</v>
      </c>
    </row>
    <row r="137" spans="1:29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80" t="str">
        <f>IF(Table1[[#This Row],[Buy-now costs]]&gt;0,"X","")</f>
        <v/>
      </c>
      <c r="M137" s="80"/>
      <c r="N137" s="80"/>
      <c r="O137" s="40">
        <v>0</v>
      </c>
      <c r="P137" s="94">
        <f>Table1[[#This Row],[quantity on-hand]]*(Table1[[#This Row],[Cost ]]+Table1[[#This Row],[shipping]]+Table1[[#This Row],[Tax]])</f>
        <v>0</v>
      </c>
      <c r="Q137" s="40">
        <v>0</v>
      </c>
      <c r="R137" s="92">
        <f>Table1[[#This Row],[Quantity on order]]*(Table1[[#This Row],[Cost ]]+Table1[[#This Row],[shipping]]+Table1[[#This Row],[Tax]])</f>
        <v>0</v>
      </c>
      <c r="S1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7" s="49">
        <f>Table1[[#This Row],[Quantity  to  purchase]]+Table1[[#This Row],[Quantity purchased]]+Table1[[#This Row],[Quantity on order]]+Table1[[#This Row],[Quantity donated]]-Table1[[#This Row],[extended quantity]]</f>
        <v>0</v>
      </c>
      <c r="U1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7" s="51">
        <f>IFERROR(Table1[[#This Row],[Quantity  to  purchase]]*(Table1[[#This Row],[Cost ]]+Table1[[#This Row],[shipping]]+Table1[[#This Row],[Tax]]),0)</f>
        <v>0</v>
      </c>
      <c r="W137" s="36">
        <f>IFERROR(Table1[[#This Row],[leftover material]]*(Table1[[#This Row],[Cost ]]+Table1[[#This Row],[shipping]]+Table1[[#This Row],[Tax]]),0)</f>
        <v>0</v>
      </c>
      <c r="X137" s="36"/>
      <c r="Y137" s="84"/>
      <c r="Z137" s="84"/>
      <c r="AA137" s="84"/>
      <c r="AB137" s="36"/>
      <c r="AC137" s="36">
        <f>IF(ISNA(VLOOKUP(Table1[[#This Row],[Part Number]],'Multi-level BOM'!V$4:V$449,1,FALSE)),0,Table1[[#This Row],[Remaining Extended cost]])</f>
        <v>0</v>
      </c>
    </row>
    <row r="138" spans="1:29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80" t="str">
        <f>IF(Table1[[#This Row],[Buy-now costs]]&gt;0,"X","")</f>
        <v/>
      </c>
      <c r="M138" s="80"/>
      <c r="N138" s="80"/>
      <c r="O138" s="40">
        <v>0</v>
      </c>
      <c r="P138" s="94">
        <f>Table1[[#This Row],[quantity on-hand]]*(Table1[[#This Row],[Cost ]]+Table1[[#This Row],[shipping]]+Table1[[#This Row],[Tax]])</f>
        <v>0</v>
      </c>
      <c r="Q138" s="40">
        <v>0</v>
      </c>
      <c r="R138" s="92">
        <f>Table1[[#This Row],[Quantity on order]]*(Table1[[#This Row],[Cost ]]+Table1[[#This Row],[shipping]]+Table1[[#This Row],[Tax]])</f>
        <v>0</v>
      </c>
      <c r="S1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8" s="49">
        <f>Table1[[#This Row],[Quantity  to  purchase]]+Table1[[#This Row],[Quantity purchased]]+Table1[[#This Row],[Quantity on order]]+Table1[[#This Row],[Quantity donated]]-Table1[[#This Row],[extended quantity]]</f>
        <v>0</v>
      </c>
      <c r="U1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8" s="51">
        <f>IFERROR(Table1[[#This Row],[Quantity  to  purchase]]*(Table1[[#This Row],[Cost ]]+Table1[[#This Row],[shipping]]+Table1[[#This Row],[Tax]]),0)</f>
        <v>0</v>
      </c>
      <c r="W138" s="36">
        <f>IFERROR(Table1[[#This Row],[leftover material]]*(Table1[[#This Row],[Cost ]]+Table1[[#This Row],[shipping]]+Table1[[#This Row],[Tax]]),0)</f>
        <v>0</v>
      </c>
      <c r="X138" s="36"/>
      <c r="Y138" s="84"/>
      <c r="Z138" s="84"/>
      <c r="AA138" s="84"/>
      <c r="AB138" s="36"/>
      <c r="AC138" s="36">
        <f>IF(ISNA(VLOOKUP(Table1[[#This Row],[Part Number]],'Multi-level BOM'!V$4:V$449,1,FALSE)),0,Table1[[#This Row],[Remaining Extended cost]])</f>
        <v>0</v>
      </c>
    </row>
    <row r="139" spans="1:29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80" t="str">
        <f>IF(Table1[[#This Row],[Buy-now costs]]&gt;0,"X","")</f>
        <v/>
      </c>
      <c r="M139" s="80"/>
      <c r="N139" s="80"/>
      <c r="O139" s="40">
        <v>0</v>
      </c>
      <c r="P139" s="94">
        <f>Table1[[#This Row],[quantity on-hand]]*(Table1[[#This Row],[Cost ]]+Table1[[#This Row],[shipping]]+Table1[[#This Row],[Tax]])</f>
        <v>0</v>
      </c>
      <c r="Q139" s="40">
        <v>0</v>
      </c>
      <c r="R139" s="92">
        <f>Table1[[#This Row],[Quantity on order]]*(Table1[[#This Row],[Cost ]]+Table1[[#This Row],[shipping]]+Table1[[#This Row],[Tax]])</f>
        <v>0</v>
      </c>
      <c r="S1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9" s="49">
        <f>Table1[[#This Row],[Quantity  to  purchase]]+Table1[[#This Row],[Quantity purchased]]+Table1[[#This Row],[Quantity on order]]+Table1[[#This Row],[Quantity donated]]-Table1[[#This Row],[extended quantity]]</f>
        <v>0</v>
      </c>
      <c r="U1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9" s="51">
        <f>IFERROR(Table1[[#This Row],[Quantity  to  purchase]]*(Table1[[#This Row],[Cost ]]+Table1[[#This Row],[shipping]]+Table1[[#This Row],[Tax]]),0)</f>
        <v>0</v>
      </c>
      <c r="W139" s="36">
        <f>IFERROR(Table1[[#This Row],[leftover material]]*(Table1[[#This Row],[Cost ]]+Table1[[#This Row],[shipping]]+Table1[[#This Row],[Tax]]),0)</f>
        <v>0</v>
      </c>
      <c r="X139" s="36"/>
      <c r="Y139" s="84"/>
      <c r="Z139" s="84"/>
      <c r="AA139" s="84"/>
      <c r="AB139" s="36"/>
      <c r="AC139" s="36">
        <f>IF(ISNA(VLOOKUP(Table1[[#This Row],[Part Number]],'Multi-level BOM'!V$4:V$449,1,FALSE)),0,Table1[[#This Row],[Remaining Extended cost]])</f>
        <v>0</v>
      </c>
    </row>
    <row r="140" spans="1:29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80" t="str">
        <f>IF(Table1[[#This Row],[Buy-now costs]]&gt;0,"X","")</f>
        <v/>
      </c>
      <c r="M140" s="80"/>
      <c r="N140" s="80"/>
      <c r="O140" s="40">
        <v>0</v>
      </c>
      <c r="P140" s="94">
        <f>Table1[[#This Row],[quantity on-hand]]*(Table1[[#This Row],[Cost ]]+Table1[[#This Row],[shipping]]+Table1[[#This Row],[Tax]])</f>
        <v>0</v>
      </c>
      <c r="Q140" s="40">
        <v>0</v>
      </c>
      <c r="R140" s="92">
        <f>Table1[[#This Row],[Quantity on order]]*(Table1[[#This Row],[Cost ]]+Table1[[#This Row],[shipping]]+Table1[[#This Row],[Tax]])</f>
        <v>0</v>
      </c>
      <c r="S1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0" s="49">
        <f>Table1[[#This Row],[Quantity  to  purchase]]+Table1[[#This Row],[Quantity purchased]]+Table1[[#This Row],[Quantity on order]]+Table1[[#This Row],[Quantity donated]]-Table1[[#This Row],[extended quantity]]</f>
        <v>0</v>
      </c>
      <c r="U1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0" s="51">
        <f>IFERROR(Table1[[#This Row],[Quantity  to  purchase]]*(Table1[[#This Row],[Cost ]]+Table1[[#This Row],[shipping]]+Table1[[#This Row],[Tax]]),0)</f>
        <v>0</v>
      </c>
      <c r="W140" s="36">
        <f>IFERROR(Table1[[#This Row],[leftover material]]*(Table1[[#This Row],[Cost ]]+Table1[[#This Row],[shipping]]+Table1[[#This Row],[Tax]]),0)</f>
        <v>0</v>
      </c>
      <c r="X140" s="36"/>
      <c r="Y140" s="84"/>
      <c r="Z140" s="84"/>
      <c r="AA140" s="84"/>
      <c r="AB140" s="36"/>
      <c r="AC140" s="36">
        <f>IF(ISNA(VLOOKUP(Table1[[#This Row],[Part Number]],'Multi-level BOM'!V$4:V$449,1,FALSE)),0,Table1[[#This Row],[Remaining Extended cost]])</f>
        <v>0</v>
      </c>
    </row>
    <row r="141" spans="1:29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80" t="str">
        <f>IF(Table1[[#This Row],[Buy-now costs]]&gt;0,"X","")</f>
        <v/>
      </c>
      <c r="M141" s="80"/>
      <c r="N141" s="80"/>
      <c r="O141" s="40">
        <v>0</v>
      </c>
      <c r="P141" s="94">
        <f>Table1[[#This Row],[quantity on-hand]]*(Table1[[#This Row],[Cost ]]+Table1[[#This Row],[shipping]]+Table1[[#This Row],[Tax]])</f>
        <v>0</v>
      </c>
      <c r="Q141" s="40">
        <v>0</v>
      </c>
      <c r="R141" s="92">
        <f>Table1[[#This Row],[Quantity on order]]*(Table1[[#This Row],[Cost ]]+Table1[[#This Row],[shipping]]+Table1[[#This Row],[Tax]])</f>
        <v>0</v>
      </c>
      <c r="S1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1" s="49">
        <f>Table1[[#This Row],[Quantity  to  purchase]]+Table1[[#This Row],[Quantity purchased]]+Table1[[#This Row],[Quantity on order]]+Table1[[#This Row],[Quantity donated]]-Table1[[#This Row],[extended quantity]]</f>
        <v>0</v>
      </c>
      <c r="U1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1" s="51">
        <f>IFERROR(Table1[[#This Row],[Quantity  to  purchase]]*(Table1[[#This Row],[Cost ]]+Table1[[#This Row],[shipping]]+Table1[[#This Row],[Tax]]),0)</f>
        <v>0</v>
      </c>
      <c r="W141" s="36">
        <f>IFERROR(Table1[[#This Row],[leftover material]]*(Table1[[#This Row],[Cost ]]+Table1[[#This Row],[shipping]]+Table1[[#This Row],[Tax]]),0)</f>
        <v>0</v>
      </c>
      <c r="X141" s="36"/>
      <c r="Y141" s="84"/>
      <c r="Z141" s="84"/>
      <c r="AA141" s="84"/>
      <c r="AB141" s="36"/>
      <c r="AC141" s="36">
        <f>IF(ISNA(VLOOKUP(Table1[[#This Row],[Part Number]],'Multi-level BOM'!V$4:V$449,1,FALSE)),0,Table1[[#This Row],[Remaining Extended cost]])</f>
        <v>0</v>
      </c>
    </row>
    <row r="142" spans="1:29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80" t="str">
        <f>IF(Table1[[#This Row],[Buy-now costs]]&gt;0,"X","")</f>
        <v/>
      </c>
      <c r="M142" s="80"/>
      <c r="N142" s="80"/>
      <c r="O142" s="40">
        <v>0</v>
      </c>
      <c r="P142" s="94">
        <f>Table1[[#This Row],[quantity on-hand]]*(Table1[[#This Row],[Cost ]]+Table1[[#This Row],[shipping]]+Table1[[#This Row],[Tax]])</f>
        <v>0</v>
      </c>
      <c r="Q142" s="40">
        <v>0</v>
      </c>
      <c r="R142" s="92">
        <f>Table1[[#This Row],[Quantity on order]]*(Table1[[#This Row],[Cost ]]+Table1[[#This Row],[shipping]]+Table1[[#This Row],[Tax]])</f>
        <v>0</v>
      </c>
      <c r="S1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2" s="49">
        <f>Table1[[#This Row],[Quantity  to  purchase]]+Table1[[#This Row],[Quantity purchased]]+Table1[[#This Row],[Quantity on order]]+Table1[[#This Row],[Quantity donated]]-Table1[[#This Row],[extended quantity]]</f>
        <v>0</v>
      </c>
      <c r="U1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2" s="51">
        <f>IFERROR(Table1[[#This Row],[Quantity  to  purchase]]*(Table1[[#This Row],[Cost ]]+Table1[[#This Row],[shipping]]+Table1[[#This Row],[Tax]]),0)</f>
        <v>0</v>
      </c>
      <c r="W142" s="36">
        <f>IFERROR(Table1[[#This Row],[leftover material]]*(Table1[[#This Row],[Cost ]]+Table1[[#This Row],[shipping]]+Table1[[#This Row],[Tax]]),0)</f>
        <v>0</v>
      </c>
      <c r="X142" s="36"/>
      <c r="Y142" s="84"/>
      <c r="Z142" s="84"/>
      <c r="AA142" s="84"/>
      <c r="AB142" s="36"/>
      <c r="AC142" s="36">
        <f>IF(ISNA(VLOOKUP(Table1[[#This Row],[Part Number]],'Multi-level BOM'!V$4:V$449,1,FALSE)),0,Table1[[#This Row],[Remaining Extended cost]])</f>
        <v>0</v>
      </c>
    </row>
    <row r="143" spans="1:29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80" t="str">
        <f>IF(Table1[[#This Row],[Buy-now costs]]&gt;0,"X","")</f>
        <v/>
      </c>
      <c r="M143" s="80"/>
      <c r="N143" s="80"/>
      <c r="O143" s="40">
        <v>0</v>
      </c>
      <c r="P143" s="94">
        <f>Table1[[#This Row],[quantity on-hand]]*(Table1[[#This Row],[Cost ]]+Table1[[#This Row],[shipping]]+Table1[[#This Row],[Tax]])</f>
        <v>0</v>
      </c>
      <c r="Q143" s="40">
        <v>0</v>
      </c>
      <c r="R143" s="92">
        <f>Table1[[#This Row],[Quantity on order]]*(Table1[[#This Row],[Cost ]]+Table1[[#This Row],[shipping]]+Table1[[#This Row],[Tax]])</f>
        <v>0</v>
      </c>
      <c r="S1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3" s="49">
        <f>Table1[[#This Row],[Quantity  to  purchase]]+Table1[[#This Row],[Quantity purchased]]+Table1[[#This Row],[Quantity on order]]+Table1[[#This Row],[Quantity donated]]-Table1[[#This Row],[extended quantity]]</f>
        <v>0</v>
      </c>
      <c r="U1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3" s="51">
        <f>IFERROR(Table1[[#This Row],[Quantity  to  purchase]]*(Table1[[#This Row],[Cost ]]+Table1[[#This Row],[shipping]]+Table1[[#This Row],[Tax]]),0)</f>
        <v>0</v>
      </c>
      <c r="W143" s="36">
        <f>IFERROR(Table1[[#This Row],[leftover material]]*(Table1[[#This Row],[Cost ]]+Table1[[#This Row],[shipping]]+Table1[[#This Row],[Tax]]),0)</f>
        <v>0</v>
      </c>
      <c r="X143" s="36"/>
      <c r="Y143" s="84"/>
      <c r="Z143" s="84"/>
      <c r="AA143" s="84"/>
      <c r="AB143" s="36"/>
      <c r="AC143" s="36">
        <f>IF(ISNA(VLOOKUP(Table1[[#This Row],[Part Number]],'Multi-level BOM'!V$4:V$449,1,FALSE)),0,Table1[[#This Row],[Remaining Extended cost]])</f>
        <v>0</v>
      </c>
    </row>
    <row r="144" spans="1:29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80" t="str">
        <f>IF(Table1[[#This Row],[Buy-now costs]]&gt;0,"X","")</f>
        <v/>
      </c>
      <c r="M144" s="80"/>
      <c r="N144" s="80"/>
      <c r="O144" s="40">
        <v>0</v>
      </c>
      <c r="P144" s="94">
        <f>Table1[[#This Row],[quantity on-hand]]*(Table1[[#This Row],[Cost ]]+Table1[[#This Row],[shipping]]+Table1[[#This Row],[Tax]])</f>
        <v>0</v>
      </c>
      <c r="Q144" s="40">
        <v>0</v>
      </c>
      <c r="R144" s="92">
        <f>Table1[[#This Row],[Quantity on order]]*(Table1[[#This Row],[Cost ]]+Table1[[#This Row],[shipping]]+Table1[[#This Row],[Tax]])</f>
        <v>0</v>
      </c>
      <c r="S1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4" s="49">
        <f>Table1[[#This Row],[Quantity  to  purchase]]+Table1[[#This Row],[Quantity purchased]]+Table1[[#This Row],[Quantity on order]]+Table1[[#This Row],[Quantity donated]]-Table1[[#This Row],[extended quantity]]</f>
        <v>0</v>
      </c>
      <c r="U1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4" s="51">
        <f>IFERROR(Table1[[#This Row],[Quantity  to  purchase]]*(Table1[[#This Row],[Cost ]]+Table1[[#This Row],[shipping]]+Table1[[#This Row],[Tax]]),0)</f>
        <v>0</v>
      </c>
      <c r="W144" s="36">
        <f>IFERROR(Table1[[#This Row],[leftover material]]*(Table1[[#This Row],[Cost ]]+Table1[[#This Row],[shipping]]+Table1[[#This Row],[Tax]]),0)</f>
        <v>0</v>
      </c>
      <c r="X144" s="36"/>
      <c r="Y144" s="84"/>
      <c r="Z144" s="84"/>
      <c r="AA144" s="84"/>
      <c r="AB144" s="36"/>
      <c r="AC144" s="36">
        <f>IF(ISNA(VLOOKUP(Table1[[#This Row],[Part Number]],'Multi-level BOM'!V$4:V$449,1,FALSE)),0,Table1[[#This Row],[Remaining Extended cost]])</f>
        <v>0</v>
      </c>
    </row>
    <row r="145" spans="1:29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80" t="str">
        <f>IF(Table1[[#This Row],[Buy-now costs]]&gt;0,"X","")</f>
        <v/>
      </c>
      <c r="M145" s="80"/>
      <c r="N145" s="80"/>
      <c r="O145" s="40">
        <v>0</v>
      </c>
      <c r="P145" s="94">
        <f>Table1[[#This Row],[quantity on-hand]]*(Table1[[#This Row],[Cost ]]+Table1[[#This Row],[shipping]]+Table1[[#This Row],[Tax]])</f>
        <v>0</v>
      </c>
      <c r="Q145" s="40">
        <v>0</v>
      </c>
      <c r="R145" s="92">
        <f>Table1[[#This Row],[Quantity on order]]*(Table1[[#This Row],[Cost ]]+Table1[[#This Row],[shipping]]+Table1[[#This Row],[Tax]])</f>
        <v>0</v>
      </c>
      <c r="S1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5" s="49">
        <f>Table1[[#This Row],[Quantity  to  purchase]]+Table1[[#This Row],[Quantity purchased]]+Table1[[#This Row],[Quantity on order]]+Table1[[#This Row],[Quantity donated]]-Table1[[#This Row],[extended quantity]]</f>
        <v>0</v>
      </c>
      <c r="U1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5" s="51">
        <f>IFERROR(Table1[[#This Row],[Quantity  to  purchase]]*(Table1[[#This Row],[Cost ]]+Table1[[#This Row],[shipping]]+Table1[[#This Row],[Tax]]),0)</f>
        <v>0</v>
      </c>
      <c r="W145" s="36">
        <f>IFERROR(Table1[[#This Row],[leftover material]]*(Table1[[#This Row],[Cost ]]+Table1[[#This Row],[shipping]]+Table1[[#This Row],[Tax]]),0)</f>
        <v>0</v>
      </c>
      <c r="X145" s="36"/>
      <c r="Y145" s="84"/>
      <c r="Z145" s="84"/>
      <c r="AA145" s="84"/>
      <c r="AB145" s="36"/>
      <c r="AC145" s="36">
        <f>IF(ISNA(VLOOKUP(Table1[[#This Row],[Part Number]],'Multi-level BOM'!V$4:V$449,1,FALSE)),0,Table1[[#This Row],[Remaining Extended cost]])</f>
        <v>0</v>
      </c>
    </row>
    <row r="146" spans="1:29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80" t="str">
        <f>IF(Table1[[#This Row],[Buy-now costs]]&gt;0,"X","")</f>
        <v/>
      </c>
      <c r="M146" s="80"/>
      <c r="N146" s="80"/>
      <c r="O146" s="40">
        <v>0</v>
      </c>
      <c r="P146" s="94">
        <f>Table1[[#This Row],[quantity on-hand]]*(Table1[[#This Row],[Cost ]]+Table1[[#This Row],[shipping]]+Table1[[#This Row],[Tax]])</f>
        <v>0</v>
      </c>
      <c r="Q146" s="40">
        <v>0</v>
      </c>
      <c r="R146" s="92">
        <f>Table1[[#This Row],[Quantity on order]]*(Table1[[#This Row],[Cost ]]+Table1[[#This Row],[shipping]]+Table1[[#This Row],[Tax]])</f>
        <v>0</v>
      </c>
      <c r="S1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6" s="49">
        <f>Table1[[#This Row],[Quantity  to  purchase]]+Table1[[#This Row],[Quantity purchased]]+Table1[[#This Row],[Quantity on order]]+Table1[[#This Row],[Quantity donated]]-Table1[[#This Row],[extended quantity]]</f>
        <v>0</v>
      </c>
      <c r="U1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6" s="51">
        <f>IFERROR(Table1[[#This Row],[Quantity  to  purchase]]*(Table1[[#This Row],[Cost ]]+Table1[[#This Row],[shipping]]+Table1[[#This Row],[Tax]]),0)</f>
        <v>0</v>
      </c>
      <c r="W146" s="36">
        <f>IFERROR(Table1[[#This Row],[leftover material]]*(Table1[[#This Row],[Cost ]]+Table1[[#This Row],[shipping]]+Table1[[#This Row],[Tax]]),0)</f>
        <v>0</v>
      </c>
      <c r="X146" s="36"/>
      <c r="Y146" s="84"/>
      <c r="Z146" s="84"/>
      <c r="AA146" s="84"/>
      <c r="AB146" s="36"/>
      <c r="AC146" s="36">
        <f>IF(ISNA(VLOOKUP(Table1[[#This Row],[Part Number]],'Multi-level BOM'!V$4:V$449,1,FALSE)),0,Table1[[#This Row],[Remaining Extended cost]])</f>
        <v>0</v>
      </c>
    </row>
    <row r="147" spans="1:29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80" t="str">
        <f>IF(Table1[[#This Row],[Buy-now costs]]&gt;0,"X","")</f>
        <v/>
      </c>
      <c r="M147" s="80"/>
      <c r="N147" s="80"/>
      <c r="O147" s="40">
        <v>0</v>
      </c>
      <c r="P147" s="94">
        <f>Table1[[#This Row],[quantity on-hand]]*(Table1[[#This Row],[Cost ]]+Table1[[#This Row],[shipping]]+Table1[[#This Row],[Tax]])</f>
        <v>0</v>
      </c>
      <c r="Q147" s="40">
        <v>0</v>
      </c>
      <c r="R147" s="92">
        <f>Table1[[#This Row],[Quantity on order]]*(Table1[[#This Row],[Cost ]]+Table1[[#This Row],[shipping]]+Table1[[#This Row],[Tax]])</f>
        <v>0</v>
      </c>
      <c r="S1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7" s="49">
        <f>Table1[[#This Row],[Quantity  to  purchase]]+Table1[[#This Row],[Quantity purchased]]+Table1[[#This Row],[Quantity on order]]+Table1[[#This Row],[Quantity donated]]-Table1[[#This Row],[extended quantity]]</f>
        <v>0</v>
      </c>
      <c r="U1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7" s="51">
        <f>IFERROR(Table1[[#This Row],[Quantity  to  purchase]]*(Table1[[#This Row],[Cost ]]+Table1[[#This Row],[shipping]]+Table1[[#This Row],[Tax]]),0)</f>
        <v>0</v>
      </c>
      <c r="W147" s="36">
        <f>IFERROR(Table1[[#This Row],[leftover material]]*(Table1[[#This Row],[Cost ]]+Table1[[#This Row],[shipping]]+Table1[[#This Row],[Tax]]),0)</f>
        <v>0</v>
      </c>
      <c r="X147" s="36"/>
      <c r="Y147" s="84"/>
      <c r="Z147" s="84"/>
      <c r="AA147" s="84"/>
      <c r="AB147" s="36"/>
      <c r="AC147" s="36">
        <f>IF(ISNA(VLOOKUP(Table1[[#This Row],[Part Number]],'Multi-level BOM'!V$4:V$449,1,FALSE)),0,Table1[[#This Row],[Remaining Extended cost]])</f>
        <v>0</v>
      </c>
    </row>
    <row r="148" spans="1:29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80" t="str">
        <f>IF(Table1[[#This Row],[Buy-now costs]]&gt;0,"X","")</f>
        <v/>
      </c>
      <c r="M148" s="80"/>
      <c r="N148" s="80"/>
      <c r="O148" s="40">
        <v>0</v>
      </c>
      <c r="P148" s="94">
        <f>Table1[[#This Row],[quantity on-hand]]*(Table1[[#This Row],[Cost ]]+Table1[[#This Row],[shipping]]+Table1[[#This Row],[Tax]])</f>
        <v>0</v>
      </c>
      <c r="Q148" s="40">
        <v>0</v>
      </c>
      <c r="R148" s="92">
        <f>Table1[[#This Row],[Quantity on order]]*(Table1[[#This Row],[Cost ]]+Table1[[#This Row],[shipping]]+Table1[[#This Row],[Tax]])</f>
        <v>0</v>
      </c>
      <c r="S1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8" s="49">
        <f>Table1[[#This Row],[Quantity  to  purchase]]+Table1[[#This Row],[Quantity purchased]]+Table1[[#This Row],[Quantity on order]]+Table1[[#This Row],[Quantity donated]]-Table1[[#This Row],[extended quantity]]</f>
        <v>0</v>
      </c>
      <c r="U1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8" s="51">
        <f>IFERROR(Table1[[#This Row],[Quantity  to  purchase]]*(Table1[[#This Row],[Cost ]]+Table1[[#This Row],[shipping]]+Table1[[#This Row],[Tax]]),0)</f>
        <v>0</v>
      </c>
      <c r="W148" s="36">
        <f>IFERROR(Table1[[#This Row],[leftover material]]*(Table1[[#This Row],[Cost ]]+Table1[[#This Row],[shipping]]+Table1[[#This Row],[Tax]]),0)</f>
        <v>0</v>
      </c>
      <c r="X148" s="36"/>
      <c r="Y148" s="84"/>
      <c r="Z148" s="84"/>
      <c r="AA148" s="84"/>
      <c r="AB148" s="36"/>
      <c r="AC148" s="36">
        <f>IF(ISNA(VLOOKUP(Table1[[#This Row],[Part Number]],'Multi-level BOM'!V$4:V$449,1,FALSE)),0,Table1[[#This Row],[Remaining Extended cost]])</f>
        <v>0</v>
      </c>
    </row>
    <row r="149" spans="1:29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80" t="str">
        <f>IF(Table1[[#This Row],[Buy-now costs]]&gt;0,"X","")</f>
        <v/>
      </c>
      <c r="M149" s="80"/>
      <c r="N149" s="80"/>
      <c r="O149" s="40">
        <v>0</v>
      </c>
      <c r="P149" s="94">
        <f>Table1[[#This Row],[quantity on-hand]]*(Table1[[#This Row],[Cost ]]+Table1[[#This Row],[shipping]]+Table1[[#This Row],[Tax]])</f>
        <v>0</v>
      </c>
      <c r="Q149" s="40">
        <v>0</v>
      </c>
      <c r="R149" s="92">
        <f>Table1[[#This Row],[Quantity on order]]*(Table1[[#This Row],[Cost ]]+Table1[[#This Row],[shipping]]+Table1[[#This Row],[Tax]])</f>
        <v>0</v>
      </c>
      <c r="S1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9" s="49">
        <f>Table1[[#This Row],[Quantity  to  purchase]]+Table1[[#This Row],[Quantity purchased]]+Table1[[#This Row],[Quantity on order]]+Table1[[#This Row],[Quantity donated]]-Table1[[#This Row],[extended quantity]]</f>
        <v>0</v>
      </c>
      <c r="U1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9" s="51">
        <f>IFERROR(Table1[[#This Row],[Quantity  to  purchase]]*(Table1[[#This Row],[Cost ]]+Table1[[#This Row],[shipping]]+Table1[[#This Row],[Tax]]),0)</f>
        <v>0</v>
      </c>
      <c r="W149" s="36">
        <f>IFERROR(Table1[[#This Row],[leftover material]]*(Table1[[#This Row],[Cost ]]+Table1[[#This Row],[shipping]]+Table1[[#This Row],[Tax]]),0)</f>
        <v>0</v>
      </c>
      <c r="X149" s="36"/>
      <c r="Y149" s="84"/>
      <c r="Z149" s="84"/>
      <c r="AA149" s="84"/>
      <c r="AB149" s="36"/>
      <c r="AC149" s="36">
        <f>IF(ISNA(VLOOKUP(Table1[[#This Row],[Part Number]],'Multi-level BOM'!V$4:V$449,1,FALSE)),0,Table1[[#This Row],[Remaining Extended cost]])</f>
        <v>0</v>
      </c>
    </row>
    <row r="150" spans="1:29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80" t="str">
        <f>IF(Table1[[#This Row],[Buy-now costs]]&gt;0,"X","")</f>
        <v/>
      </c>
      <c r="M150" s="80"/>
      <c r="N150" s="80"/>
      <c r="O150" s="40">
        <v>0</v>
      </c>
      <c r="P150" s="94">
        <f>Table1[[#This Row],[quantity on-hand]]*(Table1[[#This Row],[Cost ]]+Table1[[#This Row],[shipping]]+Table1[[#This Row],[Tax]])</f>
        <v>0</v>
      </c>
      <c r="Q150" s="40">
        <v>0</v>
      </c>
      <c r="R150" s="92">
        <f>Table1[[#This Row],[Quantity on order]]*(Table1[[#This Row],[Cost ]]+Table1[[#This Row],[shipping]]+Table1[[#This Row],[Tax]])</f>
        <v>0</v>
      </c>
      <c r="S1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0" s="49">
        <f>Table1[[#This Row],[Quantity  to  purchase]]+Table1[[#This Row],[Quantity purchased]]+Table1[[#This Row],[Quantity on order]]+Table1[[#This Row],[Quantity donated]]-Table1[[#This Row],[extended quantity]]</f>
        <v>0</v>
      </c>
      <c r="U1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0" s="51">
        <f>IFERROR(Table1[[#This Row],[Quantity  to  purchase]]*(Table1[[#This Row],[Cost ]]+Table1[[#This Row],[shipping]]+Table1[[#This Row],[Tax]]),0)</f>
        <v>0</v>
      </c>
      <c r="W150" s="36">
        <f>IFERROR(Table1[[#This Row],[leftover material]]*(Table1[[#This Row],[Cost ]]+Table1[[#This Row],[shipping]]+Table1[[#This Row],[Tax]]),0)</f>
        <v>0</v>
      </c>
      <c r="X150" s="36"/>
      <c r="Y150" s="84"/>
      <c r="Z150" s="84"/>
      <c r="AA150" s="84"/>
      <c r="AB150" s="36"/>
      <c r="AC150" s="36">
        <f>IF(ISNA(VLOOKUP(Table1[[#This Row],[Part Number]],'Multi-level BOM'!V$4:V$449,1,FALSE)),0,Table1[[#This Row],[Remaining Extended cost]])</f>
        <v>0</v>
      </c>
    </row>
    <row r="151" spans="1:29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80" t="str">
        <f>IF(Table1[[#This Row],[Buy-now costs]]&gt;0,"X","")</f>
        <v/>
      </c>
      <c r="M151" s="80"/>
      <c r="N151" s="80"/>
      <c r="O151" s="40">
        <v>0</v>
      </c>
      <c r="P151" s="94">
        <f>Table1[[#This Row],[quantity on-hand]]*(Table1[[#This Row],[Cost ]]+Table1[[#This Row],[shipping]]+Table1[[#This Row],[Tax]])</f>
        <v>0</v>
      </c>
      <c r="Q151" s="40">
        <v>0</v>
      </c>
      <c r="R151" s="92">
        <f>Table1[[#This Row],[Quantity on order]]*(Table1[[#This Row],[Cost ]]+Table1[[#This Row],[shipping]]+Table1[[#This Row],[Tax]])</f>
        <v>0</v>
      </c>
      <c r="S1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1" s="49">
        <f>Table1[[#This Row],[Quantity  to  purchase]]+Table1[[#This Row],[Quantity purchased]]+Table1[[#This Row],[Quantity on order]]+Table1[[#This Row],[Quantity donated]]-Table1[[#This Row],[extended quantity]]</f>
        <v>0</v>
      </c>
      <c r="U1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1" s="51">
        <f>IFERROR(Table1[[#This Row],[Quantity  to  purchase]]*(Table1[[#This Row],[Cost ]]+Table1[[#This Row],[shipping]]+Table1[[#This Row],[Tax]]),0)</f>
        <v>0</v>
      </c>
      <c r="W151" s="36">
        <f>IFERROR(Table1[[#This Row],[leftover material]]*(Table1[[#This Row],[Cost ]]+Table1[[#This Row],[shipping]]+Table1[[#This Row],[Tax]]),0)</f>
        <v>0</v>
      </c>
      <c r="X151" s="36"/>
      <c r="Y151" s="84"/>
      <c r="Z151" s="84"/>
      <c r="AA151" s="84"/>
      <c r="AB151" s="36"/>
      <c r="AC151" s="36">
        <f>IF(ISNA(VLOOKUP(Table1[[#This Row],[Part Number]],'Multi-level BOM'!V$4:V$449,1,FALSE)),0,Table1[[#This Row],[Remaining Extended cost]])</f>
        <v>0</v>
      </c>
    </row>
    <row r="152" spans="1:29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80" t="str">
        <f>IF(Table1[[#This Row],[Buy-now costs]]&gt;0,"X","")</f>
        <v/>
      </c>
      <c r="M152" s="80"/>
      <c r="N152" s="80"/>
      <c r="O152" s="40">
        <v>0</v>
      </c>
      <c r="P152" s="94">
        <f>Table1[[#This Row],[quantity on-hand]]*(Table1[[#This Row],[Cost ]]+Table1[[#This Row],[shipping]]+Table1[[#This Row],[Tax]])</f>
        <v>0</v>
      </c>
      <c r="Q152" s="40">
        <v>0</v>
      </c>
      <c r="R152" s="92">
        <f>Table1[[#This Row],[Quantity on order]]*(Table1[[#This Row],[Cost ]]+Table1[[#This Row],[shipping]]+Table1[[#This Row],[Tax]])</f>
        <v>0</v>
      </c>
      <c r="S1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2" s="49">
        <f>Table1[[#This Row],[Quantity  to  purchase]]+Table1[[#This Row],[Quantity purchased]]+Table1[[#This Row],[Quantity on order]]+Table1[[#This Row],[Quantity donated]]-Table1[[#This Row],[extended quantity]]</f>
        <v>0</v>
      </c>
      <c r="U1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2" s="51">
        <f>IFERROR(Table1[[#This Row],[Quantity  to  purchase]]*(Table1[[#This Row],[Cost ]]+Table1[[#This Row],[shipping]]+Table1[[#This Row],[Tax]]),0)</f>
        <v>0</v>
      </c>
      <c r="W152" s="36">
        <f>IFERROR(Table1[[#This Row],[leftover material]]*(Table1[[#This Row],[Cost ]]+Table1[[#This Row],[shipping]]+Table1[[#This Row],[Tax]]),0)</f>
        <v>0</v>
      </c>
      <c r="X152" s="36"/>
      <c r="Y152" s="84"/>
      <c r="Z152" s="84"/>
      <c r="AA152" s="84"/>
      <c r="AB152" s="36"/>
      <c r="AC152" s="36">
        <f>IF(ISNA(VLOOKUP(Table1[[#This Row],[Part Number]],'Multi-level BOM'!V$4:V$449,1,FALSE)),0,Table1[[#This Row],[Remaining Extended cost]])</f>
        <v>0</v>
      </c>
    </row>
    <row r="153" spans="1:29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80" t="str">
        <f>IF(Table1[[#This Row],[Buy-now costs]]&gt;0,"X","")</f>
        <v/>
      </c>
      <c r="M153" s="80"/>
      <c r="N153" s="80"/>
      <c r="O153" s="40">
        <v>0</v>
      </c>
      <c r="P153" s="94">
        <f>Table1[[#This Row],[quantity on-hand]]*(Table1[[#This Row],[Cost ]]+Table1[[#This Row],[shipping]]+Table1[[#This Row],[Tax]])</f>
        <v>0</v>
      </c>
      <c r="Q153" s="40">
        <v>0</v>
      </c>
      <c r="R153" s="92">
        <f>Table1[[#This Row],[Quantity on order]]*(Table1[[#This Row],[Cost ]]+Table1[[#This Row],[shipping]]+Table1[[#This Row],[Tax]])</f>
        <v>0</v>
      </c>
      <c r="S1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3" s="49">
        <f>Table1[[#This Row],[Quantity  to  purchase]]+Table1[[#This Row],[Quantity purchased]]+Table1[[#This Row],[Quantity on order]]+Table1[[#This Row],[Quantity donated]]-Table1[[#This Row],[extended quantity]]</f>
        <v>0</v>
      </c>
      <c r="U1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3" s="51">
        <f>IFERROR(Table1[[#This Row],[Quantity  to  purchase]]*(Table1[[#This Row],[Cost ]]+Table1[[#This Row],[shipping]]+Table1[[#This Row],[Tax]]),0)</f>
        <v>0</v>
      </c>
      <c r="W153" s="36">
        <f>IFERROR(Table1[[#This Row],[leftover material]]*(Table1[[#This Row],[Cost ]]+Table1[[#This Row],[shipping]]+Table1[[#This Row],[Tax]]),0)</f>
        <v>0</v>
      </c>
      <c r="X153" s="36"/>
      <c r="Y153" s="84"/>
      <c r="Z153" s="84"/>
      <c r="AA153" s="84"/>
      <c r="AB153" s="36"/>
      <c r="AC153" s="36">
        <f>IF(ISNA(VLOOKUP(Table1[[#This Row],[Part Number]],'Multi-level BOM'!V$4:V$449,1,FALSE)),0,Table1[[#This Row],[Remaining Extended cost]])</f>
        <v>0</v>
      </c>
    </row>
    <row r="154" spans="1:29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80" t="str">
        <f>IF(Table1[[#This Row],[Buy-now costs]]&gt;0,"X","")</f>
        <v/>
      </c>
      <c r="M154" s="80"/>
      <c r="N154" s="80"/>
      <c r="O154" s="40">
        <v>0</v>
      </c>
      <c r="P154" s="94">
        <f>Table1[[#This Row],[quantity on-hand]]*(Table1[[#This Row],[Cost ]]+Table1[[#This Row],[shipping]]+Table1[[#This Row],[Tax]])</f>
        <v>0</v>
      </c>
      <c r="Q154" s="40">
        <v>0</v>
      </c>
      <c r="R154" s="92">
        <f>Table1[[#This Row],[Quantity on order]]*(Table1[[#This Row],[Cost ]]+Table1[[#This Row],[shipping]]+Table1[[#This Row],[Tax]])</f>
        <v>0</v>
      </c>
      <c r="S1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4" s="49">
        <f>Table1[[#This Row],[Quantity  to  purchase]]+Table1[[#This Row],[Quantity purchased]]+Table1[[#This Row],[Quantity on order]]+Table1[[#This Row],[Quantity donated]]-Table1[[#This Row],[extended quantity]]</f>
        <v>0</v>
      </c>
      <c r="U1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4" s="51">
        <f>IFERROR(Table1[[#This Row],[Quantity  to  purchase]]*(Table1[[#This Row],[Cost ]]+Table1[[#This Row],[shipping]]+Table1[[#This Row],[Tax]]),0)</f>
        <v>0</v>
      </c>
      <c r="W154" s="36">
        <f>IFERROR(Table1[[#This Row],[leftover material]]*(Table1[[#This Row],[Cost ]]+Table1[[#This Row],[shipping]]+Table1[[#This Row],[Tax]]),0)</f>
        <v>0</v>
      </c>
      <c r="X154" s="36"/>
      <c r="Y154" s="84"/>
      <c r="Z154" s="84"/>
      <c r="AA154" s="84"/>
      <c r="AB154" s="36"/>
      <c r="AC154" s="36">
        <f>IF(ISNA(VLOOKUP(Table1[[#This Row],[Part Number]],'Multi-level BOM'!V$4:V$449,1,FALSE)),0,Table1[[#This Row],[Remaining Extended cost]])</f>
        <v>0</v>
      </c>
    </row>
    <row r="155" spans="1:29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80" t="str">
        <f>IF(Table1[[#This Row],[Buy-now costs]]&gt;0,"X","")</f>
        <v/>
      </c>
      <c r="M155" s="80"/>
      <c r="N155" s="80"/>
      <c r="O155" s="40">
        <v>0</v>
      </c>
      <c r="P155" s="94">
        <f>Table1[[#This Row],[quantity on-hand]]*(Table1[[#This Row],[Cost ]]+Table1[[#This Row],[shipping]]+Table1[[#This Row],[Tax]])</f>
        <v>0</v>
      </c>
      <c r="Q155" s="40">
        <v>0</v>
      </c>
      <c r="R155" s="92">
        <f>Table1[[#This Row],[Quantity on order]]*(Table1[[#This Row],[Cost ]]+Table1[[#This Row],[shipping]]+Table1[[#This Row],[Tax]])</f>
        <v>0</v>
      </c>
      <c r="S1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5" s="49">
        <f>Table1[[#This Row],[Quantity  to  purchase]]+Table1[[#This Row],[Quantity purchased]]+Table1[[#This Row],[Quantity on order]]+Table1[[#This Row],[Quantity donated]]-Table1[[#This Row],[extended quantity]]</f>
        <v>0</v>
      </c>
      <c r="U1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5" s="51">
        <f>IFERROR(Table1[[#This Row],[Quantity  to  purchase]]*(Table1[[#This Row],[Cost ]]+Table1[[#This Row],[shipping]]+Table1[[#This Row],[Tax]]),0)</f>
        <v>0</v>
      </c>
      <c r="W155" s="36">
        <f>IFERROR(Table1[[#This Row],[leftover material]]*(Table1[[#This Row],[Cost ]]+Table1[[#This Row],[shipping]]+Table1[[#This Row],[Tax]]),0)</f>
        <v>0</v>
      </c>
      <c r="X155" s="36"/>
      <c r="Y155" s="84"/>
      <c r="Z155" s="84"/>
      <c r="AA155" s="84"/>
      <c r="AB155" s="36"/>
      <c r="AC155" s="36">
        <f>IF(ISNA(VLOOKUP(Table1[[#This Row],[Part Number]],'Multi-level BOM'!V$4:V$449,1,FALSE)),0,Table1[[#This Row],[Remaining Extended cost]])</f>
        <v>0</v>
      </c>
    </row>
    <row r="156" spans="1:29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80" t="str">
        <f>IF(Table1[[#This Row],[Buy-now costs]]&gt;0,"X","")</f>
        <v/>
      </c>
      <c r="M156" s="80"/>
      <c r="N156" s="80"/>
      <c r="O156" s="40">
        <v>0</v>
      </c>
      <c r="P156" s="94">
        <f>Table1[[#This Row],[quantity on-hand]]*(Table1[[#This Row],[Cost ]]+Table1[[#This Row],[shipping]]+Table1[[#This Row],[Tax]])</f>
        <v>0</v>
      </c>
      <c r="Q156" s="40">
        <v>0</v>
      </c>
      <c r="R156" s="92">
        <f>Table1[[#This Row],[Quantity on order]]*(Table1[[#This Row],[Cost ]]+Table1[[#This Row],[shipping]]+Table1[[#This Row],[Tax]])</f>
        <v>0</v>
      </c>
      <c r="S1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6" s="49">
        <f>Table1[[#This Row],[Quantity  to  purchase]]+Table1[[#This Row],[Quantity purchased]]+Table1[[#This Row],[Quantity on order]]+Table1[[#This Row],[Quantity donated]]-Table1[[#This Row],[extended quantity]]</f>
        <v>0</v>
      </c>
      <c r="U1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6" s="51">
        <f>IFERROR(Table1[[#This Row],[Quantity  to  purchase]]*(Table1[[#This Row],[Cost ]]+Table1[[#This Row],[shipping]]+Table1[[#This Row],[Tax]]),0)</f>
        <v>0</v>
      </c>
      <c r="W156" s="36">
        <f>IFERROR(Table1[[#This Row],[leftover material]]*(Table1[[#This Row],[Cost ]]+Table1[[#This Row],[shipping]]+Table1[[#This Row],[Tax]]),0)</f>
        <v>0</v>
      </c>
      <c r="X156" s="36"/>
      <c r="Y156" s="84"/>
      <c r="Z156" s="84"/>
      <c r="AA156" s="84"/>
      <c r="AB156" s="36"/>
      <c r="AC156" s="36">
        <f>IF(ISNA(VLOOKUP(Table1[[#This Row],[Part Number]],'Multi-level BOM'!V$4:V$449,1,FALSE)),0,Table1[[#This Row],[Remaining Extended cost]])</f>
        <v>0</v>
      </c>
    </row>
    <row r="157" spans="1:29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80" t="str">
        <f>IF(Table1[[#This Row],[Buy-now costs]]&gt;0,"X","")</f>
        <v/>
      </c>
      <c r="M157" s="80"/>
      <c r="N157" s="80"/>
      <c r="O157" s="40">
        <v>0</v>
      </c>
      <c r="P157" s="94">
        <f>Table1[[#This Row],[quantity on-hand]]*(Table1[[#This Row],[Cost ]]+Table1[[#This Row],[shipping]]+Table1[[#This Row],[Tax]])</f>
        <v>0</v>
      </c>
      <c r="Q157" s="40">
        <v>0</v>
      </c>
      <c r="R157" s="92">
        <f>Table1[[#This Row],[Quantity on order]]*(Table1[[#This Row],[Cost ]]+Table1[[#This Row],[shipping]]+Table1[[#This Row],[Tax]])</f>
        <v>0</v>
      </c>
      <c r="S1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7" s="49">
        <f>Table1[[#This Row],[Quantity  to  purchase]]+Table1[[#This Row],[Quantity purchased]]+Table1[[#This Row],[Quantity on order]]+Table1[[#This Row],[Quantity donated]]-Table1[[#This Row],[extended quantity]]</f>
        <v>0</v>
      </c>
      <c r="U1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7" s="51">
        <f>IFERROR(Table1[[#This Row],[Quantity  to  purchase]]*(Table1[[#This Row],[Cost ]]+Table1[[#This Row],[shipping]]+Table1[[#This Row],[Tax]]),0)</f>
        <v>0</v>
      </c>
      <c r="W157" s="36">
        <f>IFERROR(Table1[[#This Row],[leftover material]]*(Table1[[#This Row],[Cost ]]+Table1[[#This Row],[shipping]]+Table1[[#This Row],[Tax]]),0)</f>
        <v>0</v>
      </c>
      <c r="X157" s="36"/>
      <c r="Y157" s="84"/>
      <c r="Z157" s="84"/>
      <c r="AA157" s="84"/>
      <c r="AB157" s="36"/>
      <c r="AC157" s="36">
        <f>IF(ISNA(VLOOKUP(Table1[[#This Row],[Part Number]],'Multi-level BOM'!V$4:V$449,1,FALSE)),0,Table1[[#This Row],[Remaining Extended cost]])</f>
        <v>0</v>
      </c>
    </row>
    <row r="158" spans="1:29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80" t="str">
        <f>IF(Table1[[#This Row],[Buy-now costs]]&gt;0,"X","")</f>
        <v/>
      </c>
      <c r="M158" s="80"/>
      <c r="N158" s="80"/>
      <c r="O158" s="40">
        <v>0</v>
      </c>
      <c r="P158" s="94">
        <f>Table1[[#This Row],[quantity on-hand]]*(Table1[[#This Row],[Cost ]]+Table1[[#This Row],[shipping]]+Table1[[#This Row],[Tax]])</f>
        <v>0</v>
      </c>
      <c r="Q158" s="40">
        <v>0</v>
      </c>
      <c r="R158" s="92">
        <f>Table1[[#This Row],[Quantity on order]]*(Table1[[#This Row],[Cost ]]+Table1[[#This Row],[shipping]]+Table1[[#This Row],[Tax]])</f>
        <v>0</v>
      </c>
      <c r="S1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8" s="49">
        <f>Table1[[#This Row],[Quantity  to  purchase]]+Table1[[#This Row],[Quantity purchased]]+Table1[[#This Row],[Quantity on order]]+Table1[[#This Row],[Quantity donated]]-Table1[[#This Row],[extended quantity]]</f>
        <v>0</v>
      </c>
      <c r="U1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8" s="51">
        <f>IFERROR(Table1[[#This Row],[Quantity  to  purchase]]*(Table1[[#This Row],[Cost ]]+Table1[[#This Row],[shipping]]+Table1[[#This Row],[Tax]]),0)</f>
        <v>0</v>
      </c>
      <c r="W158" s="36">
        <f>IFERROR(Table1[[#This Row],[leftover material]]*(Table1[[#This Row],[Cost ]]+Table1[[#This Row],[shipping]]+Table1[[#This Row],[Tax]]),0)</f>
        <v>0</v>
      </c>
      <c r="X158" s="36"/>
      <c r="Y158" s="84"/>
      <c r="Z158" s="84"/>
      <c r="AA158" s="84"/>
      <c r="AB158" s="36"/>
      <c r="AC158" s="36">
        <f>IF(ISNA(VLOOKUP(Table1[[#This Row],[Part Number]],'Multi-level BOM'!V$4:V$449,1,FALSE)),0,Table1[[#This Row],[Remaining Extended cost]])</f>
        <v>0</v>
      </c>
    </row>
    <row r="159" spans="1:29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80" t="str">
        <f>IF(Table1[[#This Row],[Buy-now costs]]&gt;0,"X","")</f>
        <v/>
      </c>
      <c r="M159" s="80"/>
      <c r="N159" s="80"/>
      <c r="O159" s="40">
        <v>0</v>
      </c>
      <c r="P159" s="94">
        <f>Table1[[#This Row],[quantity on-hand]]*(Table1[[#This Row],[Cost ]]+Table1[[#This Row],[shipping]]+Table1[[#This Row],[Tax]])</f>
        <v>0</v>
      </c>
      <c r="Q159" s="40">
        <v>0</v>
      </c>
      <c r="R159" s="92">
        <f>Table1[[#This Row],[Quantity on order]]*(Table1[[#This Row],[Cost ]]+Table1[[#This Row],[shipping]]+Table1[[#This Row],[Tax]])</f>
        <v>0</v>
      </c>
      <c r="S1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9" s="49">
        <f>Table1[[#This Row],[Quantity  to  purchase]]+Table1[[#This Row],[Quantity purchased]]+Table1[[#This Row],[Quantity on order]]+Table1[[#This Row],[Quantity donated]]-Table1[[#This Row],[extended quantity]]</f>
        <v>0</v>
      </c>
      <c r="U1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9" s="51">
        <f>IFERROR(Table1[[#This Row],[Quantity  to  purchase]]*(Table1[[#This Row],[Cost ]]+Table1[[#This Row],[shipping]]+Table1[[#This Row],[Tax]]),0)</f>
        <v>0</v>
      </c>
      <c r="W159" s="36">
        <f>IFERROR(Table1[[#This Row],[leftover material]]*(Table1[[#This Row],[Cost ]]+Table1[[#This Row],[shipping]]+Table1[[#This Row],[Tax]]),0)</f>
        <v>0</v>
      </c>
      <c r="X159" s="36"/>
      <c r="Y159" s="84"/>
      <c r="Z159" s="84"/>
      <c r="AA159" s="84"/>
      <c r="AB159" s="36"/>
      <c r="AC159" s="36">
        <f>IF(ISNA(VLOOKUP(Table1[[#This Row],[Part Number]],'Multi-level BOM'!V$4:V$449,1,FALSE)),0,Table1[[#This Row],[Remaining Extended cost]])</f>
        <v>0</v>
      </c>
    </row>
    <row r="160" spans="1:29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80" t="str">
        <f>IF(Table1[[#This Row],[Buy-now costs]]&gt;0,"X","")</f>
        <v/>
      </c>
      <c r="M160" s="80"/>
      <c r="N160" s="80"/>
      <c r="O160" s="40">
        <v>0</v>
      </c>
      <c r="P160" s="94">
        <f>Table1[[#This Row],[quantity on-hand]]*(Table1[[#This Row],[Cost ]]+Table1[[#This Row],[shipping]]+Table1[[#This Row],[Tax]])</f>
        <v>0</v>
      </c>
      <c r="Q160" s="40">
        <v>0</v>
      </c>
      <c r="R160" s="92">
        <f>Table1[[#This Row],[Quantity on order]]*(Table1[[#This Row],[Cost ]]+Table1[[#This Row],[shipping]]+Table1[[#This Row],[Tax]])</f>
        <v>0</v>
      </c>
      <c r="S1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0" s="49">
        <f>Table1[[#This Row],[Quantity  to  purchase]]+Table1[[#This Row],[Quantity purchased]]+Table1[[#This Row],[Quantity on order]]+Table1[[#This Row],[Quantity donated]]-Table1[[#This Row],[extended quantity]]</f>
        <v>0</v>
      </c>
      <c r="U1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0" s="51">
        <f>IFERROR(Table1[[#This Row],[Quantity  to  purchase]]*(Table1[[#This Row],[Cost ]]+Table1[[#This Row],[shipping]]+Table1[[#This Row],[Tax]]),0)</f>
        <v>0</v>
      </c>
      <c r="W160" s="36">
        <f>IFERROR(Table1[[#This Row],[leftover material]]*(Table1[[#This Row],[Cost ]]+Table1[[#This Row],[shipping]]+Table1[[#This Row],[Tax]]),0)</f>
        <v>0</v>
      </c>
      <c r="X160" s="36"/>
      <c r="Y160" s="84"/>
      <c r="Z160" s="84"/>
      <c r="AA160" s="84"/>
      <c r="AB160" s="36"/>
      <c r="AC160" s="36">
        <f>IF(ISNA(VLOOKUP(Table1[[#This Row],[Part Number]],'Multi-level BOM'!V$4:V$449,1,FALSE)),0,Table1[[#This Row],[Remaining Extended cost]])</f>
        <v>0</v>
      </c>
    </row>
    <row r="161" spans="1:29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80" t="str">
        <f>IF(Table1[[#This Row],[Buy-now costs]]&gt;0,"X","")</f>
        <v/>
      </c>
      <c r="M161" s="80"/>
      <c r="N161" s="80"/>
      <c r="O161" s="40">
        <v>0</v>
      </c>
      <c r="P161" s="94">
        <f>Table1[[#This Row],[quantity on-hand]]*(Table1[[#This Row],[Cost ]]+Table1[[#This Row],[shipping]]+Table1[[#This Row],[Tax]])</f>
        <v>0</v>
      </c>
      <c r="Q161" s="40">
        <v>0</v>
      </c>
      <c r="R161" s="92">
        <f>Table1[[#This Row],[Quantity on order]]*(Table1[[#This Row],[Cost ]]+Table1[[#This Row],[shipping]]+Table1[[#This Row],[Tax]])</f>
        <v>0</v>
      </c>
      <c r="S1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1" s="49">
        <f>Table1[[#This Row],[Quantity  to  purchase]]+Table1[[#This Row],[Quantity purchased]]+Table1[[#This Row],[Quantity on order]]+Table1[[#This Row],[Quantity donated]]-Table1[[#This Row],[extended quantity]]</f>
        <v>0</v>
      </c>
      <c r="U1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1" s="51">
        <f>IFERROR(Table1[[#This Row],[Quantity  to  purchase]]*(Table1[[#This Row],[Cost ]]+Table1[[#This Row],[shipping]]+Table1[[#This Row],[Tax]]),0)</f>
        <v>0</v>
      </c>
      <c r="W161" s="36">
        <f>IFERROR(Table1[[#This Row],[leftover material]]*(Table1[[#This Row],[Cost ]]+Table1[[#This Row],[shipping]]+Table1[[#This Row],[Tax]]),0)</f>
        <v>0</v>
      </c>
      <c r="X161" s="36"/>
      <c r="Y161" s="84"/>
      <c r="Z161" s="84"/>
      <c r="AA161" s="84"/>
      <c r="AB161" s="36"/>
      <c r="AC161" s="36">
        <f>IF(ISNA(VLOOKUP(Table1[[#This Row],[Part Number]],'Multi-level BOM'!V$4:V$449,1,FALSE)),0,Table1[[#This Row],[Remaining Extended cost]])</f>
        <v>0</v>
      </c>
    </row>
    <row r="162" spans="1:29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80" t="str">
        <f>IF(Table1[[#This Row],[Buy-now costs]]&gt;0,"X","")</f>
        <v/>
      </c>
      <c r="M162" s="80"/>
      <c r="N162" s="80"/>
      <c r="O162" s="40">
        <v>0</v>
      </c>
      <c r="P162" s="94">
        <f>Table1[[#This Row],[quantity on-hand]]*(Table1[[#This Row],[Cost ]]+Table1[[#This Row],[shipping]]+Table1[[#This Row],[Tax]])</f>
        <v>0</v>
      </c>
      <c r="Q162" s="40">
        <v>0</v>
      </c>
      <c r="R162" s="92">
        <f>Table1[[#This Row],[Quantity on order]]*(Table1[[#This Row],[Cost ]]+Table1[[#This Row],[shipping]]+Table1[[#This Row],[Tax]])</f>
        <v>0</v>
      </c>
      <c r="S1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2" s="49">
        <f>Table1[[#This Row],[Quantity  to  purchase]]+Table1[[#This Row],[Quantity purchased]]+Table1[[#This Row],[Quantity on order]]+Table1[[#This Row],[Quantity donated]]-Table1[[#This Row],[extended quantity]]</f>
        <v>0</v>
      </c>
      <c r="U1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2" s="51">
        <f>IFERROR(Table1[[#This Row],[Quantity  to  purchase]]*(Table1[[#This Row],[Cost ]]+Table1[[#This Row],[shipping]]+Table1[[#This Row],[Tax]]),0)</f>
        <v>0</v>
      </c>
      <c r="W162" s="36">
        <f>IFERROR(Table1[[#This Row],[leftover material]]*(Table1[[#This Row],[Cost ]]+Table1[[#This Row],[shipping]]+Table1[[#This Row],[Tax]]),0)</f>
        <v>0</v>
      </c>
      <c r="X162" s="36"/>
      <c r="Y162" s="84"/>
      <c r="Z162" s="84"/>
      <c r="AA162" s="84"/>
      <c r="AB162" s="36"/>
      <c r="AC162" s="36">
        <f>IF(ISNA(VLOOKUP(Table1[[#This Row],[Part Number]],'Multi-level BOM'!V$4:V$449,1,FALSE)),0,Table1[[#This Row],[Remaining Extended cost]])</f>
        <v>0</v>
      </c>
    </row>
    <row r="163" spans="1:29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80" t="str">
        <f>IF(Table1[[#This Row],[Buy-now costs]]&gt;0,"X","")</f>
        <v/>
      </c>
      <c r="M163" s="80"/>
      <c r="N163" s="80"/>
      <c r="O163" s="40">
        <v>0</v>
      </c>
      <c r="P163" s="94">
        <f>Table1[[#This Row],[quantity on-hand]]*(Table1[[#This Row],[Cost ]]+Table1[[#This Row],[shipping]]+Table1[[#This Row],[Tax]])</f>
        <v>0</v>
      </c>
      <c r="Q163" s="40">
        <v>0</v>
      </c>
      <c r="R163" s="92">
        <f>Table1[[#This Row],[Quantity on order]]*(Table1[[#This Row],[Cost ]]+Table1[[#This Row],[shipping]]+Table1[[#This Row],[Tax]])</f>
        <v>0</v>
      </c>
      <c r="S1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3" s="49">
        <f>Table1[[#This Row],[Quantity  to  purchase]]+Table1[[#This Row],[Quantity purchased]]+Table1[[#This Row],[Quantity on order]]+Table1[[#This Row],[Quantity donated]]-Table1[[#This Row],[extended quantity]]</f>
        <v>0</v>
      </c>
      <c r="U1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3" s="51">
        <f>IFERROR(Table1[[#This Row],[Quantity  to  purchase]]*(Table1[[#This Row],[Cost ]]+Table1[[#This Row],[shipping]]+Table1[[#This Row],[Tax]]),0)</f>
        <v>0</v>
      </c>
      <c r="W163" s="36">
        <f>IFERROR(Table1[[#This Row],[leftover material]]*(Table1[[#This Row],[Cost ]]+Table1[[#This Row],[shipping]]+Table1[[#This Row],[Tax]]),0)</f>
        <v>0</v>
      </c>
      <c r="X163" s="36"/>
      <c r="Y163" s="84"/>
      <c r="Z163" s="84"/>
      <c r="AA163" s="84"/>
      <c r="AB163" s="36"/>
      <c r="AC163" s="36">
        <f>IF(ISNA(VLOOKUP(Table1[[#This Row],[Part Number]],'Multi-level BOM'!V$4:V$449,1,FALSE)),0,Table1[[#This Row],[Remaining Extended cost]])</f>
        <v>0</v>
      </c>
    </row>
    <row r="164" spans="1:29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80" t="str">
        <f>IF(Table1[[#This Row],[Buy-now costs]]&gt;0,"X","")</f>
        <v/>
      </c>
      <c r="M164" s="80"/>
      <c r="N164" s="80"/>
      <c r="O164" s="40">
        <v>0</v>
      </c>
      <c r="P164" s="94">
        <f>Table1[[#This Row],[quantity on-hand]]*(Table1[[#This Row],[Cost ]]+Table1[[#This Row],[shipping]]+Table1[[#This Row],[Tax]])</f>
        <v>0</v>
      </c>
      <c r="Q164" s="40">
        <v>0</v>
      </c>
      <c r="R164" s="92">
        <f>Table1[[#This Row],[Quantity on order]]*(Table1[[#This Row],[Cost ]]+Table1[[#This Row],[shipping]]+Table1[[#This Row],[Tax]])</f>
        <v>0</v>
      </c>
      <c r="S1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4" s="49">
        <f>Table1[[#This Row],[Quantity  to  purchase]]+Table1[[#This Row],[Quantity purchased]]+Table1[[#This Row],[Quantity on order]]+Table1[[#This Row],[Quantity donated]]-Table1[[#This Row],[extended quantity]]</f>
        <v>0</v>
      </c>
      <c r="U1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4" s="51">
        <f>IFERROR(Table1[[#This Row],[Quantity  to  purchase]]*(Table1[[#This Row],[Cost ]]+Table1[[#This Row],[shipping]]+Table1[[#This Row],[Tax]]),0)</f>
        <v>0</v>
      </c>
      <c r="W164" s="36">
        <f>IFERROR(Table1[[#This Row],[leftover material]]*(Table1[[#This Row],[Cost ]]+Table1[[#This Row],[shipping]]+Table1[[#This Row],[Tax]]),0)</f>
        <v>0</v>
      </c>
      <c r="X164" s="36"/>
      <c r="Y164" s="84"/>
      <c r="Z164" s="84"/>
      <c r="AA164" s="84"/>
      <c r="AB164" s="36"/>
      <c r="AC164" s="36">
        <f>IF(ISNA(VLOOKUP(Table1[[#This Row],[Part Number]],'Multi-level BOM'!V$4:V$449,1,FALSE)),0,Table1[[#This Row],[Remaining Extended cost]])</f>
        <v>0</v>
      </c>
    </row>
    <row r="165" spans="1:29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80" t="str">
        <f>IF(Table1[[#This Row],[Buy-now costs]]&gt;0,"X","")</f>
        <v/>
      </c>
      <c r="M165" s="80"/>
      <c r="N165" s="80"/>
      <c r="O165" s="40">
        <v>0</v>
      </c>
      <c r="P165" s="94">
        <f>Table1[[#This Row],[quantity on-hand]]*(Table1[[#This Row],[Cost ]]+Table1[[#This Row],[shipping]]+Table1[[#This Row],[Tax]])</f>
        <v>0</v>
      </c>
      <c r="Q165" s="40">
        <v>0</v>
      </c>
      <c r="R165" s="92">
        <f>Table1[[#This Row],[Quantity on order]]*(Table1[[#This Row],[Cost ]]+Table1[[#This Row],[shipping]]+Table1[[#This Row],[Tax]])</f>
        <v>0</v>
      </c>
      <c r="S1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5" s="49">
        <f>Table1[[#This Row],[Quantity  to  purchase]]+Table1[[#This Row],[Quantity purchased]]+Table1[[#This Row],[Quantity on order]]+Table1[[#This Row],[Quantity donated]]-Table1[[#This Row],[extended quantity]]</f>
        <v>0</v>
      </c>
      <c r="U1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5" s="51">
        <f>IFERROR(Table1[[#This Row],[Quantity  to  purchase]]*(Table1[[#This Row],[Cost ]]+Table1[[#This Row],[shipping]]+Table1[[#This Row],[Tax]]),0)</f>
        <v>0</v>
      </c>
      <c r="W165" s="36">
        <f>IFERROR(Table1[[#This Row],[leftover material]]*(Table1[[#This Row],[Cost ]]+Table1[[#This Row],[shipping]]+Table1[[#This Row],[Tax]]),0)</f>
        <v>0</v>
      </c>
      <c r="X165" s="36"/>
      <c r="Y165" s="84"/>
      <c r="Z165" s="84"/>
      <c r="AA165" s="84"/>
      <c r="AB165" s="36"/>
      <c r="AC165" s="36">
        <f>IF(ISNA(VLOOKUP(Table1[[#This Row],[Part Number]],'Multi-level BOM'!V$4:V$449,1,FALSE)),0,Table1[[#This Row],[Remaining Extended cost]])</f>
        <v>0</v>
      </c>
    </row>
    <row r="166" spans="1:29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80" t="str">
        <f>IF(Table1[[#This Row],[Buy-now costs]]&gt;0,"X","")</f>
        <v/>
      </c>
      <c r="M166" s="80"/>
      <c r="N166" s="80"/>
      <c r="O166" s="40">
        <v>0</v>
      </c>
      <c r="P166" s="94">
        <f>Table1[[#This Row],[quantity on-hand]]*(Table1[[#This Row],[Cost ]]+Table1[[#This Row],[shipping]]+Table1[[#This Row],[Tax]])</f>
        <v>0</v>
      </c>
      <c r="Q166" s="40">
        <v>0</v>
      </c>
      <c r="R166" s="92">
        <f>Table1[[#This Row],[Quantity on order]]*(Table1[[#This Row],[Cost ]]+Table1[[#This Row],[shipping]]+Table1[[#This Row],[Tax]])</f>
        <v>0</v>
      </c>
      <c r="S1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6" s="49">
        <f>Table1[[#This Row],[Quantity  to  purchase]]+Table1[[#This Row],[Quantity purchased]]+Table1[[#This Row],[Quantity on order]]+Table1[[#This Row],[Quantity donated]]-Table1[[#This Row],[extended quantity]]</f>
        <v>0</v>
      </c>
      <c r="U1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6" s="51">
        <f>IFERROR(Table1[[#This Row],[Quantity  to  purchase]]*(Table1[[#This Row],[Cost ]]+Table1[[#This Row],[shipping]]+Table1[[#This Row],[Tax]]),0)</f>
        <v>0</v>
      </c>
      <c r="W166" s="36">
        <f>IFERROR(Table1[[#This Row],[leftover material]]*(Table1[[#This Row],[Cost ]]+Table1[[#This Row],[shipping]]+Table1[[#This Row],[Tax]]),0)</f>
        <v>0</v>
      </c>
      <c r="X166" s="36"/>
      <c r="Y166" s="84"/>
      <c r="Z166" s="84"/>
      <c r="AA166" s="84"/>
      <c r="AB166" s="36"/>
      <c r="AC166" s="36">
        <f>IF(ISNA(VLOOKUP(Table1[[#This Row],[Part Number]],'Multi-level BOM'!V$4:V$449,1,FALSE)),0,Table1[[#This Row],[Remaining Extended cost]])</f>
        <v>0</v>
      </c>
    </row>
    <row r="167" spans="1:29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80" t="str">
        <f>IF(Table1[[#This Row],[Buy-now costs]]&gt;0,"X","")</f>
        <v/>
      </c>
      <c r="M167" s="80"/>
      <c r="N167" s="80"/>
      <c r="O167" s="40">
        <v>0</v>
      </c>
      <c r="P167" s="94">
        <f>Table1[[#This Row],[quantity on-hand]]*(Table1[[#This Row],[Cost ]]+Table1[[#This Row],[shipping]]+Table1[[#This Row],[Tax]])</f>
        <v>0</v>
      </c>
      <c r="Q167" s="40">
        <v>0</v>
      </c>
      <c r="R167" s="92">
        <f>Table1[[#This Row],[Quantity on order]]*(Table1[[#This Row],[Cost ]]+Table1[[#This Row],[shipping]]+Table1[[#This Row],[Tax]])</f>
        <v>0</v>
      </c>
      <c r="S1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7" s="49">
        <f>Table1[[#This Row],[Quantity  to  purchase]]+Table1[[#This Row],[Quantity purchased]]+Table1[[#This Row],[Quantity on order]]+Table1[[#This Row],[Quantity donated]]-Table1[[#This Row],[extended quantity]]</f>
        <v>0</v>
      </c>
      <c r="U1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7" s="51">
        <f>IFERROR(Table1[[#This Row],[Quantity  to  purchase]]*(Table1[[#This Row],[Cost ]]+Table1[[#This Row],[shipping]]+Table1[[#This Row],[Tax]]),0)</f>
        <v>0</v>
      </c>
      <c r="W167" s="36">
        <f>IFERROR(Table1[[#This Row],[leftover material]]*(Table1[[#This Row],[Cost ]]+Table1[[#This Row],[shipping]]+Table1[[#This Row],[Tax]]),0)</f>
        <v>0</v>
      </c>
      <c r="X167" s="36"/>
      <c r="Y167" s="84"/>
      <c r="Z167" s="84"/>
      <c r="AA167" s="84"/>
      <c r="AB167" s="36"/>
      <c r="AC167" s="36">
        <f>IF(ISNA(VLOOKUP(Table1[[#This Row],[Part Number]],'Multi-level BOM'!V$4:V$449,1,FALSE)),0,Table1[[#This Row],[Remaining Extended cost]])</f>
        <v>0</v>
      </c>
    </row>
    <row r="168" spans="1:29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80" t="str">
        <f>IF(Table1[[#This Row],[Buy-now costs]]&gt;0,"X","")</f>
        <v/>
      </c>
      <c r="M168" s="80"/>
      <c r="N168" s="80"/>
      <c r="O168" s="40">
        <v>0</v>
      </c>
      <c r="P168" s="94">
        <f>Table1[[#This Row],[quantity on-hand]]*(Table1[[#This Row],[Cost ]]+Table1[[#This Row],[shipping]]+Table1[[#This Row],[Tax]])</f>
        <v>0</v>
      </c>
      <c r="Q168" s="40">
        <v>0</v>
      </c>
      <c r="R168" s="92">
        <f>Table1[[#This Row],[Quantity on order]]*(Table1[[#This Row],[Cost ]]+Table1[[#This Row],[shipping]]+Table1[[#This Row],[Tax]])</f>
        <v>0</v>
      </c>
      <c r="S1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8" s="49">
        <f>Table1[[#This Row],[Quantity  to  purchase]]+Table1[[#This Row],[Quantity purchased]]+Table1[[#This Row],[Quantity on order]]+Table1[[#This Row],[Quantity donated]]-Table1[[#This Row],[extended quantity]]</f>
        <v>0</v>
      </c>
      <c r="U1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8" s="51">
        <f>IFERROR(Table1[[#This Row],[Quantity  to  purchase]]*(Table1[[#This Row],[Cost ]]+Table1[[#This Row],[shipping]]+Table1[[#This Row],[Tax]]),0)</f>
        <v>0</v>
      </c>
      <c r="W168" s="36">
        <f>IFERROR(Table1[[#This Row],[leftover material]]*(Table1[[#This Row],[Cost ]]+Table1[[#This Row],[shipping]]+Table1[[#This Row],[Tax]]),0)</f>
        <v>0</v>
      </c>
      <c r="X168" s="36"/>
      <c r="Y168" s="84"/>
      <c r="Z168" s="84"/>
      <c r="AA168" s="84"/>
      <c r="AB168" s="36"/>
      <c r="AC168" s="36">
        <f>IF(ISNA(VLOOKUP(Table1[[#This Row],[Part Number]],'Multi-level BOM'!V$4:V$449,1,FALSE)),0,Table1[[#This Row],[Remaining Extended cost]])</f>
        <v>0</v>
      </c>
    </row>
    <row r="169" spans="1:29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80" t="str">
        <f>IF(Table1[[#This Row],[Buy-now costs]]&gt;0,"X","")</f>
        <v/>
      </c>
      <c r="M169" s="80"/>
      <c r="N169" s="80"/>
      <c r="O169" s="40">
        <v>0</v>
      </c>
      <c r="P169" s="94">
        <f>Table1[[#This Row],[quantity on-hand]]*(Table1[[#This Row],[Cost ]]+Table1[[#This Row],[shipping]]+Table1[[#This Row],[Tax]])</f>
        <v>0</v>
      </c>
      <c r="Q169" s="40">
        <v>0</v>
      </c>
      <c r="R169" s="92">
        <f>Table1[[#This Row],[Quantity on order]]*(Table1[[#This Row],[Cost ]]+Table1[[#This Row],[shipping]]+Table1[[#This Row],[Tax]])</f>
        <v>0</v>
      </c>
      <c r="S1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9" s="49">
        <f>Table1[[#This Row],[Quantity  to  purchase]]+Table1[[#This Row],[Quantity purchased]]+Table1[[#This Row],[Quantity on order]]+Table1[[#This Row],[Quantity donated]]-Table1[[#This Row],[extended quantity]]</f>
        <v>0</v>
      </c>
      <c r="U1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9" s="51">
        <f>IFERROR(Table1[[#This Row],[Quantity  to  purchase]]*(Table1[[#This Row],[Cost ]]+Table1[[#This Row],[shipping]]+Table1[[#This Row],[Tax]]),0)</f>
        <v>0</v>
      </c>
      <c r="W169" s="36">
        <f>IFERROR(Table1[[#This Row],[leftover material]]*(Table1[[#This Row],[Cost ]]+Table1[[#This Row],[shipping]]+Table1[[#This Row],[Tax]]),0)</f>
        <v>0</v>
      </c>
      <c r="X169" s="36"/>
      <c r="Y169" s="84"/>
      <c r="Z169" s="84"/>
      <c r="AA169" s="84"/>
      <c r="AB169" s="36"/>
      <c r="AC169" s="36">
        <f>IF(ISNA(VLOOKUP(Table1[[#This Row],[Part Number]],'Multi-level BOM'!V$4:V$449,1,FALSE)),0,Table1[[#This Row],[Remaining Extended cost]])</f>
        <v>0</v>
      </c>
    </row>
    <row r="170" spans="1:29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80" t="str">
        <f>IF(Table1[[#This Row],[Buy-now costs]]&gt;0,"X","")</f>
        <v/>
      </c>
      <c r="M170" s="80"/>
      <c r="N170" s="80"/>
      <c r="O170" s="40">
        <v>0</v>
      </c>
      <c r="P170" s="94">
        <f>Table1[[#This Row],[quantity on-hand]]*(Table1[[#This Row],[Cost ]]+Table1[[#This Row],[shipping]]+Table1[[#This Row],[Tax]])</f>
        <v>0</v>
      </c>
      <c r="Q170" s="40">
        <v>0</v>
      </c>
      <c r="R170" s="92">
        <f>Table1[[#This Row],[Quantity on order]]*(Table1[[#This Row],[Cost ]]+Table1[[#This Row],[shipping]]+Table1[[#This Row],[Tax]])</f>
        <v>0</v>
      </c>
      <c r="S1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0" s="49">
        <f>Table1[[#This Row],[Quantity  to  purchase]]+Table1[[#This Row],[Quantity purchased]]+Table1[[#This Row],[Quantity on order]]+Table1[[#This Row],[Quantity donated]]-Table1[[#This Row],[extended quantity]]</f>
        <v>0</v>
      </c>
      <c r="U1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0" s="51">
        <f>IFERROR(Table1[[#This Row],[Quantity  to  purchase]]*(Table1[[#This Row],[Cost ]]+Table1[[#This Row],[shipping]]+Table1[[#This Row],[Tax]]),0)</f>
        <v>0</v>
      </c>
      <c r="W170" s="36">
        <f>IFERROR(Table1[[#This Row],[leftover material]]*(Table1[[#This Row],[Cost ]]+Table1[[#This Row],[shipping]]+Table1[[#This Row],[Tax]]),0)</f>
        <v>0</v>
      </c>
      <c r="X170" s="36"/>
      <c r="Y170" s="84"/>
      <c r="Z170" s="84"/>
      <c r="AA170" s="84"/>
      <c r="AB170" s="36"/>
      <c r="AC170" s="36">
        <f>IF(ISNA(VLOOKUP(Table1[[#This Row],[Part Number]],'Multi-level BOM'!V$4:V$449,1,FALSE)),0,Table1[[#This Row],[Remaining Extended cost]])</f>
        <v>0</v>
      </c>
    </row>
    <row r="171" spans="1:29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80" t="str">
        <f>IF(Table1[[#This Row],[Buy-now costs]]&gt;0,"X","")</f>
        <v/>
      </c>
      <c r="M171" s="80"/>
      <c r="N171" s="80"/>
      <c r="O171" s="40">
        <v>0</v>
      </c>
      <c r="P171" s="94">
        <f>Table1[[#This Row],[quantity on-hand]]*(Table1[[#This Row],[Cost ]]+Table1[[#This Row],[shipping]]+Table1[[#This Row],[Tax]])</f>
        <v>0</v>
      </c>
      <c r="Q171" s="40">
        <v>0</v>
      </c>
      <c r="R171" s="92">
        <f>Table1[[#This Row],[Quantity on order]]*(Table1[[#This Row],[Cost ]]+Table1[[#This Row],[shipping]]+Table1[[#This Row],[Tax]])</f>
        <v>0</v>
      </c>
      <c r="S1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1" s="49">
        <f>Table1[[#This Row],[Quantity  to  purchase]]+Table1[[#This Row],[Quantity purchased]]+Table1[[#This Row],[Quantity on order]]+Table1[[#This Row],[Quantity donated]]-Table1[[#This Row],[extended quantity]]</f>
        <v>0</v>
      </c>
      <c r="U1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1" s="51">
        <f>IFERROR(Table1[[#This Row],[Quantity  to  purchase]]*(Table1[[#This Row],[Cost ]]+Table1[[#This Row],[shipping]]+Table1[[#This Row],[Tax]]),0)</f>
        <v>0</v>
      </c>
      <c r="W171" s="36">
        <f>IFERROR(Table1[[#This Row],[leftover material]]*(Table1[[#This Row],[Cost ]]+Table1[[#This Row],[shipping]]+Table1[[#This Row],[Tax]]),0)</f>
        <v>0</v>
      </c>
      <c r="X171" s="36"/>
      <c r="Y171" s="84"/>
      <c r="Z171" s="84"/>
      <c r="AA171" s="84"/>
      <c r="AB171" s="36"/>
      <c r="AC171" s="36">
        <f>IF(ISNA(VLOOKUP(Table1[[#This Row],[Part Number]],'Multi-level BOM'!V$4:V$449,1,FALSE)),0,Table1[[#This Row],[Remaining Extended cost]])</f>
        <v>0</v>
      </c>
    </row>
    <row r="172" spans="1:29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80" t="str">
        <f>IF(Table1[[#This Row],[Buy-now costs]]&gt;0,"X","")</f>
        <v/>
      </c>
      <c r="M172" s="80"/>
      <c r="N172" s="80"/>
      <c r="O172" s="40">
        <v>0</v>
      </c>
      <c r="P172" s="94">
        <f>Table1[[#This Row],[quantity on-hand]]*(Table1[[#This Row],[Cost ]]+Table1[[#This Row],[shipping]]+Table1[[#This Row],[Tax]])</f>
        <v>0</v>
      </c>
      <c r="Q172" s="40">
        <v>0</v>
      </c>
      <c r="R172" s="92">
        <f>Table1[[#This Row],[Quantity on order]]*(Table1[[#This Row],[Cost ]]+Table1[[#This Row],[shipping]]+Table1[[#This Row],[Tax]])</f>
        <v>0</v>
      </c>
      <c r="S1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2" s="49">
        <f>Table1[[#This Row],[Quantity  to  purchase]]+Table1[[#This Row],[Quantity purchased]]+Table1[[#This Row],[Quantity on order]]+Table1[[#This Row],[Quantity donated]]-Table1[[#This Row],[extended quantity]]</f>
        <v>0</v>
      </c>
      <c r="U1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2" s="51">
        <f>IFERROR(Table1[[#This Row],[Quantity  to  purchase]]*(Table1[[#This Row],[Cost ]]+Table1[[#This Row],[shipping]]+Table1[[#This Row],[Tax]]),0)</f>
        <v>0</v>
      </c>
      <c r="W172" s="36">
        <f>IFERROR(Table1[[#This Row],[leftover material]]*(Table1[[#This Row],[Cost ]]+Table1[[#This Row],[shipping]]+Table1[[#This Row],[Tax]]),0)</f>
        <v>0</v>
      </c>
      <c r="X172" s="36"/>
      <c r="Y172" s="84"/>
      <c r="Z172" s="84"/>
      <c r="AA172" s="84"/>
      <c r="AB172" s="36"/>
      <c r="AC172" s="36">
        <f>IF(ISNA(VLOOKUP(Table1[[#This Row],[Part Number]],'Multi-level BOM'!V$4:V$449,1,FALSE)),0,Table1[[#This Row],[Remaining Extended cost]])</f>
        <v>0</v>
      </c>
    </row>
    <row r="173" spans="1:29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80" t="str">
        <f>IF(Table1[[#This Row],[Buy-now costs]]&gt;0,"X","")</f>
        <v/>
      </c>
      <c r="M173" s="80"/>
      <c r="N173" s="80"/>
      <c r="O173" s="40">
        <v>0</v>
      </c>
      <c r="P173" s="94">
        <f>Table1[[#This Row],[quantity on-hand]]*(Table1[[#This Row],[Cost ]]+Table1[[#This Row],[shipping]]+Table1[[#This Row],[Tax]])</f>
        <v>0</v>
      </c>
      <c r="Q173" s="40">
        <v>0</v>
      </c>
      <c r="R173" s="92">
        <f>Table1[[#This Row],[Quantity on order]]*(Table1[[#This Row],[Cost ]]+Table1[[#This Row],[shipping]]+Table1[[#This Row],[Tax]])</f>
        <v>0</v>
      </c>
      <c r="S1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3" s="49">
        <f>Table1[[#This Row],[Quantity  to  purchase]]+Table1[[#This Row],[Quantity purchased]]+Table1[[#This Row],[Quantity on order]]+Table1[[#This Row],[Quantity donated]]-Table1[[#This Row],[extended quantity]]</f>
        <v>0</v>
      </c>
      <c r="U1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3" s="51">
        <f>IFERROR(Table1[[#This Row],[Quantity  to  purchase]]*(Table1[[#This Row],[Cost ]]+Table1[[#This Row],[shipping]]+Table1[[#This Row],[Tax]]),0)</f>
        <v>0</v>
      </c>
      <c r="W173" s="36">
        <f>IFERROR(Table1[[#This Row],[leftover material]]*(Table1[[#This Row],[Cost ]]+Table1[[#This Row],[shipping]]+Table1[[#This Row],[Tax]]),0)</f>
        <v>0</v>
      </c>
      <c r="X173" s="36"/>
      <c r="Y173" s="84"/>
      <c r="Z173" s="84"/>
      <c r="AA173" s="84"/>
      <c r="AB173" s="36"/>
      <c r="AC173" s="36">
        <f>IF(ISNA(VLOOKUP(Table1[[#This Row],[Part Number]],'Multi-level BOM'!V$4:V$449,1,FALSE)),0,Table1[[#This Row],[Remaining Extended cost]])</f>
        <v>0</v>
      </c>
    </row>
    <row r="174" spans="1:29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80" t="str">
        <f>IF(Table1[[#This Row],[Buy-now costs]]&gt;0,"X","")</f>
        <v/>
      </c>
      <c r="M174" s="80"/>
      <c r="N174" s="80"/>
      <c r="O174" s="40">
        <v>0</v>
      </c>
      <c r="P174" s="94">
        <f>Table1[[#This Row],[quantity on-hand]]*(Table1[[#This Row],[Cost ]]+Table1[[#This Row],[shipping]]+Table1[[#This Row],[Tax]])</f>
        <v>0</v>
      </c>
      <c r="Q174" s="40">
        <v>0</v>
      </c>
      <c r="R174" s="92">
        <f>Table1[[#This Row],[Quantity on order]]*(Table1[[#This Row],[Cost ]]+Table1[[#This Row],[shipping]]+Table1[[#This Row],[Tax]])</f>
        <v>0</v>
      </c>
      <c r="S1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4" s="49">
        <f>Table1[[#This Row],[Quantity  to  purchase]]+Table1[[#This Row],[Quantity purchased]]+Table1[[#This Row],[Quantity on order]]+Table1[[#This Row],[Quantity donated]]-Table1[[#This Row],[extended quantity]]</f>
        <v>0</v>
      </c>
      <c r="U1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4" s="51">
        <f>IFERROR(Table1[[#This Row],[Quantity  to  purchase]]*(Table1[[#This Row],[Cost ]]+Table1[[#This Row],[shipping]]+Table1[[#This Row],[Tax]]),0)</f>
        <v>0</v>
      </c>
      <c r="W174" s="36">
        <f>IFERROR(Table1[[#This Row],[leftover material]]*(Table1[[#This Row],[Cost ]]+Table1[[#This Row],[shipping]]+Table1[[#This Row],[Tax]]),0)</f>
        <v>0</v>
      </c>
      <c r="X174" s="36"/>
      <c r="Y174" s="84"/>
      <c r="Z174" s="84"/>
      <c r="AA174" s="84"/>
      <c r="AB174" s="36"/>
      <c r="AC174" s="36">
        <f>IF(ISNA(VLOOKUP(Table1[[#This Row],[Part Number]],'Multi-level BOM'!V$4:V$449,1,FALSE)),0,Table1[[#This Row],[Remaining Extended cost]])</f>
        <v>0</v>
      </c>
    </row>
    <row r="175" spans="1:29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80" t="str">
        <f>IF(Table1[[#This Row],[Buy-now costs]]&gt;0,"X","")</f>
        <v/>
      </c>
      <c r="M175" s="80"/>
      <c r="N175" s="80"/>
      <c r="O175" s="40">
        <v>0</v>
      </c>
      <c r="P175" s="94">
        <f>Table1[[#This Row],[quantity on-hand]]*(Table1[[#This Row],[Cost ]]+Table1[[#This Row],[shipping]]+Table1[[#This Row],[Tax]])</f>
        <v>0</v>
      </c>
      <c r="Q175" s="40">
        <v>0</v>
      </c>
      <c r="R175" s="92">
        <f>Table1[[#This Row],[Quantity on order]]*(Table1[[#This Row],[Cost ]]+Table1[[#This Row],[shipping]]+Table1[[#This Row],[Tax]])</f>
        <v>0</v>
      </c>
      <c r="S1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5" s="49">
        <f>Table1[[#This Row],[Quantity  to  purchase]]+Table1[[#This Row],[Quantity purchased]]+Table1[[#This Row],[Quantity on order]]+Table1[[#This Row],[Quantity donated]]-Table1[[#This Row],[extended quantity]]</f>
        <v>0</v>
      </c>
      <c r="U1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5" s="51">
        <f>IFERROR(Table1[[#This Row],[Quantity  to  purchase]]*(Table1[[#This Row],[Cost ]]+Table1[[#This Row],[shipping]]+Table1[[#This Row],[Tax]]),0)</f>
        <v>0</v>
      </c>
      <c r="W175" s="36">
        <f>IFERROR(Table1[[#This Row],[leftover material]]*(Table1[[#This Row],[Cost ]]+Table1[[#This Row],[shipping]]+Table1[[#This Row],[Tax]]),0)</f>
        <v>0</v>
      </c>
      <c r="X175" s="36"/>
      <c r="Y175" s="84"/>
      <c r="Z175" s="84"/>
      <c r="AA175" s="84"/>
      <c r="AB175" s="36"/>
      <c r="AC175" s="36">
        <f>IF(ISNA(VLOOKUP(Table1[[#This Row],[Part Number]],'Multi-level BOM'!V$4:V$449,1,FALSE)),0,Table1[[#This Row],[Remaining Extended cost]])</f>
        <v>0</v>
      </c>
    </row>
    <row r="176" spans="1:29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80" t="str">
        <f>IF(Table1[[#This Row],[Buy-now costs]]&gt;0,"X","")</f>
        <v/>
      </c>
      <c r="M176" s="80"/>
      <c r="N176" s="80"/>
      <c r="O176" s="40">
        <v>0</v>
      </c>
      <c r="P176" s="94">
        <f>Table1[[#This Row],[quantity on-hand]]*(Table1[[#This Row],[Cost ]]+Table1[[#This Row],[shipping]]+Table1[[#This Row],[Tax]])</f>
        <v>0</v>
      </c>
      <c r="Q176" s="40">
        <v>0</v>
      </c>
      <c r="R176" s="92">
        <f>Table1[[#This Row],[Quantity on order]]*(Table1[[#This Row],[Cost ]]+Table1[[#This Row],[shipping]]+Table1[[#This Row],[Tax]])</f>
        <v>0</v>
      </c>
      <c r="S1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6" s="49">
        <f>Table1[[#This Row],[Quantity  to  purchase]]+Table1[[#This Row],[Quantity purchased]]+Table1[[#This Row],[Quantity on order]]+Table1[[#This Row],[Quantity donated]]-Table1[[#This Row],[extended quantity]]</f>
        <v>0</v>
      </c>
      <c r="U1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6" s="51">
        <f>IFERROR(Table1[[#This Row],[Quantity  to  purchase]]*(Table1[[#This Row],[Cost ]]+Table1[[#This Row],[shipping]]+Table1[[#This Row],[Tax]]),0)</f>
        <v>0</v>
      </c>
      <c r="W176" s="36">
        <f>IFERROR(Table1[[#This Row],[leftover material]]*(Table1[[#This Row],[Cost ]]+Table1[[#This Row],[shipping]]+Table1[[#This Row],[Tax]]),0)</f>
        <v>0</v>
      </c>
      <c r="X176" s="36"/>
      <c r="Y176" s="84"/>
      <c r="Z176" s="84"/>
      <c r="AA176" s="84"/>
      <c r="AB176" s="36"/>
      <c r="AC176" s="36">
        <f>IF(ISNA(VLOOKUP(Table1[[#This Row],[Part Number]],'Multi-level BOM'!V$4:V$449,1,FALSE)),0,Table1[[#This Row],[Remaining Extended cost]])</f>
        <v>0</v>
      </c>
    </row>
    <row r="177" spans="1:29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80" t="str">
        <f>IF(Table1[[#This Row],[Buy-now costs]]&gt;0,"X","")</f>
        <v/>
      </c>
      <c r="M177" s="80"/>
      <c r="N177" s="80"/>
      <c r="O177" s="40">
        <v>0</v>
      </c>
      <c r="P177" s="94">
        <f>Table1[[#This Row],[quantity on-hand]]*(Table1[[#This Row],[Cost ]]+Table1[[#This Row],[shipping]]+Table1[[#This Row],[Tax]])</f>
        <v>0</v>
      </c>
      <c r="Q177" s="40">
        <v>0</v>
      </c>
      <c r="R177" s="92">
        <f>Table1[[#This Row],[Quantity on order]]*(Table1[[#This Row],[Cost ]]+Table1[[#This Row],[shipping]]+Table1[[#This Row],[Tax]])</f>
        <v>0</v>
      </c>
      <c r="S1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7" s="49">
        <f>Table1[[#This Row],[Quantity  to  purchase]]+Table1[[#This Row],[Quantity purchased]]+Table1[[#This Row],[Quantity on order]]+Table1[[#This Row],[Quantity donated]]-Table1[[#This Row],[extended quantity]]</f>
        <v>0</v>
      </c>
      <c r="U1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7" s="51">
        <f>IFERROR(Table1[[#This Row],[Quantity  to  purchase]]*(Table1[[#This Row],[Cost ]]+Table1[[#This Row],[shipping]]+Table1[[#This Row],[Tax]]),0)</f>
        <v>0</v>
      </c>
      <c r="W177" s="36">
        <f>IFERROR(Table1[[#This Row],[leftover material]]*(Table1[[#This Row],[Cost ]]+Table1[[#This Row],[shipping]]+Table1[[#This Row],[Tax]]),0)</f>
        <v>0</v>
      </c>
      <c r="X177" s="36"/>
      <c r="Y177" s="84"/>
      <c r="Z177" s="84"/>
      <c r="AA177" s="84"/>
      <c r="AB177" s="36"/>
      <c r="AC177" s="36">
        <f>IF(ISNA(VLOOKUP(Table1[[#This Row],[Part Number]],'Multi-level BOM'!V$4:V$449,1,FALSE)),0,Table1[[#This Row],[Remaining Extended cost]])</f>
        <v>0</v>
      </c>
    </row>
    <row r="178" spans="1:29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80" t="str">
        <f>IF(Table1[[#This Row],[Buy-now costs]]&gt;0,"X","")</f>
        <v/>
      </c>
      <c r="M178" s="80"/>
      <c r="N178" s="80"/>
      <c r="O178" s="40">
        <v>0</v>
      </c>
      <c r="P178" s="94">
        <f>Table1[[#This Row],[quantity on-hand]]*(Table1[[#This Row],[Cost ]]+Table1[[#This Row],[shipping]]+Table1[[#This Row],[Tax]])</f>
        <v>0</v>
      </c>
      <c r="Q178" s="40">
        <v>0</v>
      </c>
      <c r="R178" s="92">
        <f>Table1[[#This Row],[Quantity on order]]*(Table1[[#This Row],[Cost ]]+Table1[[#This Row],[shipping]]+Table1[[#This Row],[Tax]])</f>
        <v>0</v>
      </c>
      <c r="S1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8" s="49">
        <f>Table1[[#This Row],[Quantity  to  purchase]]+Table1[[#This Row],[Quantity purchased]]+Table1[[#This Row],[Quantity on order]]+Table1[[#This Row],[Quantity donated]]-Table1[[#This Row],[extended quantity]]</f>
        <v>0</v>
      </c>
      <c r="U1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8" s="51">
        <f>IFERROR(Table1[[#This Row],[Quantity  to  purchase]]*(Table1[[#This Row],[Cost ]]+Table1[[#This Row],[shipping]]+Table1[[#This Row],[Tax]]),0)</f>
        <v>0</v>
      </c>
      <c r="W178" s="36">
        <f>IFERROR(Table1[[#This Row],[leftover material]]*(Table1[[#This Row],[Cost ]]+Table1[[#This Row],[shipping]]+Table1[[#This Row],[Tax]]),0)</f>
        <v>0</v>
      </c>
      <c r="X178" s="36"/>
      <c r="Y178" s="84"/>
      <c r="Z178" s="84"/>
      <c r="AA178" s="84"/>
      <c r="AB178" s="36"/>
      <c r="AC178" s="36">
        <f>IF(ISNA(VLOOKUP(Table1[[#This Row],[Part Number]],'Multi-level BOM'!V$4:V$449,1,FALSE)),0,Table1[[#This Row],[Remaining Extended cost]])</f>
        <v>0</v>
      </c>
    </row>
    <row r="179" spans="1:29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80" t="str">
        <f>IF(Table1[[#This Row],[Buy-now costs]]&gt;0,"X","")</f>
        <v/>
      </c>
      <c r="M179" s="80"/>
      <c r="N179" s="80"/>
      <c r="O179" s="40">
        <v>0</v>
      </c>
      <c r="P179" s="94">
        <f>Table1[[#This Row],[quantity on-hand]]*(Table1[[#This Row],[Cost ]]+Table1[[#This Row],[shipping]]+Table1[[#This Row],[Tax]])</f>
        <v>0</v>
      </c>
      <c r="Q179" s="40">
        <v>0</v>
      </c>
      <c r="R179" s="92">
        <f>Table1[[#This Row],[Quantity on order]]*(Table1[[#This Row],[Cost ]]+Table1[[#This Row],[shipping]]+Table1[[#This Row],[Tax]])</f>
        <v>0</v>
      </c>
      <c r="S1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9" s="49">
        <f>Table1[[#This Row],[Quantity  to  purchase]]+Table1[[#This Row],[Quantity purchased]]+Table1[[#This Row],[Quantity on order]]+Table1[[#This Row],[Quantity donated]]-Table1[[#This Row],[extended quantity]]</f>
        <v>0</v>
      </c>
      <c r="U1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9" s="51">
        <f>IFERROR(Table1[[#This Row],[Quantity  to  purchase]]*(Table1[[#This Row],[Cost ]]+Table1[[#This Row],[shipping]]+Table1[[#This Row],[Tax]]),0)</f>
        <v>0</v>
      </c>
      <c r="W179" s="36">
        <f>IFERROR(Table1[[#This Row],[leftover material]]*(Table1[[#This Row],[Cost ]]+Table1[[#This Row],[shipping]]+Table1[[#This Row],[Tax]]),0)</f>
        <v>0</v>
      </c>
      <c r="X179" s="36"/>
      <c r="Y179" s="84"/>
      <c r="Z179" s="84"/>
      <c r="AA179" s="84"/>
      <c r="AB179" s="36"/>
      <c r="AC179" s="36">
        <f>IF(ISNA(VLOOKUP(Table1[[#This Row],[Part Number]],'Multi-level BOM'!V$4:V$449,1,FALSE)),0,Table1[[#This Row],[Remaining Extended cost]])</f>
        <v>0</v>
      </c>
    </row>
    <row r="180" spans="1:29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80" t="str">
        <f>IF(Table1[[#This Row],[Buy-now costs]]&gt;0,"X","")</f>
        <v/>
      </c>
      <c r="M180" s="80"/>
      <c r="N180" s="80"/>
      <c r="O180" s="40">
        <v>0</v>
      </c>
      <c r="P180" s="94">
        <f>Table1[[#This Row],[quantity on-hand]]*(Table1[[#This Row],[Cost ]]+Table1[[#This Row],[shipping]]+Table1[[#This Row],[Tax]])</f>
        <v>0</v>
      </c>
      <c r="Q180" s="40">
        <v>0</v>
      </c>
      <c r="R180" s="92">
        <f>Table1[[#This Row],[Quantity on order]]*(Table1[[#This Row],[Cost ]]+Table1[[#This Row],[shipping]]+Table1[[#This Row],[Tax]])</f>
        <v>0</v>
      </c>
      <c r="S1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0" s="49">
        <f>Table1[[#This Row],[Quantity  to  purchase]]+Table1[[#This Row],[Quantity purchased]]+Table1[[#This Row],[Quantity on order]]+Table1[[#This Row],[Quantity donated]]-Table1[[#This Row],[extended quantity]]</f>
        <v>0</v>
      </c>
      <c r="U1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0" s="51">
        <f>IFERROR(Table1[[#This Row],[Quantity  to  purchase]]*(Table1[[#This Row],[Cost ]]+Table1[[#This Row],[shipping]]+Table1[[#This Row],[Tax]]),0)</f>
        <v>0</v>
      </c>
      <c r="W180" s="36">
        <f>IFERROR(Table1[[#This Row],[leftover material]]*(Table1[[#This Row],[Cost ]]+Table1[[#This Row],[shipping]]+Table1[[#This Row],[Tax]]),0)</f>
        <v>0</v>
      </c>
      <c r="X180" s="36"/>
      <c r="Y180" s="84"/>
      <c r="Z180" s="84"/>
      <c r="AA180" s="84"/>
      <c r="AB180" s="36"/>
      <c r="AC180" s="36">
        <f>IF(ISNA(VLOOKUP(Table1[[#This Row],[Part Number]],'Multi-level BOM'!V$4:V$449,1,FALSE)),0,Table1[[#This Row],[Remaining Extended cost]])</f>
        <v>0</v>
      </c>
    </row>
    <row r="181" spans="1:29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80" t="str">
        <f>IF(Table1[[#This Row],[Buy-now costs]]&gt;0,"X","")</f>
        <v/>
      </c>
      <c r="M181" s="80"/>
      <c r="N181" s="80"/>
      <c r="O181" s="40">
        <v>0</v>
      </c>
      <c r="P181" s="94">
        <f>Table1[[#This Row],[quantity on-hand]]*(Table1[[#This Row],[Cost ]]+Table1[[#This Row],[shipping]]+Table1[[#This Row],[Tax]])</f>
        <v>0</v>
      </c>
      <c r="Q181" s="40">
        <v>0</v>
      </c>
      <c r="R181" s="92">
        <f>Table1[[#This Row],[Quantity on order]]*(Table1[[#This Row],[Cost ]]+Table1[[#This Row],[shipping]]+Table1[[#This Row],[Tax]])</f>
        <v>0</v>
      </c>
      <c r="S1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1" s="49">
        <f>Table1[[#This Row],[Quantity  to  purchase]]+Table1[[#This Row],[Quantity purchased]]+Table1[[#This Row],[Quantity on order]]+Table1[[#This Row],[Quantity donated]]-Table1[[#This Row],[extended quantity]]</f>
        <v>0</v>
      </c>
      <c r="U1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1" s="51">
        <f>IFERROR(Table1[[#This Row],[Quantity  to  purchase]]*(Table1[[#This Row],[Cost ]]+Table1[[#This Row],[shipping]]+Table1[[#This Row],[Tax]]),0)</f>
        <v>0</v>
      </c>
      <c r="W181" s="36">
        <f>IFERROR(Table1[[#This Row],[leftover material]]*(Table1[[#This Row],[Cost ]]+Table1[[#This Row],[shipping]]+Table1[[#This Row],[Tax]]),0)</f>
        <v>0</v>
      </c>
      <c r="X181" s="36"/>
      <c r="Y181" s="84"/>
      <c r="Z181" s="84"/>
      <c r="AA181" s="84"/>
      <c r="AB181" s="36"/>
      <c r="AC181" s="36">
        <f>IF(ISNA(VLOOKUP(Table1[[#This Row],[Part Number]],'Multi-level BOM'!V$4:V$449,1,FALSE)),0,Table1[[#This Row],[Remaining Extended cost]])</f>
        <v>0</v>
      </c>
    </row>
    <row r="182" spans="1:29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80" t="str">
        <f>IF(Table1[[#This Row],[Buy-now costs]]&gt;0,"X","")</f>
        <v/>
      </c>
      <c r="M182" s="80"/>
      <c r="N182" s="80"/>
      <c r="O182" s="40">
        <v>0</v>
      </c>
      <c r="P182" s="94">
        <f>Table1[[#This Row],[quantity on-hand]]*(Table1[[#This Row],[Cost ]]+Table1[[#This Row],[shipping]]+Table1[[#This Row],[Tax]])</f>
        <v>0</v>
      </c>
      <c r="Q182" s="40">
        <v>0</v>
      </c>
      <c r="R182" s="92">
        <f>Table1[[#This Row],[Quantity on order]]*(Table1[[#This Row],[Cost ]]+Table1[[#This Row],[shipping]]+Table1[[#This Row],[Tax]])</f>
        <v>0</v>
      </c>
      <c r="S1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2" s="49">
        <f>Table1[[#This Row],[Quantity  to  purchase]]+Table1[[#This Row],[Quantity purchased]]+Table1[[#This Row],[Quantity on order]]+Table1[[#This Row],[Quantity donated]]-Table1[[#This Row],[extended quantity]]</f>
        <v>0</v>
      </c>
      <c r="U1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2" s="51">
        <f>IFERROR(Table1[[#This Row],[Quantity  to  purchase]]*(Table1[[#This Row],[Cost ]]+Table1[[#This Row],[shipping]]+Table1[[#This Row],[Tax]]),0)</f>
        <v>0</v>
      </c>
      <c r="W182" s="36">
        <f>IFERROR(Table1[[#This Row],[leftover material]]*(Table1[[#This Row],[Cost ]]+Table1[[#This Row],[shipping]]+Table1[[#This Row],[Tax]]),0)</f>
        <v>0</v>
      </c>
      <c r="X182" s="36"/>
      <c r="Y182" s="84"/>
      <c r="Z182" s="84"/>
      <c r="AA182" s="84"/>
      <c r="AB182" s="36"/>
      <c r="AC182" s="36">
        <f>IF(ISNA(VLOOKUP(Table1[[#This Row],[Part Number]],'Multi-level BOM'!V$4:V$449,1,FALSE)),0,Table1[[#This Row],[Remaining Extended cost]])</f>
        <v>0</v>
      </c>
    </row>
    <row r="183" spans="1:29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80" t="str">
        <f>IF(Table1[[#This Row],[Buy-now costs]]&gt;0,"X","")</f>
        <v/>
      </c>
      <c r="M183" s="80"/>
      <c r="N183" s="80"/>
      <c r="O183" s="40">
        <v>0</v>
      </c>
      <c r="P183" s="94">
        <f>Table1[[#This Row],[quantity on-hand]]*(Table1[[#This Row],[Cost ]]+Table1[[#This Row],[shipping]]+Table1[[#This Row],[Tax]])</f>
        <v>0</v>
      </c>
      <c r="Q183" s="40">
        <v>0</v>
      </c>
      <c r="R183" s="92">
        <f>Table1[[#This Row],[Quantity on order]]*(Table1[[#This Row],[Cost ]]+Table1[[#This Row],[shipping]]+Table1[[#This Row],[Tax]])</f>
        <v>0</v>
      </c>
      <c r="S1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3" s="49">
        <f>Table1[[#This Row],[Quantity  to  purchase]]+Table1[[#This Row],[Quantity purchased]]+Table1[[#This Row],[Quantity on order]]+Table1[[#This Row],[Quantity donated]]-Table1[[#This Row],[extended quantity]]</f>
        <v>0</v>
      </c>
      <c r="U1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3" s="51">
        <f>IFERROR(Table1[[#This Row],[Quantity  to  purchase]]*(Table1[[#This Row],[Cost ]]+Table1[[#This Row],[shipping]]+Table1[[#This Row],[Tax]]),0)</f>
        <v>0</v>
      </c>
      <c r="W183" s="36">
        <f>IFERROR(Table1[[#This Row],[leftover material]]*(Table1[[#This Row],[Cost ]]+Table1[[#This Row],[shipping]]+Table1[[#This Row],[Tax]]),0)</f>
        <v>0</v>
      </c>
      <c r="X183" s="36"/>
      <c r="Y183" s="84"/>
      <c r="Z183" s="84"/>
      <c r="AA183" s="84"/>
      <c r="AB183" s="36"/>
      <c r="AC183" s="36">
        <f>IF(ISNA(VLOOKUP(Table1[[#This Row],[Part Number]],'Multi-level BOM'!V$4:V$449,1,FALSE)),0,Table1[[#This Row],[Remaining Extended cost]])</f>
        <v>0</v>
      </c>
    </row>
    <row r="184" spans="1:29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80" t="str">
        <f>IF(Table1[[#This Row],[Buy-now costs]]&gt;0,"X","")</f>
        <v/>
      </c>
      <c r="M184" s="80"/>
      <c r="N184" s="80"/>
      <c r="O184" s="40">
        <v>0</v>
      </c>
      <c r="P184" s="94">
        <f>Table1[[#This Row],[quantity on-hand]]*(Table1[[#This Row],[Cost ]]+Table1[[#This Row],[shipping]]+Table1[[#This Row],[Tax]])</f>
        <v>0</v>
      </c>
      <c r="Q184" s="40">
        <v>0</v>
      </c>
      <c r="R184" s="92">
        <f>Table1[[#This Row],[Quantity on order]]*(Table1[[#This Row],[Cost ]]+Table1[[#This Row],[shipping]]+Table1[[#This Row],[Tax]])</f>
        <v>0</v>
      </c>
      <c r="S1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4" s="49">
        <f>Table1[[#This Row],[Quantity  to  purchase]]+Table1[[#This Row],[Quantity purchased]]+Table1[[#This Row],[Quantity on order]]+Table1[[#This Row],[Quantity donated]]-Table1[[#This Row],[extended quantity]]</f>
        <v>0</v>
      </c>
      <c r="U1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4" s="51">
        <f>IFERROR(Table1[[#This Row],[Quantity  to  purchase]]*(Table1[[#This Row],[Cost ]]+Table1[[#This Row],[shipping]]+Table1[[#This Row],[Tax]]),0)</f>
        <v>0</v>
      </c>
      <c r="W184" s="36">
        <f>IFERROR(Table1[[#This Row],[leftover material]]*(Table1[[#This Row],[Cost ]]+Table1[[#This Row],[shipping]]+Table1[[#This Row],[Tax]]),0)</f>
        <v>0</v>
      </c>
      <c r="X184" s="36"/>
      <c r="Y184" s="84"/>
      <c r="Z184" s="84"/>
      <c r="AA184" s="84"/>
      <c r="AB184" s="36"/>
      <c r="AC184" s="36">
        <f>IF(ISNA(VLOOKUP(Table1[[#This Row],[Part Number]],'Multi-level BOM'!V$4:V$449,1,FALSE)),0,Table1[[#This Row],[Remaining Extended cost]])</f>
        <v>0</v>
      </c>
    </row>
    <row r="185" spans="1:29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80" t="str">
        <f>IF(Table1[[#This Row],[Buy-now costs]]&gt;0,"X","")</f>
        <v/>
      </c>
      <c r="M185" s="80"/>
      <c r="N185" s="80"/>
      <c r="O185" s="40">
        <v>0</v>
      </c>
      <c r="P185" s="94">
        <f>Table1[[#This Row],[quantity on-hand]]*(Table1[[#This Row],[Cost ]]+Table1[[#This Row],[shipping]]+Table1[[#This Row],[Tax]])</f>
        <v>0</v>
      </c>
      <c r="Q185" s="40">
        <v>0</v>
      </c>
      <c r="R185" s="92">
        <f>Table1[[#This Row],[Quantity on order]]*(Table1[[#This Row],[Cost ]]+Table1[[#This Row],[shipping]]+Table1[[#This Row],[Tax]])</f>
        <v>0</v>
      </c>
      <c r="S1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5" s="49">
        <f>Table1[[#This Row],[Quantity  to  purchase]]+Table1[[#This Row],[Quantity purchased]]+Table1[[#This Row],[Quantity on order]]+Table1[[#This Row],[Quantity donated]]-Table1[[#This Row],[extended quantity]]</f>
        <v>0</v>
      </c>
      <c r="U1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5" s="51">
        <f>IFERROR(Table1[[#This Row],[Quantity  to  purchase]]*(Table1[[#This Row],[Cost ]]+Table1[[#This Row],[shipping]]+Table1[[#This Row],[Tax]]),0)</f>
        <v>0</v>
      </c>
      <c r="W185" s="36">
        <f>IFERROR(Table1[[#This Row],[leftover material]]*(Table1[[#This Row],[Cost ]]+Table1[[#This Row],[shipping]]+Table1[[#This Row],[Tax]]),0)</f>
        <v>0</v>
      </c>
      <c r="X185" s="36"/>
      <c r="Y185" s="84"/>
      <c r="Z185" s="84"/>
      <c r="AA185" s="84"/>
      <c r="AB185" s="36"/>
      <c r="AC185" s="36">
        <f>IF(ISNA(VLOOKUP(Table1[[#This Row],[Part Number]],'Multi-level BOM'!V$4:V$449,1,FALSE)),0,Table1[[#This Row],[Remaining Extended cost]])</f>
        <v>0</v>
      </c>
    </row>
    <row r="186" spans="1:29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80" t="str">
        <f>IF(Table1[[#This Row],[Buy-now costs]]&gt;0,"X","")</f>
        <v/>
      </c>
      <c r="M186" s="80"/>
      <c r="N186" s="80"/>
      <c r="O186" s="40">
        <v>0</v>
      </c>
      <c r="P186" s="94">
        <f>Table1[[#This Row],[quantity on-hand]]*(Table1[[#This Row],[Cost ]]+Table1[[#This Row],[shipping]]+Table1[[#This Row],[Tax]])</f>
        <v>0</v>
      </c>
      <c r="Q186" s="40">
        <v>0</v>
      </c>
      <c r="R186" s="92">
        <f>Table1[[#This Row],[Quantity on order]]*(Table1[[#This Row],[Cost ]]+Table1[[#This Row],[shipping]]+Table1[[#This Row],[Tax]])</f>
        <v>0</v>
      </c>
      <c r="S1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6" s="49">
        <f>Table1[[#This Row],[Quantity  to  purchase]]+Table1[[#This Row],[Quantity purchased]]+Table1[[#This Row],[Quantity on order]]+Table1[[#This Row],[Quantity donated]]-Table1[[#This Row],[extended quantity]]</f>
        <v>0</v>
      </c>
      <c r="U1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6" s="51">
        <f>IFERROR(Table1[[#This Row],[Quantity  to  purchase]]*(Table1[[#This Row],[Cost ]]+Table1[[#This Row],[shipping]]+Table1[[#This Row],[Tax]]),0)</f>
        <v>0</v>
      </c>
      <c r="W186" s="36">
        <f>IFERROR(Table1[[#This Row],[leftover material]]*(Table1[[#This Row],[Cost ]]+Table1[[#This Row],[shipping]]+Table1[[#This Row],[Tax]]),0)</f>
        <v>0</v>
      </c>
      <c r="X186" s="36"/>
      <c r="Y186" s="84"/>
      <c r="Z186" s="84"/>
      <c r="AA186" s="84"/>
      <c r="AB186" s="36"/>
      <c r="AC186" s="36">
        <f>IF(ISNA(VLOOKUP(Table1[[#This Row],[Part Number]],'Multi-level BOM'!V$4:V$449,1,FALSE)),0,Table1[[#This Row],[Remaining Extended cost]])</f>
        <v>0</v>
      </c>
    </row>
    <row r="187" spans="1:29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80" t="str">
        <f>IF(Table1[[#This Row],[Buy-now costs]]&gt;0,"X","")</f>
        <v/>
      </c>
      <c r="M187" s="80"/>
      <c r="N187" s="80"/>
      <c r="O187" s="40">
        <v>0</v>
      </c>
      <c r="P187" s="94">
        <f>Table1[[#This Row],[quantity on-hand]]*(Table1[[#This Row],[Cost ]]+Table1[[#This Row],[shipping]]+Table1[[#This Row],[Tax]])</f>
        <v>0</v>
      </c>
      <c r="Q187" s="40">
        <v>0</v>
      </c>
      <c r="R187" s="92">
        <f>Table1[[#This Row],[Quantity on order]]*(Table1[[#This Row],[Cost ]]+Table1[[#This Row],[shipping]]+Table1[[#This Row],[Tax]])</f>
        <v>0</v>
      </c>
      <c r="S1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7" s="49">
        <f>Table1[[#This Row],[Quantity  to  purchase]]+Table1[[#This Row],[Quantity purchased]]+Table1[[#This Row],[Quantity on order]]+Table1[[#This Row],[Quantity donated]]-Table1[[#This Row],[extended quantity]]</f>
        <v>0</v>
      </c>
      <c r="U1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7" s="51">
        <f>IFERROR(Table1[[#This Row],[Quantity  to  purchase]]*(Table1[[#This Row],[Cost ]]+Table1[[#This Row],[shipping]]+Table1[[#This Row],[Tax]]),0)</f>
        <v>0</v>
      </c>
      <c r="W187" s="36">
        <f>IFERROR(Table1[[#This Row],[leftover material]]*(Table1[[#This Row],[Cost ]]+Table1[[#This Row],[shipping]]+Table1[[#This Row],[Tax]]),0)</f>
        <v>0</v>
      </c>
      <c r="X187" s="36"/>
      <c r="Y187" s="84"/>
      <c r="Z187" s="84"/>
      <c r="AA187" s="84"/>
      <c r="AB187" s="36"/>
      <c r="AC187" s="36">
        <f>IF(ISNA(VLOOKUP(Table1[[#This Row],[Part Number]],'Multi-level BOM'!V$4:V$449,1,FALSE)),0,Table1[[#This Row],[Remaining Extended cost]])</f>
        <v>0</v>
      </c>
    </row>
    <row r="188" spans="1:29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80" t="str">
        <f>IF(Table1[[#This Row],[Buy-now costs]]&gt;0,"X","")</f>
        <v/>
      </c>
      <c r="M188" s="80"/>
      <c r="N188" s="80"/>
      <c r="O188" s="40">
        <v>0</v>
      </c>
      <c r="P188" s="94">
        <f>Table1[[#This Row],[quantity on-hand]]*(Table1[[#This Row],[Cost ]]+Table1[[#This Row],[shipping]]+Table1[[#This Row],[Tax]])</f>
        <v>0</v>
      </c>
      <c r="Q188" s="40">
        <v>0</v>
      </c>
      <c r="R188" s="92">
        <f>Table1[[#This Row],[Quantity on order]]*(Table1[[#This Row],[Cost ]]+Table1[[#This Row],[shipping]]+Table1[[#This Row],[Tax]])</f>
        <v>0</v>
      </c>
      <c r="S1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8" s="49">
        <f>Table1[[#This Row],[Quantity  to  purchase]]+Table1[[#This Row],[Quantity purchased]]+Table1[[#This Row],[Quantity on order]]+Table1[[#This Row],[Quantity donated]]-Table1[[#This Row],[extended quantity]]</f>
        <v>0</v>
      </c>
      <c r="U1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8" s="51">
        <f>IFERROR(Table1[[#This Row],[Quantity  to  purchase]]*(Table1[[#This Row],[Cost ]]+Table1[[#This Row],[shipping]]+Table1[[#This Row],[Tax]]),0)</f>
        <v>0</v>
      </c>
      <c r="W188" s="36">
        <f>IFERROR(Table1[[#This Row],[leftover material]]*(Table1[[#This Row],[Cost ]]+Table1[[#This Row],[shipping]]+Table1[[#This Row],[Tax]]),0)</f>
        <v>0</v>
      </c>
      <c r="X188" s="36"/>
      <c r="Y188" s="84"/>
      <c r="Z188" s="84"/>
      <c r="AA188" s="84"/>
      <c r="AB188" s="36"/>
      <c r="AC188" s="36">
        <f>IF(ISNA(VLOOKUP(Table1[[#This Row],[Part Number]],'Multi-level BOM'!V$4:V$449,1,FALSE)),0,Table1[[#This Row],[Remaining Extended cost]])</f>
        <v>0</v>
      </c>
    </row>
    <row r="189" spans="1:29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80" t="str">
        <f>IF(Table1[[#This Row],[Buy-now costs]]&gt;0,"X","")</f>
        <v/>
      </c>
      <c r="M189" s="80"/>
      <c r="N189" s="80"/>
      <c r="O189" s="40">
        <v>0</v>
      </c>
      <c r="P189" s="94">
        <f>Table1[[#This Row],[quantity on-hand]]*(Table1[[#This Row],[Cost ]]+Table1[[#This Row],[shipping]]+Table1[[#This Row],[Tax]])</f>
        <v>0</v>
      </c>
      <c r="Q189" s="40">
        <v>0</v>
      </c>
      <c r="R189" s="92">
        <f>Table1[[#This Row],[Quantity on order]]*(Table1[[#This Row],[Cost ]]+Table1[[#This Row],[shipping]]+Table1[[#This Row],[Tax]])</f>
        <v>0</v>
      </c>
      <c r="S1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9" s="49">
        <f>Table1[[#This Row],[Quantity  to  purchase]]+Table1[[#This Row],[Quantity purchased]]+Table1[[#This Row],[Quantity on order]]+Table1[[#This Row],[Quantity donated]]-Table1[[#This Row],[extended quantity]]</f>
        <v>0</v>
      </c>
      <c r="U1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9" s="51">
        <f>IFERROR(Table1[[#This Row],[Quantity  to  purchase]]*(Table1[[#This Row],[Cost ]]+Table1[[#This Row],[shipping]]+Table1[[#This Row],[Tax]]),0)</f>
        <v>0</v>
      </c>
      <c r="W189" s="36">
        <f>IFERROR(Table1[[#This Row],[leftover material]]*(Table1[[#This Row],[Cost ]]+Table1[[#This Row],[shipping]]+Table1[[#This Row],[Tax]]),0)</f>
        <v>0</v>
      </c>
      <c r="X189" s="36"/>
      <c r="Y189" s="84"/>
      <c r="Z189" s="84"/>
      <c r="AA189" s="84"/>
      <c r="AB189" s="36"/>
      <c r="AC189" s="36">
        <f>IF(ISNA(VLOOKUP(Table1[[#This Row],[Part Number]],'Multi-level BOM'!V$4:V$449,1,FALSE)),0,Table1[[#This Row],[Remaining Extended cost]])</f>
        <v>0</v>
      </c>
    </row>
    <row r="190" spans="1:29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80" t="str">
        <f>IF(Table1[[#This Row],[Buy-now costs]]&gt;0,"X","")</f>
        <v/>
      </c>
      <c r="M190" s="80"/>
      <c r="N190" s="80"/>
      <c r="O190" s="40">
        <v>0</v>
      </c>
      <c r="P190" s="94">
        <f>Table1[[#This Row],[quantity on-hand]]*(Table1[[#This Row],[Cost ]]+Table1[[#This Row],[shipping]]+Table1[[#This Row],[Tax]])</f>
        <v>0</v>
      </c>
      <c r="Q190" s="40">
        <v>0</v>
      </c>
      <c r="R190" s="92">
        <f>Table1[[#This Row],[Quantity on order]]*(Table1[[#This Row],[Cost ]]+Table1[[#This Row],[shipping]]+Table1[[#This Row],[Tax]])</f>
        <v>0</v>
      </c>
      <c r="S1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0" s="49">
        <f>Table1[[#This Row],[Quantity  to  purchase]]+Table1[[#This Row],[Quantity purchased]]+Table1[[#This Row],[Quantity on order]]+Table1[[#This Row],[Quantity donated]]-Table1[[#This Row],[extended quantity]]</f>
        <v>0</v>
      </c>
      <c r="U1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0" s="51">
        <f>IFERROR(Table1[[#This Row],[Quantity  to  purchase]]*(Table1[[#This Row],[Cost ]]+Table1[[#This Row],[shipping]]+Table1[[#This Row],[Tax]]),0)</f>
        <v>0</v>
      </c>
      <c r="W190" s="36">
        <f>IFERROR(Table1[[#This Row],[leftover material]]*(Table1[[#This Row],[Cost ]]+Table1[[#This Row],[shipping]]+Table1[[#This Row],[Tax]]),0)</f>
        <v>0</v>
      </c>
      <c r="X190" s="36"/>
      <c r="Y190" s="84"/>
      <c r="Z190" s="84"/>
      <c r="AA190" s="84"/>
      <c r="AB190" s="36"/>
      <c r="AC190" s="36">
        <f>IF(ISNA(VLOOKUP(Table1[[#This Row],[Part Number]],'Multi-level BOM'!V$4:V$449,1,FALSE)),0,Table1[[#This Row],[Remaining Extended cost]])</f>
        <v>0</v>
      </c>
    </row>
    <row r="191" spans="1:29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80" t="str">
        <f>IF(Table1[[#This Row],[Buy-now costs]]&gt;0,"X","")</f>
        <v/>
      </c>
      <c r="M191" s="80"/>
      <c r="N191" s="80"/>
      <c r="O191" s="40">
        <v>0</v>
      </c>
      <c r="P191" s="94">
        <f>Table1[[#This Row],[quantity on-hand]]*(Table1[[#This Row],[Cost ]]+Table1[[#This Row],[shipping]]+Table1[[#This Row],[Tax]])</f>
        <v>0</v>
      </c>
      <c r="Q191" s="40">
        <v>0</v>
      </c>
      <c r="R191" s="92">
        <f>Table1[[#This Row],[Quantity on order]]*(Table1[[#This Row],[Cost ]]+Table1[[#This Row],[shipping]]+Table1[[#This Row],[Tax]])</f>
        <v>0</v>
      </c>
      <c r="S1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1" s="49">
        <f>Table1[[#This Row],[Quantity  to  purchase]]+Table1[[#This Row],[Quantity purchased]]+Table1[[#This Row],[Quantity on order]]+Table1[[#This Row],[Quantity donated]]-Table1[[#This Row],[extended quantity]]</f>
        <v>0</v>
      </c>
      <c r="U1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1" s="51">
        <f>IFERROR(Table1[[#This Row],[Quantity  to  purchase]]*(Table1[[#This Row],[Cost ]]+Table1[[#This Row],[shipping]]+Table1[[#This Row],[Tax]]),0)</f>
        <v>0</v>
      </c>
      <c r="W191" s="36">
        <f>IFERROR(Table1[[#This Row],[leftover material]]*(Table1[[#This Row],[Cost ]]+Table1[[#This Row],[shipping]]+Table1[[#This Row],[Tax]]),0)</f>
        <v>0</v>
      </c>
      <c r="X191" s="36"/>
      <c r="Y191" s="84"/>
      <c r="Z191" s="84"/>
      <c r="AA191" s="84"/>
      <c r="AB191" s="36"/>
      <c r="AC191" s="36">
        <f>IF(ISNA(VLOOKUP(Table1[[#This Row],[Part Number]],'Multi-level BOM'!V$4:V$449,1,FALSE)),0,Table1[[#This Row],[Remaining Extended cost]])</f>
        <v>0</v>
      </c>
    </row>
    <row r="192" spans="1:29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80" t="str">
        <f>IF(Table1[[#This Row],[Buy-now costs]]&gt;0,"X","")</f>
        <v/>
      </c>
      <c r="M192" s="80"/>
      <c r="N192" s="80"/>
      <c r="O192" s="40">
        <v>0</v>
      </c>
      <c r="P192" s="94">
        <f>Table1[[#This Row],[quantity on-hand]]*(Table1[[#This Row],[Cost ]]+Table1[[#This Row],[shipping]]+Table1[[#This Row],[Tax]])</f>
        <v>0</v>
      </c>
      <c r="Q192" s="40">
        <v>0</v>
      </c>
      <c r="R192" s="92">
        <f>Table1[[#This Row],[Quantity on order]]*(Table1[[#This Row],[Cost ]]+Table1[[#This Row],[shipping]]+Table1[[#This Row],[Tax]])</f>
        <v>0</v>
      </c>
      <c r="S1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2" s="49">
        <f>Table1[[#This Row],[Quantity  to  purchase]]+Table1[[#This Row],[Quantity purchased]]+Table1[[#This Row],[Quantity on order]]+Table1[[#This Row],[Quantity donated]]-Table1[[#This Row],[extended quantity]]</f>
        <v>0</v>
      </c>
      <c r="U1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2" s="51">
        <f>IFERROR(Table1[[#This Row],[Quantity  to  purchase]]*(Table1[[#This Row],[Cost ]]+Table1[[#This Row],[shipping]]+Table1[[#This Row],[Tax]]),0)</f>
        <v>0</v>
      </c>
      <c r="W192" s="36">
        <f>IFERROR(Table1[[#This Row],[leftover material]]*(Table1[[#This Row],[Cost ]]+Table1[[#This Row],[shipping]]+Table1[[#This Row],[Tax]]),0)</f>
        <v>0</v>
      </c>
      <c r="X192" s="36"/>
      <c r="Y192" s="84"/>
      <c r="Z192" s="84"/>
      <c r="AA192" s="84"/>
      <c r="AB192" s="36"/>
      <c r="AC192" s="36">
        <f>IF(ISNA(VLOOKUP(Table1[[#This Row],[Part Number]],'Multi-level BOM'!V$4:V$449,1,FALSE)),0,Table1[[#This Row],[Remaining Extended cost]])</f>
        <v>0</v>
      </c>
    </row>
    <row r="193" spans="1:29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80" t="str">
        <f>IF(Table1[[#This Row],[Buy-now costs]]&gt;0,"X","")</f>
        <v/>
      </c>
      <c r="M193" s="80"/>
      <c r="N193" s="80"/>
      <c r="O193" s="40">
        <v>0</v>
      </c>
      <c r="P193" s="94">
        <f>Table1[[#This Row],[quantity on-hand]]*(Table1[[#This Row],[Cost ]]+Table1[[#This Row],[shipping]]+Table1[[#This Row],[Tax]])</f>
        <v>0</v>
      </c>
      <c r="Q193" s="40">
        <v>0</v>
      </c>
      <c r="R193" s="92">
        <f>Table1[[#This Row],[Quantity on order]]*(Table1[[#This Row],[Cost ]]+Table1[[#This Row],[shipping]]+Table1[[#This Row],[Tax]])</f>
        <v>0</v>
      </c>
      <c r="S1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3" s="49">
        <f>Table1[[#This Row],[Quantity  to  purchase]]+Table1[[#This Row],[Quantity purchased]]+Table1[[#This Row],[Quantity on order]]+Table1[[#This Row],[Quantity donated]]-Table1[[#This Row],[extended quantity]]</f>
        <v>0</v>
      </c>
      <c r="U1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3" s="51">
        <f>IFERROR(Table1[[#This Row],[Quantity  to  purchase]]*(Table1[[#This Row],[Cost ]]+Table1[[#This Row],[shipping]]+Table1[[#This Row],[Tax]]),0)</f>
        <v>0</v>
      </c>
      <c r="W193" s="36">
        <f>IFERROR(Table1[[#This Row],[leftover material]]*(Table1[[#This Row],[Cost ]]+Table1[[#This Row],[shipping]]+Table1[[#This Row],[Tax]]),0)</f>
        <v>0</v>
      </c>
      <c r="X193" s="36"/>
      <c r="Y193" s="84"/>
      <c r="Z193" s="84"/>
      <c r="AA193" s="84"/>
      <c r="AB193" s="36"/>
      <c r="AC193" s="36">
        <f>IF(ISNA(VLOOKUP(Table1[[#This Row],[Part Number]],'Multi-level BOM'!V$4:V$449,1,FALSE)),0,Table1[[#This Row],[Remaining Extended cost]])</f>
        <v>0</v>
      </c>
    </row>
    <row r="194" spans="1:29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80" t="str">
        <f>IF(Table1[[#This Row],[Buy-now costs]]&gt;0,"X","")</f>
        <v/>
      </c>
      <c r="M194" s="80"/>
      <c r="N194" s="80"/>
      <c r="O194" s="40">
        <v>0</v>
      </c>
      <c r="P194" s="94">
        <f>Table1[[#This Row],[quantity on-hand]]*(Table1[[#This Row],[Cost ]]+Table1[[#This Row],[shipping]]+Table1[[#This Row],[Tax]])</f>
        <v>0</v>
      </c>
      <c r="Q194" s="40">
        <v>0</v>
      </c>
      <c r="R194" s="92">
        <f>Table1[[#This Row],[Quantity on order]]*(Table1[[#This Row],[Cost ]]+Table1[[#This Row],[shipping]]+Table1[[#This Row],[Tax]])</f>
        <v>0</v>
      </c>
      <c r="S1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4" s="49">
        <f>Table1[[#This Row],[Quantity  to  purchase]]+Table1[[#This Row],[Quantity purchased]]+Table1[[#This Row],[Quantity on order]]+Table1[[#This Row],[Quantity donated]]-Table1[[#This Row],[extended quantity]]</f>
        <v>0</v>
      </c>
      <c r="U1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4" s="51">
        <f>IFERROR(Table1[[#This Row],[Quantity  to  purchase]]*(Table1[[#This Row],[Cost ]]+Table1[[#This Row],[shipping]]+Table1[[#This Row],[Tax]]),0)</f>
        <v>0</v>
      </c>
      <c r="W194" s="36">
        <f>IFERROR(Table1[[#This Row],[leftover material]]*(Table1[[#This Row],[Cost ]]+Table1[[#This Row],[shipping]]+Table1[[#This Row],[Tax]]),0)</f>
        <v>0</v>
      </c>
      <c r="X194" s="36"/>
      <c r="Y194" s="84"/>
      <c r="Z194" s="84"/>
      <c r="AA194" s="84"/>
      <c r="AB194" s="36"/>
      <c r="AC194" s="36">
        <f>IF(ISNA(VLOOKUP(Table1[[#This Row],[Part Number]],'Multi-level BOM'!V$4:V$449,1,FALSE)),0,Table1[[#This Row],[Remaining Extended cost]])</f>
        <v>0</v>
      </c>
    </row>
    <row r="195" spans="1:29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80" t="str">
        <f>IF(Table1[[#This Row],[Buy-now costs]]&gt;0,"X","")</f>
        <v/>
      </c>
      <c r="M195" s="80"/>
      <c r="N195" s="80"/>
      <c r="O195" s="40">
        <v>0</v>
      </c>
      <c r="P195" s="94">
        <f>Table1[[#This Row],[quantity on-hand]]*(Table1[[#This Row],[Cost ]]+Table1[[#This Row],[shipping]]+Table1[[#This Row],[Tax]])</f>
        <v>0</v>
      </c>
      <c r="Q195" s="40">
        <v>0</v>
      </c>
      <c r="R195" s="92">
        <f>Table1[[#This Row],[Quantity on order]]*(Table1[[#This Row],[Cost ]]+Table1[[#This Row],[shipping]]+Table1[[#This Row],[Tax]])</f>
        <v>0</v>
      </c>
      <c r="S1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5" s="49">
        <f>Table1[[#This Row],[Quantity  to  purchase]]+Table1[[#This Row],[Quantity purchased]]+Table1[[#This Row],[Quantity on order]]+Table1[[#This Row],[Quantity donated]]-Table1[[#This Row],[extended quantity]]</f>
        <v>0</v>
      </c>
      <c r="U1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5" s="51">
        <f>IFERROR(Table1[[#This Row],[Quantity  to  purchase]]*(Table1[[#This Row],[Cost ]]+Table1[[#This Row],[shipping]]+Table1[[#This Row],[Tax]]),0)</f>
        <v>0</v>
      </c>
      <c r="W195" s="36">
        <f>IFERROR(Table1[[#This Row],[leftover material]]*(Table1[[#This Row],[Cost ]]+Table1[[#This Row],[shipping]]+Table1[[#This Row],[Tax]]),0)</f>
        <v>0</v>
      </c>
      <c r="X195" s="36"/>
      <c r="Y195" s="84"/>
      <c r="Z195" s="84"/>
      <c r="AA195" s="84"/>
      <c r="AB195" s="36"/>
      <c r="AC195" s="36">
        <f>IF(ISNA(VLOOKUP(Table1[[#This Row],[Part Number]],'Multi-level BOM'!V$4:V$449,1,FALSE)),0,Table1[[#This Row],[Remaining Extended cost]])</f>
        <v>0</v>
      </c>
    </row>
    <row r="196" spans="1:29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80" t="str">
        <f>IF(Table1[[#This Row],[Buy-now costs]]&gt;0,"X","")</f>
        <v/>
      </c>
      <c r="M196" s="80"/>
      <c r="N196" s="80"/>
      <c r="O196" s="40">
        <v>0</v>
      </c>
      <c r="P196" s="94">
        <f>Table1[[#This Row],[quantity on-hand]]*(Table1[[#This Row],[Cost ]]+Table1[[#This Row],[shipping]]+Table1[[#This Row],[Tax]])</f>
        <v>0</v>
      </c>
      <c r="Q196" s="40">
        <v>0</v>
      </c>
      <c r="R196" s="92">
        <f>Table1[[#This Row],[Quantity on order]]*(Table1[[#This Row],[Cost ]]+Table1[[#This Row],[shipping]]+Table1[[#This Row],[Tax]])</f>
        <v>0</v>
      </c>
      <c r="S1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6" s="49">
        <f>Table1[[#This Row],[Quantity  to  purchase]]+Table1[[#This Row],[Quantity purchased]]+Table1[[#This Row],[Quantity on order]]+Table1[[#This Row],[Quantity donated]]-Table1[[#This Row],[extended quantity]]</f>
        <v>0</v>
      </c>
      <c r="U1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6" s="51">
        <f>IFERROR(Table1[[#This Row],[Quantity  to  purchase]]*(Table1[[#This Row],[Cost ]]+Table1[[#This Row],[shipping]]+Table1[[#This Row],[Tax]]),0)</f>
        <v>0</v>
      </c>
      <c r="W196" s="36">
        <f>IFERROR(Table1[[#This Row],[leftover material]]*(Table1[[#This Row],[Cost ]]+Table1[[#This Row],[shipping]]+Table1[[#This Row],[Tax]]),0)</f>
        <v>0</v>
      </c>
      <c r="X196" s="36"/>
      <c r="Y196" s="84"/>
      <c r="Z196" s="84"/>
      <c r="AA196" s="84"/>
      <c r="AB196" s="36"/>
      <c r="AC196" s="36">
        <f>IF(ISNA(VLOOKUP(Table1[[#This Row],[Part Number]],'Multi-level BOM'!V$4:V$449,1,FALSE)),0,Table1[[#This Row],[Remaining Extended cost]])</f>
        <v>0</v>
      </c>
    </row>
    <row r="197" spans="1:29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80" t="str">
        <f>IF(Table1[[#This Row],[Buy-now costs]]&gt;0,"X","")</f>
        <v/>
      </c>
      <c r="M197" s="80"/>
      <c r="N197" s="80"/>
      <c r="O197" s="40">
        <v>0</v>
      </c>
      <c r="P197" s="94">
        <f>Table1[[#This Row],[quantity on-hand]]*(Table1[[#This Row],[Cost ]]+Table1[[#This Row],[shipping]]+Table1[[#This Row],[Tax]])</f>
        <v>0</v>
      </c>
      <c r="Q197" s="40">
        <v>0</v>
      </c>
      <c r="R197" s="92">
        <f>Table1[[#This Row],[Quantity on order]]*(Table1[[#This Row],[Cost ]]+Table1[[#This Row],[shipping]]+Table1[[#This Row],[Tax]])</f>
        <v>0</v>
      </c>
      <c r="S1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7" s="49">
        <f>Table1[[#This Row],[Quantity  to  purchase]]+Table1[[#This Row],[Quantity purchased]]+Table1[[#This Row],[Quantity on order]]+Table1[[#This Row],[Quantity donated]]-Table1[[#This Row],[extended quantity]]</f>
        <v>0</v>
      </c>
      <c r="U1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7" s="51">
        <f>IFERROR(Table1[[#This Row],[Quantity  to  purchase]]*(Table1[[#This Row],[Cost ]]+Table1[[#This Row],[shipping]]+Table1[[#This Row],[Tax]]),0)</f>
        <v>0</v>
      </c>
      <c r="W197" s="36">
        <f>IFERROR(Table1[[#This Row],[leftover material]]*(Table1[[#This Row],[Cost ]]+Table1[[#This Row],[shipping]]+Table1[[#This Row],[Tax]]),0)</f>
        <v>0</v>
      </c>
      <c r="X197" s="36"/>
      <c r="Y197" s="84"/>
      <c r="Z197" s="84"/>
      <c r="AA197" s="84"/>
      <c r="AB197" s="36"/>
      <c r="AC197" s="36">
        <f>IF(ISNA(VLOOKUP(Table1[[#This Row],[Part Number]],'Multi-level BOM'!V$4:V$449,1,FALSE)),0,Table1[[#This Row],[Remaining Extended cost]])</f>
        <v>0</v>
      </c>
    </row>
    <row r="198" spans="1:29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80" t="str">
        <f>IF(Table1[[#This Row],[Buy-now costs]]&gt;0,"X","")</f>
        <v/>
      </c>
      <c r="M198" s="80"/>
      <c r="N198" s="80"/>
      <c r="O198" s="40">
        <v>0</v>
      </c>
      <c r="P198" s="94">
        <f>Table1[[#This Row],[quantity on-hand]]*(Table1[[#This Row],[Cost ]]+Table1[[#This Row],[shipping]]+Table1[[#This Row],[Tax]])</f>
        <v>0</v>
      </c>
      <c r="Q198" s="40">
        <v>0</v>
      </c>
      <c r="R198" s="92">
        <f>Table1[[#This Row],[Quantity on order]]*(Table1[[#This Row],[Cost ]]+Table1[[#This Row],[shipping]]+Table1[[#This Row],[Tax]])</f>
        <v>0</v>
      </c>
      <c r="S1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8" s="49">
        <f>Table1[[#This Row],[Quantity  to  purchase]]+Table1[[#This Row],[Quantity purchased]]+Table1[[#This Row],[Quantity on order]]+Table1[[#This Row],[Quantity donated]]-Table1[[#This Row],[extended quantity]]</f>
        <v>0</v>
      </c>
      <c r="U1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8" s="51">
        <f>IFERROR(Table1[[#This Row],[Quantity  to  purchase]]*(Table1[[#This Row],[Cost ]]+Table1[[#This Row],[shipping]]+Table1[[#This Row],[Tax]]),0)</f>
        <v>0</v>
      </c>
      <c r="W198" s="36">
        <f>IFERROR(Table1[[#This Row],[leftover material]]*(Table1[[#This Row],[Cost ]]+Table1[[#This Row],[shipping]]+Table1[[#This Row],[Tax]]),0)</f>
        <v>0</v>
      </c>
      <c r="X198" s="36"/>
      <c r="Y198" s="84"/>
      <c r="Z198" s="84"/>
      <c r="AA198" s="84"/>
      <c r="AB198" s="36"/>
      <c r="AC198" s="36">
        <f>IF(ISNA(VLOOKUP(Table1[[#This Row],[Part Number]],'Multi-level BOM'!V$4:V$449,1,FALSE)),0,Table1[[#This Row],[Remaining Extended cost]])</f>
        <v>0</v>
      </c>
    </row>
    <row r="199" spans="1:29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80" t="str">
        <f>IF(Table1[[#This Row],[Buy-now costs]]&gt;0,"X","")</f>
        <v/>
      </c>
      <c r="M199" s="80"/>
      <c r="N199" s="80"/>
      <c r="O199" s="40">
        <v>0</v>
      </c>
      <c r="P199" s="94">
        <f>Table1[[#This Row],[quantity on-hand]]*(Table1[[#This Row],[Cost ]]+Table1[[#This Row],[shipping]]+Table1[[#This Row],[Tax]])</f>
        <v>0</v>
      </c>
      <c r="Q199" s="40">
        <v>0</v>
      </c>
      <c r="R199" s="92">
        <f>Table1[[#This Row],[Quantity on order]]*(Table1[[#This Row],[Cost ]]+Table1[[#This Row],[shipping]]+Table1[[#This Row],[Tax]])</f>
        <v>0</v>
      </c>
      <c r="S1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9" s="49">
        <f>Table1[[#This Row],[Quantity  to  purchase]]+Table1[[#This Row],[Quantity purchased]]+Table1[[#This Row],[Quantity on order]]+Table1[[#This Row],[Quantity donated]]-Table1[[#This Row],[extended quantity]]</f>
        <v>0</v>
      </c>
      <c r="U1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9" s="51">
        <f>IFERROR(Table1[[#This Row],[Quantity  to  purchase]]*(Table1[[#This Row],[Cost ]]+Table1[[#This Row],[shipping]]+Table1[[#This Row],[Tax]]),0)</f>
        <v>0</v>
      </c>
      <c r="W199" s="36">
        <f>IFERROR(Table1[[#This Row],[leftover material]]*(Table1[[#This Row],[Cost ]]+Table1[[#This Row],[shipping]]+Table1[[#This Row],[Tax]]),0)</f>
        <v>0</v>
      </c>
      <c r="X199" s="36"/>
      <c r="Y199" s="84"/>
      <c r="Z199" s="84"/>
      <c r="AA199" s="84"/>
      <c r="AB199" s="36"/>
      <c r="AC199" s="36">
        <f>IF(ISNA(VLOOKUP(Table1[[#This Row],[Part Number]],'Multi-level BOM'!V$4:V$449,1,FALSE)),0,Table1[[#This Row],[Remaining Extended cost]])</f>
        <v>0</v>
      </c>
    </row>
    <row r="200" spans="1:29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80" t="str">
        <f>IF(Table1[[#This Row],[Buy-now costs]]&gt;0,"X","")</f>
        <v/>
      </c>
      <c r="M200" s="80"/>
      <c r="N200" s="80"/>
      <c r="O200" s="40">
        <v>0</v>
      </c>
      <c r="P200" s="94">
        <f>Table1[[#This Row],[quantity on-hand]]*(Table1[[#This Row],[Cost ]]+Table1[[#This Row],[shipping]]+Table1[[#This Row],[Tax]])</f>
        <v>0</v>
      </c>
      <c r="Q200" s="40">
        <v>0</v>
      </c>
      <c r="R200" s="92">
        <f>Table1[[#This Row],[Quantity on order]]*(Table1[[#This Row],[Cost ]]+Table1[[#This Row],[shipping]]+Table1[[#This Row],[Tax]])</f>
        <v>0</v>
      </c>
      <c r="S2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0" s="49">
        <f>Table1[[#This Row],[Quantity  to  purchase]]+Table1[[#This Row],[Quantity purchased]]+Table1[[#This Row],[Quantity on order]]+Table1[[#This Row],[Quantity donated]]-Table1[[#This Row],[extended quantity]]</f>
        <v>0</v>
      </c>
      <c r="U2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0" s="51">
        <f>IFERROR(Table1[[#This Row],[Quantity  to  purchase]]*(Table1[[#This Row],[Cost ]]+Table1[[#This Row],[shipping]]+Table1[[#This Row],[Tax]]),0)</f>
        <v>0</v>
      </c>
      <c r="W200" s="36">
        <f>IFERROR(Table1[[#This Row],[leftover material]]*(Table1[[#This Row],[Cost ]]+Table1[[#This Row],[shipping]]+Table1[[#This Row],[Tax]]),0)</f>
        <v>0</v>
      </c>
      <c r="X200" s="36"/>
      <c r="Y200" s="84"/>
      <c r="Z200" s="84"/>
      <c r="AA200" s="84"/>
      <c r="AB200" s="36"/>
      <c r="AC200" s="36">
        <f>IF(ISNA(VLOOKUP(Table1[[#This Row],[Part Number]],'Multi-level BOM'!V$4:V$449,1,FALSE)),0,Table1[[#This Row],[Remaining Extended cost]])</f>
        <v>0</v>
      </c>
    </row>
    <row r="201" spans="1:29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80" t="str">
        <f>IF(Table1[[#This Row],[Buy-now costs]]&gt;0,"X","")</f>
        <v/>
      </c>
      <c r="M201" s="80"/>
      <c r="N201" s="80"/>
      <c r="O201" s="40">
        <v>0</v>
      </c>
      <c r="P201" s="94">
        <f>Table1[[#This Row],[quantity on-hand]]*(Table1[[#This Row],[Cost ]]+Table1[[#This Row],[shipping]]+Table1[[#This Row],[Tax]])</f>
        <v>0</v>
      </c>
      <c r="Q201" s="40">
        <v>0</v>
      </c>
      <c r="R201" s="92">
        <f>Table1[[#This Row],[Quantity on order]]*(Table1[[#This Row],[Cost ]]+Table1[[#This Row],[shipping]]+Table1[[#This Row],[Tax]])</f>
        <v>0</v>
      </c>
      <c r="S2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1" s="49">
        <f>Table1[[#This Row],[Quantity  to  purchase]]+Table1[[#This Row],[Quantity purchased]]+Table1[[#This Row],[Quantity on order]]+Table1[[#This Row],[Quantity donated]]-Table1[[#This Row],[extended quantity]]</f>
        <v>0</v>
      </c>
      <c r="U2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1" s="51">
        <f>IFERROR(Table1[[#This Row],[Quantity  to  purchase]]*(Table1[[#This Row],[Cost ]]+Table1[[#This Row],[shipping]]+Table1[[#This Row],[Tax]]),0)</f>
        <v>0</v>
      </c>
      <c r="W201" s="36">
        <f>IFERROR(Table1[[#This Row],[leftover material]]*(Table1[[#This Row],[Cost ]]+Table1[[#This Row],[shipping]]+Table1[[#This Row],[Tax]]),0)</f>
        <v>0</v>
      </c>
      <c r="X201" s="36"/>
      <c r="Y201" s="84"/>
      <c r="Z201" s="84"/>
      <c r="AA201" s="84"/>
      <c r="AB201" s="36"/>
      <c r="AC201" s="36">
        <f>IF(ISNA(VLOOKUP(Table1[[#This Row],[Part Number]],'Multi-level BOM'!V$4:V$449,1,FALSE)),0,Table1[[#This Row],[Remaining Extended cost]])</f>
        <v>0</v>
      </c>
    </row>
    <row r="202" spans="1:29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80" t="str">
        <f>IF(Table1[[#This Row],[Buy-now costs]]&gt;0,"X","")</f>
        <v/>
      </c>
      <c r="M202" s="80"/>
      <c r="N202" s="80"/>
      <c r="O202" s="40">
        <v>0</v>
      </c>
      <c r="P202" s="94">
        <f>Table1[[#This Row],[quantity on-hand]]*(Table1[[#This Row],[Cost ]]+Table1[[#This Row],[shipping]]+Table1[[#This Row],[Tax]])</f>
        <v>0</v>
      </c>
      <c r="Q202" s="40">
        <v>0</v>
      </c>
      <c r="R202" s="92">
        <f>Table1[[#This Row],[Quantity on order]]*(Table1[[#This Row],[Cost ]]+Table1[[#This Row],[shipping]]+Table1[[#This Row],[Tax]])</f>
        <v>0</v>
      </c>
      <c r="S2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2" s="49">
        <f>Table1[[#This Row],[Quantity  to  purchase]]+Table1[[#This Row],[Quantity purchased]]+Table1[[#This Row],[Quantity on order]]+Table1[[#This Row],[Quantity donated]]-Table1[[#This Row],[extended quantity]]</f>
        <v>0</v>
      </c>
      <c r="U2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2" s="51">
        <f>IFERROR(Table1[[#This Row],[Quantity  to  purchase]]*(Table1[[#This Row],[Cost ]]+Table1[[#This Row],[shipping]]+Table1[[#This Row],[Tax]]),0)</f>
        <v>0</v>
      </c>
      <c r="W202" s="36">
        <f>IFERROR(Table1[[#This Row],[leftover material]]*(Table1[[#This Row],[Cost ]]+Table1[[#This Row],[shipping]]+Table1[[#This Row],[Tax]]),0)</f>
        <v>0</v>
      </c>
      <c r="X202" s="36"/>
      <c r="Y202" s="84"/>
      <c r="Z202" s="84"/>
      <c r="AA202" s="84"/>
      <c r="AB202" s="36"/>
      <c r="AC202" s="36">
        <f>IF(ISNA(VLOOKUP(Table1[[#This Row],[Part Number]],'Multi-level BOM'!V$4:V$449,1,FALSE)),0,Table1[[#This Row],[Remaining Extended cost]])</f>
        <v>0</v>
      </c>
    </row>
    <row r="203" spans="1:29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80" t="str">
        <f>IF(Table1[[#This Row],[Buy-now costs]]&gt;0,"X","")</f>
        <v/>
      </c>
      <c r="M203" s="80"/>
      <c r="N203" s="80"/>
      <c r="O203" s="40">
        <v>0</v>
      </c>
      <c r="P203" s="94">
        <f>Table1[[#This Row],[quantity on-hand]]*(Table1[[#This Row],[Cost ]]+Table1[[#This Row],[shipping]]+Table1[[#This Row],[Tax]])</f>
        <v>0</v>
      </c>
      <c r="Q203" s="40">
        <v>0</v>
      </c>
      <c r="R203" s="92">
        <f>Table1[[#This Row],[Quantity on order]]*(Table1[[#This Row],[Cost ]]+Table1[[#This Row],[shipping]]+Table1[[#This Row],[Tax]])</f>
        <v>0</v>
      </c>
      <c r="S2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3" s="49">
        <f>Table1[[#This Row],[Quantity  to  purchase]]+Table1[[#This Row],[Quantity purchased]]+Table1[[#This Row],[Quantity on order]]+Table1[[#This Row],[Quantity donated]]-Table1[[#This Row],[extended quantity]]</f>
        <v>0</v>
      </c>
      <c r="U2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3" s="51">
        <f>IFERROR(Table1[[#This Row],[Quantity  to  purchase]]*(Table1[[#This Row],[Cost ]]+Table1[[#This Row],[shipping]]+Table1[[#This Row],[Tax]]),0)</f>
        <v>0</v>
      </c>
      <c r="W203" s="36">
        <f>IFERROR(Table1[[#This Row],[leftover material]]*(Table1[[#This Row],[Cost ]]+Table1[[#This Row],[shipping]]+Table1[[#This Row],[Tax]]),0)</f>
        <v>0</v>
      </c>
      <c r="X203" s="36"/>
      <c r="Y203" s="84"/>
      <c r="Z203" s="84"/>
      <c r="AA203" s="84"/>
      <c r="AB203" s="36"/>
      <c r="AC203" s="36">
        <f>IF(ISNA(VLOOKUP(Table1[[#This Row],[Part Number]],'Multi-level BOM'!V$4:V$449,1,FALSE)),0,Table1[[#This Row],[Remaining Extended cost]])</f>
        <v>0</v>
      </c>
    </row>
    <row r="204" spans="1:29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80" t="str">
        <f>IF(Table1[[#This Row],[Buy-now costs]]&gt;0,"X","")</f>
        <v/>
      </c>
      <c r="M204" s="80"/>
      <c r="N204" s="80"/>
      <c r="O204" s="40">
        <v>0</v>
      </c>
      <c r="P204" s="94">
        <f>Table1[[#This Row],[quantity on-hand]]*(Table1[[#This Row],[Cost ]]+Table1[[#This Row],[shipping]]+Table1[[#This Row],[Tax]])</f>
        <v>0</v>
      </c>
      <c r="Q204" s="40">
        <v>0</v>
      </c>
      <c r="R204" s="92">
        <f>Table1[[#This Row],[Quantity on order]]*(Table1[[#This Row],[Cost ]]+Table1[[#This Row],[shipping]]+Table1[[#This Row],[Tax]])</f>
        <v>0</v>
      </c>
      <c r="S2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4" s="49">
        <f>Table1[[#This Row],[Quantity  to  purchase]]+Table1[[#This Row],[Quantity purchased]]+Table1[[#This Row],[Quantity on order]]+Table1[[#This Row],[Quantity donated]]-Table1[[#This Row],[extended quantity]]</f>
        <v>0</v>
      </c>
      <c r="U2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4" s="51">
        <f>IFERROR(Table1[[#This Row],[Quantity  to  purchase]]*(Table1[[#This Row],[Cost ]]+Table1[[#This Row],[shipping]]+Table1[[#This Row],[Tax]]),0)</f>
        <v>0</v>
      </c>
      <c r="W204" s="36">
        <f>IFERROR(Table1[[#This Row],[leftover material]]*(Table1[[#This Row],[Cost ]]+Table1[[#This Row],[shipping]]+Table1[[#This Row],[Tax]]),0)</f>
        <v>0</v>
      </c>
      <c r="X204" s="36"/>
      <c r="Y204" s="84"/>
      <c r="Z204" s="84"/>
      <c r="AA204" s="84"/>
      <c r="AB204" s="36"/>
      <c r="AC204" s="36">
        <f>IF(ISNA(VLOOKUP(Table1[[#This Row],[Part Number]],'Multi-level BOM'!V$4:V$449,1,FALSE)),0,Table1[[#This Row],[Remaining Extended cost]])</f>
        <v>0</v>
      </c>
    </row>
    <row r="205" spans="1:29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80" t="str">
        <f>IF(Table1[[#This Row],[Buy-now costs]]&gt;0,"X","")</f>
        <v/>
      </c>
      <c r="M205" s="80"/>
      <c r="N205" s="80"/>
      <c r="O205" s="40">
        <v>0</v>
      </c>
      <c r="P205" s="94">
        <f>Table1[[#This Row],[quantity on-hand]]*(Table1[[#This Row],[Cost ]]+Table1[[#This Row],[shipping]]+Table1[[#This Row],[Tax]])</f>
        <v>0</v>
      </c>
      <c r="Q205" s="40">
        <v>0</v>
      </c>
      <c r="R205" s="92">
        <f>Table1[[#This Row],[Quantity on order]]*(Table1[[#This Row],[Cost ]]+Table1[[#This Row],[shipping]]+Table1[[#This Row],[Tax]])</f>
        <v>0</v>
      </c>
      <c r="S2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5" s="49">
        <f>Table1[[#This Row],[Quantity  to  purchase]]+Table1[[#This Row],[Quantity purchased]]+Table1[[#This Row],[Quantity on order]]+Table1[[#This Row],[Quantity donated]]-Table1[[#This Row],[extended quantity]]</f>
        <v>0</v>
      </c>
      <c r="U2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5" s="51">
        <f>IFERROR(Table1[[#This Row],[Quantity  to  purchase]]*(Table1[[#This Row],[Cost ]]+Table1[[#This Row],[shipping]]+Table1[[#This Row],[Tax]]),0)</f>
        <v>0</v>
      </c>
      <c r="W205" s="36">
        <f>IFERROR(Table1[[#This Row],[leftover material]]*(Table1[[#This Row],[Cost ]]+Table1[[#This Row],[shipping]]+Table1[[#This Row],[Tax]]),0)</f>
        <v>0</v>
      </c>
      <c r="X205" s="36"/>
      <c r="Y205" s="84"/>
      <c r="Z205" s="84"/>
      <c r="AA205" s="84"/>
      <c r="AB205" s="36"/>
      <c r="AC205" s="36">
        <f>IF(ISNA(VLOOKUP(Table1[[#This Row],[Part Number]],'Multi-level BOM'!V$4:V$449,1,FALSE)),0,Table1[[#This Row],[Remaining Extended cost]])</f>
        <v>0</v>
      </c>
    </row>
    <row r="206" spans="1:29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80" t="str">
        <f>IF(Table1[[#This Row],[Buy-now costs]]&gt;0,"X","")</f>
        <v/>
      </c>
      <c r="M206" s="80"/>
      <c r="N206" s="80"/>
      <c r="O206" s="40">
        <v>0</v>
      </c>
      <c r="P206" s="94">
        <f>Table1[[#This Row],[quantity on-hand]]*(Table1[[#This Row],[Cost ]]+Table1[[#This Row],[shipping]]+Table1[[#This Row],[Tax]])</f>
        <v>0</v>
      </c>
      <c r="Q206" s="40">
        <v>0</v>
      </c>
      <c r="R206" s="92">
        <f>Table1[[#This Row],[Quantity on order]]*(Table1[[#This Row],[Cost ]]+Table1[[#This Row],[shipping]]+Table1[[#This Row],[Tax]])</f>
        <v>0</v>
      </c>
      <c r="S2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6" s="49">
        <f>Table1[[#This Row],[Quantity  to  purchase]]+Table1[[#This Row],[Quantity purchased]]+Table1[[#This Row],[Quantity on order]]+Table1[[#This Row],[Quantity donated]]-Table1[[#This Row],[extended quantity]]</f>
        <v>0</v>
      </c>
      <c r="U2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6" s="51">
        <f>IFERROR(Table1[[#This Row],[Quantity  to  purchase]]*(Table1[[#This Row],[Cost ]]+Table1[[#This Row],[shipping]]+Table1[[#This Row],[Tax]]),0)</f>
        <v>0</v>
      </c>
      <c r="W206" s="36">
        <f>IFERROR(Table1[[#This Row],[leftover material]]*(Table1[[#This Row],[Cost ]]+Table1[[#This Row],[shipping]]+Table1[[#This Row],[Tax]]),0)</f>
        <v>0</v>
      </c>
      <c r="X206" s="36"/>
      <c r="Y206" s="84"/>
      <c r="Z206" s="84"/>
      <c r="AA206" s="84"/>
      <c r="AB206" s="36"/>
      <c r="AC206" s="36">
        <f>IF(ISNA(VLOOKUP(Table1[[#This Row],[Part Number]],'Multi-level BOM'!V$4:V$449,1,FALSE)),0,Table1[[#This Row],[Remaining Extended cost]])</f>
        <v>0</v>
      </c>
    </row>
    <row r="207" spans="1:29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80" t="str">
        <f>IF(Table1[[#This Row],[Buy-now costs]]&gt;0,"X","")</f>
        <v/>
      </c>
      <c r="M207" s="80"/>
      <c r="N207" s="80"/>
      <c r="O207" s="40">
        <v>0</v>
      </c>
      <c r="P207" s="94">
        <f>Table1[[#This Row],[quantity on-hand]]*(Table1[[#This Row],[Cost ]]+Table1[[#This Row],[shipping]]+Table1[[#This Row],[Tax]])</f>
        <v>0</v>
      </c>
      <c r="Q207" s="40">
        <v>0</v>
      </c>
      <c r="R207" s="92">
        <f>Table1[[#This Row],[Quantity on order]]*(Table1[[#This Row],[Cost ]]+Table1[[#This Row],[shipping]]+Table1[[#This Row],[Tax]])</f>
        <v>0</v>
      </c>
      <c r="S2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7" s="49">
        <f>Table1[[#This Row],[Quantity  to  purchase]]+Table1[[#This Row],[Quantity purchased]]+Table1[[#This Row],[Quantity on order]]+Table1[[#This Row],[Quantity donated]]-Table1[[#This Row],[extended quantity]]</f>
        <v>0</v>
      </c>
      <c r="U2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7" s="51">
        <f>IFERROR(Table1[[#This Row],[Quantity  to  purchase]]*(Table1[[#This Row],[Cost ]]+Table1[[#This Row],[shipping]]+Table1[[#This Row],[Tax]]),0)</f>
        <v>0</v>
      </c>
      <c r="W207" s="36">
        <f>IFERROR(Table1[[#This Row],[leftover material]]*(Table1[[#This Row],[Cost ]]+Table1[[#This Row],[shipping]]+Table1[[#This Row],[Tax]]),0)</f>
        <v>0</v>
      </c>
      <c r="X207" s="36"/>
      <c r="Y207" s="84"/>
      <c r="Z207" s="84"/>
      <c r="AA207" s="84"/>
      <c r="AB207" s="36"/>
      <c r="AC207" s="36">
        <f>IF(ISNA(VLOOKUP(Table1[[#This Row],[Part Number]],'Multi-level BOM'!V$4:V$449,1,FALSE)),0,Table1[[#This Row],[Remaining Extended cost]])</f>
        <v>0</v>
      </c>
    </row>
    <row r="208" spans="1:29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80" t="str">
        <f>IF(Table1[[#This Row],[Buy-now costs]]&gt;0,"X","")</f>
        <v/>
      </c>
      <c r="M208" s="80"/>
      <c r="N208" s="80"/>
      <c r="O208" s="40">
        <v>0</v>
      </c>
      <c r="P208" s="94">
        <f>Table1[[#This Row],[quantity on-hand]]*(Table1[[#This Row],[Cost ]]+Table1[[#This Row],[shipping]]+Table1[[#This Row],[Tax]])</f>
        <v>0</v>
      </c>
      <c r="Q208" s="40">
        <v>0</v>
      </c>
      <c r="R208" s="92">
        <f>Table1[[#This Row],[Quantity on order]]*(Table1[[#This Row],[Cost ]]+Table1[[#This Row],[shipping]]+Table1[[#This Row],[Tax]])</f>
        <v>0</v>
      </c>
      <c r="S2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8" s="49">
        <f>Table1[[#This Row],[Quantity  to  purchase]]+Table1[[#This Row],[Quantity purchased]]+Table1[[#This Row],[Quantity on order]]+Table1[[#This Row],[Quantity donated]]-Table1[[#This Row],[extended quantity]]</f>
        <v>0</v>
      </c>
      <c r="U2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8" s="51">
        <f>IFERROR(Table1[[#This Row],[Quantity  to  purchase]]*(Table1[[#This Row],[Cost ]]+Table1[[#This Row],[shipping]]+Table1[[#This Row],[Tax]]),0)</f>
        <v>0</v>
      </c>
      <c r="W208" s="36">
        <f>IFERROR(Table1[[#This Row],[leftover material]]*(Table1[[#This Row],[Cost ]]+Table1[[#This Row],[shipping]]+Table1[[#This Row],[Tax]]),0)</f>
        <v>0</v>
      </c>
      <c r="X208" s="36"/>
      <c r="Y208" s="84"/>
      <c r="Z208" s="84"/>
      <c r="AA208" s="84"/>
      <c r="AB208" s="36"/>
      <c r="AC208" s="36">
        <f>IF(ISNA(VLOOKUP(Table1[[#This Row],[Part Number]],'Multi-level BOM'!V$4:V$449,1,FALSE)),0,Table1[[#This Row],[Remaining Extended cost]])</f>
        <v>0</v>
      </c>
    </row>
    <row r="209" spans="1:29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80" t="str">
        <f>IF(Table1[[#This Row],[Buy-now costs]]&gt;0,"X","")</f>
        <v/>
      </c>
      <c r="M209" s="80"/>
      <c r="N209" s="80"/>
      <c r="O209" s="40">
        <v>0</v>
      </c>
      <c r="P209" s="94">
        <f>Table1[[#This Row],[quantity on-hand]]*(Table1[[#This Row],[Cost ]]+Table1[[#This Row],[shipping]]+Table1[[#This Row],[Tax]])</f>
        <v>0</v>
      </c>
      <c r="Q209" s="40">
        <v>0</v>
      </c>
      <c r="R209" s="92">
        <f>Table1[[#This Row],[Quantity on order]]*(Table1[[#This Row],[Cost ]]+Table1[[#This Row],[shipping]]+Table1[[#This Row],[Tax]])</f>
        <v>0</v>
      </c>
      <c r="S2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9" s="49">
        <f>Table1[[#This Row],[Quantity  to  purchase]]+Table1[[#This Row],[Quantity purchased]]+Table1[[#This Row],[Quantity on order]]+Table1[[#This Row],[Quantity donated]]-Table1[[#This Row],[extended quantity]]</f>
        <v>0</v>
      </c>
      <c r="U2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9" s="51">
        <f>IFERROR(Table1[[#This Row],[Quantity  to  purchase]]*(Table1[[#This Row],[Cost ]]+Table1[[#This Row],[shipping]]+Table1[[#This Row],[Tax]]),0)</f>
        <v>0</v>
      </c>
      <c r="W209" s="36">
        <f>IFERROR(Table1[[#This Row],[leftover material]]*(Table1[[#This Row],[Cost ]]+Table1[[#This Row],[shipping]]+Table1[[#This Row],[Tax]]),0)</f>
        <v>0</v>
      </c>
      <c r="X209" s="36"/>
      <c r="Y209" s="84"/>
      <c r="Z209" s="84"/>
      <c r="AA209" s="84"/>
      <c r="AB209" s="36"/>
      <c r="AC209" s="36">
        <f>IF(ISNA(VLOOKUP(Table1[[#This Row],[Part Number]],'Multi-level BOM'!V$4:V$449,1,FALSE)),0,Table1[[#This Row],[Remaining Extended cost]])</f>
        <v>0</v>
      </c>
    </row>
    <row r="210" spans="1:29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80" t="str">
        <f>IF(Table1[[#This Row],[Buy-now costs]]&gt;0,"X","")</f>
        <v/>
      </c>
      <c r="M210" s="80"/>
      <c r="N210" s="80"/>
      <c r="O210" s="40">
        <v>0</v>
      </c>
      <c r="P210" s="94">
        <f>Table1[[#This Row],[quantity on-hand]]*(Table1[[#This Row],[Cost ]]+Table1[[#This Row],[shipping]]+Table1[[#This Row],[Tax]])</f>
        <v>0</v>
      </c>
      <c r="Q210" s="40">
        <v>0</v>
      </c>
      <c r="R210" s="92">
        <f>Table1[[#This Row],[Quantity on order]]*(Table1[[#This Row],[Cost ]]+Table1[[#This Row],[shipping]]+Table1[[#This Row],[Tax]])</f>
        <v>0</v>
      </c>
      <c r="S2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0" s="49">
        <f>Table1[[#This Row],[Quantity  to  purchase]]+Table1[[#This Row],[Quantity purchased]]+Table1[[#This Row],[Quantity on order]]+Table1[[#This Row],[Quantity donated]]-Table1[[#This Row],[extended quantity]]</f>
        <v>0</v>
      </c>
      <c r="U2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0" s="51">
        <f>IFERROR(Table1[[#This Row],[Quantity  to  purchase]]*(Table1[[#This Row],[Cost ]]+Table1[[#This Row],[shipping]]+Table1[[#This Row],[Tax]]),0)</f>
        <v>0</v>
      </c>
      <c r="W210" s="36">
        <f>IFERROR(Table1[[#This Row],[leftover material]]*(Table1[[#This Row],[Cost ]]+Table1[[#This Row],[shipping]]+Table1[[#This Row],[Tax]]),0)</f>
        <v>0</v>
      </c>
      <c r="X210" s="36"/>
      <c r="Y210" s="84"/>
      <c r="Z210" s="84"/>
      <c r="AA210" s="84"/>
      <c r="AB210" s="36"/>
      <c r="AC210" s="36">
        <f>IF(ISNA(VLOOKUP(Table1[[#This Row],[Part Number]],'Multi-level BOM'!V$4:V$449,1,FALSE)),0,Table1[[#This Row],[Remaining Extended cost]])</f>
        <v>0</v>
      </c>
    </row>
    <row r="211" spans="1:29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80" t="str">
        <f>IF(Table1[[#This Row],[Buy-now costs]]&gt;0,"X","")</f>
        <v/>
      </c>
      <c r="M211" s="80"/>
      <c r="N211" s="80"/>
      <c r="O211" s="40">
        <v>0</v>
      </c>
      <c r="P211" s="94">
        <f>Table1[[#This Row],[quantity on-hand]]*(Table1[[#This Row],[Cost ]]+Table1[[#This Row],[shipping]]+Table1[[#This Row],[Tax]])</f>
        <v>0</v>
      </c>
      <c r="Q211" s="40">
        <v>0</v>
      </c>
      <c r="R211" s="92">
        <f>Table1[[#This Row],[Quantity on order]]*(Table1[[#This Row],[Cost ]]+Table1[[#This Row],[shipping]]+Table1[[#This Row],[Tax]])</f>
        <v>0</v>
      </c>
      <c r="S2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1" s="49">
        <f>Table1[[#This Row],[Quantity  to  purchase]]+Table1[[#This Row],[Quantity purchased]]+Table1[[#This Row],[Quantity on order]]+Table1[[#This Row],[Quantity donated]]-Table1[[#This Row],[extended quantity]]</f>
        <v>0</v>
      </c>
      <c r="U2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1" s="51">
        <f>IFERROR(Table1[[#This Row],[Quantity  to  purchase]]*(Table1[[#This Row],[Cost ]]+Table1[[#This Row],[shipping]]+Table1[[#This Row],[Tax]]),0)</f>
        <v>0</v>
      </c>
      <c r="W211" s="36">
        <f>IFERROR(Table1[[#This Row],[leftover material]]*(Table1[[#This Row],[Cost ]]+Table1[[#This Row],[shipping]]+Table1[[#This Row],[Tax]]),0)</f>
        <v>0</v>
      </c>
      <c r="X211" s="36"/>
      <c r="Y211" s="84"/>
      <c r="Z211" s="84"/>
      <c r="AA211" s="84"/>
      <c r="AB211" s="36"/>
      <c r="AC211" s="36">
        <f>IF(ISNA(VLOOKUP(Table1[[#This Row],[Part Number]],'Multi-level BOM'!V$4:V$449,1,FALSE)),0,Table1[[#This Row],[Remaining Extended cost]])</f>
        <v>0</v>
      </c>
    </row>
    <row r="212" spans="1:29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80" t="str">
        <f>IF(Table1[[#This Row],[Buy-now costs]]&gt;0,"X","")</f>
        <v/>
      </c>
      <c r="M212" s="80"/>
      <c r="N212" s="80"/>
      <c r="O212" s="40">
        <v>0</v>
      </c>
      <c r="P212" s="94">
        <f>Table1[[#This Row],[quantity on-hand]]*(Table1[[#This Row],[Cost ]]+Table1[[#This Row],[shipping]]+Table1[[#This Row],[Tax]])</f>
        <v>0</v>
      </c>
      <c r="Q212" s="40">
        <v>0</v>
      </c>
      <c r="R212" s="92">
        <f>Table1[[#This Row],[Quantity on order]]*(Table1[[#This Row],[Cost ]]+Table1[[#This Row],[shipping]]+Table1[[#This Row],[Tax]])</f>
        <v>0</v>
      </c>
      <c r="S2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2" s="49">
        <f>Table1[[#This Row],[Quantity  to  purchase]]+Table1[[#This Row],[Quantity purchased]]+Table1[[#This Row],[Quantity on order]]+Table1[[#This Row],[Quantity donated]]-Table1[[#This Row],[extended quantity]]</f>
        <v>0</v>
      </c>
      <c r="U2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2" s="51">
        <f>IFERROR(Table1[[#This Row],[Quantity  to  purchase]]*(Table1[[#This Row],[Cost ]]+Table1[[#This Row],[shipping]]+Table1[[#This Row],[Tax]]),0)</f>
        <v>0</v>
      </c>
      <c r="W212" s="36">
        <f>IFERROR(Table1[[#This Row],[leftover material]]*(Table1[[#This Row],[Cost ]]+Table1[[#This Row],[shipping]]+Table1[[#This Row],[Tax]]),0)</f>
        <v>0</v>
      </c>
      <c r="X212" s="36"/>
      <c r="Y212" s="84"/>
      <c r="Z212" s="84"/>
      <c r="AA212" s="84"/>
      <c r="AB212" s="36"/>
      <c r="AC212" s="36">
        <f>IF(ISNA(VLOOKUP(Table1[[#This Row],[Part Number]],'Multi-level BOM'!V$4:V$449,1,FALSE)),0,Table1[[#This Row],[Remaining Extended cost]])</f>
        <v>0</v>
      </c>
    </row>
    <row r="213" spans="1:29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80" t="str">
        <f>IF(Table1[[#This Row],[Buy-now costs]]&gt;0,"X","")</f>
        <v/>
      </c>
      <c r="M213" s="80"/>
      <c r="N213" s="80"/>
      <c r="O213" s="40">
        <v>0</v>
      </c>
      <c r="P213" s="94">
        <f>Table1[[#This Row],[quantity on-hand]]*(Table1[[#This Row],[Cost ]]+Table1[[#This Row],[shipping]]+Table1[[#This Row],[Tax]])</f>
        <v>0</v>
      </c>
      <c r="Q213" s="40">
        <v>0</v>
      </c>
      <c r="R213" s="92">
        <f>Table1[[#This Row],[Quantity on order]]*(Table1[[#This Row],[Cost ]]+Table1[[#This Row],[shipping]]+Table1[[#This Row],[Tax]])</f>
        <v>0</v>
      </c>
      <c r="S2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3" s="49">
        <f>Table1[[#This Row],[Quantity  to  purchase]]+Table1[[#This Row],[Quantity purchased]]+Table1[[#This Row],[Quantity on order]]+Table1[[#This Row],[Quantity donated]]-Table1[[#This Row],[extended quantity]]</f>
        <v>0</v>
      </c>
      <c r="U2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3" s="51">
        <f>IFERROR(Table1[[#This Row],[Quantity  to  purchase]]*(Table1[[#This Row],[Cost ]]+Table1[[#This Row],[shipping]]+Table1[[#This Row],[Tax]]),0)</f>
        <v>0</v>
      </c>
      <c r="W213" s="36">
        <f>IFERROR(Table1[[#This Row],[leftover material]]*(Table1[[#This Row],[Cost ]]+Table1[[#This Row],[shipping]]+Table1[[#This Row],[Tax]]),0)</f>
        <v>0</v>
      </c>
      <c r="X213" s="36"/>
      <c r="Y213" s="84"/>
      <c r="Z213" s="84"/>
      <c r="AA213" s="84"/>
      <c r="AB213" s="36"/>
      <c r="AC213" s="36">
        <f>IF(ISNA(VLOOKUP(Table1[[#This Row],[Part Number]],'Multi-level BOM'!V$4:V$449,1,FALSE)),0,Table1[[#This Row],[Remaining Extended cost]])</f>
        <v>0</v>
      </c>
    </row>
    <row r="214" spans="1:29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80" t="str">
        <f>IF(Table1[[#This Row],[Buy-now costs]]&gt;0,"X","")</f>
        <v/>
      </c>
      <c r="M214" s="80"/>
      <c r="N214" s="80"/>
      <c r="O214" s="40">
        <v>0</v>
      </c>
      <c r="P214" s="94">
        <f>Table1[[#This Row],[quantity on-hand]]*(Table1[[#This Row],[Cost ]]+Table1[[#This Row],[shipping]]+Table1[[#This Row],[Tax]])</f>
        <v>0</v>
      </c>
      <c r="Q214" s="40">
        <v>0</v>
      </c>
      <c r="R214" s="92">
        <f>Table1[[#This Row],[Quantity on order]]*(Table1[[#This Row],[Cost ]]+Table1[[#This Row],[shipping]]+Table1[[#This Row],[Tax]])</f>
        <v>0</v>
      </c>
      <c r="S2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4" s="49">
        <f>Table1[[#This Row],[Quantity  to  purchase]]+Table1[[#This Row],[Quantity purchased]]+Table1[[#This Row],[Quantity on order]]+Table1[[#This Row],[Quantity donated]]-Table1[[#This Row],[extended quantity]]</f>
        <v>0</v>
      </c>
      <c r="U2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4" s="51">
        <f>IFERROR(Table1[[#This Row],[Quantity  to  purchase]]*(Table1[[#This Row],[Cost ]]+Table1[[#This Row],[shipping]]+Table1[[#This Row],[Tax]]),0)</f>
        <v>0</v>
      </c>
      <c r="W214" s="36">
        <f>IFERROR(Table1[[#This Row],[leftover material]]*(Table1[[#This Row],[Cost ]]+Table1[[#This Row],[shipping]]+Table1[[#This Row],[Tax]]),0)</f>
        <v>0</v>
      </c>
      <c r="X214" s="36"/>
      <c r="Y214" s="84"/>
      <c r="Z214" s="84"/>
      <c r="AA214" s="84"/>
      <c r="AB214" s="36"/>
      <c r="AC214" s="36">
        <f>IF(ISNA(VLOOKUP(Table1[[#This Row],[Part Number]],'Multi-level BOM'!V$4:V$449,1,FALSE)),0,Table1[[#This Row],[Remaining Extended cost]])</f>
        <v>0</v>
      </c>
    </row>
    <row r="215" spans="1:29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80" t="str">
        <f>IF(Table1[[#This Row],[Buy-now costs]]&gt;0,"X","")</f>
        <v/>
      </c>
      <c r="M215" s="80"/>
      <c r="N215" s="80"/>
      <c r="O215" s="40">
        <v>0</v>
      </c>
      <c r="P215" s="94">
        <f>Table1[[#This Row],[quantity on-hand]]*(Table1[[#This Row],[Cost ]]+Table1[[#This Row],[shipping]]+Table1[[#This Row],[Tax]])</f>
        <v>0</v>
      </c>
      <c r="Q215" s="40">
        <v>0</v>
      </c>
      <c r="R215" s="92">
        <f>Table1[[#This Row],[Quantity on order]]*(Table1[[#This Row],[Cost ]]+Table1[[#This Row],[shipping]]+Table1[[#This Row],[Tax]])</f>
        <v>0</v>
      </c>
      <c r="S2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5" s="49">
        <f>Table1[[#This Row],[Quantity  to  purchase]]+Table1[[#This Row],[Quantity purchased]]+Table1[[#This Row],[Quantity on order]]+Table1[[#This Row],[Quantity donated]]-Table1[[#This Row],[extended quantity]]</f>
        <v>0</v>
      </c>
      <c r="U2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5" s="51">
        <f>IFERROR(Table1[[#This Row],[Quantity  to  purchase]]*(Table1[[#This Row],[Cost ]]+Table1[[#This Row],[shipping]]+Table1[[#This Row],[Tax]]),0)</f>
        <v>0</v>
      </c>
      <c r="W215" s="36">
        <f>IFERROR(Table1[[#This Row],[leftover material]]*(Table1[[#This Row],[Cost ]]+Table1[[#This Row],[shipping]]+Table1[[#This Row],[Tax]]),0)</f>
        <v>0</v>
      </c>
      <c r="X215" s="36"/>
      <c r="Y215" s="84"/>
      <c r="Z215" s="84"/>
      <c r="AA215" s="84"/>
      <c r="AB215" s="36"/>
      <c r="AC215" s="36">
        <f>IF(ISNA(VLOOKUP(Table1[[#This Row],[Part Number]],'Multi-level BOM'!V$4:V$449,1,FALSE)),0,Table1[[#This Row],[Remaining Extended cost]])</f>
        <v>0</v>
      </c>
    </row>
    <row r="216" spans="1:29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80" t="str">
        <f>IF(Table1[[#This Row],[Buy-now costs]]&gt;0,"X","")</f>
        <v/>
      </c>
      <c r="M216" s="80"/>
      <c r="N216" s="80"/>
      <c r="O216" s="40">
        <v>0</v>
      </c>
      <c r="P216" s="94">
        <f>Table1[[#This Row],[quantity on-hand]]*(Table1[[#This Row],[Cost ]]+Table1[[#This Row],[shipping]]+Table1[[#This Row],[Tax]])</f>
        <v>0</v>
      </c>
      <c r="Q216" s="40">
        <v>0</v>
      </c>
      <c r="R216" s="92">
        <f>Table1[[#This Row],[Quantity on order]]*(Table1[[#This Row],[Cost ]]+Table1[[#This Row],[shipping]]+Table1[[#This Row],[Tax]])</f>
        <v>0</v>
      </c>
      <c r="S2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6" s="49">
        <f>Table1[[#This Row],[Quantity  to  purchase]]+Table1[[#This Row],[Quantity purchased]]+Table1[[#This Row],[Quantity on order]]+Table1[[#This Row],[Quantity donated]]-Table1[[#This Row],[extended quantity]]</f>
        <v>0</v>
      </c>
      <c r="U2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6" s="51">
        <f>IFERROR(Table1[[#This Row],[Quantity  to  purchase]]*(Table1[[#This Row],[Cost ]]+Table1[[#This Row],[shipping]]+Table1[[#This Row],[Tax]]),0)</f>
        <v>0</v>
      </c>
      <c r="W216" s="36">
        <f>IFERROR(Table1[[#This Row],[leftover material]]*(Table1[[#This Row],[Cost ]]+Table1[[#This Row],[shipping]]+Table1[[#This Row],[Tax]]),0)</f>
        <v>0</v>
      </c>
      <c r="X216" s="36"/>
      <c r="Y216" s="84"/>
      <c r="Z216" s="84"/>
      <c r="AA216" s="84"/>
      <c r="AB216" s="36"/>
      <c r="AC216" s="36">
        <f>IF(ISNA(VLOOKUP(Table1[[#This Row],[Part Number]],'Multi-level BOM'!V$4:V$449,1,FALSE)),0,Table1[[#This Row],[Remaining Extended cost]])</f>
        <v>0</v>
      </c>
    </row>
    <row r="217" spans="1:29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80" t="str">
        <f>IF(Table1[[#This Row],[Buy-now costs]]&gt;0,"X","")</f>
        <v/>
      </c>
      <c r="M217" s="80"/>
      <c r="N217" s="80"/>
      <c r="O217" s="40">
        <v>0</v>
      </c>
      <c r="P217" s="94">
        <f>Table1[[#This Row],[quantity on-hand]]*(Table1[[#This Row],[Cost ]]+Table1[[#This Row],[shipping]]+Table1[[#This Row],[Tax]])</f>
        <v>0</v>
      </c>
      <c r="Q217" s="40">
        <v>0</v>
      </c>
      <c r="R217" s="92">
        <f>Table1[[#This Row],[Quantity on order]]*(Table1[[#This Row],[Cost ]]+Table1[[#This Row],[shipping]]+Table1[[#This Row],[Tax]])</f>
        <v>0</v>
      </c>
      <c r="S2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7" s="49">
        <f>Table1[[#This Row],[Quantity  to  purchase]]+Table1[[#This Row],[Quantity purchased]]+Table1[[#This Row],[Quantity on order]]+Table1[[#This Row],[Quantity donated]]-Table1[[#This Row],[extended quantity]]</f>
        <v>0</v>
      </c>
      <c r="U2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7" s="51">
        <f>IFERROR(Table1[[#This Row],[Quantity  to  purchase]]*(Table1[[#This Row],[Cost ]]+Table1[[#This Row],[shipping]]+Table1[[#This Row],[Tax]]),0)</f>
        <v>0</v>
      </c>
      <c r="W217" s="36">
        <f>IFERROR(Table1[[#This Row],[leftover material]]*(Table1[[#This Row],[Cost ]]+Table1[[#This Row],[shipping]]+Table1[[#This Row],[Tax]]),0)</f>
        <v>0</v>
      </c>
      <c r="X217" s="36"/>
      <c r="Y217" s="84"/>
      <c r="Z217" s="84"/>
      <c r="AA217" s="84"/>
      <c r="AB217" s="36"/>
      <c r="AC217" s="36">
        <f>IF(ISNA(VLOOKUP(Table1[[#This Row],[Part Number]],'Multi-level BOM'!V$4:V$449,1,FALSE)),0,Table1[[#This Row],[Remaining Extended cost]])</f>
        <v>0</v>
      </c>
    </row>
    <row r="218" spans="1:29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80" t="str">
        <f>IF(Table1[[#This Row],[Buy-now costs]]&gt;0,"X","")</f>
        <v/>
      </c>
      <c r="M218" s="80"/>
      <c r="N218" s="80"/>
      <c r="O218" s="40">
        <v>0</v>
      </c>
      <c r="P218" s="94">
        <f>Table1[[#This Row],[quantity on-hand]]*(Table1[[#This Row],[Cost ]]+Table1[[#This Row],[shipping]]+Table1[[#This Row],[Tax]])</f>
        <v>0</v>
      </c>
      <c r="Q218" s="40">
        <v>0</v>
      </c>
      <c r="R218" s="92">
        <f>Table1[[#This Row],[Quantity on order]]*(Table1[[#This Row],[Cost ]]+Table1[[#This Row],[shipping]]+Table1[[#This Row],[Tax]])</f>
        <v>0</v>
      </c>
      <c r="S2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8" s="49">
        <f>Table1[[#This Row],[Quantity  to  purchase]]+Table1[[#This Row],[Quantity purchased]]+Table1[[#This Row],[Quantity on order]]+Table1[[#This Row],[Quantity donated]]-Table1[[#This Row],[extended quantity]]</f>
        <v>0</v>
      </c>
      <c r="U2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8" s="51">
        <f>IFERROR(Table1[[#This Row],[Quantity  to  purchase]]*(Table1[[#This Row],[Cost ]]+Table1[[#This Row],[shipping]]+Table1[[#This Row],[Tax]]),0)</f>
        <v>0</v>
      </c>
      <c r="W218" s="36">
        <f>IFERROR(Table1[[#This Row],[leftover material]]*(Table1[[#This Row],[Cost ]]+Table1[[#This Row],[shipping]]+Table1[[#This Row],[Tax]]),0)</f>
        <v>0</v>
      </c>
      <c r="X218" s="36"/>
      <c r="Y218" s="84"/>
      <c r="Z218" s="84"/>
      <c r="AA218" s="84"/>
      <c r="AB218" s="36"/>
      <c r="AC218" s="36">
        <f>IF(ISNA(VLOOKUP(Table1[[#This Row],[Part Number]],'Multi-level BOM'!V$4:V$449,1,FALSE)),0,Table1[[#This Row],[Remaining Extended cost]])</f>
        <v>0</v>
      </c>
    </row>
    <row r="219" spans="1:29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80" t="str">
        <f>IF(Table1[[#This Row],[Buy-now costs]]&gt;0,"X","")</f>
        <v/>
      </c>
      <c r="M219" s="80"/>
      <c r="N219" s="80"/>
      <c r="O219" s="40">
        <v>0</v>
      </c>
      <c r="P219" s="94">
        <f>Table1[[#This Row],[quantity on-hand]]*(Table1[[#This Row],[Cost ]]+Table1[[#This Row],[shipping]]+Table1[[#This Row],[Tax]])</f>
        <v>0</v>
      </c>
      <c r="Q219" s="40">
        <v>0</v>
      </c>
      <c r="R219" s="92">
        <f>Table1[[#This Row],[Quantity on order]]*(Table1[[#This Row],[Cost ]]+Table1[[#This Row],[shipping]]+Table1[[#This Row],[Tax]])</f>
        <v>0</v>
      </c>
      <c r="S2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9" s="49">
        <f>Table1[[#This Row],[Quantity  to  purchase]]+Table1[[#This Row],[Quantity purchased]]+Table1[[#This Row],[Quantity on order]]+Table1[[#This Row],[Quantity donated]]-Table1[[#This Row],[extended quantity]]</f>
        <v>0</v>
      </c>
      <c r="U2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9" s="51">
        <f>IFERROR(Table1[[#This Row],[Quantity  to  purchase]]*(Table1[[#This Row],[Cost ]]+Table1[[#This Row],[shipping]]+Table1[[#This Row],[Tax]]),0)</f>
        <v>0</v>
      </c>
      <c r="W219" s="36">
        <f>IFERROR(Table1[[#This Row],[leftover material]]*(Table1[[#This Row],[Cost ]]+Table1[[#This Row],[shipping]]+Table1[[#This Row],[Tax]]),0)</f>
        <v>0</v>
      </c>
      <c r="X219" s="36"/>
      <c r="Y219" s="84"/>
      <c r="Z219" s="84"/>
      <c r="AA219" s="84"/>
      <c r="AB219" s="36"/>
      <c r="AC219" s="36">
        <f>IF(ISNA(VLOOKUP(Table1[[#This Row],[Part Number]],'Multi-level BOM'!V$4:V$449,1,FALSE)),0,Table1[[#This Row],[Remaining Extended cost]])</f>
        <v>0</v>
      </c>
    </row>
    <row r="220" spans="1:29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80" t="str">
        <f>IF(Table1[[#This Row],[Buy-now costs]]&gt;0,"X","")</f>
        <v/>
      </c>
      <c r="M220" s="80"/>
      <c r="N220" s="80"/>
      <c r="O220" s="40">
        <v>0</v>
      </c>
      <c r="P220" s="94">
        <f>Table1[[#This Row],[quantity on-hand]]*(Table1[[#This Row],[Cost ]]+Table1[[#This Row],[shipping]]+Table1[[#This Row],[Tax]])</f>
        <v>0</v>
      </c>
      <c r="Q220" s="40">
        <v>0</v>
      </c>
      <c r="R220" s="92">
        <f>Table1[[#This Row],[Quantity on order]]*(Table1[[#This Row],[Cost ]]+Table1[[#This Row],[shipping]]+Table1[[#This Row],[Tax]])</f>
        <v>0</v>
      </c>
      <c r="S2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0" s="49">
        <f>Table1[[#This Row],[Quantity  to  purchase]]+Table1[[#This Row],[Quantity purchased]]+Table1[[#This Row],[Quantity on order]]+Table1[[#This Row],[Quantity donated]]-Table1[[#This Row],[extended quantity]]</f>
        <v>0</v>
      </c>
      <c r="U2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0" s="51">
        <f>IFERROR(Table1[[#This Row],[Quantity  to  purchase]]*(Table1[[#This Row],[Cost ]]+Table1[[#This Row],[shipping]]+Table1[[#This Row],[Tax]]),0)</f>
        <v>0</v>
      </c>
      <c r="W220" s="36">
        <f>IFERROR(Table1[[#This Row],[leftover material]]*(Table1[[#This Row],[Cost ]]+Table1[[#This Row],[shipping]]+Table1[[#This Row],[Tax]]),0)</f>
        <v>0</v>
      </c>
      <c r="X220" s="36"/>
      <c r="Y220" s="84"/>
      <c r="Z220" s="84"/>
      <c r="AA220" s="84"/>
      <c r="AB220" s="36"/>
      <c r="AC220" s="36">
        <f>IF(ISNA(VLOOKUP(Table1[[#This Row],[Part Number]],'Multi-level BOM'!V$4:V$449,1,FALSE)),0,Table1[[#This Row],[Remaining Extended cost]])</f>
        <v>0</v>
      </c>
    </row>
    <row r="221" spans="1:29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80" t="str">
        <f>IF(Table1[[#This Row],[Buy-now costs]]&gt;0,"X","")</f>
        <v/>
      </c>
      <c r="M221" s="80"/>
      <c r="N221" s="80"/>
      <c r="O221" s="40">
        <v>0</v>
      </c>
      <c r="P221" s="94">
        <f>Table1[[#This Row],[quantity on-hand]]*(Table1[[#This Row],[Cost ]]+Table1[[#This Row],[shipping]]+Table1[[#This Row],[Tax]])</f>
        <v>0</v>
      </c>
      <c r="Q221" s="40">
        <v>0</v>
      </c>
      <c r="R221" s="92">
        <f>Table1[[#This Row],[Quantity on order]]*(Table1[[#This Row],[Cost ]]+Table1[[#This Row],[shipping]]+Table1[[#This Row],[Tax]])</f>
        <v>0</v>
      </c>
      <c r="S2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1" s="49">
        <f>Table1[[#This Row],[Quantity  to  purchase]]+Table1[[#This Row],[Quantity purchased]]+Table1[[#This Row],[Quantity on order]]+Table1[[#This Row],[Quantity donated]]-Table1[[#This Row],[extended quantity]]</f>
        <v>0</v>
      </c>
      <c r="U2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1" s="51">
        <f>IFERROR(Table1[[#This Row],[Quantity  to  purchase]]*(Table1[[#This Row],[Cost ]]+Table1[[#This Row],[shipping]]+Table1[[#This Row],[Tax]]),0)</f>
        <v>0</v>
      </c>
      <c r="W221" s="36">
        <f>IFERROR(Table1[[#This Row],[leftover material]]*(Table1[[#This Row],[Cost ]]+Table1[[#This Row],[shipping]]+Table1[[#This Row],[Tax]]),0)</f>
        <v>0</v>
      </c>
      <c r="X221" s="36"/>
      <c r="Y221" s="84"/>
      <c r="Z221" s="84"/>
      <c r="AA221" s="84"/>
      <c r="AB221" s="36"/>
      <c r="AC221" s="36">
        <f>IF(ISNA(VLOOKUP(Table1[[#This Row],[Part Number]],'Multi-level BOM'!V$4:V$449,1,FALSE)),0,Table1[[#This Row],[Remaining Extended cost]])</f>
        <v>0</v>
      </c>
    </row>
    <row r="222" spans="1:29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80" t="str">
        <f>IF(Table1[[#This Row],[Buy-now costs]]&gt;0,"X","")</f>
        <v/>
      </c>
      <c r="M222" s="80"/>
      <c r="N222" s="80"/>
      <c r="O222" s="40">
        <v>0</v>
      </c>
      <c r="P222" s="94">
        <f>Table1[[#This Row],[quantity on-hand]]*(Table1[[#This Row],[Cost ]]+Table1[[#This Row],[shipping]]+Table1[[#This Row],[Tax]])</f>
        <v>0</v>
      </c>
      <c r="Q222" s="40">
        <v>0</v>
      </c>
      <c r="R222" s="92">
        <f>Table1[[#This Row],[Quantity on order]]*(Table1[[#This Row],[Cost ]]+Table1[[#This Row],[shipping]]+Table1[[#This Row],[Tax]])</f>
        <v>0</v>
      </c>
      <c r="S2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2" s="49">
        <f>Table1[[#This Row],[Quantity  to  purchase]]+Table1[[#This Row],[Quantity purchased]]+Table1[[#This Row],[Quantity on order]]+Table1[[#This Row],[Quantity donated]]-Table1[[#This Row],[extended quantity]]</f>
        <v>0</v>
      </c>
      <c r="U2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2" s="51">
        <f>IFERROR(Table1[[#This Row],[Quantity  to  purchase]]*(Table1[[#This Row],[Cost ]]+Table1[[#This Row],[shipping]]+Table1[[#This Row],[Tax]]),0)</f>
        <v>0</v>
      </c>
      <c r="W222" s="36">
        <f>IFERROR(Table1[[#This Row],[leftover material]]*(Table1[[#This Row],[Cost ]]+Table1[[#This Row],[shipping]]+Table1[[#This Row],[Tax]]),0)</f>
        <v>0</v>
      </c>
      <c r="X222" s="36"/>
      <c r="Y222" s="84"/>
      <c r="Z222" s="84"/>
      <c r="AA222" s="84"/>
      <c r="AB222" s="36"/>
      <c r="AC222" s="36">
        <f>IF(ISNA(VLOOKUP(Table1[[#This Row],[Part Number]],'Multi-level BOM'!V$4:V$449,1,FALSE)),0,Table1[[#This Row],[Remaining Extended cost]])</f>
        <v>0</v>
      </c>
    </row>
    <row r="223" spans="1:29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80" t="str">
        <f>IF(Table1[[#This Row],[Buy-now costs]]&gt;0,"X","")</f>
        <v/>
      </c>
      <c r="M223" s="80"/>
      <c r="N223" s="80"/>
      <c r="O223" s="40">
        <v>0</v>
      </c>
      <c r="P223" s="94">
        <f>Table1[[#This Row],[quantity on-hand]]*(Table1[[#This Row],[Cost ]]+Table1[[#This Row],[shipping]]+Table1[[#This Row],[Tax]])</f>
        <v>0</v>
      </c>
      <c r="Q223" s="40">
        <v>0</v>
      </c>
      <c r="R223" s="92">
        <f>Table1[[#This Row],[Quantity on order]]*(Table1[[#This Row],[Cost ]]+Table1[[#This Row],[shipping]]+Table1[[#This Row],[Tax]])</f>
        <v>0</v>
      </c>
      <c r="S2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3" s="49">
        <f>Table1[[#This Row],[Quantity  to  purchase]]+Table1[[#This Row],[Quantity purchased]]+Table1[[#This Row],[Quantity on order]]+Table1[[#This Row],[Quantity donated]]-Table1[[#This Row],[extended quantity]]</f>
        <v>0</v>
      </c>
      <c r="U2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3" s="51">
        <f>IFERROR(Table1[[#This Row],[Quantity  to  purchase]]*(Table1[[#This Row],[Cost ]]+Table1[[#This Row],[shipping]]+Table1[[#This Row],[Tax]]),0)</f>
        <v>0</v>
      </c>
      <c r="W223" s="36">
        <f>IFERROR(Table1[[#This Row],[leftover material]]*(Table1[[#This Row],[Cost ]]+Table1[[#This Row],[shipping]]+Table1[[#This Row],[Tax]]),0)</f>
        <v>0</v>
      </c>
      <c r="X223" s="36"/>
      <c r="Y223" s="84"/>
      <c r="Z223" s="84"/>
      <c r="AA223" s="84"/>
      <c r="AB223" s="36"/>
      <c r="AC223" s="36">
        <f>IF(ISNA(VLOOKUP(Table1[[#This Row],[Part Number]],'Multi-level BOM'!V$4:V$449,1,FALSE)),0,Table1[[#This Row],[Remaining Extended cost]])</f>
        <v>0</v>
      </c>
    </row>
    <row r="224" spans="1:29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80" t="str">
        <f>IF(Table1[[#This Row],[Buy-now costs]]&gt;0,"X","")</f>
        <v/>
      </c>
      <c r="M224" s="80"/>
      <c r="N224" s="80"/>
      <c r="O224" s="40">
        <v>0</v>
      </c>
      <c r="P224" s="94">
        <f>Table1[[#This Row],[quantity on-hand]]*(Table1[[#This Row],[Cost ]]+Table1[[#This Row],[shipping]]+Table1[[#This Row],[Tax]])</f>
        <v>0</v>
      </c>
      <c r="Q224" s="40">
        <v>0</v>
      </c>
      <c r="R224" s="92">
        <f>Table1[[#This Row],[Quantity on order]]*(Table1[[#This Row],[Cost ]]+Table1[[#This Row],[shipping]]+Table1[[#This Row],[Tax]])</f>
        <v>0</v>
      </c>
      <c r="S2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4" s="49">
        <f>Table1[[#This Row],[Quantity  to  purchase]]+Table1[[#This Row],[Quantity purchased]]+Table1[[#This Row],[Quantity on order]]+Table1[[#This Row],[Quantity donated]]-Table1[[#This Row],[extended quantity]]</f>
        <v>0</v>
      </c>
      <c r="U2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4" s="51">
        <f>IFERROR(Table1[[#This Row],[Quantity  to  purchase]]*(Table1[[#This Row],[Cost ]]+Table1[[#This Row],[shipping]]+Table1[[#This Row],[Tax]]),0)</f>
        <v>0</v>
      </c>
      <c r="W224" s="36">
        <f>IFERROR(Table1[[#This Row],[leftover material]]*(Table1[[#This Row],[Cost ]]+Table1[[#This Row],[shipping]]+Table1[[#This Row],[Tax]]),0)</f>
        <v>0</v>
      </c>
      <c r="X224" s="36"/>
      <c r="Y224" s="84"/>
      <c r="Z224" s="84"/>
      <c r="AA224" s="84"/>
      <c r="AB224" s="36"/>
      <c r="AC224" s="36">
        <f>IF(ISNA(VLOOKUP(Table1[[#This Row],[Part Number]],'Multi-level BOM'!V$4:V$449,1,FALSE)),0,Table1[[#This Row],[Remaining Extended cost]])</f>
        <v>0</v>
      </c>
    </row>
    <row r="225" spans="1:29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80" t="str">
        <f>IF(Table1[[#This Row],[Buy-now costs]]&gt;0,"X","")</f>
        <v/>
      </c>
      <c r="M225" s="80"/>
      <c r="N225" s="80"/>
      <c r="O225" s="40">
        <v>0</v>
      </c>
      <c r="P225" s="94">
        <f>Table1[[#This Row],[quantity on-hand]]*(Table1[[#This Row],[Cost ]]+Table1[[#This Row],[shipping]]+Table1[[#This Row],[Tax]])</f>
        <v>0</v>
      </c>
      <c r="Q225" s="40">
        <v>0</v>
      </c>
      <c r="R225" s="92">
        <f>Table1[[#This Row],[Quantity on order]]*(Table1[[#This Row],[Cost ]]+Table1[[#This Row],[shipping]]+Table1[[#This Row],[Tax]])</f>
        <v>0</v>
      </c>
      <c r="S2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5" s="49">
        <f>Table1[[#This Row],[Quantity  to  purchase]]+Table1[[#This Row],[Quantity purchased]]+Table1[[#This Row],[Quantity on order]]+Table1[[#This Row],[Quantity donated]]-Table1[[#This Row],[extended quantity]]</f>
        <v>0</v>
      </c>
      <c r="U2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5" s="51">
        <f>IFERROR(Table1[[#This Row],[Quantity  to  purchase]]*(Table1[[#This Row],[Cost ]]+Table1[[#This Row],[shipping]]+Table1[[#This Row],[Tax]]),0)</f>
        <v>0</v>
      </c>
      <c r="W225" s="36">
        <f>IFERROR(Table1[[#This Row],[leftover material]]*(Table1[[#This Row],[Cost ]]+Table1[[#This Row],[shipping]]+Table1[[#This Row],[Tax]]),0)</f>
        <v>0</v>
      </c>
      <c r="X225" s="36"/>
      <c r="Y225" s="84"/>
      <c r="Z225" s="84"/>
      <c r="AA225" s="84"/>
      <c r="AB225" s="36"/>
      <c r="AC225" s="36">
        <f>IF(ISNA(VLOOKUP(Table1[[#This Row],[Part Number]],'Multi-level BOM'!V$4:V$449,1,FALSE)),0,Table1[[#This Row],[Remaining Extended cost]])</f>
        <v>0</v>
      </c>
    </row>
    <row r="226" spans="1:29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80" t="str">
        <f>IF(Table1[[#This Row],[Buy-now costs]]&gt;0,"X","")</f>
        <v/>
      </c>
      <c r="M226" s="80"/>
      <c r="N226" s="80"/>
      <c r="O226" s="40">
        <v>0</v>
      </c>
      <c r="P226" s="94">
        <f>Table1[[#This Row],[quantity on-hand]]*(Table1[[#This Row],[Cost ]]+Table1[[#This Row],[shipping]]+Table1[[#This Row],[Tax]])</f>
        <v>0</v>
      </c>
      <c r="Q226" s="40">
        <v>0</v>
      </c>
      <c r="R226" s="92">
        <f>Table1[[#This Row],[Quantity on order]]*(Table1[[#This Row],[Cost ]]+Table1[[#This Row],[shipping]]+Table1[[#This Row],[Tax]])</f>
        <v>0</v>
      </c>
      <c r="S2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6" s="49">
        <f>Table1[[#This Row],[Quantity  to  purchase]]+Table1[[#This Row],[Quantity purchased]]+Table1[[#This Row],[Quantity on order]]+Table1[[#This Row],[Quantity donated]]-Table1[[#This Row],[extended quantity]]</f>
        <v>0</v>
      </c>
      <c r="U2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6" s="51">
        <f>IFERROR(Table1[[#This Row],[Quantity  to  purchase]]*(Table1[[#This Row],[Cost ]]+Table1[[#This Row],[shipping]]+Table1[[#This Row],[Tax]]),0)</f>
        <v>0</v>
      </c>
      <c r="W226" s="36">
        <f>IFERROR(Table1[[#This Row],[leftover material]]*(Table1[[#This Row],[Cost ]]+Table1[[#This Row],[shipping]]+Table1[[#This Row],[Tax]]),0)</f>
        <v>0</v>
      </c>
      <c r="X226" s="36"/>
      <c r="Y226" s="84"/>
      <c r="Z226" s="84"/>
      <c r="AA226" s="84"/>
      <c r="AB226" s="36"/>
      <c r="AC226" s="36">
        <f>IF(ISNA(VLOOKUP(Table1[[#This Row],[Part Number]],'Multi-level BOM'!V$4:V$449,1,FALSE)),0,Table1[[#This Row],[Remaining Extended cost]])</f>
        <v>0</v>
      </c>
    </row>
    <row r="227" spans="1:29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80" t="str">
        <f>IF(Table1[[#This Row],[Buy-now costs]]&gt;0,"X","")</f>
        <v/>
      </c>
      <c r="M227" s="80"/>
      <c r="N227" s="80"/>
      <c r="O227" s="40">
        <v>0</v>
      </c>
      <c r="P227" s="94">
        <f>Table1[[#This Row],[quantity on-hand]]*(Table1[[#This Row],[Cost ]]+Table1[[#This Row],[shipping]]+Table1[[#This Row],[Tax]])</f>
        <v>0</v>
      </c>
      <c r="Q227" s="40">
        <v>0</v>
      </c>
      <c r="R227" s="92">
        <f>Table1[[#This Row],[Quantity on order]]*(Table1[[#This Row],[Cost ]]+Table1[[#This Row],[shipping]]+Table1[[#This Row],[Tax]])</f>
        <v>0</v>
      </c>
      <c r="S2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7" s="49">
        <f>Table1[[#This Row],[Quantity  to  purchase]]+Table1[[#This Row],[Quantity purchased]]+Table1[[#This Row],[Quantity on order]]+Table1[[#This Row],[Quantity donated]]-Table1[[#This Row],[extended quantity]]</f>
        <v>0</v>
      </c>
      <c r="U2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7" s="51">
        <f>IFERROR(Table1[[#This Row],[Quantity  to  purchase]]*(Table1[[#This Row],[Cost ]]+Table1[[#This Row],[shipping]]+Table1[[#This Row],[Tax]]),0)</f>
        <v>0</v>
      </c>
      <c r="W227" s="36">
        <f>IFERROR(Table1[[#This Row],[leftover material]]*(Table1[[#This Row],[Cost ]]+Table1[[#This Row],[shipping]]+Table1[[#This Row],[Tax]]),0)</f>
        <v>0</v>
      </c>
      <c r="X227" s="36"/>
      <c r="Y227" s="84"/>
      <c r="Z227" s="84"/>
      <c r="AA227" s="84"/>
      <c r="AB227" s="36"/>
      <c r="AC227" s="36">
        <f>IF(ISNA(VLOOKUP(Table1[[#This Row],[Part Number]],'Multi-level BOM'!V$4:V$449,1,FALSE)),0,Table1[[#This Row],[Remaining Extended cost]])</f>
        <v>0</v>
      </c>
    </row>
    <row r="228" spans="1:29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80" t="str">
        <f>IF(Table1[[#This Row],[Buy-now costs]]&gt;0,"X","")</f>
        <v/>
      </c>
      <c r="M228" s="80"/>
      <c r="N228" s="80"/>
      <c r="O228" s="40">
        <v>0</v>
      </c>
      <c r="P228" s="94">
        <f>Table1[[#This Row],[quantity on-hand]]*(Table1[[#This Row],[Cost ]]+Table1[[#This Row],[shipping]]+Table1[[#This Row],[Tax]])</f>
        <v>0</v>
      </c>
      <c r="Q228" s="40">
        <v>0</v>
      </c>
      <c r="R228" s="92">
        <f>Table1[[#This Row],[Quantity on order]]*(Table1[[#This Row],[Cost ]]+Table1[[#This Row],[shipping]]+Table1[[#This Row],[Tax]])</f>
        <v>0</v>
      </c>
      <c r="S2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8" s="49">
        <f>Table1[[#This Row],[Quantity  to  purchase]]+Table1[[#This Row],[Quantity purchased]]+Table1[[#This Row],[Quantity on order]]+Table1[[#This Row],[Quantity donated]]-Table1[[#This Row],[extended quantity]]</f>
        <v>0</v>
      </c>
      <c r="U2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8" s="51">
        <f>IFERROR(Table1[[#This Row],[Quantity  to  purchase]]*(Table1[[#This Row],[Cost ]]+Table1[[#This Row],[shipping]]+Table1[[#This Row],[Tax]]),0)</f>
        <v>0</v>
      </c>
      <c r="W228" s="36">
        <f>IFERROR(Table1[[#This Row],[leftover material]]*(Table1[[#This Row],[Cost ]]+Table1[[#This Row],[shipping]]+Table1[[#This Row],[Tax]]),0)</f>
        <v>0</v>
      </c>
      <c r="X228" s="36"/>
      <c r="Y228" s="84"/>
      <c r="Z228" s="84"/>
      <c r="AA228" s="84"/>
      <c r="AB228" s="36"/>
      <c r="AC228" s="36">
        <f>IF(ISNA(VLOOKUP(Table1[[#This Row],[Part Number]],'Multi-level BOM'!V$4:V$449,1,FALSE)),0,Table1[[#This Row],[Remaining Extended cost]])</f>
        <v>0</v>
      </c>
    </row>
    <row r="229" spans="1:29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80" t="str">
        <f>IF(Table1[[#This Row],[Buy-now costs]]&gt;0,"X","")</f>
        <v/>
      </c>
      <c r="M229" s="80"/>
      <c r="N229" s="80"/>
      <c r="O229" s="40">
        <v>0</v>
      </c>
      <c r="P229" s="94">
        <f>Table1[[#This Row],[quantity on-hand]]*(Table1[[#This Row],[Cost ]]+Table1[[#This Row],[shipping]]+Table1[[#This Row],[Tax]])</f>
        <v>0</v>
      </c>
      <c r="Q229" s="40">
        <v>0</v>
      </c>
      <c r="R229" s="92">
        <f>Table1[[#This Row],[Quantity on order]]*(Table1[[#This Row],[Cost ]]+Table1[[#This Row],[shipping]]+Table1[[#This Row],[Tax]])</f>
        <v>0</v>
      </c>
      <c r="S2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9" s="49">
        <f>Table1[[#This Row],[Quantity  to  purchase]]+Table1[[#This Row],[Quantity purchased]]+Table1[[#This Row],[Quantity on order]]+Table1[[#This Row],[Quantity donated]]-Table1[[#This Row],[extended quantity]]</f>
        <v>0</v>
      </c>
      <c r="U2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9" s="51">
        <f>IFERROR(Table1[[#This Row],[Quantity  to  purchase]]*(Table1[[#This Row],[Cost ]]+Table1[[#This Row],[shipping]]+Table1[[#This Row],[Tax]]),0)</f>
        <v>0</v>
      </c>
      <c r="W229" s="36">
        <f>IFERROR(Table1[[#This Row],[leftover material]]*(Table1[[#This Row],[Cost ]]+Table1[[#This Row],[shipping]]+Table1[[#This Row],[Tax]]),0)</f>
        <v>0</v>
      </c>
      <c r="X229" s="36"/>
      <c r="Y229" s="84"/>
      <c r="Z229" s="84"/>
      <c r="AA229" s="84"/>
      <c r="AB229" s="36"/>
      <c r="AC229" s="36">
        <f>IF(ISNA(VLOOKUP(Table1[[#This Row],[Part Number]],'Multi-level BOM'!V$4:V$449,1,FALSE)),0,Table1[[#This Row],[Remaining Extended cost]])</f>
        <v>0</v>
      </c>
    </row>
    <row r="230" spans="1:29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80" t="str">
        <f>IF(Table1[[#This Row],[Buy-now costs]]&gt;0,"X","")</f>
        <v/>
      </c>
      <c r="M230" s="80"/>
      <c r="N230" s="80"/>
      <c r="O230" s="40">
        <v>0</v>
      </c>
      <c r="P230" s="94">
        <f>Table1[[#This Row],[quantity on-hand]]*(Table1[[#This Row],[Cost ]]+Table1[[#This Row],[shipping]]+Table1[[#This Row],[Tax]])</f>
        <v>0</v>
      </c>
      <c r="Q230" s="40">
        <v>0</v>
      </c>
      <c r="R230" s="92">
        <f>Table1[[#This Row],[Quantity on order]]*(Table1[[#This Row],[Cost ]]+Table1[[#This Row],[shipping]]+Table1[[#This Row],[Tax]])</f>
        <v>0</v>
      </c>
      <c r="S2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0" s="49">
        <f>Table1[[#This Row],[Quantity  to  purchase]]+Table1[[#This Row],[Quantity purchased]]+Table1[[#This Row],[Quantity on order]]+Table1[[#This Row],[Quantity donated]]-Table1[[#This Row],[extended quantity]]</f>
        <v>0</v>
      </c>
      <c r="U2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0" s="51">
        <f>IFERROR(Table1[[#This Row],[Quantity  to  purchase]]*(Table1[[#This Row],[Cost ]]+Table1[[#This Row],[shipping]]+Table1[[#This Row],[Tax]]),0)</f>
        <v>0</v>
      </c>
      <c r="W230" s="36">
        <f>IFERROR(Table1[[#This Row],[leftover material]]*(Table1[[#This Row],[Cost ]]+Table1[[#This Row],[shipping]]+Table1[[#This Row],[Tax]]),0)</f>
        <v>0</v>
      </c>
      <c r="X230" s="36"/>
      <c r="Y230" s="84"/>
      <c r="Z230" s="84"/>
      <c r="AA230" s="84"/>
      <c r="AB230" s="36"/>
      <c r="AC230" s="36">
        <f>IF(ISNA(VLOOKUP(Table1[[#This Row],[Part Number]],'Multi-level BOM'!V$4:V$449,1,FALSE)),0,Table1[[#This Row],[Remaining Extended cost]])</f>
        <v>0</v>
      </c>
    </row>
    <row r="231" spans="1:29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80" t="str">
        <f>IF(Table1[[#This Row],[Buy-now costs]]&gt;0,"X","")</f>
        <v/>
      </c>
      <c r="M231" s="80"/>
      <c r="N231" s="80"/>
      <c r="O231" s="40">
        <v>0</v>
      </c>
      <c r="P231" s="94">
        <f>Table1[[#This Row],[quantity on-hand]]*(Table1[[#This Row],[Cost ]]+Table1[[#This Row],[shipping]]+Table1[[#This Row],[Tax]])</f>
        <v>0</v>
      </c>
      <c r="Q231" s="40">
        <v>0</v>
      </c>
      <c r="R231" s="92">
        <f>Table1[[#This Row],[Quantity on order]]*(Table1[[#This Row],[Cost ]]+Table1[[#This Row],[shipping]]+Table1[[#This Row],[Tax]])</f>
        <v>0</v>
      </c>
      <c r="S2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1" s="49">
        <f>Table1[[#This Row],[Quantity  to  purchase]]+Table1[[#This Row],[Quantity purchased]]+Table1[[#This Row],[Quantity on order]]+Table1[[#This Row],[Quantity donated]]-Table1[[#This Row],[extended quantity]]</f>
        <v>0</v>
      </c>
      <c r="U2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1" s="51">
        <f>IFERROR(Table1[[#This Row],[Quantity  to  purchase]]*(Table1[[#This Row],[Cost ]]+Table1[[#This Row],[shipping]]+Table1[[#This Row],[Tax]]),0)</f>
        <v>0</v>
      </c>
      <c r="W231" s="36">
        <f>IFERROR(Table1[[#This Row],[leftover material]]*(Table1[[#This Row],[Cost ]]+Table1[[#This Row],[shipping]]+Table1[[#This Row],[Tax]]),0)</f>
        <v>0</v>
      </c>
      <c r="X231" s="36"/>
      <c r="Y231" s="84"/>
      <c r="Z231" s="84"/>
      <c r="AA231" s="84"/>
      <c r="AB231" s="36"/>
      <c r="AC231" s="36">
        <f>IF(ISNA(VLOOKUP(Table1[[#This Row],[Part Number]],'Multi-level BOM'!V$4:V$449,1,FALSE)),0,Table1[[#This Row],[Remaining Extended cost]])</f>
        <v>0</v>
      </c>
    </row>
    <row r="232" spans="1:29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80" t="str">
        <f>IF(Table1[[#This Row],[Buy-now costs]]&gt;0,"X","")</f>
        <v/>
      </c>
      <c r="M232" s="80"/>
      <c r="N232" s="80"/>
      <c r="O232" s="40">
        <v>0</v>
      </c>
      <c r="P232" s="94">
        <f>Table1[[#This Row],[quantity on-hand]]*(Table1[[#This Row],[Cost ]]+Table1[[#This Row],[shipping]]+Table1[[#This Row],[Tax]])</f>
        <v>0</v>
      </c>
      <c r="Q232" s="40">
        <v>0</v>
      </c>
      <c r="R232" s="92">
        <f>Table1[[#This Row],[Quantity on order]]*(Table1[[#This Row],[Cost ]]+Table1[[#This Row],[shipping]]+Table1[[#This Row],[Tax]])</f>
        <v>0</v>
      </c>
      <c r="S2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2" s="49">
        <f>Table1[[#This Row],[Quantity  to  purchase]]+Table1[[#This Row],[Quantity purchased]]+Table1[[#This Row],[Quantity on order]]+Table1[[#This Row],[Quantity donated]]-Table1[[#This Row],[extended quantity]]</f>
        <v>0</v>
      </c>
      <c r="U2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2" s="51">
        <f>IFERROR(Table1[[#This Row],[Quantity  to  purchase]]*(Table1[[#This Row],[Cost ]]+Table1[[#This Row],[shipping]]+Table1[[#This Row],[Tax]]),0)</f>
        <v>0</v>
      </c>
      <c r="W232" s="36">
        <f>IFERROR(Table1[[#This Row],[leftover material]]*(Table1[[#This Row],[Cost ]]+Table1[[#This Row],[shipping]]+Table1[[#This Row],[Tax]]),0)</f>
        <v>0</v>
      </c>
      <c r="X232" s="36"/>
      <c r="Y232" s="84"/>
      <c r="Z232" s="84"/>
      <c r="AA232" s="84"/>
      <c r="AB232" s="36"/>
      <c r="AC232" s="36">
        <f>IF(ISNA(VLOOKUP(Table1[[#This Row],[Part Number]],'Multi-level BOM'!V$4:V$449,1,FALSE)),0,Table1[[#This Row],[Remaining Extended cost]])</f>
        <v>0</v>
      </c>
    </row>
    <row r="233" spans="1:29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80" t="str">
        <f>IF(Table1[[#This Row],[Buy-now costs]]&gt;0,"X","")</f>
        <v/>
      </c>
      <c r="M233" s="80"/>
      <c r="N233" s="80"/>
      <c r="O233" s="40">
        <v>0</v>
      </c>
      <c r="P233" s="94">
        <f>Table1[[#This Row],[quantity on-hand]]*(Table1[[#This Row],[Cost ]]+Table1[[#This Row],[shipping]]+Table1[[#This Row],[Tax]])</f>
        <v>0</v>
      </c>
      <c r="Q233" s="40">
        <v>0</v>
      </c>
      <c r="R233" s="92">
        <f>Table1[[#This Row],[Quantity on order]]*(Table1[[#This Row],[Cost ]]+Table1[[#This Row],[shipping]]+Table1[[#This Row],[Tax]])</f>
        <v>0</v>
      </c>
      <c r="S2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3" s="49">
        <f>Table1[[#This Row],[Quantity  to  purchase]]+Table1[[#This Row],[Quantity purchased]]+Table1[[#This Row],[Quantity on order]]+Table1[[#This Row],[Quantity donated]]-Table1[[#This Row],[extended quantity]]</f>
        <v>0</v>
      </c>
      <c r="U2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3" s="51">
        <f>IFERROR(Table1[[#This Row],[Quantity  to  purchase]]*(Table1[[#This Row],[Cost ]]+Table1[[#This Row],[shipping]]+Table1[[#This Row],[Tax]]),0)</f>
        <v>0</v>
      </c>
      <c r="W233" s="36">
        <f>IFERROR(Table1[[#This Row],[leftover material]]*(Table1[[#This Row],[Cost ]]+Table1[[#This Row],[shipping]]+Table1[[#This Row],[Tax]]),0)</f>
        <v>0</v>
      </c>
      <c r="X233" s="36"/>
      <c r="Y233" s="84"/>
      <c r="Z233" s="84"/>
      <c r="AA233" s="84"/>
      <c r="AB233" s="36"/>
      <c r="AC233" s="36">
        <f>IF(ISNA(VLOOKUP(Table1[[#This Row],[Part Number]],'Multi-level BOM'!V$4:V$449,1,FALSE)),0,Table1[[#This Row],[Remaining Extended cost]])</f>
        <v>0</v>
      </c>
    </row>
    <row r="234" spans="1:29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80" t="str">
        <f>IF(Table1[[#This Row],[Buy-now costs]]&gt;0,"X","")</f>
        <v/>
      </c>
      <c r="M234" s="80"/>
      <c r="N234" s="80"/>
      <c r="O234" s="40">
        <v>0</v>
      </c>
      <c r="P234" s="94">
        <f>Table1[[#This Row],[quantity on-hand]]*(Table1[[#This Row],[Cost ]]+Table1[[#This Row],[shipping]]+Table1[[#This Row],[Tax]])</f>
        <v>0</v>
      </c>
      <c r="Q234" s="40">
        <v>0</v>
      </c>
      <c r="R234" s="92">
        <f>Table1[[#This Row],[Quantity on order]]*(Table1[[#This Row],[Cost ]]+Table1[[#This Row],[shipping]]+Table1[[#This Row],[Tax]])</f>
        <v>0</v>
      </c>
      <c r="S2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4" s="49">
        <f>Table1[[#This Row],[Quantity  to  purchase]]+Table1[[#This Row],[Quantity purchased]]+Table1[[#This Row],[Quantity on order]]+Table1[[#This Row],[Quantity donated]]-Table1[[#This Row],[extended quantity]]</f>
        <v>0</v>
      </c>
      <c r="U2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4" s="51">
        <f>IFERROR(Table1[[#This Row],[Quantity  to  purchase]]*(Table1[[#This Row],[Cost ]]+Table1[[#This Row],[shipping]]+Table1[[#This Row],[Tax]]),0)</f>
        <v>0</v>
      </c>
      <c r="W234" s="36">
        <f>IFERROR(Table1[[#This Row],[leftover material]]*(Table1[[#This Row],[Cost ]]+Table1[[#This Row],[shipping]]+Table1[[#This Row],[Tax]]),0)</f>
        <v>0</v>
      </c>
      <c r="X234" s="36"/>
      <c r="Y234" s="84"/>
      <c r="Z234" s="84"/>
      <c r="AA234" s="84"/>
      <c r="AB234" s="36"/>
      <c r="AC234" s="36">
        <f>IF(ISNA(VLOOKUP(Table1[[#This Row],[Part Number]],'Multi-level BOM'!V$4:V$449,1,FALSE)),0,Table1[[#This Row],[Remaining Extended cost]])</f>
        <v>0</v>
      </c>
    </row>
    <row r="235" spans="1:29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80" t="str">
        <f>IF(Table1[[#This Row],[Buy-now costs]]&gt;0,"X","")</f>
        <v/>
      </c>
      <c r="M235" s="80"/>
      <c r="N235" s="80"/>
      <c r="O235" s="40">
        <v>0</v>
      </c>
      <c r="P235" s="94">
        <f>Table1[[#This Row],[quantity on-hand]]*(Table1[[#This Row],[Cost ]]+Table1[[#This Row],[shipping]]+Table1[[#This Row],[Tax]])</f>
        <v>0</v>
      </c>
      <c r="Q235" s="40">
        <v>0</v>
      </c>
      <c r="R235" s="92">
        <f>Table1[[#This Row],[Quantity on order]]*(Table1[[#This Row],[Cost ]]+Table1[[#This Row],[shipping]]+Table1[[#This Row],[Tax]])</f>
        <v>0</v>
      </c>
      <c r="S2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5" s="49">
        <f>Table1[[#This Row],[Quantity  to  purchase]]+Table1[[#This Row],[Quantity purchased]]+Table1[[#This Row],[Quantity on order]]+Table1[[#This Row],[Quantity donated]]-Table1[[#This Row],[extended quantity]]</f>
        <v>0</v>
      </c>
      <c r="U2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5" s="51">
        <f>IFERROR(Table1[[#This Row],[Quantity  to  purchase]]*(Table1[[#This Row],[Cost ]]+Table1[[#This Row],[shipping]]+Table1[[#This Row],[Tax]]),0)</f>
        <v>0</v>
      </c>
      <c r="W235" s="36">
        <f>IFERROR(Table1[[#This Row],[leftover material]]*(Table1[[#This Row],[Cost ]]+Table1[[#This Row],[shipping]]+Table1[[#This Row],[Tax]]),0)</f>
        <v>0</v>
      </c>
      <c r="X235" s="36"/>
      <c r="Y235" s="84"/>
      <c r="Z235" s="84"/>
      <c r="AA235" s="84"/>
      <c r="AB235" s="36"/>
      <c r="AC235" s="36">
        <f>IF(ISNA(VLOOKUP(Table1[[#This Row],[Part Number]],'Multi-level BOM'!V$4:V$449,1,FALSE)),0,Table1[[#This Row],[Remaining Extended cost]])</f>
        <v>0</v>
      </c>
    </row>
    <row r="236" spans="1:29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80" t="str">
        <f>IF(Table1[[#This Row],[Buy-now costs]]&gt;0,"X","")</f>
        <v/>
      </c>
      <c r="M236" s="80"/>
      <c r="N236" s="80"/>
      <c r="O236" s="40">
        <v>0</v>
      </c>
      <c r="P236" s="94">
        <f>Table1[[#This Row],[quantity on-hand]]*(Table1[[#This Row],[Cost ]]+Table1[[#This Row],[shipping]]+Table1[[#This Row],[Tax]])</f>
        <v>0</v>
      </c>
      <c r="Q236" s="40">
        <v>0</v>
      </c>
      <c r="R236" s="92">
        <f>Table1[[#This Row],[Quantity on order]]*(Table1[[#This Row],[Cost ]]+Table1[[#This Row],[shipping]]+Table1[[#This Row],[Tax]])</f>
        <v>0</v>
      </c>
      <c r="S2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6" s="49">
        <f>Table1[[#This Row],[Quantity  to  purchase]]+Table1[[#This Row],[Quantity purchased]]+Table1[[#This Row],[Quantity on order]]+Table1[[#This Row],[Quantity donated]]-Table1[[#This Row],[extended quantity]]</f>
        <v>0</v>
      </c>
      <c r="U2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6" s="51">
        <f>IFERROR(Table1[[#This Row],[Quantity  to  purchase]]*(Table1[[#This Row],[Cost ]]+Table1[[#This Row],[shipping]]+Table1[[#This Row],[Tax]]),0)</f>
        <v>0</v>
      </c>
      <c r="W236" s="36">
        <f>IFERROR(Table1[[#This Row],[leftover material]]*(Table1[[#This Row],[Cost ]]+Table1[[#This Row],[shipping]]+Table1[[#This Row],[Tax]]),0)</f>
        <v>0</v>
      </c>
      <c r="X236" s="36"/>
      <c r="Y236" s="84"/>
      <c r="Z236" s="84"/>
      <c r="AA236" s="84"/>
      <c r="AB236" s="36"/>
      <c r="AC236" s="36">
        <f>IF(ISNA(VLOOKUP(Table1[[#This Row],[Part Number]],'Multi-level BOM'!V$4:V$449,1,FALSE)),0,Table1[[#This Row],[Remaining Extended cost]])</f>
        <v>0</v>
      </c>
    </row>
    <row r="237" spans="1:29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80" t="str">
        <f>IF(Table1[[#This Row],[Buy-now costs]]&gt;0,"X","")</f>
        <v/>
      </c>
      <c r="M237" s="80"/>
      <c r="N237" s="80"/>
      <c r="O237" s="40">
        <v>0</v>
      </c>
      <c r="P237" s="94">
        <f>Table1[[#This Row],[quantity on-hand]]*(Table1[[#This Row],[Cost ]]+Table1[[#This Row],[shipping]]+Table1[[#This Row],[Tax]])</f>
        <v>0</v>
      </c>
      <c r="Q237" s="40">
        <v>0</v>
      </c>
      <c r="R237" s="92">
        <f>Table1[[#This Row],[Quantity on order]]*(Table1[[#This Row],[Cost ]]+Table1[[#This Row],[shipping]]+Table1[[#This Row],[Tax]])</f>
        <v>0</v>
      </c>
      <c r="S2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7" s="49">
        <f>Table1[[#This Row],[Quantity  to  purchase]]+Table1[[#This Row],[Quantity purchased]]+Table1[[#This Row],[Quantity on order]]+Table1[[#This Row],[Quantity donated]]-Table1[[#This Row],[extended quantity]]</f>
        <v>0</v>
      </c>
      <c r="U2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7" s="51">
        <f>IFERROR(Table1[[#This Row],[Quantity  to  purchase]]*(Table1[[#This Row],[Cost ]]+Table1[[#This Row],[shipping]]+Table1[[#This Row],[Tax]]),0)</f>
        <v>0</v>
      </c>
      <c r="W237" s="36">
        <f>IFERROR(Table1[[#This Row],[leftover material]]*(Table1[[#This Row],[Cost ]]+Table1[[#This Row],[shipping]]+Table1[[#This Row],[Tax]]),0)</f>
        <v>0</v>
      </c>
      <c r="X237" s="36"/>
      <c r="Y237" s="84"/>
      <c r="Z237" s="84"/>
      <c r="AA237" s="84"/>
      <c r="AB237" s="36"/>
      <c r="AC237" s="36">
        <f>IF(ISNA(VLOOKUP(Table1[[#This Row],[Part Number]],'Multi-level BOM'!V$4:V$449,1,FALSE)),0,Table1[[#This Row],[Remaining Extended cost]])</f>
        <v>0</v>
      </c>
    </row>
    <row r="238" spans="1:29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80" t="str">
        <f>IF(Table1[[#This Row],[Buy-now costs]]&gt;0,"X","")</f>
        <v/>
      </c>
      <c r="M238" s="80"/>
      <c r="N238" s="80"/>
      <c r="O238" s="40">
        <v>0</v>
      </c>
      <c r="P238" s="94">
        <f>Table1[[#This Row],[quantity on-hand]]*(Table1[[#This Row],[Cost ]]+Table1[[#This Row],[shipping]]+Table1[[#This Row],[Tax]])</f>
        <v>0</v>
      </c>
      <c r="Q238" s="40">
        <v>0</v>
      </c>
      <c r="R238" s="92">
        <f>Table1[[#This Row],[Quantity on order]]*(Table1[[#This Row],[Cost ]]+Table1[[#This Row],[shipping]]+Table1[[#This Row],[Tax]])</f>
        <v>0</v>
      </c>
      <c r="S2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8" s="49">
        <f>Table1[[#This Row],[Quantity  to  purchase]]+Table1[[#This Row],[Quantity purchased]]+Table1[[#This Row],[Quantity on order]]+Table1[[#This Row],[Quantity donated]]-Table1[[#This Row],[extended quantity]]</f>
        <v>0</v>
      </c>
      <c r="U2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8" s="51">
        <f>IFERROR(Table1[[#This Row],[Quantity  to  purchase]]*(Table1[[#This Row],[Cost ]]+Table1[[#This Row],[shipping]]+Table1[[#This Row],[Tax]]),0)</f>
        <v>0</v>
      </c>
      <c r="W238" s="36">
        <f>IFERROR(Table1[[#This Row],[leftover material]]*(Table1[[#This Row],[Cost ]]+Table1[[#This Row],[shipping]]+Table1[[#This Row],[Tax]]),0)</f>
        <v>0</v>
      </c>
      <c r="X238" s="36"/>
      <c r="Y238" s="84"/>
      <c r="Z238" s="84"/>
      <c r="AA238" s="84"/>
      <c r="AB238" s="36"/>
      <c r="AC238" s="36">
        <f>IF(ISNA(VLOOKUP(Table1[[#This Row],[Part Number]],'Multi-level BOM'!V$4:V$449,1,FALSE)),0,Table1[[#This Row],[Remaining Extended cost]])</f>
        <v>0</v>
      </c>
    </row>
    <row r="239" spans="1:29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80" t="str">
        <f>IF(Table1[[#This Row],[Buy-now costs]]&gt;0,"X","")</f>
        <v/>
      </c>
      <c r="M239" s="80"/>
      <c r="N239" s="80"/>
      <c r="O239" s="40">
        <v>0</v>
      </c>
      <c r="P239" s="94">
        <f>Table1[[#This Row],[quantity on-hand]]*(Table1[[#This Row],[Cost ]]+Table1[[#This Row],[shipping]]+Table1[[#This Row],[Tax]])</f>
        <v>0</v>
      </c>
      <c r="Q239" s="40">
        <v>0</v>
      </c>
      <c r="R239" s="92">
        <f>Table1[[#This Row],[Quantity on order]]*(Table1[[#This Row],[Cost ]]+Table1[[#This Row],[shipping]]+Table1[[#This Row],[Tax]])</f>
        <v>0</v>
      </c>
      <c r="S2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9" s="49">
        <f>Table1[[#This Row],[Quantity  to  purchase]]+Table1[[#This Row],[Quantity purchased]]+Table1[[#This Row],[Quantity on order]]+Table1[[#This Row],[Quantity donated]]-Table1[[#This Row],[extended quantity]]</f>
        <v>0</v>
      </c>
      <c r="U2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9" s="51">
        <f>IFERROR(Table1[[#This Row],[Quantity  to  purchase]]*(Table1[[#This Row],[Cost ]]+Table1[[#This Row],[shipping]]+Table1[[#This Row],[Tax]]),0)</f>
        <v>0</v>
      </c>
      <c r="W239" s="36">
        <f>IFERROR(Table1[[#This Row],[leftover material]]*(Table1[[#This Row],[Cost ]]+Table1[[#This Row],[shipping]]+Table1[[#This Row],[Tax]]),0)</f>
        <v>0</v>
      </c>
      <c r="X239" s="36"/>
      <c r="Y239" s="84"/>
      <c r="Z239" s="84"/>
      <c r="AA239" s="84"/>
      <c r="AB239" s="36"/>
      <c r="AC239" s="36">
        <f>IF(ISNA(VLOOKUP(Table1[[#This Row],[Part Number]],'Multi-level BOM'!V$4:V$449,1,FALSE)),0,Table1[[#This Row],[Remaining Extended cost]])</f>
        <v>0</v>
      </c>
    </row>
    <row r="240" spans="1:29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80" t="str">
        <f>IF(Table1[[#This Row],[Buy-now costs]]&gt;0,"X","")</f>
        <v/>
      </c>
      <c r="M240" s="80"/>
      <c r="N240" s="80"/>
      <c r="O240" s="40">
        <v>0</v>
      </c>
      <c r="P240" s="94">
        <f>Table1[[#This Row],[quantity on-hand]]*(Table1[[#This Row],[Cost ]]+Table1[[#This Row],[shipping]]+Table1[[#This Row],[Tax]])</f>
        <v>0</v>
      </c>
      <c r="Q240" s="40">
        <v>0</v>
      </c>
      <c r="R240" s="92">
        <f>Table1[[#This Row],[Quantity on order]]*(Table1[[#This Row],[Cost ]]+Table1[[#This Row],[shipping]]+Table1[[#This Row],[Tax]])</f>
        <v>0</v>
      </c>
      <c r="S2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0" s="49">
        <f>Table1[[#This Row],[Quantity  to  purchase]]+Table1[[#This Row],[Quantity purchased]]+Table1[[#This Row],[Quantity on order]]+Table1[[#This Row],[Quantity donated]]-Table1[[#This Row],[extended quantity]]</f>
        <v>0</v>
      </c>
      <c r="U2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0" s="51">
        <f>IFERROR(Table1[[#This Row],[Quantity  to  purchase]]*(Table1[[#This Row],[Cost ]]+Table1[[#This Row],[shipping]]+Table1[[#This Row],[Tax]]),0)</f>
        <v>0</v>
      </c>
      <c r="W240" s="36">
        <f>IFERROR(Table1[[#This Row],[leftover material]]*(Table1[[#This Row],[Cost ]]+Table1[[#This Row],[shipping]]+Table1[[#This Row],[Tax]]),0)</f>
        <v>0</v>
      </c>
      <c r="X240" s="36"/>
      <c r="Y240" s="84"/>
      <c r="Z240" s="84"/>
      <c r="AA240" s="84"/>
      <c r="AB240" s="36"/>
      <c r="AC240" s="36">
        <f>IF(ISNA(VLOOKUP(Table1[[#This Row],[Part Number]],'Multi-level BOM'!V$4:V$449,1,FALSE)),0,Table1[[#This Row],[Remaining Extended cost]])</f>
        <v>0</v>
      </c>
    </row>
    <row r="241" spans="1:29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80" t="str">
        <f>IF(Table1[[#This Row],[Buy-now costs]]&gt;0,"X","")</f>
        <v/>
      </c>
      <c r="M241" s="80"/>
      <c r="N241" s="80"/>
      <c r="O241" s="40">
        <v>0</v>
      </c>
      <c r="P241" s="94">
        <f>Table1[[#This Row],[quantity on-hand]]*(Table1[[#This Row],[Cost ]]+Table1[[#This Row],[shipping]]+Table1[[#This Row],[Tax]])</f>
        <v>0</v>
      </c>
      <c r="Q241" s="40">
        <v>0</v>
      </c>
      <c r="R241" s="92">
        <f>Table1[[#This Row],[Quantity on order]]*(Table1[[#This Row],[Cost ]]+Table1[[#This Row],[shipping]]+Table1[[#This Row],[Tax]])</f>
        <v>0</v>
      </c>
      <c r="S2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1" s="49">
        <f>Table1[[#This Row],[Quantity  to  purchase]]+Table1[[#This Row],[Quantity purchased]]+Table1[[#This Row],[Quantity on order]]+Table1[[#This Row],[Quantity donated]]-Table1[[#This Row],[extended quantity]]</f>
        <v>0</v>
      </c>
      <c r="U2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1" s="51">
        <f>IFERROR(Table1[[#This Row],[Quantity  to  purchase]]*(Table1[[#This Row],[Cost ]]+Table1[[#This Row],[shipping]]+Table1[[#This Row],[Tax]]),0)</f>
        <v>0</v>
      </c>
      <c r="W241" s="36">
        <f>IFERROR(Table1[[#This Row],[leftover material]]*(Table1[[#This Row],[Cost ]]+Table1[[#This Row],[shipping]]+Table1[[#This Row],[Tax]]),0)</f>
        <v>0</v>
      </c>
      <c r="X241" s="36"/>
      <c r="Y241" s="84"/>
      <c r="Z241" s="84"/>
      <c r="AA241" s="84"/>
      <c r="AB241" s="36"/>
      <c r="AC241" s="36">
        <f>IF(ISNA(VLOOKUP(Table1[[#This Row],[Part Number]],'Multi-level BOM'!V$4:V$449,1,FALSE)),0,Table1[[#This Row],[Remaining Extended cost]])</f>
        <v>0</v>
      </c>
    </row>
    <row r="242" spans="1:29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80" t="str">
        <f>IF(Table1[[#This Row],[Buy-now costs]]&gt;0,"X","")</f>
        <v/>
      </c>
      <c r="M242" s="80"/>
      <c r="N242" s="80"/>
      <c r="O242" s="40">
        <v>0</v>
      </c>
      <c r="P242" s="94">
        <f>Table1[[#This Row],[quantity on-hand]]*(Table1[[#This Row],[Cost ]]+Table1[[#This Row],[shipping]]+Table1[[#This Row],[Tax]])</f>
        <v>0</v>
      </c>
      <c r="Q242" s="40">
        <v>0</v>
      </c>
      <c r="R242" s="92">
        <f>Table1[[#This Row],[Quantity on order]]*(Table1[[#This Row],[Cost ]]+Table1[[#This Row],[shipping]]+Table1[[#This Row],[Tax]])</f>
        <v>0</v>
      </c>
      <c r="S2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2" s="49">
        <f>Table1[[#This Row],[Quantity  to  purchase]]+Table1[[#This Row],[Quantity purchased]]+Table1[[#This Row],[Quantity on order]]+Table1[[#This Row],[Quantity donated]]-Table1[[#This Row],[extended quantity]]</f>
        <v>0</v>
      </c>
      <c r="U2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2" s="51">
        <f>IFERROR(Table1[[#This Row],[Quantity  to  purchase]]*(Table1[[#This Row],[Cost ]]+Table1[[#This Row],[shipping]]+Table1[[#This Row],[Tax]]),0)</f>
        <v>0</v>
      </c>
      <c r="W242" s="36">
        <f>IFERROR(Table1[[#This Row],[leftover material]]*(Table1[[#This Row],[Cost ]]+Table1[[#This Row],[shipping]]+Table1[[#This Row],[Tax]]),0)</f>
        <v>0</v>
      </c>
      <c r="X242" s="36"/>
      <c r="Y242" s="84"/>
      <c r="Z242" s="84"/>
      <c r="AA242" s="84"/>
      <c r="AB242" s="36"/>
      <c r="AC242" s="36">
        <f>IF(ISNA(VLOOKUP(Table1[[#This Row],[Part Number]],'Multi-level BOM'!V$4:V$449,1,FALSE)),0,Table1[[#This Row],[Remaining Extended cost]])</f>
        <v>0</v>
      </c>
    </row>
    <row r="243" spans="1:29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80" t="str">
        <f>IF(Table1[[#This Row],[Buy-now costs]]&gt;0,"X","")</f>
        <v/>
      </c>
      <c r="M243" s="80"/>
      <c r="N243" s="80"/>
      <c r="O243" s="40">
        <v>0</v>
      </c>
      <c r="P243" s="94">
        <f>Table1[[#This Row],[quantity on-hand]]*(Table1[[#This Row],[Cost ]]+Table1[[#This Row],[shipping]]+Table1[[#This Row],[Tax]])</f>
        <v>0</v>
      </c>
      <c r="Q243" s="40">
        <v>0</v>
      </c>
      <c r="R243" s="92">
        <f>Table1[[#This Row],[Quantity on order]]*(Table1[[#This Row],[Cost ]]+Table1[[#This Row],[shipping]]+Table1[[#This Row],[Tax]])</f>
        <v>0</v>
      </c>
      <c r="S2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3" s="49">
        <f>Table1[[#This Row],[Quantity  to  purchase]]+Table1[[#This Row],[Quantity purchased]]+Table1[[#This Row],[Quantity on order]]+Table1[[#This Row],[Quantity donated]]-Table1[[#This Row],[extended quantity]]</f>
        <v>0</v>
      </c>
      <c r="U2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3" s="51">
        <f>IFERROR(Table1[[#This Row],[Quantity  to  purchase]]*(Table1[[#This Row],[Cost ]]+Table1[[#This Row],[shipping]]+Table1[[#This Row],[Tax]]),0)</f>
        <v>0</v>
      </c>
      <c r="W243" s="36">
        <f>IFERROR(Table1[[#This Row],[leftover material]]*(Table1[[#This Row],[Cost ]]+Table1[[#This Row],[shipping]]+Table1[[#This Row],[Tax]]),0)</f>
        <v>0</v>
      </c>
      <c r="X243" s="36"/>
      <c r="Y243" s="84"/>
      <c r="Z243" s="84"/>
      <c r="AA243" s="84"/>
      <c r="AB243" s="36"/>
      <c r="AC243" s="36">
        <f>IF(ISNA(VLOOKUP(Table1[[#This Row],[Part Number]],'Multi-level BOM'!V$4:V$449,1,FALSE)),0,Table1[[#This Row],[Remaining Extended cost]])</f>
        <v>0</v>
      </c>
    </row>
    <row r="244" spans="1:29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80" t="str">
        <f>IF(Table1[[#This Row],[Buy-now costs]]&gt;0,"X","")</f>
        <v/>
      </c>
      <c r="M244" s="80"/>
      <c r="N244" s="80"/>
      <c r="O244" s="40">
        <v>0</v>
      </c>
      <c r="P244" s="94">
        <f>Table1[[#This Row],[quantity on-hand]]*(Table1[[#This Row],[Cost ]]+Table1[[#This Row],[shipping]]+Table1[[#This Row],[Tax]])</f>
        <v>0</v>
      </c>
      <c r="Q244" s="40">
        <v>0</v>
      </c>
      <c r="R244" s="92">
        <f>Table1[[#This Row],[Quantity on order]]*(Table1[[#This Row],[Cost ]]+Table1[[#This Row],[shipping]]+Table1[[#This Row],[Tax]])</f>
        <v>0</v>
      </c>
      <c r="S2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4" s="49">
        <f>Table1[[#This Row],[Quantity  to  purchase]]+Table1[[#This Row],[Quantity purchased]]+Table1[[#This Row],[Quantity on order]]+Table1[[#This Row],[Quantity donated]]-Table1[[#This Row],[extended quantity]]</f>
        <v>0</v>
      </c>
      <c r="U2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4" s="51">
        <f>IFERROR(Table1[[#This Row],[Quantity  to  purchase]]*(Table1[[#This Row],[Cost ]]+Table1[[#This Row],[shipping]]+Table1[[#This Row],[Tax]]),0)</f>
        <v>0</v>
      </c>
      <c r="W244" s="36">
        <f>IFERROR(Table1[[#This Row],[leftover material]]*(Table1[[#This Row],[Cost ]]+Table1[[#This Row],[shipping]]+Table1[[#This Row],[Tax]]),0)</f>
        <v>0</v>
      </c>
      <c r="X244" s="36"/>
      <c r="Y244" s="84"/>
      <c r="Z244" s="84"/>
      <c r="AA244" s="84"/>
      <c r="AB244" s="36"/>
      <c r="AC244" s="36">
        <f>IF(ISNA(VLOOKUP(Table1[[#This Row],[Part Number]],'Multi-level BOM'!V$4:V$449,1,FALSE)),0,Table1[[#This Row],[Remaining Extended cost]])</f>
        <v>0</v>
      </c>
    </row>
    <row r="245" spans="1:29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80" t="str">
        <f>IF(Table1[[#This Row],[Buy-now costs]]&gt;0,"X","")</f>
        <v/>
      </c>
      <c r="M245" s="80"/>
      <c r="N245" s="80"/>
      <c r="O245" s="40">
        <v>0</v>
      </c>
      <c r="P245" s="94">
        <f>Table1[[#This Row],[quantity on-hand]]*(Table1[[#This Row],[Cost ]]+Table1[[#This Row],[shipping]]+Table1[[#This Row],[Tax]])</f>
        <v>0</v>
      </c>
      <c r="Q245" s="40">
        <v>0</v>
      </c>
      <c r="R245" s="92">
        <f>Table1[[#This Row],[Quantity on order]]*(Table1[[#This Row],[Cost ]]+Table1[[#This Row],[shipping]]+Table1[[#This Row],[Tax]])</f>
        <v>0</v>
      </c>
      <c r="S2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5" s="49">
        <f>Table1[[#This Row],[Quantity  to  purchase]]+Table1[[#This Row],[Quantity purchased]]+Table1[[#This Row],[Quantity on order]]+Table1[[#This Row],[Quantity donated]]-Table1[[#This Row],[extended quantity]]</f>
        <v>0</v>
      </c>
      <c r="U2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5" s="51">
        <f>IFERROR(Table1[[#This Row],[Quantity  to  purchase]]*(Table1[[#This Row],[Cost ]]+Table1[[#This Row],[shipping]]+Table1[[#This Row],[Tax]]),0)</f>
        <v>0</v>
      </c>
      <c r="W245" s="36">
        <f>IFERROR(Table1[[#This Row],[leftover material]]*(Table1[[#This Row],[Cost ]]+Table1[[#This Row],[shipping]]+Table1[[#This Row],[Tax]]),0)</f>
        <v>0</v>
      </c>
      <c r="X245" s="36"/>
      <c r="Y245" s="84"/>
      <c r="Z245" s="84"/>
      <c r="AA245" s="84"/>
      <c r="AB245" s="36"/>
      <c r="AC245" s="36">
        <f>IF(ISNA(VLOOKUP(Table1[[#This Row],[Part Number]],'Multi-level BOM'!V$4:V$449,1,FALSE)),0,Table1[[#This Row],[Remaining Extended cost]])</f>
        <v>0</v>
      </c>
    </row>
    <row r="246" spans="1:29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80" t="str">
        <f>IF(Table1[[#This Row],[Buy-now costs]]&gt;0,"X","")</f>
        <v/>
      </c>
      <c r="M246" s="80"/>
      <c r="N246" s="80"/>
      <c r="O246" s="40">
        <v>0</v>
      </c>
      <c r="P246" s="94">
        <f>Table1[[#This Row],[quantity on-hand]]*(Table1[[#This Row],[Cost ]]+Table1[[#This Row],[shipping]]+Table1[[#This Row],[Tax]])</f>
        <v>0</v>
      </c>
      <c r="Q246" s="40">
        <v>0</v>
      </c>
      <c r="R246" s="92">
        <f>Table1[[#This Row],[Quantity on order]]*(Table1[[#This Row],[Cost ]]+Table1[[#This Row],[shipping]]+Table1[[#This Row],[Tax]])</f>
        <v>0</v>
      </c>
      <c r="S2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6" s="49">
        <f>Table1[[#This Row],[Quantity  to  purchase]]+Table1[[#This Row],[Quantity purchased]]+Table1[[#This Row],[Quantity on order]]+Table1[[#This Row],[Quantity donated]]-Table1[[#This Row],[extended quantity]]</f>
        <v>0</v>
      </c>
      <c r="U2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6" s="51">
        <f>IFERROR(Table1[[#This Row],[Quantity  to  purchase]]*(Table1[[#This Row],[Cost ]]+Table1[[#This Row],[shipping]]+Table1[[#This Row],[Tax]]),0)</f>
        <v>0</v>
      </c>
      <c r="W246" s="36">
        <f>IFERROR(Table1[[#This Row],[leftover material]]*(Table1[[#This Row],[Cost ]]+Table1[[#This Row],[shipping]]+Table1[[#This Row],[Tax]]),0)</f>
        <v>0</v>
      </c>
      <c r="X246" s="36"/>
      <c r="Y246" s="84"/>
      <c r="Z246" s="84"/>
      <c r="AA246" s="84"/>
      <c r="AB246" s="36"/>
      <c r="AC246" s="36">
        <f>IF(ISNA(VLOOKUP(Table1[[#This Row],[Part Number]],'Multi-level BOM'!V$4:V$449,1,FALSE)),0,Table1[[#This Row],[Remaining Extended cost]])</f>
        <v>0</v>
      </c>
    </row>
    <row r="247" spans="1:29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80" t="str">
        <f>IF(Table1[[#This Row],[Buy-now costs]]&gt;0,"X","")</f>
        <v/>
      </c>
      <c r="M247" s="80"/>
      <c r="N247" s="80"/>
      <c r="O247" s="40">
        <v>0</v>
      </c>
      <c r="P247" s="94">
        <f>Table1[[#This Row],[quantity on-hand]]*(Table1[[#This Row],[Cost ]]+Table1[[#This Row],[shipping]]+Table1[[#This Row],[Tax]])</f>
        <v>0</v>
      </c>
      <c r="Q247" s="40">
        <v>0</v>
      </c>
      <c r="R247" s="92">
        <f>Table1[[#This Row],[Quantity on order]]*(Table1[[#This Row],[Cost ]]+Table1[[#This Row],[shipping]]+Table1[[#This Row],[Tax]])</f>
        <v>0</v>
      </c>
      <c r="S2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7" s="49">
        <f>Table1[[#This Row],[Quantity  to  purchase]]+Table1[[#This Row],[Quantity purchased]]+Table1[[#This Row],[Quantity on order]]+Table1[[#This Row],[Quantity donated]]-Table1[[#This Row],[extended quantity]]</f>
        <v>0</v>
      </c>
      <c r="U2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7" s="51">
        <f>IFERROR(Table1[[#This Row],[Quantity  to  purchase]]*(Table1[[#This Row],[Cost ]]+Table1[[#This Row],[shipping]]+Table1[[#This Row],[Tax]]),0)</f>
        <v>0</v>
      </c>
      <c r="W247" s="36">
        <f>IFERROR(Table1[[#This Row],[leftover material]]*(Table1[[#This Row],[Cost ]]+Table1[[#This Row],[shipping]]+Table1[[#This Row],[Tax]]),0)</f>
        <v>0</v>
      </c>
      <c r="X247" s="36"/>
      <c r="Y247" s="84"/>
      <c r="Z247" s="84"/>
      <c r="AA247" s="84"/>
      <c r="AB247" s="36"/>
      <c r="AC247" s="36">
        <f>IF(ISNA(VLOOKUP(Table1[[#This Row],[Part Number]],'Multi-level BOM'!V$4:V$449,1,FALSE)),0,Table1[[#This Row],[Remaining Extended cost]])</f>
        <v>0</v>
      </c>
    </row>
    <row r="248" spans="1:29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80" t="str">
        <f>IF(Table1[[#This Row],[Buy-now costs]]&gt;0,"X","")</f>
        <v/>
      </c>
      <c r="M248" s="80"/>
      <c r="N248" s="80"/>
      <c r="O248" s="40">
        <v>0</v>
      </c>
      <c r="P248" s="94">
        <f>Table1[[#This Row],[quantity on-hand]]*(Table1[[#This Row],[Cost ]]+Table1[[#This Row],[shipping]]+Table1[[#This Row],[Tax]])</f>
        <v>0</v>
      </c>
      <c r="Q248" s="40">
        <v>0</v>
      </c>
      <c r="R248" s="92">
        <f>Table1[[#This Row],[Quantity on order]]*(Table1[[#This Row],[Cost ]]+Table1[[#This Row],[shipping]]+Table1[[#This Row],[Tax]])</f>
        <v>0</v>
      </c>
      <c r="S2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8" s="49">
        <f>Table1[[#This Row],[Quantity  to  purchase]]+Table1[[#This Row],[Quantity purchased]]+Table1[[#This Row],[Quantity on order]]+Table1[[#This Row],[Quantity donated]]-Table1[[#This Row],[extended quantity]]</f>
        <v>0</v>
      </c>
      <c r="U2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8" s="51">
        <f>IFERROR(Table1[[#This Row],[Quantity  to  purchase]]*(Table1[[#This Row],[Cost ]]+Table1[[#This Row],[shipping]]+Table1[[#This Row],[Tax]]),0)</f>
        <v>0</v>
      </c>
      <c r="W248" s="36">
        <f>IFERROR(Table1[[#This Row],[leftover material]]*(Table1[[#This Row],[Cost ]]+Table1[[#This Row],[shipping]]+Table1[[#This Row],[Tax]]),0)</f>
        <v>0</v>
      </c>
      <c r="X248" s="36"/>
      <c r="Y248" s="84"/>
      <c r="Z248" s="84"/>
      <c r="AA248" s="84"/>
      <c r="AB248" s="36"/>
      <c r="AC248" s="36">
        <f>IF(ISNA(VLOOKUP(Table1[[#This Row],[Part Number]],'Multi-level BOM'!V$4:V$449,1,FALSE)),0,Table1[[#This Row],[Remaining Extended cost]])</f>
        <v>0</v>
      </c>
    </row>
    <row r="249" spans="1:29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80" t="str">
        <f>IF(Table1[[#This Row],[Buy-now costs]]&gt;0,"X","")</f>
        <v/>
      </c>
      <c r="M249" s="80"/>
      <c r="N249" s="80"/>
      <c r="O249" s="40">
        <v>0</v>
      </c>
      <c r="P249" s="94">
        <f>Table1[[#This Row],[quantity on-hand]]*(Table1[[#This Row],[Cost ]]+Table1[[#This Row],[shipping]]+Table1[[#This Row],[Tax]])</f>
        <v>0</v>
      </c>
      <c r="Q249" s="40">
        <v>0</v>
      </c>
      <c r="R249" s="92">
        <f>Table1[[#This Row],[Quantity on order]]*(Table1[[#This Row],[Cost ]]+Table1[[#This Row],[shipping]]+Table1[[#This Row],[Tax]])</f>
        <v>0</v>
      </c>
      <c r="S2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9" s="49">
        <f>Table1[[#This Row],[Quantity  to  purchase]]+Table1[[#This Row],[Quantity purchased]]+Table1[[#This Row],[Quantity on order]]+Table1[[#This Row],[Quantity donated]]-Table1[[#This Row],[extended quantity]]</f>
        <v>0</v>
      </c>
      <c r="U2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9" s="51">
        <f>IFERROR(Table1[[#This Row],[Quantity  to  purchase]]*(Table1[[#This Row],[Cost ]]+Table1[[#This Row],[shipping]]+Table1[[#This Row],[Tax]]),0)</f>
        <v>0</v>
      </c>
      <c r="W249" s="36">
        <f>IFERROR(Table1[[#This Row],[leftover material]]*(Table1[[#This Row],[Cost ]]+Table1[[#This Row],[shipping]]+Table1[[#This Row],[Tax]]),0)</f>
        <v>0</v>
      </c>
      <c r="X249" s="36"/>
      <c r="Y249" s="84"/>
      <c r="Z249" s="84"/>
      <c r="AA249" s="84"/>
      <c r="AB249" s="36"/>
      <c r="AC249" s="36">
        <f>IF(ISNA(VLOOKUP(Table1[[#This Row],[Part Number]],'Multi-level BOM'!V$4:V$449,1,FALSE)),0,Table1[[#This Row],[Remaining Extended cost]])</f>
        <v>0</v>
      </c>
    </row>
    <row r="250" spans="1:29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80" t="str">
        <f>IF(Table1[[#This Row],[Buy-now costs]]&gt;0,"X","")</f>
        <v/>
      </c>
      <c r="M250" s="80"/>
      <c r="N250" s="80"/>
      <c r="O250" s="40">
        <v>0</v>
      </c>
      <c r="P250" s="94">
        <f>Table1[[#This Row],[quantity on-hand]]*(Table1[[#This Row],[Cost ]]+Table1[[#This Row],[shipping]]+Table1[[#This Row],[Tax]])</f>
        <v>0</v>
      </c>
      <c r="Q250" s="40">
        <v>0</v>
      </c>
      <c r="R250" s="92">
        <f>Table1[[#This Row],[Quantity on order]]*(Table1[[#This Row],[Cost ]]+Table1[[#This Row],[shipping]]+Table1[[#This Row],[Tax]])</f>
        <v>0</v>
      </c>
      <c r="S2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0" s="49">
        <f>Table1[[#This Row],[Quantity  to  purchase]]+Table1[[#This Row],[Quantity purchased]]+Table1[[#This Row],[Quantity on order]]+Table1[[#This Row],[Quantity donated]]-Table1[[#This Row],[extended quantity]]</f>
        <v>0</v>
      </c>
      <c r="U2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0" s="51">
        <f>IFERROR(Table1[[#This Row],[Quantity  to  purchase]]*(Table1[[#This Row],[Cost ]]+Table1[[#This Row],[shipping]]+Table1[[#This Row],[Tax]]),0)</f>
        <v>0</v>
      </c>
      <c r="W250" s="36">
        <f>IFERROR(Table1[[#This Row],[leftover material]]*(Table1[[#This Row],[Cost ]]+Table1[[#This Row],[shipping]]+Table1[[#This Row],[Tax]]),0)</f>
        <v>0</v>
      </c>
      <c r="X250" s="36"/>
      <c r="Y250" s="84"/>
      <c r="Z250" s="84"/>
      <c r="AA250" s="84"/>
      <c r="AB250" s="36"/>
      <c r="AC250" s="36">
        <f>IF(ISNA(VLOOKUP(Table1[[#This Row],[Part Number]],'Multi-level BOM'!V$4:V$449,1,FALSE)),0,Table1[[#This Row],[Remaining Extended cost]])</f>
        <v>0</v>
      </c>
    </row>
    <row r="251" spans="1:29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80" t="str">
        <f>IF(Table1[[#This Row],[Buy-now costs]]&gt;0,"X","")</f>
        <v/>
      </c>
      <c r="M251" s="80"/>
      <c r="N251" s="80"/>
      <c r="O251" s="40">
        <v>0</v>
      </c>
      <c r="P251" s="94">
        <f>Table1[[#This Row],[quantity on-hand]]*(Table1[[#This Row],[Cost ]]+Table1[[#This Row],[shipping]]+Table1[[#This Row],[Tax]])</f>
        <v>0</v>
      </c>
      <c r="Q251" s="40">
        <v>0</v>
      </c>
      <c r="R251" s="92">
        <f>Table1[[#This Row],[Quantity on order]]*(Table1[[#This Row],[Cost ]]+Table1[[#This Row],[shipping]]+Table1[[#This Row],[Tax]])</f>
        <v>0</v>
      </c>
      <c r="S2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1" s="49">
        <f>Table1[[#This Row],[Quantity  to  purchase]]+Table1[[#This Row],[Quantity purchased]]+Table1[[#This Row],[Quantity on order]]+Table1[[#This Row],[Quantity donated]]-Table1[[#This Row],[extended quantity]]</f>
        <v>0</v>
      </c>
      <c r="U2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1" s="51">
        <f>IFERROR(Table1[[#This Row],[Quantity  to  purchase]]*(Table1[[#This Row],[Cost ]]+Table1[[#This Row],[shipping]]+Table1[[#This Row],[Tax]]),0)</f>
        <v>0</v>
      </c>
      <c r="W251" s="36">
        <f>IFERROR(Table1[[#This Row],[leftover material]]*(Table1[[#This Row],[Cost ]]+Table1[[#This Row],[shipping]]+Table1[[#This Row],[Tax]]),0)</f>
        <v>0</v>
      </c>
      <c r="X251" s="36"/>
      <c r="Y251" s="84"/>
      <c r="Z251" s="84"/>
      <c r="AA251" s="84"/>
      <c r="AB251" s="36"/>
      <c r="AC251" s="36">
        <f>IF(ISNA(VLOOKUP(Table1[[#This Row],[Part Number]],'Multi-level BOM'!V$4:V$449,1,FALSE)),0,Table1[[#This Row],[Remaining Extended cost]])</f>
        <v>0</v>
      </c>
    </row>
    <row r="252" spans="1:29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80" t="str">
        <f>IF(Table1[[#This Row],[Buy-now costs]]&gt;0,"X","")</f>
        <v/>
      </c>
      <c r="M252" s="80"/>
      <c r="N252" s="80"/>
      <c r="O252" s="40">
        <v>0</v>
      </c>
      <c r="P252" s="94">
        <f>Table1[[#This Row],[quantity on-hand]]*(Table1[[#This Row],[Cost ]]+Table1[[#This Row],[shipping]]+Table1[[#This Row],[Tax]])</f>
        <v>0</v>
      </c>
      <c r="Q252" s="40">
        <v>0</v>
      </c>
      <c r="R252" s="92">
        <f>Table1[[#This Row],[Quantity on order]]*(Table1[[#This Row],[Cost ]]+Table1[[#This Row],[shipping]]+Table1[[#This Row],[Tax]])</f>
        <v>0</v>
      </c>
      <c r="S2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2" s="49">
        <f>Table1[[#This Row],[Quantity  to  purchase]]+Table1[[#This Row],[Quantity purchased]]+Table1[[#This Row],[Quantity on order]]+Table1[[#This Row],[Quantity donated]]-Table1[[#This Row],[extended quantity]]</f>
        <v>0</v>
      </c>
      <c r="U2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2" s="51">
        <f>IFERROR(Table1[[#This Row],[Quantity  to  purchase]]*(Table1[[#This Row],[Cost ]]+Table1[[#This Row],[shipping]]+Table1[[#This Row],[Tax]]),0)</f>
        <v>0</v>
      </c>
      <c r="W252" s="36">
        <f>IFERROR(Table1[[#This Row],[leftover material]]*(Table1[[#This Row],[Cost ]]+Table1[[#This Row],[shipping]]+Table1[[#This Row],[Tax]]),0)</f>
        <v>0</v>
      </c>
      <c r="X252" s="36"/>
      <c r="Y252" s="84"/>
      <c r="Z252" s="84"/>
      <c r="AA252" s="84"/>
      <c r="AB252" s="36"/>
      <c r="AC252" s="36">
        <f>IF(ISNA(VLOOKUP(Table1[[#This Row],[Part Number]],'Multi-level BOM'!V$4:V$449,1,FALSE)),0,Table1[[#This Row],[Remaining Extended cost]])</f>
        <v>0</v>
      </c>
    </row>
    <row r="253" spans="1:29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80" t="str">
        <f>IF(Table1[[#This Row],[Buy-now costs]]&gt;0,"X","")</f>
        <v/>
      </c>
      <c r="M253" s="80"/>
      <c r="N253" s="80"/>
      <c r="O253" s="40">
        <v>0</v>
      </c>
      <c r="P253" s="94">
        <f>Table1[[#This Row],[quantity on-hand]]*(Table1[[#This Row],[Cost ]]+Table1[[#This Row],[shipping]]+Table1[[#This Row],[Tax]])</f>
        <v>0</v>
      </c>
      <c r="Q253" s="40">
        <v>0</v>
      </c>
      <c r="R253" s="92">
        <f>Table1[[#This Row],[Quantity on order]]*(Table1[[#This Row],[Cost ]]+Table1[[#This Row],[shipping]]+Table1[[#This Row],[Tax]])</f>
        <v>0</v>
      </c>
      <c r="S2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3" s="49">
        <f>Table1[[#This Row],[Quantity  to  purchase]]+Table1[[#This Row],[Quantity purchased]]+Table1[[#This Row],[Quantity on order]]+Table1[[#This Row],[Quantity donated]]-Table1[[#This Row],[extended quantity]]</f>
        <v>0</v>
      </c>
      <c r="U2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3" s="51">
        <f>IFERROR(Table1[[#This Row],[Quantity  to  purchase]]*(Table1[[#This Row],[Cost ]]+Table1[[#This Row],[shipping]]+Table1[[#This Row],[Tax]]),0)</f>
        <v>0</v>
      </c>
      <c r="W253" s="36">
        <f>IFERROR(Table1[[#This Row],[leftover material]]*(Table1[[#This Row],[Cost ]]+Table1[[#This Row],[shipping]]+Table1[[#This Row],[Tax]]),0)</f>
        <v>0</v>
      </c>
      <c r="X253" s="36"/>
      <c r="Y253" s="84"/>
      <c r="Z253" s="84"/>
      <c r="AA253" s="84"/>
      <c r="AB253" s="36"/>
      <c r="AC253" s="36">
        <f>IF(ISNA(VLOOKUP(Table1[[#This Row],[Part Number]],'Multi-level BOM'!V$4:V$449,1,FALSE)),0,Table1[[#This Row],[Remaining Extended cost]])</f>
        <v>0</v>
      </c>
    </row>
    <row r="254" spans="1:29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80" t="str">
        <f>IF(Table1[[#This Row],[Buy-now costs]]&gt;0,"X","")</f>
        <v/>
      </c>
      <c r="M254" s="80"/>
      <c r="N254" s="80"/>
      <c r="O254" s="40">
        <v>0</v>
      </c>
      <c r="P254" s="94">
        <f>Table1[[#This Row],[quantity on-hand]]*(Table1[[#This Row],[Cost ]]+Table1[[#This Row],[shipping]]+Table1[[#This Row],[Tax]])</f>
        <v>0</v>
      </c>
      <c r="Q254" s="40">
        <v>0</v>
      </c>
      <c r="R254" s="92">
        <f>Table1[[#This Row],[Quantity on order]]*(Table1[[#This Row],[Cost ]]+Table1[[#This Row],[shipping]]+Table1[[#This Row],[Tax]])</f>
        <v>0</v>
      </c>
      <c r="S2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4" s="49">
        <f>Table1[[#This Row],[Quantity  to  purchase]]+Table1[[#This Row],[Quantity purchased]]+Table1[[#This Row],[Quantity on order]]+Table1[[#This Row],[Quantity donated]]-Table1[[#This Row],[extended quantity]]</f>
        <v>0</v>
      </c>
      <c r="U2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4" s="51">
        <f>IFERROR(Table1[[#This Row],[Quantity  to  purchase]]*(Table1[[#This Row],[Cost ]]+Table1[[#This Row],[shipping]]+Table1[[#This Row],[Tax]]),0)</f>
        <v>0</v>
      </c>
      <c r="W254" s="36">
        <f>IFERROR(Table1[[#This Row],[leftover material]]*(Table1[[#This Row],[Cost ]]+Table1[[#This Row],[shipping]]+Table1[[#This Row],[Tax]]),0)</f>
        <v>0</v>
      </c>
      <c r="X254" s="36"/>
      <c r="Y254" s="84"/>
      <c r="Z254" s="84"/>
      <c r="AA254" s="84"/>
      <c r="AB254" s="36"/>
      <c r="AC254" s="36">
        <f>IF(ISNA(VLOOKUP(Table1[[#This Row],[Part Number]],'Multi-level BOM'!V$4:V$449,1,FALSE)),0,Table1[[#This Row],[Remaining Extended cost]])</f>
        <v>0</v>
      </c>
    </row>
    <row r="255" spans="1:29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80" t="str">
        <f>IF(Table1[[#This Row],[Buy-now costs]]&gt;0,"X","")</f>
        <v/>
      </c>
      <c r="M255" s="80"/>
      <c r="N255" s="80"/>
      <c r="O255" s="40">
        <v>0</v>
      </c>
      <c r="P255" s="94">
        <f>Table1[[#This Row],[quantity on-hand]]*(Table1[[#This Row],[Cost ]]+Table1[[#This Row],[shipping]]+Table1[[#This Row],[Tax]])</f>
        <v>0</v>
      </c>
      <c r="Q255" s="40">
        <v>0</v>
      </c>
      <c r="R255" s="92">
        <f>Table1[[#This Row],[Quantity on order]]*(Table1[[#This Row],[Cost ]]+Table1[[#This Row],[shipping]]+Table1[[#This Row],[Tax]])</f>
        <v>0</v>
      </c>
      <c r="S2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5" s="49">
        <f>Table1[[#This Row],[Quantity  to  purchase]]+Table1[[#This Row],[Quantity purchased]]+Table1[[#This Row],[Quantity on order]]+Table1[[#This Row],[Quantity donated]]-Table1[[#This Row],[extended quantity]]</f>
        <v>0</v>
      </c>
      <c r="U2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5" s="51">
        <f>IFERROR(Table1[[#This Row],[Quantity  to  purchase]]*(Table1[[#This Row],[Cost ]]+Table1[[#This Row],[shipping]]+Table1[[#This Row],[Tax]]),0)</f>
        <v>0</v>
      </c>
      <c r="W255" s="36">
        <f>IFERROR(Table1[[#This Row],[leftover material]]*(Table1[[#This Row],[Cost ]]+Table1[[#This Row],[shipping]]+Table1[[#This Row],[Tax]]),0)</f>
        <v>0</v>
      </c>
      <c r="X255" s="36"/>
      <c r="Y255" s="84"/>
      <c r="Z255" s="84"/>
      <c r="AA255" s="84"/>
      <c r="AB255" s="36"/>
      <c r="AC255" s="36">
        <f>IF(ISNA(VLOOKUP(Table1[[#This Row],[Part Number]],'Multi-level BOM'!V$4:V$449,1,FALSE)),0,Table1[[#This Row],[Remaining Extended cost]])</f>
        <v>0</v>
      </c>
    </row>
    <row r="256" spans="1:29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80" t="str">
        <f>IF(Table1[[#This Row],[Buy-now costs]]&gt;0,"X","")</f>
        <v/>
      </c>
      <c r="M256" s="80"/>
      <c r="N256" s="80"/>
      <c r="O256" s="40">
        <v>0</v>
      </c>
      <c r="P256" s="94">
        <f>Table1[[#This Row],[quantity on-hand]]*(Table1[[#This Row],[Cost ]]+Table1[[#This Row],[shipping]]+Table1[[#This Row],[Tax]])</f>
        <v>0</v>
      </c>
      <c r="Q256" s="40">
        <v>0</v>
      </c>
      <c r="R256" s="92">
        <f>Table1[[#This Row],[Quantity on order]]*(Table1[[#This Row],[Cost ]]+Table1[[#This Row],[shipping]]+Table1[[#This Row],[Tax]])</f>
        <v>0</v>
      </c>
      <c r="S2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6" s="49">
        <f>Table1[[#This Row],[Quantity  to  purchase]]+Table1[[#This Row],[Quantity purchased]]+Table1[[#This Row],[Quantity on order]]+Table1[[#This Row],[Quantity donated]]-Table1[[#This Row],[extended quantity]]</f>
        <v>0</v>
      </c>
      <c r="U2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6" s="51">
        <f>IFERROR(Table1[[#This Row],[Quantity  to  purchase]]*(Table1[[#This Row],[Cost ]]+Table1[[#This Row],[shipping]]+Table1[[#This Row],[Tax]]),0)</f>
        <v>0</v>
      </c>
      <c r="W256" s="36">
        <f>IFERROR(Table1[[#This Row],[leftover material]]*(Table1[[#This Row],[Cost ]]+Table1[[#This Row],[shipping]]+Table1[[#This Row],[Tax]]),0)</f>
        <v>0</v>
      </c>
      <c r="X256" s="36"/>
      <c r="Y256" s="84"/>
      <c r="Z256" s="84"/>
      <c r="AA256" s="84"/>
      <c r="AB256" s="36"/>
      <c r="AC256" s="36">
        <f>IF(ISNA(VLOOKUP(Table1[[#This Row],[Part Number]],'Multi-level BOM'!V$4:V$449,1,FALSE)),0,Table1[[#This Row],[Remaining Extended cost]])</f>
        <v>0</v>
      </c>
    </row>
    <row r="257" spans="1:29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80" t="str">
        <f>IF(Table1[[#This Row],[Buy-now costs]]&gt;0,"X","")</f>
        <v/>
      </c>
      <c r="M257" s="80"/>
      <c r="N257" s="80"/>
      <c r="O257" s="40">
        <v>0</v>
      </c>
      <c r="P257" s="94">
        <f>Table1[[#This Row],[quantity on-hand]]*(Table1[[#This Row],[Cost ]]+Table1[[#This Row],[shipping]]+Table1[[#This Row],[Tax]])</f>
        <v>0</v>
      </c>
      <c r="Q257" s="40">
        <v>0</v>
      </c>
      <c r="R257" s="92">
        <f>Table1[[#This Row],[Quantity on order]]*(Table1[[#This Row],[Cost ]]+Table1[[#This Row],[shipping]]+Table1[[#This Row],[Tax]])</f>
        <v>0</v>
      </c>
      <c r="S2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7" s="49">
        <f>Table1[[#This Row],[Quantity  to  purchase]]+Table1[[#This Row],[Quantity purchased]]+Table1[[#This Row],[Quantity on order]]+Table1[[#This Row],[Quantity donated]]-Table1[[#This Row],[extended quantity]]</f>
        <v>0</v>
      </c>
      <c r="U2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7" s="51">
        <f>IFERROR(Table1[[#This Row],[Quantity  to  purchase]]*(Table1[[#This Row],[Cost ]]+Table1[[#This Row],[shipping]]+Table1[[#This Row],[Tax]]),0)</f>
        <v>0</v>
      </c>
      <c r="W257" s="36">
        <f>IFERROR(Table1[[#This Row],[leftover material]]*(Table1[[#This Row],[Cost ]]+Table1[[#This Row],[shipping]]+Table1[[#This Row],[Tax]]),0)</f>
        <v>0</v>
      </c>
      <c r="X257" s="36"/>
      <c r="Y257" s="84"/>
      <c r="Z257" s="84"/>
      <c r="AA257" s="84"/>
      <c r="AB257" s="36"/>
      <c r="AC257" s="36">
        <f>IF(ISNA(VLOOKUP(Table1[[#This Row],[Part Number]],'Multi-level BOM'!V$4:V$449,1,FALSE)),0,Table1[[#This Row],[Remaining Extended cost]])</f>
        <v>0</v>
      </c>
    </row>
    <row r="258" spans="1:29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80" t="str">
        <f>IF(Table1[[#This Row],[Buy-now costs]]&gt;0,"X","")</f>
        <v/>
      </c>
      <c r="M258" s="80"/>
      <c r="N258" s="80"/>
      <c r="O258" s="40">
        <v>0</v>
      </c>
      <c r="P258" s="94">
        <f>Table1[[#This Row],[quantity on-hand]]*(Table1[[#This Row],[Cost ]]+Table1[[#This Row],[shipping]]+Table1[[#This Row],[Tax]])</f>
        <v>0</v>
      </c>
      <c r="Q258" s="40">
        <v>0</v>
      </c>
      <c r="R258" s="92">
        <f>Table1[[#This Row],[Quantity on order]]*(Table1[[#This Row],[Cost ]]+Table1[[#This Row],[shipping]]+Table1[[#This Row],[Tax]])</f>
        <v>0</v>
      </c>
      <c r="S2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8" s="49">
        <f>Table1[[#This Row],[Quantity  to  purchase]]+Table1[[#This Row],[Quantity purchased]]+Table1[[#This Row],[Quantity on order]]+Table1[[#This Row],[Quantity donated]]-Table1[[#This Row],[extended quantity]]</f>
        <v>0</v>
      </c>
      <c r="U2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8" s="51">
        <f>IFERROR(Table1[[#This Row],[Quantity  to  purchase]]*(Table1[[#This Row],[Cost ]]+Table1[[#This Row],[shipping]]+Table1[[#This Row],[Tax]]),0)</f>
        <v>0</v>
      </c>
      <c r="W258" s="36">
        <f>IFERROR(Table1[[#This Row],[leftover material]]*(Table1[[#This Row],[Cost ]]+Table1[[#This Row],[shipping]]+Table1[[#This Row],[Tax]]),0)</f>
        <v>0</v>
      </c>
      <c r="X258" s="36"/>
      <c r="Y258" s="84"/>
      <c r="Z258" s="84"/>
      <c r="AA258" s="84"/>
      <c r="AB258" s="36"/>
      <c r="AC258" s="36">
        <f>IF(ISNA(VLOOKUP(Table1[[#This Row],[Part Number]],'Multi-level BOM'!V$4:V$449,1,FALSE)),0,Table1[[#This Row],[Remaining Extended cost]])</f>
        <v>0</v>
      </c>
    </row>
    <row r="259" spans="1:29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80" t="str">
        <f>IF(Table1[[#This Row],[Buy-now costs]]&gt;0,"X","")</f>
        <v/>
      </c>
      <c r="M259" s="80"/>
      <c r="N259" s="80"/>
      <c r="O259" s="40">
        <v>0</v>
      </c>
      <c r="P259" s="94">
        <f>Table1[[#This Row],[quantity on-hand]]*(Table1[[#This Row],[Cost ]]+Table1[[#This Row],[shipping]]+Table1[[#This Row],[Tax]])</f>
        <v>0</v>
      </c>
      <c r="Q259" s="40">
        <v>0</v>
      </c>
      <c r="R259" s="92">
        <f>Table1[[#This Row],[Quantity on order]]*(Table1[[#This Row],[Cost ]]+Table1[[#This Row],[shipping]]+Table1[[#This Row],[Tax]])</f>
        <v>0</v>
      </c>
      <c r="S2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9" s="49">
        <f>Table1[[#This Row],[Quantity  to  purchase]]+Table1[[#This Row],[Quantity purchased]]+Table1[[#This Row],[Quantity on order]]+Table1[[#This Row],[Quantity donated]]-Table1[[#This Row],[extended quantity]]</f>
        <v>0</v>
      </c>
      <c r="U2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9" s="51">
        <f>IFERROR(Table1[[#This Row],[Quantity  to  purchase]]*(Table1[[#This Row],[Cost ]]+Table1[[#This Row],[shipping]]+Table1[[#This Row],[Tax]]),0)</f>
        <v>0</v>
      </c>
      <c r="W259" s="36">
        <f>IFERROR(Table1[[#This Row],[leftover material]]*(Table1[[#This Row],[Cost ]]+Table1[[#This Row],[shipping]]+Table1[[#This Row],[Tax]]),0)</f>
        <v>0</v>
      </c>
      <c r="X259" s="36"/>
      <c r="Y259" s="84"/>
      <c r="Z259" s="84"/>
      <c r="AA259" s="84"/>
      <c r="AB259" s="36"/>
      <c r="AC259" s="36">
        <f>IF(ISNA(VLOOKUP(Table1[[#This Row],[Part Number]],'Multi-level BOM'!V$4:V$449,1,FALSE)),0,Table1[[#This Row],[Remaining Extended cost]])</f>
        <v>0</v>
      </c>
    </row>
    <row r="260" spans="1:29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80" t="str">
        <f>IF(Table1[[#This Row],[Buy-now costs]]&gt;0,"X","")</f>
        <v/>
      </c>
      <c r="M260" s="80"/>
      <c r="N260" s="80"/>
      <c r="O260" s="40">
        <v>0</v>
      </c>
      <c r="P260" s="94">
        <f>Table1[[#This Row],[quantity on-hand]]*(Table1[[#This Row],[Cost ]]+Table1[[#This Row],[shipping]]+Table1[[#This Row],[Tax]])</f>
        <v>0</v>
      </c>
      <c r="Q260" s="40">
        <v>0</v>
      </c>
      <c r="R260" s="92">
        <f>Table1[[#This Row],[Quantity on order]]*(Table1[[#This Row],[Cost ]]+Table1[[#This Row],[shipping]]+Table1[[#This Row],[Tax]])</f>
        <v>0</v>
      </c>
      <c r="S2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0" s="49">
        <f>Table1[[#This Row],[Quantity  to  purchase]]+Table1[[#This Row],[Quantity purchased]]+Table1[[#This Row],[Quantity on order]]+Table1[[#This Row],[Quantity donated]]-Table1[[#This Row],[extended quantity]]</f>
        <v>0</v>
      </c>
      <c r="U2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0" s="51">
        <f>IFERROR(Table1[[#This Row],[Quantity  to  purchase]]*(Table1[[#This Row],[Cost ]]+Table1[[#This Row],[shipping]]+Table1[[#This Row],[Tax]]),0)</f>
        <v>0</v>
      </c>
      <c r="W260" s="36">
        <f>IFERROR(Table1[[#This Row],[leftover material]]*(Table1[[#This Row],[Cost ]]+Table1[[#This Row],[shipping]]+Table1[[#This Row],[Tax]]),0)</f>
        <v>0</v>
      </c>
      <c r="X260" s="36"/>
      <c r="Y260" s="84"/>
      <c r="Z260" s="84"/>
      <c r="AA260" s="84"/>
      <c r="AB260" s="36"/>
      <c r="AC260" s="36">
        <f>IF(ISNA(VLOOKUP(Table1[[#This Row],[Part Number]],'Multi-level BOM'!V$4:V$449,1,FALSE)),0,Table1[[#This Row],[Remaining Extended cost]])</f>
        <v>0</v>
      </c>
    </row>
    <row r="261" spans="1:29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80" t="str">
        <f>IF(Table1[[#This Row],[Buy-now costs]]&gt;0,"X","")</f>
        <v/>
      </c>
      <c r="M261" s="80"/>
      <c r="N261" s="80"/>
      <c r="O261" s="40">
        <v>0</v>
      </c>
      <c r="P261" s="94">
        <f>Table1[[#This Row],[quantity on-hand]]*(Table1[[#This Row],[Cost ]]+Table1[[#This Row],[shipping]]+Table1[[#This Row],[Tax]])</f>
        <v>0</v>
      </c>
      <c r="Q261" s="40">
        <v>0</v>
      </c>
      <c r="R261" s="92">
        <f>Table1[[#This Row],[Quantity on order]]*(Table1[[#This Row],[Cost ]]+Table1[[#This Row],[shipping]]+Table1[[#This Row],[Tax]])</f>
        <v>0</v>
      </c>
      <c r="S2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1" s="49">
        <f>Table1[[#This Row],[Quantity  to  purchase]]+Table1[[#This Row],[Quantity purchased]]+Table1[[#This Row],[Quantity on order]]+Table1[[#This Row],[Quantity donated]]-Table1[[#This Row],[extended quantity]]</f>
        <v>0</v>
      </c>
      <c r="U2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1" s="51">
        <f>IFERROR(Table1[[#This Row],[Quantity  to  purchase]]*(Table1[[#This Row],[Cost ]]+Table1[[#This Row],[shipping]]+Table1[[#This Row],[Tax]]),0)</f>
        <v>0</v>
      </c>
      <c r="W261" s="36">
        <f>IFERROR(Table1[[#This Row],[leftover material]]*(Table1[[#This Row],[Cost ]]+Table1[[#This Row],[shipping]]+Table1[[#This Row],[Tax]]),0)</f>
        <v>0</v>
      </c>
      <c r="X261" s="36"/>
      <c r="Y261" s="84"/>
      <c r="Z261" s="84"/>
      <c r="AA261" s="84"/>
      <c r="AB261" s="36"/>
      <c r="AC261" s="36">
        <f>IF(ISNA(VLOOKUP(Table1[[#This Row],[Part Number]],'Multi-level BOM'!V$4:V$449,1,FALSE)),0,Table1[[#This Row],[Remaining Extended cost]])</f>
        <v>0</v>
      </c>
    </row>
    <row r="262" spans="1:29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80" t="str">
        <f>IF(Table1[[#This Row],[Buy-now costs]]&gt;0,"X","")</f>
        <v/>
      </c>
      <c r="M262" s="80"/>
      <c r="N262" s="80"/>
      <c r="O262" s="40">
        <v>0</v>
      </c>
      <c r="P262" s="94">
        <f>Table1[[#This Row],[quantity on-hand]]*(Table1[[#This Row],[Cost ]]+Table1[[#This Row],[shipping]]+Table1[[#This Row],[Tax]])</f>
        <v>0</v>
      </c>
      <c r="Q262" s="40">
        <v>0</v>
      </c>
      <c r="R262" s="92">
        <f>Table1[[#This Row],[Quantity on order]]*(Table1[[#This Row],[Cost ]]+Table1[[#This Row],[shipping]]+Table1[[#This Row],[Tax]])</f>
        <v>0</v>
      </c>
      <c r="S2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2" s="49">
        <f>Table1[[#This Row],[Quantity  to  purchase]]+Table1[[#This Row],[Quantity purchased]]+Table1[[#This Row],[Quantity on order]]+Table1[[#This Row],[Quantity donated]]-Table1[[#This Row],[extended quantity]]</f>
        <v>0</v>
      </c>
      <c r="U2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2" s="51">
        <f>IFERROR(Table1[[#This Row],[Quantity  to  purchase]]*(Table1[[#This Row],[Cost ]]+Table1[[#This Row],[shipping]]+Table1[[#This Row],[Tax]]),0)</f>
        <v>0</v>
      </c>
      <c r="W262" s="36">
        <f>IFERROR(Table1[[#This Row],[leftover material]]*(Table1[[#This Row],[Cost ]]+Table1[[#This Row],[shipping]]+Table1[[#This Row],[Tax]]),0)</f>
        <v>0</v>
      </c>
      <c r="X262" s="36"/>
      <c r="Y262" s="84"/>
      <c r="Z262" s="84"/>
      <c r="AA262" s="84"/>
      <c r="AB262" s="36"/>
      <c r="AC262" s="36">
        <f>IF(ISNA(VLOOKUP(Table1[[#This Row],[Part Number]],'Multi-level BOM'!V$4:V$449,1,FALSE)),0,Table1[[#This Row],[Remaining Extended cost]])</f>
        <v>0</v>
      </c>
    </row>
    <row r="263" spans="1:29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80" t="str">
        <f>IF(Table1[[#This Row],[Buy-now costs]]&gt;0,"X","")</f>
        <v/>
      </c>
      <c r="M263" s="80"/>
      <c r="N263" s="80"/>
      <c r="O263" s="40">
        <v>0</v>
      </c>
      <c r="P263" s="94">
        <f>Table1[[#This Row],[quantity on-hand]]*(Table1[[#This Row],[Cost ]]+Table1[[#This Row],[shipping]]+Table1[[#This Row],[Tax]])</f>
        <v>0</v>
      </c>
      <c r="Q263" s="40">
        <v>0</v>
      </c>
      <c r="R263" s="92">
        <f>Table1[[#This Row],[Quantity on order]]*(Table1[[#This Row],[Cost ]]+Table1[[#This Row],[shipping]]+Table1[[#This Row],[Tax]])</f>
        <v>0</v>
      </c>
      <c r="S2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3" s="49">
        <f>Table1[[#This Row],[Quantity  to  purchase]]+Table1[[#This Row],[Quantity purchased]]+Table1[[#This Row],[Quantity on order]]+Table1[[#This Row],[Quantity donated]]-Table1[[#This Row],[extended quantity]]</f>
        <v>0</v>
      </c>
      <c r="U2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3" s="51">
        <f>IFERROR(Table1[[#This Row],[Quantity  to  purchase]]*(Table1[[#This Row],[Cost ]]+Table1[[#This Row],[shipping]]+Table1[[#This Row],[Tax]]),0)</f>
        <v>0</v>
      </c>
      <c r="W263" s="36">
        <f>IFERROR(Table1[[#This Row],[leftover material]]*(Table1[[#This Row],[Cost ]]+Table1[[#This Row],[shipping]]+Table1[[#This Row],[Tax]]),0)</f>
        <v>0</v>
      </c>
      <c r="X263" s="36"/>
      <c r="Y263" s="84"/>
      <c r="Z263" s="84"/>
      <c r="AA263" s="84"/>
      <c r="AB263" s="36"/>
      <c r="AC263" s="36">
        <f>IF(ISNA(VLOOKUP(Table1[[#This Row],[Part Number]],'Multi-level BOM'!V$4:V$449,1,FALSE)),0,Table1[[#This Row],[Remaining Extended cost]])</f>
        <v>0</v>
      </c>
    </row>
    <row r="264" spans="1:29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80" t="str">
        <f>IF(Table1[[#This Row],[Buy-now costs]]&gt;0,"X","")</f>
        <v/>
      </c>
      <c r="M264" s="80"/>
      <c r="N264" s="80"/>
      <c r="O264" s="40">
        <v>0</v>
      </c>
      <c r="P264" s="94">
        <f>Table1[[#This Row],[quantity on-hand]]*(Table1[[#This Row],[Cost ]]+Table1[[#This Row],[shipping]]+Table1[[#This Row],[Tax]])</f>
        <v>0</v>
      </c>
      <c r="Q264" s="40">
        <v>0</v>
      </c>
      <c r="R264" s="92">
        <f>Table1[[#This Row],[Quantity on order]]*(Table1[[#This Row],[Cost ]]+Table1[[#This Row],[shipping]]+Table1[[#This Row],[Tax]])</f>
        <v>0</v>
      </c>
      <c r="S2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4" s="49">
        <f>Table1[[#This Row],[Quantity  to  purchase]]+Table1[[#This Row],[Quantity purchased]]+Table1[[#This Row],[Quantity on order]]+Table1[[#This Row],[Quantity donated]]-Table1[[#This Row],[extended quantity]]</f>
        <v>0</v>
      </c>
      <c r="U2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4" s="51">
        <f>IFERROR(Table1[[#This Row],[Quantity  to  purchase]]*(Table1[[#This Row],[Cost ]]+Table1[[#This Row],[shipping]]+Table1[[#This Row],[Tax]]),0)</f>
        <v>0</v>
      </c>
      <c r="W264" s="36">
        <f>IFERROR(Table1[[#This Row],[leftover material]]*(Table1[[#This Row],[Cost ]]+Table1[[#This Row],[shipping]]+Table1[[#This Row],[Tax]]),0)</f>
        <v>0</v>
      </c>
      <c r="X264" s="36"/>
      <c r="Y264" s="84"/>
      <c r="Z264" s="84"/>
      <c r="AA264" s="84"/>
      <c r="AB264" s="36"/>
      <c r="AC264" s="36">
        <f>IF(ISNA(VLOOKUP(Table1[[#This Row],[Part Number]],'Multi-level BOM'!V$4:V$449,1,FALSE)),0,Table1[[#This Row],[Remaining Extended cost]])</f>
        <v>0</v>
      </c>
    </row>
    <row r="265" spans="1:29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80" t="str">
        <f>IF(Table1[[#This Row],[Buy-now costs]]&gt;0,"X","")</f>
        <v/>
      </c>
      <c r="M265" s="80"/>
      <c r="N265" s="80"/>
      <c r="O265" s="40">
        <v>0</v>
      </c>
      <c r="P265" s="94">
        <f>Table1[[#This Row],[quantity on-hand]]*(Table1[[#This Row],[Cost ]]+Table1[[#This Row],[shipping]]+Table1[[#This Row],[Tax]])</f>
        <v>0</v>
      </c>
      <c r="Q265" s="40">
        <v>0</v>
      </c>
      <c r="R265" s="92">
        <f>Table1[[#This Row],[Quantity on order]]*(Table1[[#This Row],[Cost ]]+Table1[[#This Row],[shipping]]+Table1[[#This Row],[Tax]])</f>
        <v>0</v>
      </c>
      <c r="S2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5" s="49">
        <f>Table1[[#This Row],[Quantity  to  purchase]]+Table1[[#This Row],[Quantity purchased]]+Table1[[#This Row],[Quantity on order]]+Table1[[#This Row],[Quantity donated]]-Table1[[#This Row],[extended quantity]]</f>
        <v>0</v>
      </c>
      <c r="U2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5" s="51">
        <f>IFERROR(Table1[[#This Row],[Quantity  to  purchase]]*(Table1[[#This Row],[Cost ]]+Table1[[#This Row],[shipping]]+Table1[[#This Row],[Tax]]),0)</f>
        <v>0</v>
      </c>
      <c r="W265" s="36">
        <f>IFERROR(Table1[[#This Row],[leftover material]]*(Table1[[#This Row],[Cost ]]+Table1[[#This Row],[shipping]]+Table1[[#This Row],[Tax]]),0)</f>
        <v>0</v>
      </c>
      <c r="X265" s="36"/>
      <c r="Y265" s="84"/>
      <c r="Z265" s="84"/>
      <c r="AA265" s="84"/>
      <c r="AB265" s="36"/>
      <c r="AC265" s="36">
        <f>IF(ISNA(VLOOKUP(Table1[[#This Row],[Part Number]],'Multi-level BOM'!V$4:V$449,1,FALSE)),0,Table1[[#This Row],[Remaining Extended cost]])</f>
        <v>0</v>
      </c>
    </row>
    <row r="266" spans="1:29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80" t="str">
        <f>IF(Table1[[#This Row],[Buy-now costs]]&gt;0,"X","")</f>
        <v/>
      </c>
      <c r="M266" s="80"/>
      <c r="N266" s="80"/>
      <c r="O266" s="40">
        <v>0</v>
      </c>
      <c r="P266" s="94">
        <f>Table1[[#This Row],[quantity on-hand]]*(Table1[[#This Row],[Cost ]]+Table1[[#This Row],[shipping]]+Table1[[#This Row],[Tax]])</f>
        <v>0</v>
      </c>
      <c r="Q266" s="40">
        <v>0</v>
      </c>
      <c r="R266" s="92">
        <f>Table1[[#This Row],[Quantity on order]]*(Table1[[#This Row],[Cost ]]+Table1[[#This Row],[shipping]]+Table1[[#This Row],[Tax]])</f>
        <v>0</v>
      </c>
      <c r="S2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6" s="49">
        <f>Table1[[#This Row],[Quantity  to  purchase]]+Table1[[#This Row],[Quantity purchased]]+Table1[[#This Row],[Quantity on order]]+Table1[[#This Row],[Quantity donated]]-Table1[[#This Row],[extended quantity]]</f>
        <v>0</v>
      </c>
      <c r="U2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6" s="51">
        <f>IFERROR(Table1[[#This Row],[Quantity  to  purchase]]*(Table1[[#This Row],[Cost ]]+Table1[[#This Row],[shipping]]+Table1[[#This Row],[Tax]]),0)</f>
        <v>0</v>
      </c>
      <c r="W266" s="36">
        <f>IFERROR(Table1[[#This Row],[leftover material]]*(Table1[[#This Row],[Cost ]]+Table1[[#This Row],[shipping]]+Table1[[#This Row],[Tax]]),0)</f>
        <v>0</v>
      </c>
      <c r="X266" s="36"/>
      <c r="Y266" s="84"/>
      <c r="Z266" s="84"/>
      <c r="AA266" s="84"/>
      <c r="AB266" s="36"/>
      <c r="AC266" s="36">
        <f>IF(ISNA(VLOOKUP(Table1[[#This Row],[Part Number]],'Multi-level BOM'!V$4:V$449,1,FALSE)),0,Table1[[#This Row],[Remaining Extended cost]])</f>
        <v>0</v>
      </c>
    </row>
    <row r="267" spans="1:29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80" t="str">
        <f>IF(Table1[[#This Row],[Buy-now costs]]&gt;0,"X","")</f>
        <v/>
      </c>
      <c r="M267" s="80"/>
      <c r="N267" s="80"/>
      <c r="O267" s="40">
        <v>0</v>
      </c>
      <c r="P267" s="94">
        <f>Table1[[#This Row],[quantity on-hand]]*(Table1[[#This Row],[Cost ]]+Table1[[#This Row],[shipping]]+Table1[[#This Row],[Tax]])</f>
        <v>0</v>
      </c>
      <c r="Q267" s="40">
        <v>0</v>
      </c>
      <c r="R267" s="92">
        <f>Table1[[#This Row],[Quantity on order]]*(Table1[[#This Row],[Cost ]]+Table1[[#This Row],[shipping]]+Table1[[#This Row],[Tax]])</f>
        <v>0</v>
      </c>
      <c r="S2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7" s="49">
        <f>Table1[[#This Row],[Quantity  to  purchase]]+Table1[[#This Row],[Quantity purchased]]+Table1[[#This Row],[Quantity on order]]+Table1[[#This Row],[Quantity donated]]-Table1[[#This Row],[extended quantity]]</f>
        <v>0</v>
      </c>
      <c r="U2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7" s="51">
        <f>IFERROR(Table1[[#This Row],[Quantity  to  purchase]]*(Table1[[#This Row],[Cost ]]+Table1[[#This Row],[shipping]]+Table1[[#This Row],[Tax]]),0)</f>
        <v>0</v>
      </c>
      <c r="W267" s="36">
        <f>IFERROR(Table1[[#This Row],[leftover material]]*(Table1[[#This Row],[Cost ]]+Table1[[#This Row],[shipping]]+Table1[[#This Row],[Tax]]),0)</f>
        <v>0</v>
      </c>
      <c r="X267" s="36"/>
      <c r="Y267" s="84"/>
      <c r="Z267" s="84"/>
      <c r="AA267" s="84"/>
      <c r="AB267" s="36"/>
      <c r="AC267" s="36">
        <f>IF(ISNA(VLOOKUP(Table1[[#This Row],[Part Number]],'Multi-level BOM'!V$4:V$449,1,FALSE)),0,Table1[[#This Row],[Remaining Extended cost]])</f>
        <v>0</v>
      </c>
    </row>
    <row r="268" spans="1:29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80" t="str">
        <f>IF(Table1[[#This Row],[Buy-now costs]]&gt;0,"X","")</f>
        <v/>
      </c>
      <c r="M268" s="80"/>
      <c r="N268" s="80"/>
      <c r="O268" s="40">
        <v>0</v>
      </c>
      <c r="P268" s="94">
        <f>Table1[[#This Row],[quantity on-hand]]*(Table1[[#This Row],[Cost ]]+Table1[[#This Row],[shipping]]+Table1[[#This Row],[Tax]])</f>
        <v>0</v>
      </c>
      <c r="Q268" s="40">
        <v>0</v>
      </c>
      <c r="R268" s="92">
        <f>Table1[[#This Row],[Quantity on order]]*(Table1[[#This Row],[Cost ]]+Table1[[#This Row],[shipping]]+Table1[[#This Row],[Tax]])</f>
        <v>0</v>
      </c>
      <c r="S2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8" s="49">
        <f>Table1[[#This Row],[Quantity  to  purchase]]+Table1[[#This Row],[Quantity purchased]]+Table1[[#This Row],[Quantity on order]]+Table1[[#This Row],[Quantity donated]]-Table1[[#This Row],[extended quantity]]</f>
        <v>0</v>
      </c>
      <c r="U2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8" s="51">
        <f>IFERROR(Table1[[#This Row],[Quantity  to  purchase]]*(Table1[[#This Row],[Cost ]]+Table1[[#This Row],[shipping]]+Table1[[#This Row],[Tax]]),0)</f>
        <v>0</v>
      </c>
      <c r="W268" s="36">
        <f>IFERROR(Table1[[#This Row],[leftover material]]*(Table1[[#This Row],[Cost ]]+Table1[[#This Row],[shipping]]+Table1[[#This Row],[Tax]]),0)</f>
        <v>0</v>
      </c>
      <c r="X268" s="36"/>
      <c r="Y268" s="84"/>
      <c r="Z268" s="84"/>
      <c r="AA268" s="84"/>
      <c r="AB268" s="36"/>
      <c r="AC268" s="36">
        <f>IF(ISNA(VLOOKUP(Table1[[#This Row],[Part Number]],'Multi-level BOM'!V$4:V$449,1,FALSE)),0,Table1[[#This Row],[Remaining Extended cost]])</f>
        <v>0</v>
      </c>
    </row>
    <row r="269" spans="1:29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80" t="str">
        <f>IF(Table1[[#This Row],[Buy-now costs]]&gt;0,"X","")</f>
        <v/>
      </c>
      <c r="M269" s="80"/>
      <c r="N269" s="80"/>
      <c r="O269" s="40">
        <v>0</v>
      </c>
      <c r="P269" s="94">
        <f>Table1[[#This Row],[quantity on-hand]]*(Table1[[#This Row],[Cost ]]+Table1[[#This Row],[shipping]]+Table1[[#This Row],[Tax]])</f>
        <v>0</v>
      </c>
      <c r="Q269" s="40">
        <v>0</v>
      </c>
      <c r="R269" s="92">
        <f>Table1[[#This Row],[Quantity on order]]*(Table1[[#This Row],[Cost ]]+Table1[[#This Row],[shipping]]+Table1[[#This Row],[Tax]])</f>
        <v>0</v>
      </c>
      <c r="S2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9" s="49">
        <f>Table1[[#This Row],[Quantity  to  purchase]]+Table1[[#This Row],[Quantity purchased]]+Table1[[#This Row],[Quantity on order]]+Table1[[#This Row],[Quantity donated]]-Table1[[#This Row],[extended quantity]]</f>
        <v>0</v>
      </c>
      <c r="U2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9" s="51">
        <f>IFERROR(Table1[[#This Row],[Quantity  to  purchase]]*(Table1[[#This Row],[Cost ]]+Table1[[#This Row],[shipping]]+Table1[[#This Row],[Tax]]),0)</f>
        <v>0</v>
      </c>
      <c r="W269" s="36">
        <f>IFERROR(Table1[[#This Row],[leftover material]]*(Table1[[#This Row],[Cost ]]+Table1[[#This Row],[shipping]]+Table1[[#This Row],[Tax]]),0)</f>
        <v>0</v>
      </c>
      <c r="X269" s="36"/>
      <c r="Y269" s="84"/>
      <c r="Z269" s="84"/>
      <c r="AA269" s="84"/>
      <c r="AB269" s="36"/>
      <c r="AC269" s="36">
        <f>IF(ISNA(VLOOKUP(Table1[[#This Row],[Part Number]],'Multi-level BOM'!V$4:V$449,1,FALSE)),0,Table1[[#This Row],[Remaining Extended cost]])</f>
        <v>0</v>
      </c>
    </row>
    <row r="270" spans="1:29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80" t="str">
        <f>IF(Table1[[#This Row],[Buy-now costs]]&gt;0,"X","")</f>
        <v/>
      </c>
      <c r="M270" s="80"/>
      <c r="N270" s="80"/>
      <c r="O270" s="40">
        <v>0</v>
      </c>
      <c r="P270" s="94">
        <f>Table1[[#This Row],[quantity on-hand]]*(Table1[[#This Row],[Cost ]]+Table1[[#This Row],[shipping]]+Table1[[#This Row],[Tax]])</f>
        <v>0</v>
      </c>
      <c r="Q270" s="40">
        <v>0</v>
      </c>
      <c r="R270" s="92">
        <f>Table1[[#This Row],[Quantity on order]]*(Table1[[#This Row],[Cost ]]+Table1[[#This Row],[shipping]]+Table1[[#This Row],[Tax]])</f>
        <v>0</v>
      </c>
      <c r="S2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0" s="49">
        <f>Table1[[#This Row],[Quantity  to  purchase]]+Table1[[#This Row],[Quantity purchased]]+Table1[[#This Row],[Quantity on order]]+Table1[[#This Row],[Quantity donated]]-Table1[[#This Row],[extended quantity]]</f>
        <v>0</v>
      </c>
      <c r="U2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0" s="51">
        <f>IFERROR(Table1[[#This Row],[Quantity  to  purchase]]*(Table1[[#This Row],[Cost ]]+Table1[[#This Row],[shipping]]+Table1[[#This Row],[Tax]]),0)</f>
        <v>0</v>
      </c>
      <c r="W270" s="36">
        <f>IFERROR(Table1[[#This Row],[leftover material]]*(Table1[[#This Row],[Cost ]]+Table1[[#This Row],[shipping]]+Table1[[#This Row],[Tax]]),0)</f>
        <v>0</v>
      </c>
      <c r="X270" s="36"/>
      <c r="Y270" s="84"/>
      <c r="Z270" s="84"/>
      <c r="AA270" s="84"/>
      <c r="AB270" s="36"/>
      <c r="AC270" s="36">
        <f>IF(ISNA(VLOOKUP(Table1[[#This Row],[Part Number]],'Multi-level BOM'!V$4:V$449,1,FALSE)),0,Table1[[#This Row],[Remaining Extended cost]])</f>
        <v>0</v>
      </c>
    </row>
    <row r="271" spans="1:29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80" t="str">
        <f>IF(Table1[[#This Row],[Buy-now costs]]&gt;0,"X","")</f>
        <v/>
      </c>
      <c r="M271" s="80"/>
      <c r="N271" s="80"/>
      <c r="O271" s="40">
        <v>0</v>
      </c>
      <c r="P271" s="94">
        <f>Table1[[#This Row],[quantity on-hand]]*(Table1[[#This Row],[Cost ]]+Table1[[#This Row],[shipping]]+Table1[[#This Row],[Tax]])</f>
        <v>0</v>
      </c>
      <c r="Q271" s="40">
        <v>0</v>
      </c>
      <c r="R271" s="92">
        <f>Table1[[#This Row],[Quantity on order]]*(Table1[[#This Row],[Cost ]]+Table1[[#This Row],[shipping]]+Table1[[#This Row],[Tax]])</f>
        <v>0</v>
      </c>
      <c r="S2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1" s="49">
        <f>Table1[[#This Row],[Quantity  to  purchase]]+Table1[[#This Row],[Quantity purchased]]+Table1[[#This Row],[Quantity on order]]+Table1[[#This Row],[Quantity donated]]-Table1[[#This Row],[extended quantity]]</f>
        <v>0</v>
      </c>
      <c r="U2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1" s="51">
        <f>IFERROR(Table1[[#This Row],[Quantity  to  purchase]]*(Table1[[#This Row],[Cost ]]+Table1[[#This Row],[shipping]]+Table1[[#This Row],[Tax]]),0)</f>
        <v>0</v>
      </c>
      <c r="W271" s="36">
        <f>IFERROR(Table1[[#This Row],[leftover material]]*(Table1[[#This Row],[Cost ]]+Table1[[#This Row],[shipping]]+Table1[[#This Row],[Tax]]),0)</f>
        <v>0</v>
      </c>
      <c r="X271" s="36"/>
      <c r="Y271" s="84"/>
      <c r="Z271" s="84"/>
      <c r="AA271" s="84"/>
      <c r="AB271" s="36"/>
      <c r="AC271" s="36">
        <f>IF(ISNA(VLOOKUP(Table1[[#This Row],[Part Number]],'Multi-level BOM'!V$4:V$449,1,FALSE)),0,Table1[[#This Row],[Remaining Extended cost]])</f>
        <v>0</v>
      </c>
    </row>
    <row r="272" spans="1:29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80" t="str">
        <f>IF(Table1[[#This Row],[Buy-now costs]]&gt;0,"X","")</f>
        <v/>
      </c>
      <c r="M272" s="80"/>
      <c r="N272" s="80"/>
      <c r="O272" s="40">
        <v>0</v>
      </c>
      <c r="P272" s="94">
        <f>Table1[[#This Row],[quantity on-hand]]*(Table1[[#This Row],[Cost ]]+Table1[[#This Row],[shipping]]+Table1[[#This Row],[Tax]])</f>
        <v>0</v>
      </c>
      <c r="Q272" s="40">
        <v>0</v>
      </c>
      <c r="R272" s="92">
        <f>Table1[[#This Row],[Quantity on order]]*(Table1[[#This Row],[Cost ]]+Table1[[#This Row],[shipping]]+Table1[[#This Row],[Tax]])</f>
        <v>0</v>
      </c>
      <c r="S2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2" s="49">
        <f>Table1[[#This Row],[Quantity  to  purchase]]+Table1[[#This Row],[Quantity purchased]]+Table1[[#This Row],[Quantity on order]]+Table1[[#This Row],[Quantity donated]]-Table1[[#This Row],[extended quantity]]</f>
        <v>0</v>
      </c>
      <c r="U2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2" s="51">
        <f>IFERROR(Table1[[#This Row],[Quantity  to  purchase]]*(Table1[[#This Row],[Cost ]]+Table1[[#This Row],[shipping]]+Table1[[#This Row],[Tax]]),0)</f>
        <v>0</v>
      </c>
      <c r="W272" s="36">
        <f>IFERROR(Table1[[#This Row],[leftover material]]*(Table1[[#This Row],[Cost ]]+Table1[[#This Row],[shipping]]+Table1[[#This Row],[Tax]]),0)</f>
        <v>0</v>
      </c>
      <c r="X272" s="36"/>
      <c r="Y272" s="84"/>
      <c r="Z272" s="84"/>
      <c r="AA272" s="84"/>
      <c r="AB272" s="36"/>
      <c r="AC272" s="36">
        <f>IF(ISNA(VLOOKUP(Table1[[#This Row],[Part Number]],'Multi-level BOM'!V$4:V$449,1,FALSE)),0,Table1[[#This Row],[Remaining Extended cost]])</f>
        <v>0</v>
      </c>
    </row>
    <row r="273" spans="1:29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80" t="str">
        <f>IF(Table1[[#This Row],[Buy-now costs]]&gt;0,"X","")</f>
        <v/>
      </c>
      <c r="M273" s="80"/>
      <c r="N273" s="80"/>
      <c r="O273" s="40">
        <v>0</v>
      </c>
      <c r="P273" s="94">
        <f>Table1[[#This Row],[quantity on-hand]]*(Table1[[#This Row],[Cost ]]+Table1[[#This Row],[shipping]]+Table1[[#This Row],[Tax]])</f>
        <v>0</v>
      </c>
      <c r="Q273" s="40">
        <v>0</v>
      </c>
      <c r="R273" s="92">
        <f>Table1[[#This Row],[Quantity on order]]*(Table1[[#This Row],[Cost ]]+Table1[[#This Row],[shipping]]+Table1[[#This Row],[Tax]])</f>
        <v>0</v>
      </c>
      <c r="S2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3" s="49">
        <f>Table1[[#This Row],[Quantity  to  purchase]]+Table1[[#This Row],[Quantity purchased]]+Table1[[#This Row],[Quantity on order]]+Table1[[#This Row],[Quantity donated]]-Table1[[#This Row],[extended quantity]]</f>
        <v>0</v>
      </c>
      <c r="U2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3" s="51">
        <f>IFERROR(Table1[[#This Row],[Quantity  to  purchase]]*(Table1[[#This Row],[Cost ]]+Table1[[#This Row],[shipping]]+Table1[[#This Row],[Tax]]),0)</f>
        <v>0</v>
      </c>
      <c r="W273" s="36">
        <f>IFERROR(Table1[[#This Row],[leftover material]]*(Table1[[#This Row],[Cost ]]+Table1[[#This Row],[shipping]]+Table1[[#This Row],[Tax]]),0)</f>
        <v>0</v>
      </c>
      <c r="X273" s="36"/>
      <c r="Y273" s="84"/>
      <c r="Z273" s="84"/>
      <c r="AA273" s="84"/>
      <c r="AB273" s="36"/>
      <c r="AC273" s="36">
        <f>IF(ISNA(VLOOKUP(Table1[[#This Row],[Part Number]],'Multi-level BOM'!V$4:V$449,1,FALSE)),0,Table1[[#This Row],[Remaining Extended cost]])</f>
        <v>0</v>
      </c>
    </row>
    <row r="274" spans="1:29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80" t="str">
        <f>IF(Table1[[#This Row],[Buy-now costs]]&gt;0,"X","")</f>
        <v/>
      </c>
      <c r="M274" s="80"/>
      <c r="N274" s="80"/>
      <c r="O274" s="40">
        <v>0</v>
      </c>
      <c r="P274" s="94">
        <f>Table1[[#This Row],[quantity on-hand]]*(Table1[[#This Row],[Cost ]]+Table1[[#This Row],[shipping]]+Table1[[#This Row],[Tax]])</f>
        <v>0</v>
      </c>
      <c r="Q274" s="40">
        <v>0</v>
      </c>
      <c r="R274" s="92">
        <f>Table1[[#This Row],[Quantity on order]]*(Table1[[#This Row],[Cost ]]+Table1[[#This Row],[shipping]]+Table1[[#This Row],[Tax]])</f>
        <v>0</v>
      </c>
      <c r="S2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4" s="49">
        <f>Table1[[#This Row],[Quantity  to  purchase]]+Table1[[#This Row],[Quantity purchased]]+Table1[[#This Row],[Quantity on order]]+Table1[[#This Row],[Quantity donated]]-Table1[[#This Row],[extended quantity]]</f>
        <v>0</v>
      </c>
      <c r="U2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4" s="51">
        <f>IFERROR(Table1[[#This Row],[Quantity  to  purchase]]*(Table1[[#This Row],[Cost ]]+Table1[[#This Row],[shipping]]+Table1[[#This Row],[Tax]]),0)</f>
        <v>0</v>
      </c>
      <c r="W274" s="36">
        <f>IFERROR(Table1[[#This Row],[leftover material]]*(Table1[[#This Row],[Cost ]]+Table1[[#This Row],[shipping]]+Table1[[#This Row],[Tax]]),0)</f>
        <v>0</v>
      </c>
      <c r="X274" s="36"/>
      <c r="Y274" s="84"/>
      <c r="Z274" s="84"/>
      <c r="AA274" s="84"/>
      <c r="AB274" s="36"/>
      <c r="AC274" s="36">
        <f>IF(ISNA(VLOOKUP(Table1[[#This Row],[Part Number]],'Multi-level BOM'!V$4:V$449,1,FALSE)),0,Table1[[#This Row],[Remaining Extended cost]])</f>
        <v>0</v>
      </c>
    </row>
    <row r="275" spans="1:29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80" t="str">
        <f>IF(Table1[[#This Row],[Buy-now costs]]&gt;0,"X","")</f>
        <v/>
      </c>
      <c r="M275" s="80"/>
      <c r="N275" s="80"/>
      <c r="O275" s="40">
        <v>0</v>
      </c>
      <c r="P275" s="94">
        <f>Table1[[#This Row],[quantity on-hand]]*(Table1[[#This Row],[Cost ]]+Table1[[#This Row],[shipping]]+Table1[[#This Row],[Tax]])</f>
        <v>0</v>
      </c>
      <c r="Q275" s="40">
        <v>0</v>
      </c>
      <c r="R275" s="92">
        <f>Table1[[#This Row],[Quantity on order]]*(Table1[[#This Row],[Cost ]]+Table1[[#This Row],[shipping]]+Table1[[#This Row],[Tax]])</f>
        <v>0</v>
      </c>
      <c r="S2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5" s="49">
        <f>Table1[[#This Row],[Quantity  to  purchase]]+Table1[[#This Row],[Quantity purchased]]+Table1[[#This Row],[Quantity on order]]+Table1[[#This Row],[Quantity donated]]-Table1[[#This Row],[extended quantity]]</f>
        <v>0</v>
      </c>
      <c r="U2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5" s="51">
        <f>IFERROR(Table1[[#This Row],[Quantity  to  purchase]]*(Table1[[#This Row],[Cost ]]+Table1[[#This Row],[shipping]]+Table1[[#This Row],[Tax]]),0)</f>
        <v>0</v>
      </c>
      <c r="W275" s="36">
        <f>IFERROR(Table1[[#This Row],[leftover material]]*(Table1[[#This Row],[Cost ]]+Table1[[#This Row],[shipping]]+Table1[[#This Row],[Tax]]),0)</f>
        <v>0</v>
      </c>
      <c r="X275" s="36"/>
      <c r="Y275" s="84"/>
      <c r="Z275" s="84"/>
      <c r="AA275" s="84"/>
      <c r="AB275" s="36"/>
      <c r="AC275" s="36">
        <f>IF(ISNA(VLOOKUP(Table1[[#This Row],[Part Number]],'Multi-level BOM'!V$4:V$449,1,FALSE)),0,Table1[[#This Row],[Remaining Extended cost]])</f>
        <v>0</v>
      </c>
    </row>
    <row r="276" spans="1:29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80" t="str">
        <f>IF(Table1[[#This Row],[Buy-now costs]]&gt;0,"X","")</f>
        <v/>
      </c>
      <c r="M276" s="80"/>
      <c r="N276" s="80"/>
      <c r="O276" s="40">
        <v>0</v>
      </c>
      <c r="P276" s="94">
        <f>Table1[[#This Row],[quantity on-hand]]*(Table1[[#This Row],[Cost ]]+Table1[[#This Row],[shipping]]+Table1[[#This Row],[Tax]])</f>
        <v>0</v>
      </c>
      <c r="Q276" s="40">
        <v>0</v>
      </c>
      <c r="R276" s="92">
        <f>Table1[[#This Row],[Quantity on order]]*(Table1[[#This Row],[Cost ]]+Table1[[#This Row],[shipping]]+Table1[[#This Row],[Tax]])</f>
        <v>0</v>
      </c>
      <c r="S2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6" s="49">
        <f>Table1[[#This Row],[Quantity  to  purchase]]+Table1[[#This Row],[Quantity purchased]]+Table1[[#This Row],[Quantity on order]]+Table1[[#This Row],[Quantity donated]]-Table1[[#This Row],[extended quantity]]</f>
        <v>0</v>
      </c>
      <c r="U2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6" s="51">
        <f>IFERROR(Table1[[#This Row],[Quantity  to  purchase]]*(Table1[[#This Row],[Cost ]]+Table1[[#This Row],[shipping]]+Table1[[#This Row],[Tax]]),0)</f>
        <v>0</v>
      </c>
      <c r="W276" s="36">
        <f>IFERROR(Table1[[#This Row],[leftover material]]*(Table1[[#This Row],[Cost ]]+Table1[[#This Row],[shipping]]+Table1[[#This Row],[Tax]]),0)</f>
        <v>0</v>
      </c>
      <c r="X276" s="36"/>
      <c r="Y276" s="84"/>
      <c r="Z276" s="84"/>
      <c r="AA276" s="84"/>
      <c r="AB276" s="36"/>
      <c r="AC276" s="36">
        <f>IF(ISNA(VLOOKUP(Table1[[#This Row],[Part Number]],'Multi-level BOM'!V$4:V$449,1,FALSE)),0,Table1[[#This Row],[Remaining Extended cost]])</f>
        <v>0</v>
      </c>
    </row>
    <row r="277" spans="1:29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80" t="str">
        <f>IF(Table1[[#This Row],[Buy-now costs]]&gt;0,"X","")</f>
        <v/>
      </c>
      <c r="M277" s="80"/>
      <c r="N277" s="80"/>
      <c r="O277" s="40">
        <v>0</v>
      </c>
      <c r="P277" s="94">
        <f>Table1[[#This Row],[quantity on-hand]]*(Table1[[#This Row],[Cost ]]+Table1[[#This Row],[shipping]]+Table1[[#This Row],[Tax]])</f>
        <v>0</v>
      </c>
      <c r="Q277" s="40">
        <v>0</v>
      </c>
      <c r="R277" s="92">
        <f>Table1[[#This Row],[Quantity on order]]*(Table1[[#This Row],[Cost ]]+Table1[[#This Row],[shipping]]+Table1[[#This Row],[Tax]])</f>
        <v>0</v>
      </c>
      <c r="S2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7" s="49">
        <f>Table1[[#This Row],[Quantity  to  purchase]]+Table1[[#This Row],[Quantity purchased]]+Table1[[#This Row],[Quantity on order]]+Table1[[#This Row],[Quantity donated]]-Table1[[#This Row],[extended quantity]]</f>
        <v>0</v>
      </c>
      <c r="U2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7" s="51">
        <f>IFERROR(Table1[[#This Row],[Quantity  to  purchase]]*(Table1[[#This Row],[Cost ]]+Table1[[#This Row],[shipping]]+Table1[[#This Row],[Tax]]),0)</f>
        <v>0</v>
      </c>
      <c r="W277" s="36">
        <f>IFERROR(Table1[[#This Row],[leftover material]]*(Table1[[#This Row],[Cost ]]+Table1[[#This Row],[shipping]]+Table1[[#This Row],[Tax]]),0)</f>
        <v>0</v>
      </c>
      <c r="X277" s="36"/>
      <c r="Y277" s="84"/>
      <c r="Z277" s="84"/>
      <c r="AA277" s="84"/>
      <c r="AB277" s="36"/>
      <c r="AC277" s="36">
        <f>IF(ISNA(VLOOKUP(Table1[[#This Row],[Part Number]],'Multi-level BOM'!V$4:V$449,1,FALSE)),0,Table1[[#This Row],[Remaining Extended cost]])</f>
        <v>0</v>
      </c>
    </row>
    <row r="278" spans="1:29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80" t="str">
        <f>IF(Table1[[#This Row],[Buy-now costs]]&gt;0,"X","")</f>
        <v/>
      </c>
      <c r="M278" s="80"/>
      <c r="N278" s="80"/>
      <c r="O278" s="40">
        <v>0</v>
      </c>
      <c r="P278" s="94">
        <f>Table1[[#This Row],[quantity on-hand]]*(Table1[[#This Row],[Cost ]]+Table1[[#This Row],[shipping]]+Table1[[#This Row],[Tax]])</f>
        <v>0</v>
      </c>
      <c r="Q278" s="40">
        <v>0</v>
      </c>
      <c r="R278" s="92">
        <f>Table1[[#This Row],[Quantity on order]]*(Table1[[#This Row],[Cost ]]+Table1[[#This Row],[shipping]]+Table1[[#This Row],[Tax]])</f>
        <v>0</v>
      </c>
      <c r="S2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8" s="49">
        <f>Table1[[#This Row],[Quantity  to  purchase]]+Table1[[#This Row],[Quantity purchased]]+Table1[[#This Row],[Quantity on order]]+Table1[[#This Row],[Quantity donated]]-Table1[[#This Row],[extended quantity]]</f>
        <v>0</v>
      </c>
      <c r="U2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8" s="51">
        <f>IFERROR(Table1[[#This Row],[Quantity  to  purchase]]*(Table1[[#This Row],[Cost ]]+Table1[[#This Row],[shipping]]+Table1[[#This Row],[Tax]]),0)</f>
        <v>0</v>
      </c>
      <c r="W278" s="36">
        <f>IFERROR(Table1[[#This Row],[leftover material]]*(Table1[[#This Row],[Cost ]]+Table1[[#This Row],[shipping]]+Table1[[#This Row],[Tax]]),0)</f>
        <v>0</v>
      </c>
      <c r="X278" s="36"/>
      <c r="Y278" s="84"/>
      <c r="Z278" s="84"/>
      <c r="AA278" s="84"/>
      <c r="AB278" s="36"/>
      <c r="AC278" s="36">
        <f>IF(ISNA(VLOOKUP(Table1[[#This Row],[Part Number]],'Multi-level BOM'!V$4:V$449,1,FALSE)),0,Table1[[#This Row],[Remaining Extended cost]])</f>
        <v>0</v>
      </c>
    </row>
    <row r="279" spans="1:29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80" t="str">
        <f>IF(Table1[[#This Row],[Buy-now costs]]&gt;0,"X","")</f>
        <v/>
      </c>
      <c r="M279" s="80"/>
      <c r="N279" s="80"/>
      <c r="O279" s="40">
        <v>0</v>
      </c>
      <c r="P279" s="94">
        <f>Table1[[#This Row],[quantity on-hand]]*(Table1[[#This Row],[Cost ]]+Table1[[#This Row],[shipping]]+Table1[[#This Row],[Tax]])</f>
        <v>0</v>
      </c>
      <c r="Q279" s="40">
        <v>0</v>
      </c>
      <c r="R279" s="92">
        <f>Table1[[#This Row],[Quantity on order]]*(Table1[[#This Row],[Cost ]]+Table1[[#This Row],[shipping]]+Table1[[#This Row],[Tax]])</f>
        <v>0</v>
      </c>
      <c r="S2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9" s="49">
        <f>Table1[[#This Row],[Quantity  to  purchase]]+Table1[[#This Row],[Quantity purchased]]+Table1[[#This Row],[Quantity on order]]+Table1[[#This Row],[Quantity donated]]-Table1[[#This Row],[extended quantity]]</f>
        <v>0</v>
      </c>
      <c r="U2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9" s="51">
        <f>IFERROR(Table1[[#This Row],[Quantity  to  purchase]]*(Table1[[#This Row],[Cost ]]+Table1[[#This Row],[shipping]]+Table1[[#This Row],[Tax]]),0)</f>
        <v>0</v>
      </c>
      <c r="W279" s="36">
        <f>IFERROR(Table1[[#This Row],[leftover material]]*(Table1[[#This Row],[Cost ]]+Table1[[#This Row],[shipping]]+Table1[[#This Row],[Tax]]),0)</f>
        <v>0</v>
      </c>
      <c r="X279" s="36"/>
      <c r="Y279" s="84"/>
      <c r="Z279" s="84"/>
      <c r="AA279" s="84"/>
      <c r="AB279" s="36"/>
      <c r="AC279" s="36">
        <f>IF(ISNA(VLOOKUP(Table1[[#This Row],[Part Number]],'Multi-level BOM'!V$4:V$449,1,FALSE)),0,Table1[[#This Row],[Remaining Extended cost]])</f>
        <v>0</v>
      </c>
    </row>
    <row r="280" spans="1:29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80" t="str">
        <f>IF(Table1[[#This Row],[Buy-now costs]]&gt;0,"X","")</f>
        <v/>
      </c>
      <c r="M280" s="80"/>
      <c r="N280" s="80"/>
      <c r="O280" s="40">
        <v>0</v>
      </c>
      <c r="P280" s="94">
        <f>Table1[[#This Row],[quantity on-hand]]*(Table1[[#This Row],[Cost ]]+Table1[[#This Row],[shipping]]+Table1[[#This Row],[Tax]])</f>
        <v>0</v>
      </c>
      <c r="Q280" s="40">
        <v>0</v>
      </c>
      <c r="R280" s="92">
        <f>Table1[[#This Row],[Quantity on order]]*(Table1[[#This Row],[Cost ]]+Table1[[#This Row],[shipping]]+Table1[[#This Row],[Tax]])</f>
        <v>0</v>
      </c>
      <c r="S2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0" s="49">
        <f>Table1[[#This Row],[Quantity  to  purchase]]+Table1[[#This Row],[Quantity purchased]]+Table1[[#This Row],[Quantity on order]]+Table1[[#This Row],[Quantity donated]]-Table1[[#This Row],[extended quantity]]</f>
        <v>0</v>
      </c>
      <c r="U2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0" s="51">
        <f>IFERROR(Table1[[#This Row],[Quantity  to  purchase]]*(Table1[[#This Row],[Cost ]]+Table1[[#This Row],[shipping]]+Table1[[#This Row],[Tax]]),0)</f>
        <v>0</v>
      </c>
      <c r="W280" s="36">
        <f>IFERROR(Table1[[#This Row],[leftover material]]*(Table1[[#This Row],[Cost ]]+Table1[[#This Row],[shipping]]+Table1[[#This Row],[Tax]]),0)</f>
        <v>0</v>
      </c>
      <c r="X280" s="36"/>
      <c r="Y280" s="84"/>
      <c r="Z280" s="84"/>
      <c r="AA280" s="84"/>
      <c r="AB280" s="36"/>
      <c r="AC280" s="36">
        <f>IF(ISNA(VLOOKUP(Table1[[#This Row],[Part Number]],'Multi-level BOM'!V$4:V$449,1,FALSE)),0,Table1[[#This Row],[Remaining Extended cost]])</f>
        <v>0</v>
      </c>
    </row>
    <row r="281" spans="1:29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80" t="str">
        <f>IF(Table1[[#This Row],[Buy-now costs]]&gt;0,"X","")</f>
        <v/>
      </c>
      <c r="M281" s="80"/>
      <c r="N281" s="80"/>
      <c r="O281" s="40">
        <v>0</v>
      </c>
      <c r="P281" s="94">
        <f>Table1[[#This Row],[quantity on-hand]]*(Table1[[#This Row],[Cost ]]+Table1[[#This Row],[shipping]]+Table1[[#This Row],[Tax]])</f>
        <v>0</v>
      </c>
      <c r="Q281" s="40">
        <v>0</v>
      </c>
      <c r="R281" s="92">
        <f>Table1[[#This Row],[Quantity on order]]*(Table1[[#This Row],[Cost ]]+Table1[[#This Row],[shipping]]+Table1[[#This Row],[Tax]])</f>
        <v>0</v>
      </c>
      <c r="S2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1" s="49">
        <f>Table1[[#This Row],[Quantity  to  purchase]]+Table1[[#This Row],[Quantity purchased]]+Table1[[#This Row],[Quantity on order]]+Table1[[#This Row],[Quantity donated]]-Table1[[#This Row],[extended quantity]]</f>
        <v>0</v>
      </c>
      <c r="U2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1" s="51">
        <f>IFERROR(Table1[[#This Row],[Quantity  to  purchase]]*(Table1[[#This Row],[Cost ]]+Table1[[#This Row],[shipping]]+Table1[[#This Row],[Tax]]),0)</f>
        <v>0</v>
      </c>
      <c r="W281" s="36">
        <f>IFERROR(Table1[[#This Row],[leftover material]]*(Table1[[#This Row],[Cost ]]+Table1[[#This Row],[shipping]]+Table1[[#This Row],[Tax]]),0)</f>
        <v>0</v>
      </c>
      <c r="X281" s="36"/>
      <c r="Y281" s="84"/>
      <c r="Z281" s="84"/>
      <c r="AA281" s="84"/>
      <c r="AB281" s="36"/>
      <c r="AC281" s="36">
        <f>IF(ISNA(VLOOKUP(Table1[[#This Row],[Part Number]],'Multi-level BOM'!V$4:V$449,1,FALSE)),0,Table1[[#This Row],[Remaining Extended cost]])</f>
        <v>0</v>
      </c>
    </row>
    <row r="282" spans="1:29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80" t="str">
        <f>IF(Table1[[#This Row],[Buy-now costs]]&gt;0,"X","")</f>
        <v/>
      </c>
      <c r="M282" s="80"/>
      <c r="N282" s="80"/>
      <c r="O282" s="40">
        <v>0</v>
      </c>
      <c r="P282" s="94">
        <f>Table1[[#This Row],[quantity on-hand]]*(Table1[[#This Row],[Cost ]]+Table1[[#This Row],[shipping]]+Table1[[#This Row],[Tax]])</f>
        <v>0</v>
      </c>
      <c r="Q282" s="40">
        <v>0</v>
      </c>
      <c r="R282" s="92">
        <f>Table1[[#This Row],[Quantity on order]]*(Table1[[#This Row],[Cost ]]+Table1[[#This Row],[shipping]]+Table1[[#This Row],[Tax]])</f>
        <v>0</v>
      </c>
      <c r="S2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2" s="49">
        <f>Table1[[#This Row],[Quantity  to  purchase]]+Table1[[#This Row],[Quantity purchased]]+Table1[[#This Row],[Quantity on order]]+Table1[[#This Row],[Quantity donated]]-Table1[[#This Row],[extended quantity]]</f>
        <v>0</v>
      </c>
      <c r="U2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2" s="51">
        <f>IFERROR(Table1[[#This Row],[Quantity  to  purchase]]*(Table1[[#This Row],[Cost ]]+Table1[[#This Row],[shipping]]+Table1[[#This Row],[Tax]]),0)</f>
        <v>0</v>
      </c>
      <c r="W282" s="36">
        <f>IFERROR(Table1[[#This Row],[leftover material]]*(Table1[[#This Row],[Cost ]]+Table1[[#This Row],[shipping]]+Table1[[#This Row],[Tax]]),0)</f>
        <v>0</v>
      </c>
      <c r="X282" s="36"/>
      <c r="Y282" s="84"/>
      <c r="Z282" s="84"/>
      <c r="AA282" s="84"/>
      <c r="AB282" s="36"/>
      <c r="AC282" s="36">
        <f>IF(ISNA(VLOOKUP(Table1[[#This Row],[Part Number]],'Multi-level BOM'!V$4:V$449,1,FALSE)),0,Table1[[#This Row],[Remaining Extended cost]])</f>
        <v>0</v>
      </c>
    </row>
    <row r="283" spans="1:29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80" t="str">
        <f>IF(Table1[[#This Row],[Buy-now costs]]&gt;0,"X","")</f>
        <v/>
      </c>
      <c r="M283" s="80"/>
      <c r="N283" s="80"/>
      <c r="O283" s="40">
        <v>0</v>
      </c>
      <c r="P283" s="94">
        <f>Table1[[#This Row],[quantity on-hand]]*(Table1[[#This Row],[Cost ]]+Table1[[#This Row],[shipping]]+Table1[[#This Row],[Tax]])</f>
        <v>0</v>
      </c>
      <c r="Q283" s="40">
        <v>0</v>
      </c>
      <c r="R283" s="92">
        <f>Table1[[#This Row],[Quantity on order]]*(Table1[[#This Row],[Cost ]]+Table1[[#This Row],[shipping]]+Table1[[#This Row],[Tax]])</f>
        <v>0</v>
      </c>
      <c r="S2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3" s="49">
        <f>Table1[[#This Row],[Quantity  to  purchase]]+Table1[[#This Row],[Quantity purchased]]+Table1[[#This Row],[Quantity on order]]+Table1[[#This Row],[Quantity donated]]-Table1[[#This Row],[extended quantity]]</f>
        <v>0</v>
      </c>
      <c r="U2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3" s="51">
        <f>IFERROR(Table1[[#This Row],[Quantity  to  purchase]]*(Table1[[#This Row],[Cost ]]+Table1[[#This Row],[shipping]]+Table1[[#This Row],[Tax]]),0)</f>
        <v>0</v>
      </c>
      <c r="W283" s="36">
        <f>IFERROR(Table1[[#This Row],[leftover material]]*(Table1[[#This Row],[Cost ]]+Table1[[#This Row],[shipping]]+Table1[[#This Row],[Tax]]),0)</f>
        <v>0</v>
      </c>
      <c r="X283" s="36"/>
      <c r="Y283" s="84"/>
      <c r="Z283" s="84"/>
      <c r="AA283" s="84"/>
      <c r="AB283" s="36"/>
      <c r="AC283" s="36">
        <f>IF(ISNA(VLOOKUP(Table1[[#This Row],[Part Number]],'Multi-level BOM'!V$4:V$449,1,FALSE)),0,Table1[[#This Row],[Remaining Extended cost]])</f>
        <v>0</v>
      </c>
    </row>
    <row r="284" spans="1:29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80" t="str">
        <f>IF(Table1[[#This Row],[Buy-now costs]]&gt;0,"X","")</f>
        <v/>
      </c>
      <c r="M284" s="80"/>
      <c r="N284" s="80"/>
      <c r="O284" s="40">
        <v>0</v>
      </c>
      <c r="P284" s="94">
        <f>Table1[[#This Row],[quantity on-hand]]*(Table1[[#This Row],[Cost ]]+Table1[[#This Row],[shipping]]+Table1[[#This Row],[Tax]])</f>
        <v>0</v>
      </c>
      <c r="Q284" s="40">
        <v>0</v>
      </c>
      <c r="R284" s="92">
        <f>Table1[[#This Row],[Quantity on order]]*(Table1[[#This Row],[Cost ]]+Table1[[#This Row],[shipping]]+Table1[[#This Row],[Tax]])</f>
        <v>0</v>
      </c>
      <c r="S2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4" s="49">
        <f>Table1[[#This Row],[Quantity  to  purchase]]+Table1[[#This Row],[Quantity purchased]]+Table1[[#This Row],[Quantity on order]]+Table1[[#This Row],[Quantity donated]]-Table1[[#This Row],[extended quantity]]</f>
        <v>0</v>
      </c>
      <c r="U2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4" s="51">
        <f>IFERROR(Table1[[#This Row],[Quantity  to  purchase]]*(Table1[[#This Row],[Cost ]]+Table1[[#This Row],[shipping]]+Table1[[#This Row],[Tax]]),0)</f>
        <v>0</v>
      </c>
      <c r="W284" s="36">
        <f>IFERROR(Table1[[#This Row],[leftover material]]*(Table1[[#This Row],[Cost ]]+Table1[[#This Row],[shipping]]+Table1[[#This Row],[Tax]]),0)</f>
        <v>0</v>
      </c>
      <c r="X284" s="36"/>
      <c r="Y284" s="84"/>
      <c r="Z284" s="84"/>
      <c r="AA284" s="84"/>
      <c r="AB284" s="36"/>
      <c r="AC284" s="36">
        <f>IF(ISNA(VLOOKUP(Table1[[#This Row],[Part Number]],'Multi-level BOM'!V$4:V$449,1,FALSE)),0,Table1[[#This Row],[Remaining Extended cost]])</f>
        <v>0</v>
      </c>
    </row>
    <row r="285" spans="1:29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80" t="str">
        <f>IF(Table1[[#This Row],[Buy-now costs]]&gt;0,"X","")</f>
        <v/>
      </c>
      <c r="M285" s="80"/>
      <c r="N285" s="80"/>
      <c r="O285" s="40">
        <v>0</v>
      </c>
      <c r="P285" s="94">
        <f>Table1[[#This Row],[quantity on-hand]]*(Table1[[#This Row],[Cost ]]+Table1[[#This Row],[shipping]]+Table1[[#This Row],[Tax]])</f>
        <v>0</v>
      </c>
      <c r="Q285" s="40">
        <v>0</v>
      </c>
      <c r="R285" s="92">
        <f>Table1[[#This Row],[Quantity on order]]*(Table1[[#This Row],[Cost ]]+Table1[[#This Row],[shipping]]+Table1[[#This Row],[Tax]])</f>
        <v>0</v>
      </c>
      <c r="S2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5" s="49">
        <f>Table1[[#This Row],[Quantity  to  purchase]]+Table1[[#This Row],[Quantity purchased]]+Table1[[#This Row],[Quantity on order]]+Table1[[#This Row],[Quantity donated]]-Table1[[#This Row],[extended quantity]]</f>
        <v>0</v>
      </c>
      <c r="U2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5" s="51">
        <f>IFERROR(Table1[[#This Row],[Quantity  to  purchase]]*(Table1[[#This Row],[Cost ]]+Table1[[#This Row],[shipping]]+Table1[[#This Row],[Tax]]),0)</f>
        <v>0</v>
      </c>
      <c r="W285" s="36">
        <f>IFERROR(Table1[[#This Row],[leftover material]]*(Table1[[#This Row],[Cost ]]+Table1[[#This Row],[shipping]]+Table1[[#This Row],[Tax]]),0)</f>
        <v>0</v>
      </c>
      <c r="X285" s="36"/>
      <c r="Y285" s="84"/>
      <c r="Z285" s="84"/>
      <c r="AA285" s="84"/>
      <c r="AB285" s="36"/>
      <c r="AC285" s="36">
        <f>IF(ISNA(VLOOKUP(Table1[[#This Row],[Part Number]],'Multi-level BOM'!V$4:V$449,1,FALSE)),0,Table1[[#This Row],[Remaining Extended cost]])</f>
        <v>0</v>
      </c>
    </row>
    <row r="286" spans="1:29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80" t="str">
        <f>IF(Table1[[#This Row],[Buy-now costs]]&gt;0,"X","")</f>
        <v/>
      </c>
      <c r="M286" s="80"/>
      <c r="N286" s="80"/>
      <c r="O286" s="40">
        <v>0</v>
      </c>
      <c r="P286" s="94">
        <f>Table1[[#This Row],[quantity on-hand]]*(Table1[[#This Row],[Cost ]]+Table1[[#This Row],[shipping]]+Table1[[#This Row],[Tax]])</f>
        <v>0</v>
      </c>
      <c r="Q286" s="40">
        <v>0</v>
      </c>
      <c r="R286" s="92">
        <f>Table1[[#This Row],[Quantity on order]]*(Table1[[#This Row],[Cost ]]+Table1[[#This Row],[shipping]]+Table1[[#This Row],[Tax]])</f>
        <v>0</v>
      </c>
      <c r="S2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6" s="49">
        <f>Table1[[#This Row],[Quantity  to  purchase]]+Table1[[#This Row],[Quantity purchased]]+Table1[[#This Row],[Quantity on order]]+Table1[[#This Row],[Quantity donated]]-Table1[[#This Row],[extended quantity]]</f>
        <v>0</v>
      </c>
      <c r="U2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6" s="51">
        <f>IFERROR(Table1[[#This Row],[Quantity  to  purchase]]*(Table1[[#This Row],[Cost ]]+Table1[[#This Row],[shipping]]+Table1[[#This Row],[Tax]]),0)</f>
        <v>0</v>
      </c>
      <c r="W286" s="36">
        <f>IFERROR(Table1[[#This Row],[leftover material]]*(Table1[[#This Row],[Cost ]]+Table1[[#This Row],[shipping]]+Table1[[#This Row],[Tax]]),0)</f>
        <v>0</v>
      </c>
      <c r="X286" s="36"/>
      <c r="Y286" s="84"/>
      <c r="Z286" s="84"/>
      <c r="AA286" s="84"/>
      <c r="AB286" s="36"/>
      <c r="AC286" s="36">
        <f>IF(ISNA(VLOOKUP(Table1[[#This Row],[Part Number]],'Multi-level BOM'!V$4:V$449,1,FALSE)),0,Table1[[#This Row],[Remaining Extended cost]])</f>
        <v>0</v>
      </c>
    </row>
    <row r="287" spans="1:29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80" t="str">
        <f>IF(Table1[[#This Row],[Buy-now costs]]&gt;0,"X","")</f>
        <v/>
      </c>
      <c r="M287" s="80"/>
      <c r="N287" s="80"/>
      <c r="O287" s="40">
        <v>0</v>
      </c>
      <c r="P287" s="94">
        <f>Table1[[#This Row],[quantity on-hand]]*(Table1[[#This Row],[Cost ]]+Table1[[#This Row],[shipping]]+Table1[[#This Row],[Tax]])</f>
        <v>0</v>
      </c>
      <c r="Q287" s="40">
        <v>0</v>
      </c>
      <c r="R287" s="92">
        <f>Table1[[#This Row],[Quantity on order]]*(Table1[[#This Row],[Cost ]]+Table1[[#This Row],[shipping]]+Table1[[#This Row],[Tax]])</f>
        <v>0</v>
      </c>
      <c r="S2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7" s="49">
        <f>Table1[[#This Row],[Quantity  to  purchase]]+Table1[[#This Row],[Quantity purchased]]+Table1[[#This Row],[Quantity on order]]+Table1[[#This Row],[Quantity donated]]-Table1[[#This Row],[extended quantity]]</f>
        <v>0</v>
      </c>
      <c r="U2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7" s="51">
        <f>IFERROR(Table1[[#This Row],[Quantity  to  purchase]]*(Table1[[#This Row],[Cost ]]+Table1[[#This Row],[shipping]]+Table1[[#This Row],[Tax]]),0)</f>
        <v>0</v>
      </c>
      <c r="W287" s="36">
        <f>IFERROR(Table1[[#This Row],[leftover material]]*(Table1[[#This Row],[Cost ]]+Table1[[#This Row],[shipping]]+Table1[[#This Row],[Tax]]),0)</f>
        <v>0</v>
      </c>
      <c r="X287" s="36"/>
      <c r="Y287" s="84"/>
      <c r="Z287" s="84"/>
      <c r="AA287" s="84"/>
      <c r="AB287" s="36"/>
      <c r="AC287" s="36">
        <f>IF(ISNA(VLOOKUP(Table1[[#This Row],[Part Number]],'Multi-level BOM'!V$4:V$449,1,FALSE)),0,Table1[[#This Row],[Remaining Extended cost]])</f>
        <v>0</v>
      </c>
    </row>
    <row r="288" spans="1:29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80" t="str">
        <f>IF(Table1[[#This Row],[Buy-now costs]]&gt;0,"X","")</f>
        <v/>
      </c>
      <c r="M288" s="80"/>
      <c r="N288" s="80"/>
      <c r="O288" s="40">
        <v>0</v>
      </c>
      <c r="P288" s="94">
        <f>Table1[[#This Row],[quantity on-hand]]*(Table1[[#This Row],[Cost ]]+Table1[[#This Row],[shipping]]+Table1[[#This Row],[Tax]])</f>
        <v>0</v>
      </c>
      <c r="Q288" s="40">
        <v>0</v>
      </c>
      <c r="R288" s="92">
        <f>Table1[[#This Row],[Quantity on order]]*(Table1[[#This Row],[Cost ]]+Table1[[#This Row],[shipping]]+Table1[[#This Row],[Tax]])</f>
        <v>0</v>
      </c>
      <c r="S2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8" s="49">
        <f>Table1[[#This Row],[Quantity  to  purchase]]+Table1[[#This Row],[Quantity purchased]]+Table1[[#This Row],[Quantity on order]]+Table1[[#This Row],[Quantity donated]]-Table1[[#This Row],[extended quantity]]</f>
        <v>0</v>
      </c>
      <c r="U2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8" s="51">
        <f>IFERROR(Table1[[#This Row],[Quantity  to  purchase]]*(Table1[[#This Row],[Cost ]]+Table1[[#This Row],[shipping]]+Table1[[#This Row],[Tax]]),0)</f>
        <v>0</v>
      </c>
      <c r="W288" s="36">
        <f>IFERROR(Table1[[#This Row],[leftover material]]*(Table1[[#This Row],[Cost ]]+Table1[[#This Row],[shipping]]+Table1[[#This Row],[Tax]]),0)</f>
        <v>0</v>
      </c>
      <c r="X288" s="36"/>
      <c r="Y288" s="84"/>
      <c r="Z288" s="84"/>
      <c r="AA288" s="84"/>
      <c r="AB288" s="36"/>
      <c r="AC288" s="36">
        <f>IF(ISNA(VLOOKUP(Table1[[#This Row],[Part Number]],'Multi-level BOM'!V$4:V$449,1,FALSE)),0,Table1[[#This Row],[Remaining Extended cost]])</f>
        <v>0</v>
      </c>
    </row>
    <row r="289" spans="1:29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80" t="str">
        <f>IF(Table1[[#This Row],[Buy-now costs]]&gt;0,"X","")</f>
        <v/>
      </c>
      <c r="M289" s="80"/>
      <c r="N289" s="80"/>
      <c r="O289" s="40">
        <v>0</v>
      </c>
      <c r="P289" s="94">
        <f>Table1[[#This Row],[quantity on-hand]]*(Table1[[#This Row],[Cost ]]+Table1[[#This Row],[shipping]]+Table1[[#This Row],[Tax]])</f>
        <v>0</v>
      </c>
      <c r="Q289" s="40">
        <v>0</v>
      </c>
      <c r="R289" s="92">
        <f>Table1[[#This Row],[Quantity on order]]*(Table1[[#This Row],[Cost ]]+Table1[[#This Row],[shipping]]+Table1[[#This Row],[Tax]])</f>
        <v>0</v>
      </c>
      <c r="S2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9" s="49">
        <f>Table1[[#This Row],[Quantity  to  purchase]]+Table1[[#This Row],[Quantity purchased]]+Table1[[#This Row],[Quantity on order]]+Table1[[#This Row],[Quantity donated]]-Table1[[#This Row],[extended quantity]]</f>
        <v>0</v>
      </c>
      <c r="U2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9" s="51">
        <f>IFERROR(Table1[[#This Row],[Quantity  to  purchase]]*(Table1[[#This Row],[Cost ]]+Table1[[#This Row],[shipping]]+Table1[[#This Row],[Tax]]),0)</f>
        <v>0</v>
      </c>
      <c r="W289" s="36">
        <f>IFERROR(Table1[[#This Row],[leftover material]]*(Table1[[#This Row],[Cost ]]+Table1[[#This Row],[shipping]]+Table1[[#This Row],[Tax]]),0)</f>
        <v>0</v>
      </c>
      <c r="X289" s="36"/>
      <c r="Y289" s="84"/>
      <c r="Z289" s="84"/>
      <c r="AA289" s="84"/>
      <c r="AB289" s="36"/>
      <c r="AC289" s="36">
        <f>IF(ISNA(VLOOKUP(Table1[[#This Row],[Part Number]],'Multi-level BOM'!V$4:V$449,1,FALSE)),0,Table1[[#This Row],[Remaining Extended cost]])</f>
        <v>0</v>
      </c>
    </row>
    <row r="290" spans="1:29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80" t="str">
        <f>IF(Table1[[#This Row],[Buy-now costs]]&gt;0,"X","")</f>
        <v/>
      </c>
      <c r="M290" s="80"/>
      <c r="N290" s="80"/>
      <c r="O290" s="40">
        <v>0</v>
      </c>
      <c r="P290" s="94">
        <f>Table1[[#This Row],[quantity on-hand]]*(Table1[[#This Row],[Cost ]]+Table1[[#This Row],[shipping]]+Table1[[#This Row],[Tax]])</f>
        <v>0</v>
      </c>
      <c r="Q290" s="40">
        <v>0</v>
      </c>
      <c r="R290" s="92">
        <f>Table1[[#This Row],[Quantity on order]]*(Table1[[#This Row],[Cost ]]+Table1[[#This Row],[shipping]]+Table1[[#This Row],[Tax]])</f>
        <v>0</v>
      </c>
      <c r="S2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0" s="49">
        <f>Table1[[#This Row],[Quantity  to  purchase]]+Table1[[#This Row],[Quantity purchased]]+Table1[[#This Row],[Quantity on order]]+Table1[[#This Row],[Quantity donated]]-Table1[[#This Row],[extended quantity]]</f>
        <v>0</v>
      </c>
      <c r="U2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0" s="51">
        <f>IFERROR(Table1[[#This Row],[Quantity  to  purchase]]*(Table1[[#This Row],[Cost ]]+Table1[[#This Row],[shipping]]+Table1[[#This Row],[Tax]]),0)</f>
        <v>0</v>
      </c>
      <c r="W290" s="36">
        <f>IFERROR(Table1[[#This Row],[leftover material]]*(Table1[[#This Row],[Cost ]]+Table1[[#This Row],[shipping]]+Table1[[#This Row],[Tax]]),0)</f>
        <v>0</v>
      </c>
      <c r="X290" s="36"/>
      <c r="Y290" s="84"/>
      <c r="Z290" s="84"/>
      <c r="AA290" s="84"/>
      <c r="AB290" s="36"/>
      <c r="AC290" s="36">
        <f>IF(ISNA(VLOOKUP(Table1[[#This Row],[Part Number]],'Multi-level BOM'!V$4:V$449,1,FALSE)),0,Table1[[#This Row],[Remaining Extended cost]])</f>
        <v>0</v>
      </c>
    </row>
    <row r="291" spans="1:29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80" t="str">
        <f>IF(Table1[[#This Row],[Buy-now costs]]&gt;0,"X","")</f>
        <v/>
      </c>
      <c r="M291" s="80"/>
      <c r="N291" s="80"/>
      <c r="O291" s="40">
        <v>0</v>
      </c>
      <c r="P291" s="94">
        <f>Table1[[#This Row],[quantity on-hand]]*(Table1[[#This Row],[Cost ]]+Table1[[#This Row],[shipping]]+Table1[[#This Row],[Tax]])</f>
        <v>0</v>
      </c>
      <c r="Q291" s="40">
        <v>0</v>
      </c>
      <c r="R291" s="92">
        <f>Table1[[#This Row],[Quantity on order]]*(Table1[[#This Row],[Cost ]]+Table1[[#This Row],[shipping]]+Table1[[#This Row],[Tax]])</f>
        <v>0</v>
      </c>
      <c r="S2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1" s="49">
        <f>Table1[[#This Row],[Quantity  to  purchase]]+Table1[[#This Row],[Quantity purchased]]+Table1[[#This Row],[Quantity on order]]+Table1[[#This Row],[Quantity donated]]-Table1[[#This Row],[extended quantity]]</f>
        <v>0</v>
      </c>
      <c r="U2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1" s="51">
        <f>IFERROR(Table1[[#This Row],[Quantity  to  purchase]]*(Table1[[#This Row],[Cost ]]+Table1[[#This Row],[shipping]]+Table1[[#This Row],[Tax]]),0)</f>
        <v>0</v>
      </c>
      <c r="W291" s="36">
        <f>IFERROR(Table1[[#This Row],[leftover material]]*(Table1[[#This Row],[Cost ]]+Table1[[#This Row],[shipping]]+Table1[[#This Row],[Tax]]),0)</f>
        <v>0</v>
      </c>
      <c r="X291" s="36"/>
      <c r="Y291" s="84"/>
      <c r="Z291" s="84"/>
      <c r="AA291" s="84"/>
      <c r="AB291" s="36"/>
      <c r="AC291" s="36">
        <f>IF(ISNA(VLOOKUP(Table1[[#This Row],[Part Number]],'Multi-level BOM'!V$4:V$449,1,FALSE)),0,Table1[[#This Row],[Remaining Extended cost]])</f>
        <v>0</v>
      </c>
    </row>
    <row r="292" spans="1:29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80" t="str">
        <f>IF(Table1[[#This Row],[Buy-now costs]]&gt;0,"X","")</f>
        <v/>
      </c>
      <c r="M292" s="80"/>
      <c r="N292" s="80"/>
      <c r="O292" s="40">
        <v>0</v>
      </c>
      <c r="P292" s="94">
        <f>Table1[[#This Row],[quantity on-hand]]*(Table1[[#This Row],[Cost ]]+Table1[[#This Row],[shipping]]+Table1[[#This Row],[Tax]])</f>
        <v>0</v>
      </c>
      <c r="Q292" s="40">
        <v>0</v>
      </c>
      <c r="R292" s="92">
        <f>Table1[[#This Row],[Quantity on order]]*(Table1[[#This Row],[Cost ]]+Table1[[#This Row],[shipping]]+Table1[[#This Row],[Tax]])</f>
        <v>0</v>
      </c>
      <c r="S2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2" s="49">
        <f>Table1[[#This Row],[Quantity  to  purchase]]+Table1[[#This Row],[Quantity purchased]]+Table1[[#This Row],[Quantity on order]]+Table1[[#This Row],[Quantity donated]]-Table1[[#This Row],[extended quantity]]</f>
        <v>0</v>
      </c>
      <c r="U2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2" s="51">
        <f>IFERROR(Table1[[#This Row],[Quantity  to  purchase]]*(Table1[[#This Row],[Cost ]]+Table1[[#This Row],[shipping]]+Table1[[#This Row],[Tax]]),0)</f>
        <v>0</v>
      </c>
      <c r="W292" s="36">
        <f>IFERROR(Table1[[#This Row],[leftover material]]*(Table1[[#This Row],[Cost ]]+Table1[[#This Row],[shipping]]+Table1[[#This Row],[Tax]]),0)</f>
        <v>0</v>
      </c>
      <c r="X292" s="36"/>
      <c r="Y292" s="84"/>
      <c r="Z292" s="84"/>
      <c r="AA292" s="84"/>
      <c r="AB292" s="36"/>
      <c r="AC292" s="36">
        <f>IF(ISNA(VLOOKUP(Table1[[#This Row],[Part Number]],'Multi-level BOM'!V$4:V$449,1,FALSE)),0,Table1[[#This Row],[Remaining Extended cost]])</f>
        <v>0</v>
      </c>
    </row>
    <row r="293" spans="1:29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80" t="str">
        <f>IF(Table1[[#This Row],[Buy-now costs]]&gt;0,"X","")</f>
        <v/>
      </c>
      <c r="M293" s="80"/>
      <c r="N293" s="80"/>
      <c r="O293" s="40">
        <v>0</v>
      </c>
      <c r="P293" s="94">
        <f>Table1[[#This Row],[quantity on-hand]]*(Table1[[#This Row],[Cost ]]+Table1[[#This Row],[shipping]]+Table1[[#This Row],[Tax]])</f>
        <v>0</v>
      </c>
      <c r="Q293" s="40">
        <v>0</v>
      </c>
      <c r="R293" s="92">
        <f>Table1[[#This Row],[Quantity on order]]*(Table1[[#This Row],[Cost ]]+Table1[[#This Row],[shipping]]+Table1[[#This Row],[Tax]])</f>
        <v>0</v>
      </c>
      <c r="S2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3" s="49">
        <f>Table1[[#This Row],[Quantity  to  purchase]]+Table1[[#This Row],[Quantity purchased]]+Table1[[#This Row],[Quantity on order]]+Table1[[#This Row],[Quantity donated]]-Table1[[#This Row],[extended quantity]]</f>
        <v>0</v>
      </c>
      <c r="U2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3" s="51">
        <f>IFERROR(Table1[[#This Row],[Quantity  to  purchase]]*(Table1[[#This Row],[Cost ]]+Table1[[#This Row],[shipping]]+Table1[[#This Row],[Tax]]),0)</f>
        <v>0</v>
      </c>
      <c r="W293" s="36">
        <f>IFERROR(Table1[[#This Row],[leftover material]]*(Table1[[#This Row],[Cost ]]+Table1[[#This Row],[shipping]]+Table1[[#This Row],[Tax]]),0)</f>
        <v>0</v>
      </c>
      <c r="X293" s="36"/>
      <c r="Y293" s="84"/>
      <c r="Z293" s="84"/>
      <c r="AA293" s="84"/>
      <c r="AB293" s="36"/>
      <c r="AC293" s="36">
        <f>IF(ISNA(VLOOKUP(Table1[[#This Row],[Part Number]],'Multi-level BOM'!V$4:V$449,1,FALSE)),0,Table1[[#This Row],[Remaining Extended cost]])</f>
        <v>0</v>
      </c>
    </row>
    <row r="294" spans="1:29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80" t="str">
        <f>IF(Table1[[#This Row],[Buy-now costs]]&gt;0,"X","")</f>
        <v/>
      </c>
      <c r="M294" s="80"/>
      <c r="N294" s="80"/>
      <c r="O294" s="40">
        <v>0</v>
      </c>
      <c r="P294" s="94">
        <f>Table1[[#This Row],[quantity on-hand]]*(Table1[[#This Row],[Cost ]]+Table1[[#This Row],[shipping]]+Table1[[#This Row],[Tax]])</f>
        <v>0</v>
      </c>
      <c r="Q294" s="40">
        <v>0</v>
      </c>
      <c r="R294" s="92">
        <f>Table1[[#This Row],[Quantity on order]]*(Table1[[#This Row],[Cost ]]+Table1[[#This Row],[shipping]]+Table1[[#This Row],[Tax]])</f>
        <v>0</v>
      </c>
      <c r="S2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4" s="49">
        <f>Table1[[#This Row],[Quantity  to  purchase]]+Table1[[#This Row],[Quantity purchased]]+Table1[[#This Row],[Quantity on order]]+Table1[[#This Row],[Quantity donated]]-Table1[[#This Row],[extended quantity]]</f>
        <v>0</v>
      </c>
      <c r="U2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4" s="51">
        <f>IFERROR(Table1[[#This Row],[Quantity  to  purchase]]*(Table1[[#This Row],[Cost ]]+Table1[[#This Row],[shipping]]+Table1[[#This Row],[Tax]]),0)</f>
        <v>0</v>
      </c>
      <c r="W294" s="36">
        <f>IFERROR(Table1[[#This Row],[leftover material]]*(Table1[[#This Row],[Cost ]]+Table1[[#This Row],[shipping]]+Table1[[#This Row],[Tax]]),0)</f>
        <v>0</v>
      </c>
      <c r="X294" s="36"/>
      <c r="Y294" s="84"/>
      <c r="Z294" s="84"/>
      <c r="AA294" s="84"/>
      <c r="AB294" s="36"/>
      <c r="AC294" s="36">
        <f>IF(ISNA(VLOOKUP(Table1[[#This Row],[Part Number]],'Multi-level BOM'!V$4:V$449,1,FALSE)),0,Table1[[#This Row],[Remaining Extended cost]])</f>
        <v>0</v>
      </c>
    </row>
    <row r="295" spans="1:29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80" t="str">
        <f>IF(Table1[[#This Row],[Buy-now costs]]&gt;0,"X","")</f>
        <v/>
      </c>
      <c r="M295" s="80"/>
      <c r="N295" s="80"/>
      <c r="O295" s="40">
        <v>0</v>
      </c>
      <c r="P295" s="94">
        <f>Table1[[#This Row],[quantity on-hand]]*(Table1[[#This Row],[Cost ]]+Table1[[#This Row],[shipping]]+Table1[[#This Row],[Tax]])</f>
        <v>0</v>
      </c>
      <c r="Q295" s="40">
        <v>0</v>
      </c>
      <c r="R295" s="92">
        <f>Table1[[#This Row],[Quantity on order]]*(Table1[[#This Row],[Cost ]]+Table1[[#This Row],[shipping]]+Table1[[#This Row],[Tax]])</f>
        <v>0</v>
      </c>
      <c r="S2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5" s="49">
        <f>Table1[[#This Row],[Quantity  to  purchase]]+Table1[[#This Row],[Quantity purchased]]+Table1[[#This Row],[Quantity on order]]+Table1[[#This Row],[Quantity donated]]-Table1[[#This Row],[extended quantity]]</f>
        <v>0</v>
      </c>
      <c r="U2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5" s="51">
        <f>IFERROR(Table1[[#This Row],[Quantity  to  purchase]]*(Table1[[#This Row],[Cost ]]+Table1[[#This Row],[shipping]]+Table1[[#This Row],[Tax]]),0)</f>
        <v>0</v>
      </c>
      <c r="W295" s="36">
        <f>IFERROR(Table1[[#This Row],[leftover material]]*(Table1[[#This Row],[Cost ]]+Table1[[#This Row],[shipping]]+Table1[[#This Row],[Tax]]),0)</f>
        <v>0</v>
      </c>
      <c r="X295" s="36"/>
      <c r="Y295" s="84"/>
      <c r="Z295" s="84"/>
      <c r="AA295" s="84"/>
      <c r="AB295" s="36"/>
      <c r="AC295" s="36">
        <f>IF(ISNA(VLOOKUP(Table1[[#This Row],[Part Number]],'Multi-level BOM'!V$4:V$449,1,FALSE)),0,Table1[[#This Row],[Remaining Extended cost]])</f>
        <v>0</v>
      </c>
    </row>
    <row r="296" spans="1:29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80" t="str">
        <f>IF(Table1[[#This Row],[Buy-now costs]]&gt;0,"X","")</f>
        <v/>
      </c>
      <c r="M296" s="80"/>
      <c r="N296" s="80"/>
      <c r="O296" s="40">
        <v>0</v>
      </c>
      <c r="P296" s="94">
        <f>Table1[[#This Row],[quantity on-hand]]*(Table1[[#This Row],[Cost ]]+Table1[[#This Row],[shipping]]+Table1[[#This Row],[Tax]])</f>
        <v>0</v>
      </c>
      <c r="Q296" s="40">
        <v>0</v>
      </c>
      <c r="R296" s="92">
        <f>Table1[[#This Row],[Quantity on order]]*(Table1[[#This Row],[Cost ]]+Table1[[#This Row],[shipping]]+Table1[[#This Row],[Tax]])</f>
        <v>0</v>
      </c>
      <c r="S2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6" s="49">
        <f>Table1[[#This Row],[Quantity  to  purchase]]+Table1[[#This Row],[Quantity purchased]]+Table1[[#This Row],[Quantity on order]]+Table1[[#This Row],[Quantity donated]]-Table1[[#This Row],[extended quantity]]</f>
        <v>0</v>
      </c>
      <c r="U2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6" s="51">
        <f>IFERROR(Table1[[#This Row],[Quantity  to  purchase]]*(Table1[[#This Row],[Cost ]]+Table1[[#This Row],[shipping]]+Table1[[#This Row],[Tax]]),0)</f>
        <v>0</v>
      </c>
      <c r="W296" s="36">
        <f>IFERROR(Table1[[#This Row],[leftover material]]*(Table1[[#This Row],[Cost ]]+Table1[[#This Row],[shipping]]+Table1[[#This Row],[Tax]]),0)</f>
        <v>0</v>
      </c>
      <c r="X296" s="36"/>
      <c r="Y296" s="84"/>
      <c r="Z296" s="84"/>
      <c r="AA296" s="84"/>
      <c r="AB296" s="36"/>
      <c r="AC296" s="36">
        <f>IF(ISNA(VLOOKUP(Table1[[#This Row],[Part Number]],'Multi-level BOM'!V$4:V$449,1,FALSE)),0,Table1[[#This Row],[Remaining Extended cost]])</f>
        <v>0</v>
      </c>
    </row>
    <row r="297" spans="1:29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80" t="str">
        <f>IF(Table1[[#This Row],[Buy-now costs]]&gt;0,"X","")</f>
        <v/>
      </c>
      <c r="M297" s="80"/>
      <c r="N297" s="80"/>
      <c r="O297" s="40">
        <v>0</v>
      </c>
      <c r="P297" s="94">
        <f>Table1[[#This Row],[quantity on-hand]]*(Table1[[#This Row],[Cost ]]+Table1[[#This Row],[shipping]]+Table1[[#This Row],[Tax]])</f>
        <v>0</v>
      </c>
      <c r="Q297" s="40">
        <v>0</v>
      </c>
      <c r="R297" s="92">
        <f>Table1[[#This Row],[Quantity on order]]*(Table1[[#This Row],[Cost ]]+Table1[[#This Row],[shipping]]+Table1[[#This Row],[Tax]])</f>
        <v>0</v>
      </c>
      <c r="S2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7" s="49">
        <f>Table1[[#This Row],[Quantity  to  purchase]]+Table1[[#This Row],[Quantity purchased]]+Table1[[#This Row],[Quantity on order]]+Table1[[#This Row],[Quantity donated]]-Table1[[#This Row],[extended quantity]]</f>
        <v>0</v>
      </c>
      <c r="U2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7" s="51">
        <f>IFERROR(Table1[[#This Row],[Quantity  to  purchase]]*(Table1[[#This Row],[Cost ]]+Table1[[#This Row],[shipping]]+Table1[[#This Row],[Tax]]),0)</f>
        <v>0</v>
      </c>
      <c r="W297" s="36">
        <f>IFERROR(Table1[[#This Row],[leftover material]]*(Table1[[#This Row],[Cost ]]+Table1[[#This Row],[shipping]]+Table1[[#This Row],[Tax]]),0)</f>
        <v>0</v>
      </c>
      <c r="X297" s="36"/>
      <c r="Y297" s="84"/>
      <c r="Z297" s="84"/>
      <c r="AA297" s="84"/>
      <c r="AB297" s="36"/>
      <c r="AC297" s="36">
        <f>IF(ISNA(VLOOKUP(Table1[[#This Row],[Part Number]],'Multi-level BOM'!V$4:V$449,1,FALSE)),0,Table1[[#This Row],[Remaining Extended cost]])</f>
        <v>0</v>
      </c>
    </row>
    <row r="298" spans="1:29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80" t="str">
        <f>IF(Table1[[#This Row],[Buy-now costs]]&gt;0,"X","")</f>
        <v/>
      </c>
      <c r="M298" s="80"/>
      <c r="N298" s="80"/>
      <c r="O298" s="40">
        <v>0</v>
      </c>
      <c r="P298" s="94">
        <f>Table1[[#This Row],[quantity on-hand]]*(Table1[[#This Row],[Cost ]]+Table1[[#This Row],[shipping]]+Table1[[#This Row],[Tax]])</f>
        <v>0</v>
      </c>
      <c r="Q298" s="40">
        <v>0</v>
      </c>
      <c r="R298" s="92">
        <f>Table1[[#This Row],[Quantity on order]]*(Table1[[#This Row],[Cost ]]+Table1[[#This Row],[shipping]]+Table1[[#This Row],[Tax]])</f>
        <v>0</v>
      </c>
      <c r="S2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8" s="49">
        <f>Table1[[#This Row],[Quantity  to  purchase]]+Table1[[#This Row],[Quantity purchased]]+Table1[[#This Row],[Quantity on order]]+Table1[[#This Row],[Quantity donated]]-Table1[[#This Row],[extended quantity]]</f>
        <v>0</v>
      </c>
      <c r="U2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8" s="51">
        <f>IFERROR(Table1[[#This Row],[Quantity  to  purchase]]*(Table1[[#This Row],[Cost ]]+Table1[[#This Row],[shipping]]+Table1[[#This Row],[Tax]]),0)</f>
        <v>0</v>
      </c>
      <c r="W298" s="36">
        <f>IFERROR(Table1[[#This Row],[leftover material]]*(Table1[[#This Row],[Cost ]]+Table1[[#This Row],[shipping]]+Table1[[#This Row],[Tax]]),0)</f>
        <v>0</v>
      </c>
      <c r="X298" s="36"/>
      <c r="Y298" s="84"/>
      <c r="Z298" s="84"/>
      <c r="AA298" s="84"/>
      <c r="AB298" s="36"/>
      <c r="AC298" s="36">
        <f>IF(ISNA(VLOOKUP(Table1[[#This Row],[Part Number]],'Multi-level BOM'!V$4:V$449,1,FALSE)),0,Table1[[#This Row],[Remaining Extended cost]])</f>
        <v>0</v>
      </c>
    </row>
    <row r="299" spans="1:29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80" t="str">
        <f>IF(Table1[[#This Row],[Buy-now costs]]&gt;0,"X","")</f>
        <v/>
      </c>
      <c r="M299" s="80"/>
      <c r="N299" s="80"/>
      <c r="O299" s="40">
        <v>0</v>
      </c>
      <c r="P299" s="94">
        <f>Table1[[#This Row],[quantity on-hand]]*(Table1[[#This Row],[Cost ]]+Table1[[#This Row],[shipping]]+Table1[[#This Row],[Tax]])</f>
        <v>0</v>
      </c>
      <c r="Q299" s="40">
        <v>0</v>
      </c>
      <c r="R299" s="92">
        <f>Table1[[#This Row],[Quantity on order]]*(Table1[[#This Row],[Cost ]]+Table1[[#This Row],[shipping]]+Table1[[#This Row],[Tax]])</f>
        <v>0</v>
      </c>
      <c r="S2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9" s="49">
        <f>Table1[[#This Row],[Quantity  to  purchase]]+Table1[[#This Row],[Quantity purchased]]+Table1[[#This Row],[Quantity on order]]+Table1[[#This Row],[Quantity donated]]-Table1[[#This Row],[extended quantity]]</f>
        <v>0</v>
      </c>
      <c r="U2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9" s="51">
        <f>IFERROR(Table1[[#This Row],[Quantity  to  purchase]]*(Table1[[#This Row],[Cost ]]+Table1[[#This Row],[shipping]]+Table1[[#This Row],[Tax]]),0)</f>
        <v>0</v>
      </c>
      <c r="W299" s="36">
        <f>IFERROR(Table1[[#This Row],[leftover material]]*(Table1[[#This Row],[Cost ]]+Table1[[#This Row],[shipping]]+Table1[[#This Row],[Tax]]),0)</f>
        <v>0</v>
      </c>
      <c r="X299" s="36"/>
      <c r="Y299" s="84"/>
      <c r="Z299" s="84"/>
      <c r="AA299" s="84"/>
      <c r="AB299" s="36"/>
      <c r="AC299" s="36">
        <f>IF(ISNA(VLOOKUP(Table1[[#This Row],[Part Number]],'Multi-level BOM'!V$4:V$449,1,FALSE)),0,Table1[[#This Row],[Remaining Extended cost]])</f>
        <v>0</v>
      </c>
    </row>
    <row r="300" spans="1:29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80" t="str">
        <f>IF(Table1[[#This Row],[Buy-now costs]]&gt;0,"X","")</f>
        <v/>
      </c>
      <c r="M300" s="80"/>
      <c r="N300" s="80"/>
      <c r="O300" s="40">
        <v>0</v>
      </c>
      <c r="P300" s="94">
        <f>Table1[[#This Row],[quantity on-hand]]*(Table1[[#This Row],[Cost ]]+Table1[[#This Row],[shipping]]+Table1[[#This Row],[Tax]])</f>
        <v>0</v>
      </c>
      <c r="Q300" s="40">
        <v>0</v>
      </c>
      <c r="R300" s="92">
        <f>Table1[[#This Row],[Quantity on order]]*(Table1[[#This Row],[Cost ]]+Table1[[#This Row],[shipping]]+Table1[[#This Row],[Tax]])</f>
        <v>0</v>
      </c>
      <c r="S3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0" s="49">
        <f>Table1[[#This Row],[Quantity  to  purchase]]+Table1[[#This Row],[Quantity purchased]]+Table1[[#This Row],[Quantity on order]]+Table1[[#This Row],[Quantity donated]]-Table1[[#This Row],[extended quantity]]</f>
        <v>0</v>
      </c>
      <c r="U3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0" s="51">
        <f>IFERROR(Table1[[#This Row],[Quantity  to  purchase]]*(Table1[[#This Row],[Cost ]]+Table1[[#This Row],[shipping]]+Table1[[#This Row],[Tax]]),0)</f>
        <v>0</v>
      </c>
      <c r="W300" s="36">
        <f>IFERROR(Table1[[#This Row],[leftover material]]*(Table1[[#This Row],[Cost ]]+Table1[[#This Row],[shipping]]+Table1[[#This Row],[Tax]]),0)</f>
        <v>0</v>
      </c>
      <c r="X300" s="36"/>
      <c r="Y300" s="84"/>
      <c r="Z300" s="84"/>
      <c r="AA300" s="84"/>
      <c r="AB300" s="36"/>
      <c r="AC300" s="36">
        <f>IF(ISNA(VLOOKUP(Table1[[#This Row],[Part Number]],'Multi-level BOM'!V$4:V$449,1,FALSE)),0,Table1[[#This Row],[Remaining Extended cost]])</f>
        <v>0</v>
      </c>
    </row>
    <row r="301" spans="1:29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80" t="str">
        <f>IF(Table1[[#This Row],[Buy-now costs]]&gt;0,"X","")</f>
        <v/>
      </c>
      <c r="M301" s="80"/>
      <c r="N301" s="80"/>
      <c r="O301" s="40">
        <v>0</v>
      </c>
      <c r="P301" s="94">
        <f>Table1[[#This Row],[quantity on-hand]]*(Table1[[#This Row],[Cost ]]+Table1[[#This Row],[shipping]]+Table1[[#This Row],[Tax]])</f>
        <v>0</v>
      </c>
      <c r="Q301" s="40">
        <v>0</v>
      </c>
      <c r="R301" s="92">
        <f>Table1[[#This Row],[Quantity on order]]*(Table1[[#This Row],[Cost ]]+Table1[[#This Row],[shipping]]+Table1[[#This Row],[Tax]])</f>
        <v>0</v>
      </c>
      <c r="S3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1" s="49">
        <f>Table1[[#This Row],[Quantity  to  purchase]]+Table1[[#This Row],[Quantity purchased]]+Table1[[#This Row],[Quantity on order]]+Table1[[#This Row],[Quantity donated]]-Table1[[#This Row],[extended quantity]]</f>
        <v>0</v>
      </c>
      <c r="U3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1" s="51">
        <f>IFERROR(Table1[[#This Row],[Quantity  to  purchase]]*(Table1[[#This Row],[Cost ]]+Table1[[#This Row],[shipping]]+Table1[[#This Row],[Tax]]),0)</f>
        <v>0</v>
      </c>
      <c r="W301" s="36">
        <f>IFERROR(Table1[[#This Row],[leftover material]]*(Table1[[#This Row],[Cost ]]+Table1[[#This Row],[shipping]]+Table1[[#This Row],[Tax]]),0)</f>
        <v>0</v>
      </c>
      <c r="X301" s="36"/>
      <c r="Y301" s="84"/>
      <c r="Z301" s="84"/>
      <c r="AA301" s="84"/>
      <c r="AB301" s="36"/>
      <c r="AC301" s="36">
        <f>IF(ISNA(VLOOKUP(Table1[[#This Row],[Part Number]],'Multi-level BOM'!V$4:V$449,1,FALSE)),0,Table1[[#This Row],[Remaining Extended cost]])</f>
        <v>0</v>
      </c>
    </row>
    <row r="302" spans="1:29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80" t="str">
        <f>IF(Table1[[#This Row],[Buy-now costs]]&gt;0,"X","")</f>
        <v/>
      </c>
      <c r="M302" s="80"/>
      <c r="N302" s="80"/>
      <c r="O302" s="40">
        <v>0</v>
      </c>
      <c r="P302" s="94">
        <f>Table1[[#This Row],[quantity on-hand]]*(Table1[[#This Row],[Cost ]]+Table1[[#This Row],[shipping]]+Table1[[#This Row],[Tax]])</f>
        <v>0</v>
      </c>
      <c r="Q302" s="40">
        <v>0</v>
      </c>
      <c r="R302" s="92">
        <f>Table1[[#This Row],[Quantity on order]]*(Table1[[#This Row],[Cost ]]+Table1[[#This Row],[shipping]]+Table1[[#This Row],[Tax]])</f>
        <v>0</v>
      </c>
      <c r="S3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2" s="49">
        <f>Table1[[#This Row],[Quantity  to  purchase]]+Table1[[#This Row],[Quantity purchased]]+Table1[[#This Row],[Quantity on order]]+Table1[[#This Row],[Quantity donated]]-Table1[[#This Row],[extended quantity]]</f>
        <v>0</v>
      </c>
      <c r="U3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2" s="51">
        <f>IFERROR(Table1[[#This Row],[Quantity  to  purchase]]*(Table1[[#This Row],[Cost ]]+Table1[[#This Row],[shipping]]+Table1[[#This Row],[Tax]]),0)</f>
        <v>0</v>
      </c>
      <c r="W302" s="36">
        <f>IFERROR(Table1[[#This Row],[leftover material]]*(Table1[[#This Row],[Cost ]]+Table1[[#This Row],[shipping]]+Table1[[#This Row],[Tax]]),0)</f>
        <v>0</v>
      </c>
      <c r="X302" s="36"/>
      <c r="Y302" s="84"/>
      <c r="Z302" s="84"/>
      <c r="AA302" s="84"/>
      <c r="AB302" s="36"/>
      <c r="AC302" s="36">
        <f>IF(ISNA(VLOOKUP(Table1[[#This Row],[Part Number]],'Multi-level BOM'!V$4:V$449,1,FALSE)),0,Table1[[#This Row],[Remaining Extended cost]])</f>
        <v>0</v>
      </c>
    </row>
    <row r="303" spans="1:29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80" t="str">
        <f>IF(Table1[[#This Row],[Buy-now costs]]&gt;0,"X","")</f>
        <v/>
      </c>
      <c r="M303" s="80"/>
      <c r="N303" s="80"/>
      <c r="O303" s="40">
        <v>0</v>
      </c>
      <c r="P303" s="94">
        <f>Table1[[#This Row],[quantity on-hand]]*(Table1[[#This Row],[Cost ]]+Table1[[#This Row],[shipping]]+Table1[[#This Row],[Tax]])</f>
        <v>0</v>
      </c>
      <c r="Q303" s="40">
        <v>0</v>
      </c>
      <c r="R303" s="92">
        <f>Table1[[#This Row],[Quantity on order]]*(Table1[[#This Row],[Cost ]]+Table1[[#This Row],[shipping]]+Table1[[#This Row],[Tax]])</f>
        <v>0</v>
      </c>
      <c r="S3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3" s="49">
        <f>Table1[[#This Row],[Quantity  to  purchase]]+Table1[[#This Row],[Quantity purchased]]+Table1[[#This Row],[Quantity on order]]+Table1[[#This Row],[Quantity donated]]-Table1[[#This Row],[extended quantity]]</f>
        <v>0</v>
      </c>
      <c r="U3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3" s="51">
        <f>IFERROR(Table1[[#This Row],[Quantity  to  purchase]]*(Table1[[#This Row],[Cost ]]+Table1[[#This Row],[shipping]]+Table1[[#This Row],[Tax]]),0)</f>
        <v>0</v>
      </c>
      <c r="W303" s="36">
        <f>IFERROR(Table1[[#This Row],[leftover material]]*(Table1[[#This Row],[Cost ]]+Table1[[#This Row],[shipping]]+Table1[[#This Row],[Tax]]),0)</f>
        <v>0</v>
      </c>
      <c r="X303" s="36"/>
      <c r="Y303" s="84"/>
      <c r="Z303" s="84"/>
      <c r="AA303" s="84"/>
      <c r="AB303" s="36"/>
      <c r="AC303" s="36">
        <f>IF(ISNA(VLOOKUP(Table1[[#This Row],[Part Number]],'Multi-level BOM'!V$4:V$449,1,FALSE)),0,Table1[[#This Row],[Remaining Extended cost]])</f>
        <v>0</v>
      </c>
    </row>
    <row r="304" spans="1:29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80" t="str">
        <f>IF(Table1[[#This Row],[Buy-now costs]]&gt;0,"X","")</f>
        <v/>
      </c>
      <c r="M304" s="80"/>
      <c r="N304" s="80"/>
      <c r="O304" s="40">
        <v>0</v>
      </c>
      <c r="P304" s="94">
        <f>Table1[[#This Row],[quantity on-hand]]*(Table1[[#This Row],[Cost ]]+Table1[[#This Row],[shipping]]+Table1[[#This Row],[Tax]])</f>
        <v>0</v>
      </c>
      <c r="Q304" s="40">
        <v>0</v>
      </c>
      <c r="R304" s="92">
        <f>Table1[[#This Row],[Quantity on order]]*(Table1[[#This Row],[Cost ]]+Table1[[#This Row],[shipping]]+Table1[[#This Row],[Tax]])</f>
        <v>0</v>
      </c>
      <c r="S3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4" s="49">
        <f>Table1[[#This Row],[Quantity  to  purchase]]+Table1[[#This Row],[Quantity purchased]]+Table1[[#This Row],[Quantity on order]]+Table1[[#This Row],[Quantity donated]]-Table1[[#This Row],[extended quantity]]</f>
        <v>0</v>
      </c>
      <c r="U3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4" s="51">
        <f>IFERROR(Table1[[#This Row],[Quantity  to  purchase]]*(Table1[[#This Row],[Cost ]]+Table1[[#This Row],[shipping]]+Table1[[#This Row],[Tax]]),0)</f>
        <v>0</v>
      </c>
      <c r="W304" s="36">
        <f>IFERROR(Table1[[#This Row],[leftover material]]*(Table1[[#This Row],[Cost ]]+Table1[[#This Row],[shipping]]+Table1[[#This Row],[Tax]]),0)</f>
        <v>0</v>
      </c>
      <c r="X304" s="36"/>
      <c r="Y304" s="84"/>
      <c r="Z304" s="84"/>
      <c r="AA304" s="84"/>
      <c r="AB304" s="36"/>
      <c r="AC304" s="36">
        <f>IF(ISNA(VLOOKUP(Table1[[#This Row],[Part Number]],'Multi-level BOM'!V$4:V$449,1,FALSE)),0,Table1[[#This Row],[Remaining Extended cost]])</f>
        <v>0</v>
      </c>
    </row>
    <row r="305" spans="1:29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80" t="str">
        <f>IF(Table1[[#This Row],[Buy-now costs]]&gt;0,"X","")</f>
        <v/>
      </c>
      <c r="M305" s="80"/>
      <c r="N305" s="80"/>
      <c r="O305" s="40">
        <v>0</v>
      </c>
      <c r="P305" s="94">
        <f>Table1[[#This Row],[quantity on-hand]]*(Table1[[#This Row],[Cost ]]+Table1[[#This Row],[shipping]]+Table1[[#This Row],[Tax]])</f>
        <v>0</v>
      </c>
      <c r="Q305" s="40">
        <v>0</v>
      </c>
      <c r="R305" s="92">
        <f>Table1[[#This Row],[Quantity on order]]*(Table1[[#This Row],[Cost ]]+Table1[[#This Row],[shipping]]+Table1[[#This Row],[Tax]])</f>
        <v>0</v>
      </c>
      <c r="S3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5" s="49">
        <f>Table1[[#This Row],[Quantity  to  purchase]]+Table1[[#This Row],[Quantity purchased]]+Table1[[#This Row],[Quantity on order]]+Table1[[#This Row],[Quantity donated]]-Table1[[#This Row],[extended quantity]]</f>
        <v>0</v>
      </c>
      <c r="U3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5" s="51">
        <f>IFERROR(Table1[[#This Row],[Quantity  to  purchase]]*(Table1[[#This Row],[Cost ]]+Table1[[#This Row],[shipping]]+Table1[[#This Row],[Tax]]),0)</f>
        <v>0</v>
      </c>
      <c r="W305" s="36">
        <f>IFERROR(Table1[[#This Row],[leftover material]]*(Table1[[#This Row],[Cost ]]+Table1[[#This Row],[shipping]]+Table1[[#This Row],[Tax]]),0)</f>
        <v>0</v>
      </c>
      <c r="X305" s="36"/>
      <c r="Y305" s="84"/>
      <c r="Z305" s="84"/>
      <c r="AA305" s="84"/>
      <c r="AB305" s="36"/>
      <c r="AC305" s="36">
        <f>IF(ISNA(VLOOKUP(Table1[[#This Row],[Part Number]],'Multi-level BOM'!V$4:V$449,1,FALSE)),0,Table1[[#This Row],[Remaining Extended cost]])</f>
        <v>0</v>
      </c>
    </row>
    <row r="306" spans="1:29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80" t="str">
        <f>IF(Table1[[#This Row],[Buy-now costs]]&gt;0,"X","")</f>
        <v/>
      </c>
      <c r="M306" s="80"/>
      <c r="N306" s="80"/>
      <c r="O306" s="40">
        <v>0</v>
      </c>
      <c r="P306" s="94">
        <f>Table1[[#This Row],[quantity on-hand]]*(Table1[[#This Row],[Cost ]]+Table1[[#This Row],[shipping]]+Table1[[#This Row],[Tax]])</f>
        <v>0</v>
      </c>
      <c r="Q306" s="40">
        <v>0</v>
      </c>
      <c r="R306" s="92">
        <f>Table1[[#This Row],[Quantity on order]]*(Table1[[#This Row],[Cost ]]+Table1[[#This Row],[shipping]]+Table1[[#This Row],[Tax]])</f>
        <v>0</v>
      </c>
      <c r="S3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6" s="49">
        <f>Table1[[#This Row],[Quantity  to  purchase]]+Table1[[#This Row],[Quantity purchased]]+Table1[[#This Row],[Quantity on order]]+Table1[[#This Row],[Quantity donated]]-Table1[[#This Row],[extended quantity]]</f>
        <v>0</v>
      </c>
      <c r="U3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6" s="51">
        <f>IFERROR(Table1[[#This Row],[Quantity  to  purchase]]*(Table1[[#This Row],[Cost ]]+Table1[[#This Row],[shipping]]+Table1[[#This Row],[Tax]]),0)</f>
        <v>0</v>
      </c>
      <c r="W306" s="36">
        <f>IFERROR(Table1[[#This Row],[leftover material]]*(Table1[[#This Row],[Cost ]]+Table1[[#This Row],[shipping]]+Table1[[#This Row],[Tax]]),0)</f>
        <v>0</v>
      </c>
      <c r="X306" s="36"/>
      <c r="Y306" s="84"/>
      <c r="Z306" s="84"/>
      <c r="AA306" s="84"/>
      <c r="AB306" s="36"/>
      <c r="AC306" s="36">
        <f>IF(ISNA(VLOOKUP(Table1[[#This Row],[Part Number]],'Multi-level BOM'!V$4:V$449,1,FALSE)),0,Table1[[#This Row],[Remaining Extended cost]])</f>
        <v>0</v>
      </c>
    </row>
    <row r="307" spans="1:29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80" t="str">
        <f>IF(Table1[[#This Row],[Buy-now costs]]&gt;0,"X","")</f>
        <v/>
      </c>
      <c r="M307" s="80"/>
      <c r="N307" s="80"/>
      <c r="O307" s="40">
        <v>0</v>
      </c>
      <c r="P307" s="94">
        <f>Table1[[#This Row],[quantity on-hand]]*(Table1[[#This Row],[Cost ]]+Table1[[#This Row],[shipping]]+Table1[[#This Row],[Tax]])</f>
        <v>0</v>
      </c>
      <c r="Q307" s="40">
        <v>0</v>
      </c>
      <c r="R307" s="92">
        <f>Table1[[#This Row],[Quantity on order]]*(Table1[[#This Row],[Cost ]]+Table1[[#This Row],[shipping]]+Table1[[#This Row],[Tax]])</f>
        <v>0</v>
      </c>
      <c r="S3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7" s="49">
        <f>Table1[[#This Row],[Quantity  to  purchase]]+Table1[[#This Row],[Quantity purchased]]+Table1[[#This Row],[Quantity on order]]+Table1[[#This Row],[Quantity donated]]-Table1[[#This Row],[extended quantity]]</f>
        <v>0</v>
      </c>
      <c r="U3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7" s="51">
        <f>IFERROR(Table1[[#This Row],[Quantity  to  purchase]]*(Table1[[#This Row],[Cost ]]+Table1[[#This Row],[shipping]]+Table1[[#This Row],[Tax]]),0)</f>
        <v>0</v>
      </c>
      <c r="W307" s="36">
        <f>IFERROR(Table1[[#This Row],[leftover material]]*(Table1[[#This Row],[Cost ]]+Table1[[#This Row],[shipping]]+Table1[[#This Row],[Tax]]),0)</f>
        <v>0</v>
      </c>
      <c r="X307" s="36"/>
      <c r="Y307" s="84"/>
      <c r="Z307" s="84"/>
      <c r="AA307" s="84"/>
      <c r="AB307" s="36"/>
      <c r="AC307" s="36">
        <f>IF(ISNA(VLOOKUP(Table1[[#This Row],[Part Number]],'Multi-level BOM'!V$4:V$449,1,FALSE)),0,Table1[[#This Row],[Remaining Extended cost]])</f>
        <v>0</v>
      </c>
    </row>
    <row r="308" spans="1:29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80" t="str">
        <f>IF(Table1[[#This Row],[Buy-now costs]]&gt;0,"X","")</f>
        <v/>
      </c>
      <c r="M308" s="80"/>
      <c r="N308" s="80"/>
      <c r="O308" s="40">
        <v>0</v>
      </c>
      <c r="P308" s="94">
        <f>Table1[[#This Row],[quantity on-hand]]*(Table1[[#This Row],[Cost ]]+Table1[[#This Row],[shipping]]+Table1[[#This Row],[Tax]])</f>
        <v>0</v>
      </c>
      <c r="Q308" s="40">
        <v>0</v>
      </c>
      <c r="R308" s="92">
        <f>Table1[[#This Row],[Quantity on order]]*(Table1[[#This Row],[Cost ]]+Table1[[#This Row],[shipping]]+Table1[[#This Row],[Tax]])</f>
        <v>0</v>
      </c>
      <c r="S3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8" s="49">
        <f>Table1[[#This Row],[Quantity  to  purchase]]+Table1[[#This Row],[Quantity purchased]]+Table1[[#This Row],[Quantity on order]]+Table1[[#This Row],[Quantity donated]]-Table1[[#This Row],[extended quantity]]</f>
        <v>0</v>
      </c>
      <c r="U3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8" s="51">
        <f>IFERROR(Table1[[#This Row],[Quantity  to  purchase]]*(Table1[[#This Row],[Cost ]]+Table1[[#This Row],[shipping]]+Table1[[#This Row],[Tax]]),0)</f>
        <v>0</v>
      </c>
      <c r="W308" s="36">
        <f>IFERROR(Table1[[#This Row],[leftover material]]*(Table1[[#This Row],[Cost ]]+Table1[[#This Row],[shipping]]+Table1[[#This Row],[Tax]]),0)</f>
        <v>0</v>
      </c>
      <c r="X308" s="36"/>
      <c r="Y308" s="84"/>
      <c r="Z308" s="84"/>
      <c r="AA308" s="84"/>
      <c r="AB308" s="36"/>
      <c r="AC308" s="36">
        <f>IF(ISNA(VLOOKUP(Table1[[#This Row],[Part Number]],'Multi-level BOM'!V$4:V$449,1,FALSE)),0,Table1[[#This Row],[Remaining Extended cost]])</f>
        <v>0</v>
      </c>
    </row>
    <row r="309" spans="1:29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80" t="str">
        <f>IF(Table1[[#This Row],[Buy-now costs]]&gt;0,"X","")</f>
        <v/>
      </c>
      <c r="M309" s="80"/>
      <c r="N309" s="80"/>
      <c r="O309" s="40">
        <v>0</v>
      </c>
      <c r="P309" s="94">
        <f>Table1[[#This Row],[quantity on-hand]]*(Table1[[#This Row],[Cost ]]+Table1[[#This Row],[shipping]]+Table1[[#This Row],[Tax]])</f>
        <v>0</v>
      </c>
      <c r="Q309" s="40">
        <v>0</v>
      </c>
      <c r="R309" s="92">
        <f>Table1[[#This Row],[Quantity on order]]*(Table1[[#This Row],[Cost ]]+Table1[[#This Row],[shipping]]+Table1[[#This Row],[Tax]])</f>
        <v>0</v>
      </c>
      <c r="S3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9" s="49">
        <f>Table1[[#This Row],[Quantity  to  purchase]]+Table1[[#This Row],[Quantity purchased]]+Table1[[#This Row],[Quantity on order]]+Table1[[#This Row],[Quantity donated]]-Table1[[#This Row],[extended quantity]]</f>
        <v>0</v>
      </c>
      <c r="U3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9" s="51">
        <f>IFERROR(Table1[[#This Row],[Quantity  to  purchase]]*(Table1[[#This Row],[Cost ]]+Table1[[#This Row],[shipping]]+Table1[[#This Row],[Tax]]),0)</f>
        <v>0</v>
      </c>
      <c r="W309" s="36">
        <f>IFERROR(Table1[[#This Row],[leftover material]]*(Table1[[#This Row],[Cost ]]+Table1[[#This Row],[shipping]]+Table1[[#This Row],[Tax]]),0)</f>
        <v>0</v>
      </c>
      <c r="X309" s="36"/>
      <c r="Y309" s="84"/>
      <c r="Z309" s="84"/>
      <c r="AA309" s="84"/>
      <c r="AB309" s="36"/>
      <c r="AC309" s="36">
        <f>IF(ISNA(VLOOKUP(Table1[[#This Row],[Part Number]],'Multi-level BOM'!V$4:V$449,1,FALSE)),0,Table1[[#This Row],[Remaining Extended cost]])</f>
        <v>0</v>
      </c>
    </row>
    <row r="310" spans="1:29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80" t="str">
        <f>IF(Table1[[#This Row],[Buy-now costs]]&gt;0,"X","")</f>
        <v/>
      </c>
      <c r="M310" s="80"/>
      <c r="N310" s="80"/>
      <c r="O310" s="40">
        <v>0</v>
      </c>
      <c r="P310" s="94">
        <f>Table1[[#This Row],[quantity on-hand]]*(Table1[[#This Row],[Cost ]]+Table1[[#This Row],[shipping]]+Table1[[#This Row],[Tax]])</f>
        <v>0</v>
      </c>
      <c r="Q310" s="40">
        <v>0</v>
      </c>
      <c r="R310" s="92">
        <f>Table1[[#This Row],[Quantity on order]]*(Table1[[#This Row],[Cost ]]+Table1[[#This Row],[shipping]]+Table1[[#This Row],[Tax]])</f>
        <v>0</v>
      </c>
      <c r="S3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0" s="49">
        <f>Table1[[#This Row],[Quantity  to  purchase]]+Table1[[#This Row],[Quantity purchased]]+Table1[[#This Row],[Quantity on order]]+Table1[[#This Row],[Quantity donated]]-Table1[[#This Row],[extended quantity]]</f>
        <v>0</v>
      </c>
      <c r="U3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0" s="51">
        <f>IFERROR(Table1[[#This Row],[Quantity  to  purchase]]*(Table1[[#This Row],[Cost ]]+Table1[[#This Row],[shipping]]+Table1[[#This Row],[Tax]]),0)</f>
        <v>0</v>
      </c>
      <c r="W310" s="36">
        <f>IFERROR(Table1[[#This Row],[leftover material]]*(Table1[[#This Row],[Cost ]]+Table1[[#This Row],[shipping]]+Table1[[#This Row],[Tax]]),0)</f>
        <v>0</v>
      </c>
      <c r="X310" s="36"/>
      <c r="Y310" s="84"/>
      <c r="Z310" s="84"/>
      <c r="AA310" s="84"/>
      <c r="AB310" s="36"/>
      <c r="AC310" s="36">
        <f>IF(ISNA(VLOOKUP(Table1[[#This Row],[Part Number]],'Multi-level BOM'!V$4:V$449,1,FALSE)),0,Table1[[#This Row],[Remaining Extended cost]])</f>
        <v>0</v>
      </c>
    </row>
    <row r="311" spans="1:29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80" t="str">
        <f>IF(Table1[[#This Row],[Buy-now costs]]&gt;0,"X","")</f>
        <v/>
      </c>
      <c r="M311" s="80"/>
      <c r="N311" s="80"/>
      <c r="O311" s="40">
        <v>0</v>
      </c>
      <c r="P311" s="94">
        <f>Table1[[#This Row],[quantity on-hand]]*(Table1[[#This Row],[Cost ]]+Table1[[#This Row],[shipping]]+Table1[[#This Row],[Tax]])</f>
        <v>0</v>
      </c>
      <c r="Q311" s="40">
        <v>0</v>
      </c>
      <c r="R311" s="92">
        <f>Table1[[#This Row],[Quantity on order]]*(Table1[[#This Row],[Cost ]]+Table1[[#This Row],[shipping]]+Table1[[#This Row],[Tax]])</f>
        <v>0</v>
      </c>
      <c r="S3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1" s="49">
        <f>Table1[[#This Row],[Quantity  to  purchase]]+Table1[[#This Row],[Quantity purchased]]+Table1[[#This Row],[Quantity on order]]+Table1[[#This Row],[Quantity donated]]-Table1[[#This Row],[extended quantity]]</f>
        <v>0</v>
      </c>
      <c r="U3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1" s="51">
        <f>IFERROR(Table1[[#This Row],[Quantity  to  purchase]]*(Table1[[#This Row],[Cost ]]+Table1[[#This Row],[shipping]]+Table1[[#This Row],[Tax]]),0)</f>
        <v>0</v>
      </c>
      <c r="W311" s="36">
        <f>IFERROR(Table1[[#This Row],[leftover material]]*(Table1[[#This Row],[Cost ]]+Table1[[#This Row],[shipping]]+Table1[[#This Row],[Tax]]),0)</f>
        <v>0</v>
      </c>
      <c r="X311" s="36"/>
      <c r="Y311" s="84"/>
      <c r="Z311" s="84"/>
      <c r="AA311" s="84"/>
      <c r="AB311" s="36"/>
      <c r="AC311" s="36">
        <f>IF(ISNA(VLOOKUP(Table1[[#This Row],[Part Number]],'Multi-level BOM'!V$4:V$449,1,FALSE)),0,Table1[[#This Row],[Remaining Extended cost]])</f>
        <v>0</v>
      </c>
    </row>
    <row r="312" spans="1:29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80" t="str">
        <f>IF(Table1[[#This Row],[Buy-now costs]]&gt;0,"X","")</f>
        <v/>
      </c>
      <c r="M312" s="80"/>
      <c r="N312" s="80"/>
      <c r="O312" s="40">
        <v>0</v>
      </c>
      <c r="P312" s="94">
        <f>Table1[[#This Row],[quantity on-hand]]*(Table1[[#This Row],[Cost ]]+Table1[[#This Row],[shipping]]+Table1[[#This Row],[Tax]])</f>
        <v>0</v>
      </c>
      <c r="Q312" s="40">
        <v>0</v>
      </c>
      <c r="R312" s="92">
        <f>Table1[[#This Row],[Quantity on order]]*(Table1[[#This Row],[Cost ]]+Table1[[#This Row],[shipping]]+Table1[[#This Row],[Tax]])</f>
        <v>0</v>
      </c>
      <c r="S3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2" s="49">
        <f>Table1[[#This Row],[Quantity  to  purchase]]+Table1[[#This Row],[Quantity purchased]]+Table1[[#This Row],[Quantity on order]]+Table1[[#This Row],[Quantity donated]]-Table1[[#This Row],[extended quantity]]</f>
        <v>0</v>
      </c>
      <c r="U3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2" s="51">
        <f>IFERROR(Table1[[#This Row],[Quantity  to  purchase]]*(Table1[[#This Row],[Cost ]]+Table1[[#This Row],[shipping]]+Table1[[#This Row],[Tax]]),0)</f>
        <v>0</v>
      </c>
      <c r="W312" s="36">
        <f>IFERROR(Table1[[#This Row],[leftover material]]*(Table1[[#This Row],[Cost ]]+Table1[[#This Row],[shipping]]+Table1[[#This Row],[Tax]]),0)</f>
        <v>0</v>
      </c>
      <c r="X312" s="36"/>
      <c r="Y312" s="84"/>
      <c r="Z312" s="84"/>
      <c r="AA312" s="84"/>
      <c r="AB312" s="36"/>
      <c r="AC312" s="36">
        <f>IF(ISNA(VLOOKUP(Table1[[#This Row],[Part Number]],'Multi-level BOM'!V$4:V$449,1,FALSE)),0,Table1[[#This Row],[Remaining Extended cost]])</f>
        <v>0</v>
      </c>
    </row>
    <row r="313" spans="1:29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80" t="str">
        <f>IF(Table1[[#This Row],[Buy-now costs]]&gt;0,"X","")</f>
        <v/>
      </c>
      <c r="M313" s="80"/>
      <c r="N313" s="80"/>
      <c r="O313" s="40">
        <v>0</v>
      </c>
      <c r="P313" s="94">
        <f>Table1[[#This Row],[quantity on-hand]]*(Table1[[#This Row],[Cost ]]+Table1[[#This Row],[shipping]]+Table1[[#This Row],[Tax]])</f>
        <v>0</v>
      </c>
      <c r="Q313" s="40">
        <v>0</v>
      </c>
      <c r="R313" s="92">
        <f>Table1[[#This Row],[Quantity on order]]*(Table1[[#This Row],[Cost ]]+Table1[[#This Row],[shipping]]+Table1[[#This Row],[Tax]])</f>
        <v>0</v>
      </c>
      <c r="S3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3" s="49">
        <f>Table1[[#This Row],[Quantity  to  purchase]]+Table1[[#This Row],[Quantity purchased]]+Table1[[#This Row],[Quantity on order]]+Table1[[#This Row],[Quantity donated]]-Table1[[#This Row],[extended quantity]]</f>
        <v>0</v>
      </c>
      <c r="U3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3" s="51">
        <f>IFERROR(Table1[[#This Row],[Quantity  to  purchase]]*(Table1[[#This Row],[Cost ]]+Table1[[#This Row],[shipping]]+Table1[[#This Row],[Tax]]),0)</f>
        <v>0</v>
      </c>
      <c r="W313" s="36">
        <f>IFERROR(Table1[[#This Row],[leftover material]]*(Table1[[#This Row],[Cost ]]+Table1[[#This Row],[shipping]]+Table1[[#This Row],[Tax]]),0)</f>
        <v>0</v>
      </c>
      <c r="X313" s="36"/>
      <c r="Y313" s="84"/>
      <c r="Z313" s="84"/>
      <c r="AA313" s="84"/>
      <c r="AB313" s="36"/>
      <c r="AC313" s="36">
        <f>IF(ISNA(VLOOKUP(Table1[[#This Row],[Part Number]],'Multi-level BOM'!V$4:V$449,1,FALSE)),0,Table1[[#This Row],[Remaining Extended cost]])</f>
        <v>0</v>
      </c>
    </row>
    <row r="314" spans="1:29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80" t="str">
        <f>IF(Table1[[#This Row],[Buy-now costs]]&gt;0,"X","")</f>
        <v/>
      </c>
      <c r="M314" s="80"/>
      <c r="N314" s="80"/>
      <c r="O314" s="40">
        <v>0</v>
      </c>
      <c r="P314" s="94">
        <f>Table1[[#This Row],[quantity on-hand]]*(Table1[[#This Row],[Cost ]]+Table1[[#This Row],[shipping]]+Table1[[#This Row],[Tax]])</f>
        <v>0</v>
      </c>
      <c r="Q314" s="40">
        <v>0</v>
      </c>
      <c r="R314" s="92">
        <f>Table1[[#This Row],[Quantity on order]]*(Table1[[#This Row],[Cost ]]+Table1[[#This Row],[shipping]]+Table1[[#This Row],[Tax]])</f>
        <v>0</v>
      </c>
      <c r="S3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4" s="49">
        <f>Table1[[#This Row],[Quantity  to  purchase]]+Table1[[#This Row],[Quantity purchased]]+Table1[[#This Row],[Quantity on order]]+Table1[[#This Row],[Quantity donated]]-Table1[[#This Row],[extended quantity]]</f>
        <v>0</v>
      </c>
      <c r="U3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4" s="51">
        <f>IFERROR(Table1[[#This Row],[Quantity  to  purchase]]*(Table1[[#This Row],[Cost ]]+Table1[[#This Row],[shipping]]+Table1[[#This Row],[Tax]]),0)</f>
        <v>0</v>
      </c>
      <c r="W314" s="36">
        <f>IFERROR(Table1[[#This Row],[leftover material]]*(Table1[[#This Row],[Cost ]]+Table1[[#This Row],[shipping]]+Table1[[#This Row],[Tax]]),0)</f>
        <v>0</v>
      </c>
      <c r="X314" s="36"/>
      <c r="Y314" s="84"/>
      <c r="Z314" s="84"/>
      <c r="AA314" s="84"/>
      <c r="AB314" s="36"/>
      <c r="AC314" s="36">
        <f>IF(ISNA(VLOOKUP(Table1[[#This Row],[Part Number]],'Multi-level BOM'!V$4:V$449,1,FALSE)),0,Table1[[#This Row],[Remaining Extended cost]])</f>
        <v>0</v>
      </c>
    </row>
    <row r="315" spans="1:29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80" t="str">
        <f>IF(Table1[[#This Row],[Buy-now costs]]&gt;0,"X","")</f>
        <v/>
      </c>
      <c r="M315" s="80"/>
      <c r="N315" s="80"/>
      <c r="O315" s="40">
        <v>0</v>
      </c>
      <c r="P315" s="94">
        <f>Table1[[#This Row],[quantity on-hand]]*(Table1[[#This Row],[Cost ]]+Table1[[#This Row],[shipping]]+Table1[[#This Row],[Tax]])</f>
        <v>0</v>
      </c>
      <c r="Q315" s="40">
        <v>0</v>
      </c>
      <c r="R315" s="92">
        <f>Table1[[#This Row],[Quantity on order]]*(Table1[[#This Row],[Cost ]]+Table1[[#This Row],[shipping]]+Table1[[#This Row],[Tax]])</f>
        <v>0</v>
      </c>
      <c r="S3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5" s="49">
        <f>Table1[[#This Row],[Quantity  to  purchase]]+Table1[[#This Row],[Quantity purchased]]+Table1[[#This Row],[Quantity on order]]+Table1[[#This Row],[Quantity donated]]-Table1[[#This Row],[extended quantity]]</f>
        <v>0</v>
      </c>
      <c r="U3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5" s="51">
        <f>IFERROR(Table1[[#This Row],[Quantity  to  purchase]]*(Table1[[#This Row],[Cost ]]+Table1[[#This Row],[shipping]]+Table1[[#This Row],[Tax]]),0)</f>
        <v>0</v>
      </c>
      <c r="W315" s="36">
        <f>IFERROR(Table1[[#This Row],[leftover material]]*(Table1[[#This Row],[Cost ]]+Table1[[#This Row],[shipping]]+Table1[[#This Row],[Tax]]),0)</f>
        <v>0</v>
      </c>
      <c r="X315" s="36"/>
      <c r="Y315" s="84"/>
      <c r="Z315" s="84"/>
      <c r="AA315" s="84"/>
      <c r="AB315" s="36"/>
      <c r="AC315" s="36">
        <f>IF(ISNA(VLOOKUP(Table1[[#This Row],[Part Number]],'Multi-level BOM'!V$4:V$449,1,FALSE)),0,Table1[[#This Row],[Remaining Extended cost]])</f>
        <v>0</v>
      </c>
    </row>
    <row r="316" spans="1:29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80" t="str">
        <f>IF(Table1[[#This Row],[Buy-now costs]]&gt;0,"X","")</f>
        <v/>
      </c>
      <c r="M316" s="80"/>
      <c r="N316" s="80"/>
      <c r="O316" s="40">
        <v>0</v>
      </c>
      <c r="P316" s="94">
        <f>Table1[[#This Row],[quantity on-hand]]*(Table1[[#This Row],[Cost ]]+Table1[[#This Row],[shipping]]+Table1[[#This Row],[Tax]])</f>
        <v>0</v>
      </c>
      <c r="Q316" s="40">
        <v>0</v>
      </c>
      <c r="R316" s="92">
        <f>Table1[[#This Row],[Quantity on order]]*(Table1[[#This Row],[Cost ]]+Table1[[#This Row],[shipping]]+Table1[[#This Row],[Tax]])</f>
        <v>0</v>
      </c>
      <c r="S3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6" s="49">
        <f>Table1[[#This Row],[Quantity  to  purchase]]+Table1[[#This Row],[Quantity purchased]]+Table1[[#This Row],[Quantity on order]]+Table1[[#This Row],[Quantity donated]]-Table1[[#This Row],[extended quantity]]</f>
        <v>0</v>
      </c>
      <c r="U3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6" s="51">
        <f>IFERROR(Table1[[#This Row],[Quantity  to  purchase]]*(Table1[[#This Row],[Cost ]]+Table1[[#This Row],[shipping]]+Table1[[#This Row],[Tax]]),0)</f>
        <v>0</v>
      </c>
      <c r="W316" s="36">
        <f>IFERROR(Table1[[#This Row],[leftover material]]*(Table1[[#This Row],[Cost ]]+Table1[[#This Row],[shipping]]+Table1[[#This Row],[Tax]]),0)</f>
        <v>0</v>
      </c>
      <c r="X316" s="36"/>
      <c r="Y316" s="84"/>
      <c r="Z316" s="84"/>
      <c r="AA316" s="84"/>
      <c r="AB316" s="36"/>
      <c r="AC316" s="36">
        <f>IF(ISNA(VLOOKUP(Table1[[#This Row],[Part Number]],'Multi-level BOM'!V$4:V$449,1,FALSE)),0,Table1[[#This Row],[Remaining Extended cost]])</f>
        <v>0</v>
      </c>
    </row>
    <row r="317" spans="1:29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80" t="str">
        <f>IF(Table1[[#This Row],[Buy-now costs]]&gt;0,"X","")</f>
        <v/>
      </c>
      <c r="M317" s="80"/>
      <c r="N317" s="80"/>
      <c r="O317" s="40">
        <v>0</v>
      </c>
      <c r="P317" s="94">
        <f>Table1[[#This Row],[quantity on-hand]]*(Table1[[#This Row],[Cost ]]+Table1[[#This Row],[shipping]]+Table1[[#This Row],[Tax]])</f>
        <v>0</v>
      </c>
      <c r="Q317" s="40">
        <v>0</v>
      </c>
      <c r="R317" s="92">
        <f>Table1[[#This Row],[Quantity on order]]*(Table1[[#This Row],[Cost ]]+Table1[[#This Row],[shipping]]+Table1[[#This Row],[Tax]])</f>
        <v>0</v>
      </c>
      <c r="S3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7" s="49">
        <f>Table1[[#This Row],[Quantity  to  purchase]]+Table1[[#This Row],[Quantity purchased]]+Table1[[#This Row],[Quantity on order]]+Table1[[#This Row],[Quantity donated]]-Table1[[#This Row],[extended quantity]]</f>
        <v>0</v>
      </c>
      <c r="U3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7" s="51">
        <f>IFERROR(Table1[[#This Row],[Quantity  to  purchase]]*(Table1[[#This Row],[Cost ]]+Table1[[#This Row],[shipping]]+Table1[[#This Row],[Tax]]),0)</f>
        <v>0</v>
      </c>
      <c r="W317" s="36">
        <f>IFERROR(Table1[[#This Row],[leftover material]]*(Table1[[#This Row],[Cost ]]+Table1[[#This Row],[shipping]]+Table1[[#This Row],[Tax]]),0)</f>
        <v>0</v>
      </c>
      <c r="X317" s="36"/>
      <c r="Y317" s="84"/>
      <c r="Z317" s="84"/>
      <c r="AA317" s="84"/>
      <c r="AB317" s="36"/>
      <c r="AC317" s="36">
        <f>IF(ISNA(VLOOKUP(Table1[[#This Row],[Part Number]],'Multi-level BOM'!V$4:V$449,1,FALSE)),0,Table1[[#This Row],[Remaining Extended cost]])</f>
        <v>0</v>
      </c>
    </row>
    <row r="318" spans="1:29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80" t="str">
        <f>IF(Table1[[#This Row],[Buy-now costs]]&gt;0,"X","")</f>
        <v/>
      </c>
      <c r="M318" s="80"/>
      <c r="N318" s="80"/>
      <c r="O318" s="40">
        <v>0</v>
      </c>
      <c r="P318" s="94">
        <f>Table1[[#This Row],[quantity on-hand]]*(Table1[[#This Row],[Cost ]]+Table1[[#This Row],[shipping]]+Table1[[#This Row],[Tax]])</f>
        <v>0</v>
      </c>
      <c r="Q318" s="40">
        <v>0</v>
      </c>
      <c r="R318" s="92">
        <f>Table1[[#This Row],[Quantity on order]]*(Table1[[#This Row],[Cost ]]+Table1[[#This Row],[shipping]]+Table1[[#This Row],[Tax]])</f>
        <v>0</v>
      </c>
      <c r="S3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8" s="49">
        <f>Table1[[#This Row],[Quantity  to  purchase]]+Table1[[#This Row],[Quantity purchased]]+Table1[[#This Row],[Quantity on order]]+Table1[[#This Row],[Quantity donated]]-Table1[[#This Row],[extended quantity]]</f>
        <v>0</v>
      </c>
      <c r="U3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8" s="51">
        <f>IFERROR(Table1[[#This Row],[Quantity  to  purchase]]*(Table1[[#This Row],[Cost ]]+Table1[[#This Row],[shipping]]+Table1[[#This Row],[Tax]]),0)</f>
        <v>0</v>
      </c>
      <c r="W318" s="36">
        <f>IFERROR(Table1[[#This Row],[leftover material]]*(Table1[[#This Row],[Cost ]]+Table1[[#This Row],[shipping]]+Table1[[#This Row],[Tax]]),0)</f>
        <v>0</v>
      </c>
      <c r="X318" s="36"/>
      <c r="Y318" s="84"/>
      <c r="Z318" s="84"/>
      <c r="AA318" s="84"/>
      <c r="AB318" s="36"/>
      <c r="AC318" s="36">
        <f>IF(ISNA(VLOOKUP(Table1[[#This Row],[Part Number]],'Multi-level BOM'!V$4:V$449,1,FALSE)),0,Table1[[#This Row],[Remaining Extended cost]])</f>
        <v>0</v>
      </c>
    </row>
    <row r="319" spans="1:29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80" t="str">
        <f>IF(Table1[[#This Row],[Buy-now costs]]&gt;0,"X","")</f>
        <v/>
      </c>
      <c r="M319" s="80"/>
      <c r="N319" s="80"/>
      <c r="O319" s="40">
        <v>0</v>
      </c>
      <c r="P319" s="94">
        <f>Table1[[#This Row],[quantity on-hand]]*(Table1[[#This Row],[Cost ]]+Table1[[#This Row],[shipping]]+Table1[[#This Row],[Tax]])</f>
        <v>0</v>
      </c>
      <c r="Q319" s="40">
        <v>0</v>
      </c>
      <c r="R319" s="92">
        <f>Table1[[#This Row],[Quantity on order]]*(Table1[[#This Row],[Cost ]]+Table1[[#This Row],[shipping]]+Table1[[#This Row],[Tax]])</f>
        <v>0</v>
      </c>
      <c r="S3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9" s="49">
        <f>Table1[[#This Row],[Quantity  to  purchase]]+Table1[[#This Row],[Quantity purchased]]+Table1[[#This Row],[Quantity on order]]+Table1[[#This Row],[Quantity donated]]-Table1[[#This Row],[extended quantity]]</f>
        <v>0</v>
      </c>
      <c r="U3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9" s="51">
        <f>IFERROR(Table1[[#This Row],[Quantity  to  purchase]]*(Table1[[#This Row],[Cost ]]+Table1[[#This Row],[shipping]]+Table1[[#This Row],[Tax]]),0)</f>
        <v>0</v>
      </c>
      <c r="W319" s="36">
        <f>IFERROR(Table1[[#This Row],[leftover material]]*(Table1[[#This Row],[Cost ]]+Table1[[#This Row],[shipping]]+Table1[[#This Row],[Tax]]),0)</f>
        <v>0</v>
      </c>
      <c r="X319" s="36"/>
      <c r="Y319" s="84"/>
      <c r="Z319" s="84"/>
      <c r="AA319" s="84"/>
      <c r="AB319" s="36"/>
      <c r="AC319" s="36">
        <f>IF(ISNA(VLOOKUP(Table1[[#This Row],[Part Number]],'Multi-level BOM'!V$4:V$449,1,FALSE)),0,Table1[[#This Row],[Remaining Extended cost]])</f>
        <v>0</v>
      </c>
    </row>
    <row r="320" spans="1:29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80" t="str">
        <f>IF(Table1[[#This Row],[Buy-now costs]]&gt;0,"X","")</f>
        <v/>
      </c>
      <c r="M320" s="80"/>
      <c r="N320" s="80"/>
      <c r="O320" s="40">
        <v>0</v>
      </c>
      <c r="P320" s="94">
        <f>Table1[[#This Row],[quantity on-hand]]*(Table1[[#This Row],[Cost ]]+Table1[[#This Row],[shipping]]+Table1[[#This Row],[Tax]])</f>
        <v>0</v>
      </c>
      <c r="Q320" s="40">
        <v>0</v>
      </c>
      <c r="R320" s="92">
        <f>Table1[[#This Row],[Quantity on order]]*(Table1[[#This Row],[Cost ]]+Table1[[#This Row],[shipping]]+Table1[[#This Row],[Tax]])</f>
        <v>0</v>
      </c>
      <c r="S3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0" s="49">
        <f>Table1[[#This Row],[Quantity  to  purchase]]+Table1[[#This Row],[Quantity purchased]]+Table1[[#This Row],[Quantity on order]]+Table1[[#This Row],[Quantity donated]]-Table1[[#This Row],[extended quantity]]</f>
        <v>0</v>
      </c>
      <c r="U3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0" s="51">
        <f>IFERROR(Table1[[#This Row],[Quantity  to  purchase]]*(Table1[[#This Row],[Cost ]]+Table1[[#This Row],[shipping]]+Table1[[#This Row],[Tax]]),0)</f>
        <v>0</v>
      </c>
      <c r="W320" s="36">
        <f>IFERROR(Table1[[#This Row],[leftover material]]*(Table1[[#This Row],[Cost ]]+Table1[[#This Row],[shipping]]+Table1[[#This Row],[Tax]]),0)</f>
        <v>0</v>
      </c>
      <c r="X320" s="36"/>
      <c r="Y320" s="84"/>
      <c r="Z320" s="84"/>
      <c r="AA320" s="84"/>
      <c r="AB320" s="36"/>
      <c r="AC320" s="36">
        <f>IF(ISNA(VLOOKUP(Table1[[#This Row],[Part Number]],'Multi-level BOM'!V$4:V$449,1,FALSE)),0,Table1[[#This Row],[Remaining Extended cost]])</f>
        <v>0</v>
      </c>
    </row>
    <row r="321" spans="1:29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80" t="str">
        <f>IF(Table1[[#This Row],[Buy-now costs]]&gt;0,"X","")</f>
        <v/>
      </c>
      <c r="M321" s="80"/>
      <c r="N321" s="80"/>
      <c r="O321" s="40">
        <v>0</v>
      </c>
      <c r="P321" s="94">
        <f>Table1[[#This Row],[quantity on-hand]]*(Table1[[#This Row],[Cost ]]+Table1[[#This Row],[shipping]]+Table1[[#This Row],[Tax]])</f>
        <v>0</v>
      </c>
      <c r="Q321" s="40">
        <v>0</v>
      </c>
      <c r="R321" s="92">
        <f>Table1[[#This Row],[Quantity on order]]*(Table1[[#This Row],[Cost ]]+Table1[[#This Row],[shipping]]+Table1[[#This Row],[Tax]])</f>
        <v>0</v>
      </c>
      <c r="S3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1" s="49">
        <f>Table1[[#This Row],[Quantity  to  purchase]]+Table1[[#This Row],[Quantity purchased]]+Table1[[#This Row],[Quantity on order]]+Table1[[#This Row],[Quantity donated]]-Table1[[#This Row],[extended quantity]]</f>
        <v>0</v>
      </c>
      <c r="U3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1" s="51">
        <f>IFERROR(Table1[[#This Row],[Quantity  to  purchase]]*(Table1[[#This Row],[Cost ]]+Table1[[#This Row],[shipping]]+Table1[[#This Row],[Tax]]),0)</f>
        <v>0</v>
      </c>
      <c r="W321" s="36">
        <f>IFERROR(Table1[[#This Row],[leftover material]]*(Table1[[#This Row],[Cost ]]+Table1[[#This Row],[shipping]]+Table1[[#This Row],[Tax]]),0)</f>
        <v>0</v>
      </c>
      <c r="X321" s="36"/>
      <c r="Y321" s="84"/>
      <c r="Z321" s="84"/>
      <c r="AA321" s="84"/>
      <c r="AB321" s="36"/>
      <c r="AC321" s="36">
        <f>IF(ISNA(VLOOKUP(Table1[[#This Row],[Part Number]],'Multi-level BOM'!V$4:V$449,1,FALSE)),0,Table1[[#This Row],[Remaining Extended cost]])</f>
        <v>0</v>
      </c>
    </row>
    <row r="322" spans="1:29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80" t="str">
        <f>IF(Table1[[#This Row],[Buy-now costs]]&gt;0,"X","")</f>
        <v/>
      </c>
      <c r="M322" s="80"/>
      <c r="N322" s="80"/>
      <c r="O322" s="40">
        <v>0</v>
      </c>
      <c r="P322" s="94">
        <f>Table1[[#This Row],[quantity on-hand]]*(Table1[[#This Row],[Cost ]]+Table1[[#This Row],[shipping]]+Table1[[#This Row],[Tax]])</f>
        <v>0</v>
      </c>
      <c r="Q322" s="40">
        <v>0</v>
      </c>
      <c r="R322" s="92">
        <f>Table1[[#This Row],[Quantity on order]]*(Table1[[#This Row],[Cost ]]+Table1[[#This Row],[shipping]]+Table1[[#This Row],[Tax]])</f>
        <v>0</v>
      </c>
      <c r="S3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2" s="49">
        <f>Table1[[#This Row],[Quantity  to  purchase]]+Table1[[#This Row],[Quantity purchased]]+Table1[[#This Row],[Quantity on order]]+Table1[[#This Row],[Quantity donated]]-Table1[[#This Row],[extended quantity]]</f>
        <v>0</v>
      </c>
      <c r="U3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2" s="51">
        <f>IFERROR(Table1[[#This Row],[Quantity  to  purchase]]*(Table1[[#This Row],[Cost ]]+Table1[[#This Row],[shipping]]+Table1[[#This Row],[Tax]]),0)</f>
        <v>0</v>
      </c>
      <c r="W322" s="36">
        <f>IFERROR(Table1[[#This Row],[leftover material]]*(Table1[[#This Row],[Cost ]]+Table1[[#This Row],[shipping]]+Table1[[#This Row],[Tax]]),0)</f>
        <v>0</v>
      </c>
      <c r="X322" s="36"/>
      <c r="Y322" s="84"/>
      <c r="Z322" s="84"/>
      <c r="AA322" s="84"/>
      <c r="AB322" s="36"/>
      <c r="AC322" s="36">
        <f>IF(ISNA(VLOOKUP(Table1[[#This Row],[Part Number]],'Multi-level BOM'!V$4:V$449,1,FALSE)),0,Table1[[#This Row],[Remaining Extended cost]])</f>
        <v>0</v>
      </c>
    </row>
    <row r="323" spans="1:29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80" t="str">
        <f>IF(Table1[[#This Row],[Buy-now costs]]&gt;0,"X","")</f>
        <v/>
      </c>
      <c r="M323" s="80"/>
      <c r="N323" s="80"/>
      <c r="O323" s="40">
        <v>0</v>
      </c>
      <c r="P323" s="94">
        <f>Table1[[#This Row],[quantity on-hand]]*(Table1[[#This Row],[Cost ]]+Table1[[#This Row],[shipping]]+Table1[[#This Row],[Tax]])</f>
        <v>0</v>
      </c>
      <c r="Q323" s="40">
        <v>0</v>
      </c>
      <c r="R323" s="92">
        <f>Table1[[#This Row],[Quantity on order]]*(Table1[[#This Row],[Cost ]]+Table1[[#This Row],[shipping]]+Table1[[#This Row],[Tax]])</f>
        <v>0</v>
      </c>
      <c r="S3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3" s="49">
        <f>Table1[[#This Row],[Quantity  to  purchase]]+Table1[[#This Row],[Quantity purchased]]+Table1[[#This Row],[Quantity on order]]+Table1[[#This Row],[Quantity donated]]-Table1[[#This Row],[extended quantity]]</f>
        <v>0</v>
      </c>
      <c r="U3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3" s="51">
        <f>IFERROR(Table1[[#This Row],[Quantity  to  purchase]]*(Table1[[#This Row],[Cost ]]+Table1[[#This Row],[shipping]]+Table1[[#This Row],[Tax]]),0)</f>
        <v>0</v>
      </c>
      <c r="W323" s="36">
        <f>IFERROR(Table1[[#This Row],[leftover material]]*(Table1[[#This Row],[Cost ]]+Table1[[#This Row],[shipping]]+Table1[[#This Row],[Tax]]),0)</f>
        <v>0</v>
      </c>
      <c r="X323" s="36"/>
      <c r="Y323" s="84"/>
      <c r="Z323" s="84"/>
      <c r="AA323" s="84"/>
      <c r="AB323" s="36"/>
      <c r="AC323" s="36">
        <f>IF(ISNA(VLOOKUP(Table1[[#This Row],[Part Number]],'Multi-level BOM'!V$4:V$449,1,FALSE)),0,Table1[[#This Row],[Remaining Extended cost]])</f>
        <v>0</v>
      </c>
    </row>
    <row r="324" spans="1:29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80" t="str">
        <f>IF(Table1[[#This Row],[Buy-now costs]]&gt;0,"X","")</f>
        <v/>
      </c>
      <c r="M324" s="80"/>
      <c r="N324" s="80"/>
      <c r="O324" s="40">
        <v>0</v>
      </c>
      <c r="P324" s="94">
        <f>Table1[[#This Row],[quantity on-hand]]*(Table1[[#This Row],[Cost ]]+Table1[[#This Row],[shipping]]+Table1[[#This Row],[Tax]])</f>
        <v>0</v>
      </c>
      <c r="Q324" s="40">
        <v>0</v>
      </c>
      <c r="R324" s="92">
        <f>Table1[[#This Row],[Quantity on order]]*(Table1[[#This Row],[Cost ]]+Table1[[#This Row],[shipping]]+Table1[[#This Row],[Tax]])</f>
        <v>0</v>
      </c>
      <c r="S3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4" s="49">
        <f>Table1[[#This Row],[Quantity  to  purchase]]+Table1[[#This Row],[Quantity purchased]]+Table1[[#This Row],[Quantity on order]]+Table1[[#This Row],[Quantity donated]]-Table1[[#This Row],[extended quantity]]</f>
        <v>0</v>
      </c>
      <c r="U3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4" s="51">
        <f>IFERROR(Table1[[#This Row],[Quantity  to  purchase]]*(Table1[[#This Row],[Cost ]]+Table1[[#This Row],[shipping]]+Table1[[#This Row],[Tax]]),0)</f>
        <v>0</v>
      </c>
      <c r="W324" s="36">
        <f>IFERROR(Table1[[#This Row],[leftover material]]*(Table1[[#This Row],[Cost ]]+Table1[[#This Row],[shipping]]+Table1[[#This Row],[Tax]]),0)</f>
        <v>0</v>
      </c>
      <c r="X324" s="36"/>
      <c r="Y324" s="84"/>
      <c r="Z324" s="84"/>
      <c r="AA324" s="84"/>
      <c r="AB324" s="36"/>
      <c r="AC324" s="36">
        <f>IF(ISNA(VLOOKUP(Table1[[#This Row],[Part Number]],'Multi-level BOM'!V$4:V$449,1,FALSE)),0,Table1[[#This Row],[Remaining Extended cost]])</f>
        <v>0</v>
      </c>
    </row>
    <row r="325" spans="1:29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80" t="str">
        <f>IF(Table1[[#This Row],[Buy-now costs]]&gt;0,"X","")</f>
        <v/>
      </c>
      <c r="M325" s="80"/>
      <c r="N325" s="80"/>
      <c r="O325" s="40">
        <v>0</v>
      </c>
      <c r="P325" s="94">
        <f>Table1[[#This Row],[quantity on-hand]]*(Table1[[#This Row],[Cost ]]+Table1[[#This Row],[shipping]]+Table1[[#This Row],[Tax]])</f>
        <v>0</v>
      </c>
      <c r="Q325" s="40">
        <v>0</v>
      </c>
      <c r="R325" s="92">
        <f>Table1[[#This Row],[Quantity on order]]*(Table1[[#This Row],[Cost ]]+Table1[[#This Row],[shipping]]+Table1[[#This Row],[Tax]])</f>
        <v>0</v>
      </c>
      <c r="S3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5" s="49">
        <f>Table1[[#This Row],[Quantity  to  purchase]]+Table1[[#This Row],[Quantity purchased]]+Table1[[#This Row],[Quantity on order]]+Table1[[#This Row],[Quantity donated]]-Table1[[#This Row],[extended quantity]]</f>
        <v>0</v>
      </c>
      <c r="U3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5" s="51">
        <f>IFERROR(Table1[[#This Row],[Quantity  to  purchase]]*(Table1[[#This Row],[Cost ]]+Table1[[#This Row],[shipping]]+Table1[[#This Row],[Tax]]),0)</f>
        <v>0</v>
      </c>
      <c r="W325" s="36">
        <f>IFERROR(Table1[[#This Row],[leftover material]]*(Table1[[#This Row],[Cost ]]+Table1[[#This Row],[shipping]]+Table1[[#This Row],[Tax]]),0)</f>
        <v>0</v>
      </c>
      <c r="X325" s="36"/>
      <c r="Y325" s="84"/>
      <c r="Z325" s="84"/>
      <c r="AA325" s="84"/>
      <c r="AB325" s="36"/>
      <c r="AC325" s="36">
        <f>IF(ISNA(VLOOKUP(Table1[[#This Row],[Part Number]],'Multi-level BOM'!V$4:V$449,1,FALSE)),0,Table1[[#This Row],[Remaining Extended cost]])</f>
        <v>0</v>
      </c>
    </row>
    <row r="326" spans="1:29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80" t="str">
        <f>IF(Table1[[#This Row],[Buy-now costs]]&gt;0,"X","")</f>
        <v/>
      </c>
      <c r="M326" s="80"/>
      <c r="N326" s="80"/>
      <c r="O326" s="40">
        <v>0</v>
      </c>
      <c r="P326" s="94">
        <f>Table1[[#This Row],[quantity on-hand]]*(Table1[[#This Row],[Cost ]]+Table1[[#This Row],[shipping]]+Table1[[#This Row],[Tax]])</f>
        <v>0</v>
      </c>
      <c r="Q326" s="40">
        <v>0</v>
      </c>
      <c r="R326" s="92">
        <f>Table1[[#This Row],[Quantity on order]]*(Table1[[#This Row],[Cost ]]+Table1[[#This Row],[shipping]]+Table1[[#This Row],[Tax]])</f>
        <v>0</v>
      </c>
      <c r="S3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6" s="49">
        <f>Table1[[#This Row],[Quantity  to  purchase]]+Table1[[#This Row],[Quantity purchased]]+Table1[[#This Row],[Quantity on order]]+Table1[[#This Row],[Quantity donated]]-Table1[[#This Row],[extended quantity]]</f>
        <v>0</v>
      </c>
      <c r="U3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6" s="51">
        <f>IFERROR(Table1[[#This Row],[Quantity  to  purchase]]*(Table1[[#This Row],[Cost ]]+Table1[[#This Row],[shipping]]+Table1[[#This Row],[Tax]]),0)</f>
        <v>0</v>
      </c>
      <c r="W326" s="36">
        <f>IFERROR(Table1[[#This Row],[leftover material]]*(Table1[[#This Row],[Cost ]]+Table1[[#This Row],[shipping]]+Table1[[#This Row],[Tax]]),0)</f>
        <v>0</v>
      </c>
      <c r="X326" s="36"/>
      <c r="Y326" s="84"/>
      <c r="Z326" s="84"/>
      <c r="AA326" s="84"/>
      <c r="AB326" s="36"/>
      <c r="AC326" s="36">
        <f>IF(ISNA(VLOOKUP(Table1[[#This Row],[Part Number]],'Multi-level BOM'!V$4:V$449,1,FALSE)),0,Table1[[#This Row],[Remaining Extended cost]])</f>
        <v>0</v>
      </c>
    </row>
    <row r="327" spans="1:29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80" t="str">
        <f>IF(Table1[[#This Row],[Buy-now costs]]&gt;0,"X","")</f>
        <v/>
      </c>
      <c r="M327" s="80"/>
      <c r="N327" s="80"/>
      <c r="O327" s="40">
        <v>0</v>
      </c>
      <c r="P327" s="94">
        <f>Table1[[#This Row],[quantity on-hand]]*(Table1[[#This Row],[Cost ]]+Table1[[#This Row],[shipping]]+Table1[[#This Row],[Tax]])</f>
        <v>0</v>
      </c>
      <c r="Q327" s="40">
        <v>0</v>
      </c>
      <c r="R327" s="92">
        <f>Table1[[#This Row],[Quantity on order]]*(Table1[[#This Row],[Cost ]]+Table1[[#This Row],[shipping]]+Table1[[#This Row],[Tax]])</f>
        <v>0</v>
      </c>
      <c r="S3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7" s="49">
        <f>Table1[[#This Row],[Quantity  to  purchase]]+Table1[[#This Row],[Quantity purchased]]+Table1[[#This Row],[Quantity on order]]+Table1[[#This Row],[Quantity donated]]-Table1[[#This Row],[extended quantity]]</f>
        <v>0</v>
      </c>
      <c r="U3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7" s="51">
        <f>IFERROR(Table1[[#This Row],[Quantity  to  purchase]]*(Table1[[#This Row],[Cost ]]+Table1[[#This Row],[shipping]]+Table1[[#This Row],[Tax]]),0)</f>
        <v>0</v>
      </c>
      <c r="W327" s="36">
        <f>IFERROR(Table1[[#This Row],[leftover material]]*(Table1[[#This Row],[Cost ]]+Table1[[#This Row],[shipping]]+Table1[[#This Row],[Tax]]),0)</f>
        <v>0</v>
      </c>
      <c r="X327" s="36"/>
      <c r="Y327" s="84"/>
      <c r="Z327" s="84"/>
      <c r="AA327" s="84"/>
      <c r="AB327" s="36"/>
      <c r="AC327" s="36">
        <f>IF(ISNA(VLOOKUP(Table1[[#This Row],[Part Number]],'Multi-level BOM'!V$4:V$449,1,FALSE)),0,Table1[[#This Row],[Remaining Extended cost]])</f>
        <v>0</v>
      </c>
    </row>
    <row r="328" spans="1:29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80" t="str">
        <f>IF(Table1[[#This Row],[Buy-now costs]]&gt;0,"X","")</f>
        <v/>
      </c>
      <c r="M328" s="80"/>
      <c r="N328" s="80"/>
      <c r="O328" s="40">
        <v>0</v>
      </c>
      <c r="P328" s="94">
        <f>Table1[[#This Row],[quantity on-hand]]*(Table1[[#This Row],[Cost ]]+Table1[[#This Row],[shipping]]+Table1[[#This Row],[Tax]])</f>
        <v>0</v>
      </c>
      <c r="Q328" s="40">
        <v>0</v>
      </c>
      <c r="R328" s="92">
        <f>Table1[[#This Row],[Quantity on order]]*(Table1[[#This Row],[Cost ]]+Table1[[#This Row],[shipping]]+Table1[[#This Row],[Tax]])</f>
        <v>0</v>
      </c>
      <c r="S3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8" s="49">
        <f>Table1[[#This Row],[Quantity  to  purchase]]+Table1[[#This Row],[Quantity purchased]]+Table1[[#This Row],[Quantity on order]]+Table1[[#This Row],[Quantity donated]]-Table1[[#This Row],[extended quantity]]</f>
        <v>0</v>
      </c>
      <c r="U3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8" s="51">
        <f>IFERROR(Table1[[#This Row],[Quantity  to  purchase]]*(Table1[[#This Row],[Cost ]]+Table1[[#This Row],[shipping]]+Table1[[#This Row],[Tax]]),0)</f>
        <v>0</v>
      </c>
      <c r="W328" s="36">
        <f>IFERROR(Table1[[#This Row],[leftover material]]*(Table1[[#This Row],[Cost ]]+Table1[[#This Row],[shipping]]+Table1[[#This Row],[Tax]]),0)</f>
        <v>0</v>
      </c>
      <c r="X328" s="36"/>
      <c r="Y328" s="84"/>
      <c r="Z328" s="84"/>
      <c r="AA328" s="84"/>
      <c r="AB328" s="36"/>
      <c r="AC328" s="36">
        <f>IF(ISNA(VLOOKUP(Table1[[#This Row],[Part Number]],'Multi-level BOM'!V$4:V$449,1,FALSE)),0,Table1[[#This Row],[Remaining Extended cost]])</f>
        <v>0</v>
      </c>
    </row>
    <row r="329" spans="1:29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80" t="str">
        <f>IF(Table1[[#This Row],[Buy-now costs]]&gt;0,"X","")</f>
        <v/>
      </c>
      <c r="M329" s="80"/>
      <c r="N329" s="80"/>
      <c r="O329" s="40">
        <v>0</v>
      </c>
      <c r="P329" s="94">
        <f>Table1[[#This Row],[quantity on-hand]]*(Table1[[#This Row],[Cost ]]+Table1[[#This Row],[shipping]]+Table1[[#This Row],[Tax]])</f>
        <v>0</v>
      </c>
      <c r="Q329" s="40">
        <v>0</v>
      </c>
      <c r="R329" s="92">
        <f>Table1[[#This Row],[Quantity on order]]*(Table1[[#This Row],[Cost ]]+Table1[[#This Row],[shipping]]+Table1[[#This Row],[Tax]])</f>
        <v>0</v>
      </c>
      <c r="S3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9" s="49">
        <f>Table1[[#This Row],[Quantity  to  purchase]]+Table1[[#This Row],[Quantity purchased]]+Table1[[#This Row],[Quantity on order]]+Table1[[#This Row],[Quantity donated]]-Table1[[#This Row],[extended quantity]]</f>
        <v>0</v>
      </c>
      <c r="U3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9" s="51">
        <f>IFERROR(Table1[[#This Row],[Quantity  to  purchase]]*(Table1[[#This Row],[Cost ]]+Table1[[#This Row],[shipping]]+Table1[[#This Row],[Tax]]),0)</f>
        <v>0</v>
      </c>
      <c r="W329" s="36">
        <f>IFERROR(Table1[[#This Row],[leftover material]]*(Table1[[#This Row],[Cost ]]+Table1[[#This Row],[shipping]]+Table1[[#This Row],[Tax]]),0)</f>
        <v>0</v>
      </c>
      <c r="X329" s="36"/>
      <c r="Y329" s="84"/>
      <c r="Z329" s="84"/>
      <c r="AA329" s="84"/>
      <c r="AB329" s="36"/>
      <c r="AC329" s="36">
        <f>IF(ISNA(VLOOKUP(Table1[[#This Row],[Part Number]],'Multi-level BOM'!V$4:V$449,1,FALSE)),0,Table1[[#This Row],[Remaining Extended cost]])</f>
        <v>0</v>
      </c>
    </row>
    <row r="330" spans="1:29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80" t="str">
        <f>IF(Table1[[#This Row],[Buy-now costs]]&gt;0,"X","")</f>
        <v/>
      </c>
      <c r="M330" s="80"/>
      <c r="N330" s="80"/>
      <c r="O330" s="40">
        <v>0</v>
      </c>
      <c r="P330" s="94">
        <f>Table1[[#This Row],[quantity on-hand]]*(Table1[[#This Row],[Cost ]]+Table1[[#This Row],[shipping]]+Table1[[#This Row],[Tax]])</f>
        <v>0</v>
      </c>
      <c r="Q330" s="40">
        <v>0</v>
      </c>
      <c r="R330" s="92">
        <f>Table1[[#This Row],[Quantity on order]]*(Table1[[#This Row],[Cost ]]+Table1[[#This Row],[shipping]]+Table1[[#This Row],[Tax]])</f>
        <v>0</v>
      </c>
      <c r="S3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0" s="49">
        <f>Table1[[#This Row],[Quantity  to  purchase]]+Table1[[#This Row],[Quantity purchased]]+Table1[[#This Row],[Quantity on order]]+Table1[[#This Row],[Quantity donated]]-Table1[[#This Row],[extended quantity]]</f>
        <v>0</v>
      </c>
      <c r="U3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0" s="51">
        <f>IFERROR(Table1[[#This Row],[Quantity  to  purchase]]*(Table1[[#This Row],[Cost ]]+Table1[[#This Row],[shipping]]+Table1[[#This Row],[Tax]]),0)</f>
        <v>0</v>
      </c>
      <c r="W330" s="36">
        <f>IFERROR(Table1[[#This Row],[leftover material]]*(Table1[[#This Row],[Cost ]]+Table1[[#This Row],[shipping]]+Table1[[#This Row],[Tax]]),0)</f>
        <v>0</v>
      </c>
      <c r="X330" s="36"/>
      <c r="Y330" s="84"/>
      <c r="Z330" s="84"/>
      <c r="AA330" s="84"/>
      <c r="AB330" s="36"/>
      <c r="AC330" s="36">
        <f>IF(ISNA(VLOOKUP(Table1[[#This Row],[Part Number]],'Multi-level BOM'!V$4:V$449,1,FALSE)),0,Table1[[#This Row],[Remaining Extended cost]])</f>
        <v>0</v>
      </c>
    </row>
    <row r="331" spans="1:29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80" t="str">
        <f>IF(Table1[[#This Row],[Buy-now costs]]&gt;0,"X","")</f>
        <v/>
      </c>
      <c r="M331" s="80"/>
      <c r="N331" s="80"/>
      <c r="O331" s="40">
        <v>0</v>
      </c>
      <c r="P331" s="94">
        <f>Table1[[#This Row],[quantity on-hand]]*(Table1[[#This Row],[Cost ]]+Table1[[#This Row],[shipping]]+Table1[[#This Row],[Tax]])</f>
        <v>0</v>
      </c>
      <c r="Q331" s="40">
        <v>0</v>
      </c>
      <c r="R331" s="92">
        <f>Table1[[#This Row],[Quantity on order]]*(Table1[[#This Row],[Cost ]]+Table1[[#This Row],[shipping]]+Table1[[#This Row],[Tax]])</f>
        <v>0</v>
      </c>
      <c r="S3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1" s="49">
        <f>Table1[[#This Row],[Quantity  to  purchase]]+Table1[[#This Row],[Quantity purchased]]+Table1[[#This Row],[Quantity on order]]+Table1[[#This Row],[Quantity donated]]-Table1[[#This Row],[extended quantity]]</f>
        <v>0</v>
      </c>
      <c r="U3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1" s="51">
        <f>IFERROR(Table1[[#This Row],[Quantity  to  purchase]]*(Table1[[#This Row],[Cost ]]+Table1[[#This Row],[shipping]]+Table1[[#This Row],[Tax]]),0)</f>
        <v>0</v>
      </c>
      <c r="W331" s="36">
        <f>IFERROR(Table1[[#This Row],[leftover material]]*(Table1[[#This Row],[Cost ]]+Table1[[#This Row],[shipping]]+Table1[[#This Row],[Tax]]),0)</f>
        <v>0</v>
      </c>
      <c r="X331" s="36"/>
      <c r="Y331" s="84"/>
      <c r="Z331" s="84"/>
      <c r="AA331" s="84"/>
      <c r="AB331" s="36"/>
      <c r="AC331" s="36">
        <f>IF(ISNA(VLOOKUP(Table1[[#This Row],[Part Number]],'Multi-level BOM'!V$4:V$449,1,FALSE)),0,Table1[[#This Row],[Remaining Extended cost]])</f>
        <v>0</v>
      </c>
    </row>
    <row r="332" spans="1:29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80" t="str">
        <f>IF(Table1[[#This Row],[Buy-now costs]]&gt;0,"X","")</f>
        <v/>
      </c>
      <c r="M332" s="80"/>
      <c r="N332" s="80"/>
      <c r="O332" s="40">
        <v>0</v>
      </c>
      <c r="P332" s="94">
        <f>Table1[[#This Row],[quantity on-hand]]*(Table1[[#This Row],[Cost ]]+Table1[[#This Row],[shipping]]+Table1[[#This Row],[Tax]])</f>
        <v>0</v>
      </c>
      <c r="Q332" s="40">
        <v>0</v>
      </c>
      <c r="R332" s="92">
        <f>Table1[[#This Row],[Quantity on order]]*(Table1[[#This Row],[Cost ]]+Table1[[#This Row],[shipping]]+Table1[[#This Row],[Tax]])</f>
        <v>0</v>
      </c>
      <c r="S3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2" s="49">
        <f>Table1[[#This Row],[Quantity  to  purchase]]+Table1[[#This Row],[Quantity purchased]]+Table1[[#This Row],[Quantity on order]]+Table1[[#This Row],[Quantity donated]]-Table1[[#This Row],[extended quantity]]</f>
        <v>0</v>
      </c>
      <c r="U3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2" s="51">
        <f>IFERROR(Table1[[#This Row],[Quantity  to  purchase]]*(Table1[[#This Row],[Cost ]]+Table1[[#This Row],[shipping]]+Table1[[#This Row],[Tax]]),0)</f>
        <v>0</v>
      </c>
      <c r="W332" s="36">
        <f>IFERROR(Table1[[#This Row],[leftover material]]*(Table1[[#This Row],[Cost ]]+Table1[[#This Row],[shipping]]+Table1[[#This Row],[Tax]]),0)</f>
        <v>0</v>
      </c>
      <c r="X332" s="36"/>
      <c r="Y332" s="84"/>
      <c r="Z332" s="84"/>
      <c r="AA332" s="84"/>
      <c r="AB332" s="36"/>
      <c r="AC332" s="36">
        <f>IF(ISNA(VLOOKUP(Table1[[#This Row],[Part Number]],'Multi-level BOM'!V$4:V$449,1,FALSE)),0,Table1[[#This Row],[Remaining Extended cost]])</f>
        <v>0</v>
      </c>
    </row>
    <row r="333" spans="1:29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80" t="str">
        <f>IF(Table1[[#This Row],[Buy-now costs]]&gt;0,"X","")</f>
        <v/>
      </c>
      <c r="M333" s="80"/>
      <c r="N333" s="80"/>
      <c r="O333" s="40">
        <v>0</v>
      </c>
      <c r="P333" s="94">
        <f>Table1[[#This Row],[quantity on-hand]]*(Table1[[#This Row],[Cost ]]+Table1[[#This Row],[shipping]]+Table1[[#This Row],[Tax]])</f>
        <v>0</v>
      </c>
      <c r="Q333" s="40">
        <v>0</v>
      </c>
      <c r="R333" s="92">
        <f>Table1[[#This Row],[Quantity on order]]*(Table1[[#This Row],[Cost ]]+Table1[[#This Row],[shipping]]+Table1[[#This Row],[Tax]])</f>
        <v>0</v>
      </c>
      <c r="S3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3" s="49">
        <f>Table1[[#This Row],[Quantity  to  purchase]]+Table1[[#This Row],[Quantity purchased]]+Table1[[#This Row],[Quantity on order]]+Table1[[#This Row],[Quantity donated]]-Table1[[#This Row],[extended quantity]]</f>
        <v>0</v>
      </c>
      <c r="U3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3" s="51">
        <f>IFERROR(Table1[[#This Row],[Quantity  to  purchase]]*(Table1[[#This Row],[Cost ]]+Table1[[#This Row],[shipping]]+Table1[[#This Row],[Tax]]),0)</f>
        <v>0</v>
      </c>
      <c r="W333" s="36">
        <f>IFERROR(Table1[[#This Row],[leftover material]]*(Table1[[#This Row],[Cost ]]+Table1[[#This Row],[shipping]]+Table1[[#This Row],[Tax]]),0)</f>
        <v>0</v>
      </c>
      <c r="X333" s="36"/>
      <c r="Y333" s="84"/>
      <c r="Z333" s="84"/>
      <c r="AA333" s="84"/>
      <c r="AB333" s="36"/>
      <c r="AC333" s="36">
        <f>IF(ISNA(VLOOKUP(Table1[[#This Row],[Part Number]],'Multi-level BOM'!V$4:V$449,1,FALSE)),0,Table1[[#This Row],[Remaining Extended cost]])</f>
        <v>0</v>
      </c>
    </row>
    <row r="334" spans="1:29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80" t="str">
        <f>IF(Table1[[#This Row],[Buy-now costs]]&gt;0,"X","")</f>
        <v/>
      </c>
      <c r="M334" s="80"/>
      <c r="N334" s="80"/>
      <c r="O334" s="40">
        <v>0</v>
      </c>
      <c r="P334" s="94">
        <f>Table1[[#This Row],[quantity on-hand]]*(Table1[[#This Row],[Cost ]]+Table1[[#This Row],[shipping]]+Table1[[#This Row],[Tax]])</f>
        <v>0</v>
      </c>
      <c r="Q334" s="40">
        <v>0</v>
      </c>
      <c r="R334" s="92">
        <f>Table1[[#This Row],[Quantity on order]]*(Table1[[#This Row],[Cost ]]+Table1[[#This Row],[shipping]]+Table1[[#This Row],[Tax]])</f>
        <v>0</v>
      </c>
      <c r="S3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4" s="49">
        <f>Table1[[#This Row],[Quantity  to  purchase]]+Table1[[#This Row],[Quantity purchased]]+Table1[[#This Row],[Quantity on order]]+Table1[[#This Row],[Quantity donated]]-Table1[[#This Row],[extended quantity]]</f>
        <v>0</v>
      </c>
      <c r="U3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4" s="51">
        <f>IFERROR(Table1[[#This Row],[Quantity  to  purchase]]*(Table1[[#This Row],[Cost ]]+Table1[[#This Row],[shipping]]+Table1[[#This Row],[Tax]]),0)</f>
        <v>0</v>
      </c>
      <c r="W334" s="36">
        <f>IFERROR(Table1[[#This Row],[leftover material]]*(Table1[[#This Row],[Cost ]]+Table1[[#This Row],[shipping]]+Table1[[#This Row],[Tax]]),0)</f>
        <v>0</v>
      </c>
      <c r="X334" s="36"/>
      <c r="Y334" s="84"/>
      <c r="Z334" s="84"/>
      <c r="AA334" s="84"/>
      <c r="AB334" s="36"/>
      <c r="AC334" s="36">
        <f>IF(ISNA(VLOOKUP(Table1[[#This Row],[Part Number]],'Multi-level BOM'!V$4:V$449,1,FALSE)),0,Table1[[#This Row],[Remaining Extended cost]])</f>
        <v>0</v>
      </c>
    </row>
    <row r="335" spans="1:29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80" t="str">
        <f>IF(Table1[[#This Row],[Buy-now costs]]&gt;0,"X","")</f>
        <v/>
      </c>
      <c r="M335" s="80"/>
      <c r="N335" s="80"/>
      <c r="O335" s="40">
        <v>0</v>
      </c>
      <c r="P335" s="94">
        <f>Table1[[#This Row],[quantity on-hand]]*(Table1[[#This Row],[Cost ]]+Table1[[#This Row],[shipping]]+Table1[[#This Row],[Tax]])</f>
        <v>0</v>
      </c>
      <c r="Q335" s="40">
        <v>0</v>
      </c>
      <c r="R335" s="92">
        <f>Table1[[#This Row],[Quantity on order]]*(Table1[[#This Row],[Cost ]]+Table1[[#This Row],[shipping]]+Table1[[#This Row],[Tax]])</f>
        <v>0</v>
      </c>
      <c r="S3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5" s="49">
        <f>Table1[[#This Row],[Quantity  to  purchase]]+Table1[[#This Row],[Quantity purchased]]+Table1[[#This Row],[Quantity on order]]+Table1[[#This Row],[Quantity donated]]-Table1[[#This Row],[extended quantity]]</f>
        <v>0</v>
      </c>
      <c r="U3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5" s="51">
        <f>IFERROR(Table1[[#This Row],[Quantity  to  purchase]]*(Table1[[#This Row],[Cost ]]+Table1[[#This Row],[shipping]]+Table1[[#This Row],[Tax]]),0)</f>
        <v>0</v>
      </c>
      <c r="W335" s="36">
        <f>IFERROR(Table1[[#This Row],[leftover material]]*(Table1[[#This Row],[Cost ]]+Table1[[#This Row],[shipping]]+Table1[[#This Row],[Tax]]),0)</f>
        <v>0</v>
      </c>
      <c r="X335" s="36"/>
      <c r="Y335" s="84"/>
      <c r="Z335" s="84"/>
      <c r="AA335" s="84"/>
      <c r="AB335" s="36"/>
      <c r="AC335" s="36">
        <f>IF(ISNA(VLOOKUP(Table1[[#This Row],[Part Number]],'Multi-level BOM'!V$4:V$449,1,FALSE)),0,Table1[[#This Row],[Remaining Extended cost]])</f>
        <v>0</v>
      </c>
    </row>
    <row r="336" spans="1:29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80" t="str">
        <f>IF(Table1[[#This Row],[Buy-now costs]]&gt;0,"X","")</f>
        <v/>
      </c>
      <c r="M336" s="80"/>
      <c r="N336" s="80"/>
      <c r="O336" s="40">
        <v>0</v>
      </c>
      <c r="P336" s="94">
        <f>Table1[[#This Row],[quantity on-hand]]*(Table1[[#This Row],[Cost ]]+Table1[[#This Row],[shipping]]+Table1[[#This Row],[Tax]])</f>
        <v>0</v>
      </c>
      <c r="Q336" s="40">
        <v>0</v>
      </c>
      <c r="R336" s="92">
        <f>Table1[[#This Row],[Quantity on order]]*(Table1[[#This Row],[Cost ]]+Table1[[#This Row],[shipping]]+Table1[[#This Row],[Tax]])</f>
        <v>0</v>
      </c>
      <c r="S3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6" s="49">
        <f>Table1[[#This Row],[Quantity  to  purchase]]+Table1[[#This Row],[Quantity purchased]]+Table1[[#This Row],[Quantity on order]]+Table1[[#This Row],[Quantity donated]]-Table1[[#This Row],[extended quantity]]</f>
        <v>0</v>
      </c>
      <c r="U3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6" s="51">
        <f>IFERROR(Table1[[#This Row],[Quantity  to  purchase]]*(Table1[[#This Row],[Cost ]]+Table1[[#This Row],[shipping]]+Table1[[#This Row],[Tax]]),0)</f>
        <v>0</v>
      </c>
      <c r="W336" s="36">
        <f>IFERROR(Table1[[#This Row],[leftover material]]*(Table1[[#This Row],[Cost ]]+Table1[[#This Row],[shipping]]+Table1[[#This Row],[Tax]]),0)</f>
        <v>0</v>
      </c>
      <c r="X336" s="36"/>
      <c r="Y336" s="84"/>
      <c r="Z336" s="84"/>
      <c r="AA336" s="84"/>
      <c r="AB336" s="36"/>
      <c r="AC336" s="36">
        <f>IF(ISNA(VLOOKUP(Table1[[#This Row],[Part Number]],'Multi-level BOM'!V$4:V$449,1,FALSE)),0,Table1[[#This Row],[Remaining Extended cost]])</f>
        <v>0</v>
      </c>
    </row>
    <row r="337" spans="1:29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80" t="str">
        <f>IF(Table1[[#This Row],[Buy-now costs]]&gt;0,"X","")</f>
        <v/>
      </c>
      <c r="M337" s="80"/>
      <c r="N337" s="80"/>
      <c r="O337" s="40">
        <v>0</v>
      </c>
      <c r="P337" s="94">
        <f>Table1[[#This Row],[quantity on-hand]]*(Table1[[#This Row],[Cost ]]+Table1[[#This Row],[shipping]]+Table1[[#This Row],[Tax]])</f>
        <v>0</v>
      </c>
      <c r="Q337" s="40">
        <v>0</v>
      </c>
      <c r="R337" s="92">
        <f>Table1[[#This Row],[Quantity on order]]*(Table1[[#This Row],[Cost ]]+Table1[[#This Row],[shipping]]+Table1[[#This Row],[Tax]])</f>
        <v>0</v>
      </c>
      <c r="S3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7" s="49">
        <f>Table1[[#This Row],[Quantity  to  purchase]]+Table1[[#This Row],[Quantity purchased]]+Table1[[#This Row],[Quantity on order]]+Table1[[#This Row],[Quantity donated]]-Table1[[#This Row],[extended quantity]]</f>
        <v>0</v>
      </c>
      <c r="U3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7" s="51">
        <f>IFERROR(Table1[[#This Row],[Quantity  to  purchase]]*(Table1[[#This Row],[Cost ]]+Table1[[#This Row],[shipping]]+Table1[[#This Row],[Tax]]),0)</f>
        <v>0</v>
      </c>
      <c r="W337" s="36">
        <f>IFERROR(Table1[[#This Row],[leftover material]]*(Table1[[#This Row],[Cost ]]+Table1[[#This Row],[shipping]]+Table1[[#This Row],[Tax]]),0)</f>
        <v>0</v>
      </c>
      <c r="X337" s="36"/>
      <c r="Y337" s="84"/>
      <c r="Z337" s="84"/>
      <c r="AA337" s="84"/>
      <c r="AB337" s="36"/>
      <c r="AC337" s="36">
        <f>IF(ISNA(VLOOKUP(Table1[[#This Row],[Part Number]],'Multi-level BOM'!V$4:V$449,1,FALSE)),0,Table1[[#This Row],[Remaining Extended cost]])</f>
        <v>0</v>
      </c>
    </row>
    <row r="338" spans="1:29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80" t="str">
        <f>IF(Table1[[#This Row],[Buy-now costs]]&gt;0,"X","")</f>
        <v/>
      </c>
      <c r="M338" s="80"/>
      <c r="N338" s="80"/>
      <c r="O338" s="40">
        <v>0</v>
      </c>
      <c r="P338" s="94">
        <f>Table1[[#This Row],[quantity on-hand]]*(Table1[[#This Row],[Cost ]]+Table1[[#This Row],[shipping]]+Table1[[#This Row],[Tax]])</f>
        <v>0</v>
      </c>
      <c r="Q338" s="40">
        <v>0</v>
      </c>
      <c r="R338" s="92">
        <f>Table1[[#This Row],[Quantity on order]]*(Table1[[#This Row],[Cost ]]+Table1[[#This Row],[shipping]]+Table1[[#This Row],[Tax]])</f>
        <v>0</v>
      </c>
      <c r="S3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8" s="49">
        <f>Table1[[#This Row],[Quantity  to  purchase]]+Table1[[#This Row],[Quantity purchased]]+Table1[[#This Row],[Quantity on order]]+Table1[[#This Row],[Quantity donated]]-Table1[[#This Row],[extended quantity]]</f>
        <v>0</v>
      </c>
      <c r="U3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8" s="51">
        <f>IFERROR(Table1[[#This Row],[Quantity  to  purchase]]*(Table1[[#This Row],[Cost ]]+Table1[[#This Row],[shipping]]+Table1[[#This Row],[Tax]]),0)</f>
        <v>0</v>
      </c>
      <c r="W338" s="36">
        <f>IFERROR(Table1[[#This Row],[leftover material]]*(Table1[[#This Row],[Cost ]]+Table1[[#This Row],[shipping]]+Table1[[#This Row],[Tax]]),0)</f>
        <v>0</v>
      </c>
      <c r="X338" s="36"/>
      <c r="Y338" s="84"/>
      <c r="Z338" s="84"/>
      <c r="AA338" s="84"/>
      <c r="AB338" s="36"/>
      <c r="AC338" s="36">
        <f>IF(ISNA(VLOOKUP(Table1[[#This Row],[Part Number]],'Multi-level BOM'!V$4:V$449,1,FALSE)),0,Table1[[#This Row],[Remaining Extended cost]])</f>
        <v>0</v>
      </c>
    </row>
    <row r="339" spans="1:29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80" t="str">
        <f>IF(Table1[[#This Row],[Buy-now costs]]&gt;0,"X","")</f>
        <v/>
      </c>
      <c r="M339" s="80"/>
      <c r="N339" s="80"/>
      <c r="O339" s="40">
        <v>0</v>
      </c>
      <c r="P339" s="94">
        <f>Table1[[#This Row],[quantity on-hand]]*(Table1[[#This Row],[Cost ]]+Table1[[#This Row],[shipping]]+Table1[[#This Row],[Tax]])</f>
        <v>0</v>
      </c>
      <c r="Q339" s="40">
        <v>0</v>
      </c>
      <c r="R339" s="92">
        <f>Table1[[#This Row],[Quantity on order]]*(Table1[[#This Row],[Cost ]]+Table1[[#This Row],[shipping]]+Table1[[#This Row],[Tax]])</f>
        <v>0</v>
      </c>
      <c r="S3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9" s="49">
        <f>Table1[[#This Row],[Quantity  to  purchase]]+Table1[[#This Row],[Quantity purchased]]+Table1[[#This Row],[Quantity on order]]+Table1[[#This Row],[Quantity donated]]-Table1[[#This Row],[extended quantity]]</f>
        <v>0</v>
      </c>
      <c r="U3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9" s="51">
        <f>IFERROR(Table1[[#This Row],[Quantity  to  purchase]]*(Table1[[#This Row],[Cost ]]+Table1[[#This Row],[shipping]]+Table1[[#This Row],[Tax]]),0)</f>
        <v>0</v>
      </c>
      <c r="W339" s="36">
        <f>IFERROR(Table1[[#This Row],[leftover material]]*(Table1[[#This Row],[Cost ]]+Table1[[#This Row],[shipping]]+Table1[[#This Row],[Tax]]),0)</f>
        <v>0</v>
      </c>
      <c r="X339" s="36"/>
      <c r="Y339" s="84"/>
      <c r="Z339" s="84"/>
      <c r="AA339" s="84"/>
      <c r="AB339" s="36"/>
      <c r="AC339" s="36">
        <f>IF(ISNA(VLOOKUP(Table1[[#This Row],[Part Number]],'Multi-level BOM'!V$4:V$449,1,FALSE)),0,Table1[[#This Row],[Remaining Extended cost]])</f>
        <v>0</v>
      </c>
    </row>
    <row r="340" spans="1:29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80" t="str">
        <f>IF(Table1[[#This Row],[Buy-now costs]]&gt;0,"X","")</f>
        <v/>
      </c>
      <c r="M340" s="80"/>
      <c r="N340" s="80"/>
      <c r="O340" s="40">
        <v>0</v>
      </c>
      <c r="P340" s="94">
        <f>Table1[[#This Row],[quantity on-hand]]*(Table1[[#This Row],[Cost ]]+Table1[[#This Row],[shipping]]+Table1[[#This Row],[Tax]])</f>
        <v>0</v>
      </c>
      <c r="Q340" s="40">
        <v>0</v>
      </c>
      <c r="R340" s="92">
        <f>Table1[[#This Row],[Quantity on order]]*(Table1[[#This Row],[Cost ]]+Table1[[#This Row],[shipping]]+Table1[[#This Row],[Tax]])</f>
        <v>0</v>
      </c>
      <c r="S3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0" s="49">
        <f>Table1[[#This Row],[Quantity  to  purchase]]+Table1[[#This Row],[Quantity purchased]]+Table1[[#This Row],[Quantity on order]]+Table1[[#This Row],[Quantity donated]]-Table1[[#This Row],[extended quantity]]</f>
        <v>0</v>
      </c>
      <c r="U3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0" s="51">
        <f>IFERROR(Table1[[#This Row],[Quantity  to  purchase]]*(Table1[[#This Row],[Cost ]]+Table1[[#This Row],[shipping]]+Table1[[#This Row],[Tax]]),0)</f>
        <v>0</v>
      </c>
      <c r="W340" s="36">
        <f>IFERROR(Table1[[#This Row],[leftover material]]*(Table1[[#This Row],[Cost ]]+Table1[[#This Row],[shipping]]+Table1[[#This Row],[Tax]]),0)</f>
        <v>0</v>
      </c>
      <c r="X340" s="36"/>
      <c r="Y340" s="84"/>
      <c r="Z340" s="84"/>
      <c r="AA340" s="84"/>
      <c r="AB340" s="36"/>
      <c r="AC340" s="36">
        <f>IF(ISNA(VLOOKUP(Table1[[#This Row],[Part Number]],'Multi-level BOM'!V$4:V$449,1,FALSE)),0,Table1[[#This Row],[Remaining Extended cost]])</f>
        <v>0</v>
      </c>
    </row>
    <row r="341" spans="1:29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80" t="str">
        <f>IF(Table1[[#This Row],[Buy-now costs]]&gt;0,"X","")</f>
        <v/>
      </c>
      <c r="M341" s="80"/>
      <c r="N341" s="80"/>
      <c r="O341" s="40">
        <v>0</v>
      </c>
      <c r="P341" s="94">
        <f>Table1[[#This Row],[quantity on-hand]]*(Table1[[#This Row],[Cost ]]+Table1[[#This Row],[shipping]]+Table1[[#This Row],[Tax]])</f>
        <v>0</v>
      </c>
      <c r="Q341" s="40">
        <v>0</v>
      </c>
      <c r="R341" s="92">
        <f>Table1[[#This Row],[Quantity on order]]*(Table1[[#This Row],[Cost ]]+Table1[[#This Row],[shipping]]+Table1[[#This Row],[Tax]])</f>
        <v>0</v>
      </c>
      <c r="S3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1" s="49">
        <f>Table1[[#This Row],[Quantity  to  purchase]]+Table1[[#This Row],[Quantity purchased]]+Table1[[#This Row],[Quantity on order]]+Table1[[#This Row],[Quantity donated]]-Table1[[#This Row],[extended quantity]]</f>
        <v>0</v>
      </c>
      <c r="U3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1" s="51">
        <f>IFERROR(Table1[[#This Row],[Quantity  to  purchase]]*(Table1[[#This Row],[Cost ]]+Table1[[#This Row],[shipping]]+Table1[[#This Row],[Tax]]),0)</f>
        <v>0</v>
      </c>
      <c r="W341" s="36">
        <f>IFERROR(Table1[[#This Row],[leftover material]]*(Table1[[#This Row],[Cost ]]+Table1[[#This Row],[shipping]]+Table1[[#This Row],[Tax]]),0)</f>
        <v>0</v>
      </c>
      <c r="X341" s="36"/>
      <c r="Y341" s="84"/>
      <c r="Z341" s="84"/>
      <c r="AA341" s="84"/>
      <c r="AB341" s="36"/>
      <c r="AC341" s="36">
        <f>IF(ISNA(VLOOKUP(Table1[[#This Row],[Part Number]],'Multi-level BOM'!V$4:V$449,1,FALSE)),0,Table1[[#This Row],[Remaining Extended cost]])</f>
        <v>0</v>
      </c>
    </row>
    <row r="342" spans="1:29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80" t="str">
        <f>IF(Table1[[#This Row],[Buy-now costs]]&gt;0,"X","")</f>
        <v/>
      </c>
      <c r="M342" s="80"/>
      <c r="N342" s="80"/>
      <c r="O342" s="40">
        <v>0</v>
      </c>
      <c r="P342" s="94">
        <f>Table1[[#This Row],[quantity on-hand]]*(Table1[[#This Row],[Cost ]]+Table1[[#This Row],[shipping]]+Table1[[#This Row],[Tax]])</f>
        <v>0</v>
      </c>
      <c r="Q342" s="40">
        <v>0</v>
      </c>
      <c r="R342" s="92">
        <f>Table1[[#This Row],[Quantity on order]]*(Table1[[#This Row],[Cost ]]+Table1[[#This Row],[shipping]]+Table1[[#This Row],[Tax]])</f>
        <v>0</v>
      </c>
      <c r="S3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2" s="49">
        <f>Table1[[#This Row],[Quantity  to  purchase]]+Table1[[#This Row],[Quantity purchased]]+Table1[[#This Row],[Quantity on order]]+Table1[[#This Row],[Quantity donated]]-Table1[[#This Row],[extended quantity]]</f>
        <v>0</v>
      </c>
      <c r="U3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2" s="51">
        <f>IFERROR(Table1[[#This Row],[Quantity  to  purchase]]*(Table1[[#This Row],[Cost ]]+Table1[[#This Row],[shipping]]+Table1[[#This Row],[Tax]]),0)</f>
        <v>0</v>
      </c>
      <c r="W342" s="36">
        <f>IFERROR(Table1[[#This Row],[leftover material]]*(Table1[[#This Row],[Cost ]]+Table1[[#This Row],[shipping]]+Table1[[#This Row],[Tax]]),0)</f>
        <v>0</v>
      </c>
      <c r="X342" s="36"/>
      <c r="Y342" s="84"/>
      <c r="Z342" s="84"/>
      <c r="AA342" s="84"/>
      <c r="AB342" s="36"/>
      <c r="AC342" s="36">
        <f>IF(ISNA(VLOOKUP(Table1[[#This Row],[Part Number]],'Multi-level BOM'!V$4:V$449,1,FALSE)),0,Table1[[#This Row],[Remaining Extended cost]])</f>
        <v>0</v>
      </c>
    </row>
    <row r="343" spans="1:29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80" t="str">
        <f>IF(Table1[[#This Row],[Buy-now costs]]&gt;0,"X","")</f>
        <v/>
      </c>
      <c r="M343" s="80"/>
      <c r="N343" s="80"/>
      <c r="O343" s="40">
        <v>0</v>
      </c>
      <c r="P343" s="94">
        <f>Table1[[#This Row],[quantity on-hand]]*(Table1[[#This Row],[Cost ]]+Table1[[#This Row],[shipping]]+Table1[[#This Row],[Tax]])</f>
        <v>0</v>
      </c>
      <c r="Q343" s="40">
        <v>0</v>
      </c>
      <c r="R343" s="92">
        <f>Table1[[#This Row],[Quantity on order]]*(Table1[[#This Row],[Cost ]]+Table1[[#This Row],[shipping]]+Table1[[#This Row],[Tax]])</f>
        <v>0</v>
      </c>
      <c r="S3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3" s="49">
        <f>Table1[[#This Row],[Quantity  to  purchase]]+Table1[[#This Row],[Quantity purchased]]+Table1[[#This Row],[Quantity on order]]+Table1[[#This Row],[Quantity donated]]-Table1[[#This Row],[extended quantity]]</f>
        <v>0</v>
      </c>
      <c r="U3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3" s="51">
        <f>IFERROR(Table1[[#This Row],[Quantity  to  purchase]]*(Table1[[#This Row],[Cost ]]+Table1[[#This Row],[shipping]]+Table1[[#This Row],[Tax]]),0)</f>
        <v>0</v>
      </c>
      <c r="W343" s="36">
        <f>IFERROR(Table1[[#This Row],[leftover material]]*(Table1[[#This Row],[Cost ]]+Table1[[#This Row],[shipping]]+Table1[[#This Row],[Tax]]),0)</f>
        <v>0</v>
      </c>
      <c r="X343" s="36"/>
      <c r="Y343" s="84"/>
      <c r="Z343" s="84"/>
      <c r="AA343" s="84"/>
      <c r="AB343" s="36"/>
      <c r="AC343" s="36">
        <f>IF(ISNA(VLOOKUP(Table1[[#This Row],[Part Number]],'Multi-level BOM'!V$4:V$449,1,FALSE)),0,Table1[[#This Row],[Remaining Extended cost]])</f>
        <v>0</v>
      </c>
    </row>
    <row r="344" spans="1:29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80" t="str">
        <f>IF(Table1[[#This Row],[Buy-now costs]]&gt;0,"X","")</f>
        <v/>
      </c>
      <c r="M344" s="80"/>
      <c r="N344" s="80"/>
      <c r="O344" s="40">
        <v>0</v>
      </c>
      <c r="P344" s="94">
        <f>Table1[[#This Row],[quantity on-hand]]*(Table1[[#This Row],[Cost ]]+Table1[[#This Row],[shipping]]+Table1[[#This Row],[Tax]])</f>
        <v>0</v>
      </c>
      <c r="Q344" s="40">
        <v>0</v>
      </c>
      <c r="R344" s="92">
        <f>Table1[[#This Row],[Quantity on order]]*(Table1[[#This Row],[Cost ]]+Table1[[#This Row],[shipping]]+Table1[[#This Row],[Tax]])</f>
        <v>0</v>
      </c>
      <c r="S3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4" s="49">
        <f>Table1[[#This Row],[Quantity  to  purchase]]+Table1[[#This Row],[Quantity purchased]]+Table1[[#This Row],[Quantity on order]]+Table1[[#This Row],[Quantity donated]]-Table1[[#This Row],[extended quantity]]</f>
        <v>0</v>
      </c>
      <c r="U3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4" s="51">
        <f>IFERROR(Table1[[#This Row],[Quantity  to  purchase]]*(Table1[[#This Row],[Cost ]]+Table1[[#This Row],[shipping]]+Table1[[#This Row],[Tax]]),0)</f>
        <v>0</v>
      </c>
      <c r="W344" s="36">
        <f>IFERROR(Table1[[#This Row],[leftover material]]*(Table1[[#This Row],[Cost ]]+Table1[[#This Row],[shipping]]+Table1[[#This Row],[Tax]]),0)</f>
        <v>0</v>
      </c>
      <c r="X344" s="36"/>
      <c r="Y344" s="84"/>
      <c r="Z344" s="84"/>
      <c r="AA344" s="84"/>
      <c r="AB344" s="36"/>
      <c r="AC344" s="36">
        <f>IF(ISNA(VLOOKUP(Table1[[#This Row],[Part Number]],'Multi-level BOM'!V$4:V$449,1,FALSE)),0,Table1[[#This Row],[Remaining Extended cost]])</f>
        <v>0</v>
      </c>
    </row>
    <row r="345" spans="1:29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80" t="str">
        <f>IF(Table1[[#This Row],[Buy-now costs]]&gt;0,"X","")</f>
        <v/>
      </c>
      <c r="M345" s="80"/>
      <c r="N345" s="80"/>
      <c r="O345" s="40">
        <v>0</v>
      </c>
      <c r="P345" s="94">
        <f>Table1[[#This Row],[quantity on-hand]]*(Table1[[#This Row],[Cost ]]+Table1[[#This Row],[shipping]]+Table1[[#This Row],[Tax]])</f>
        <v>0</v>
      </c>
      <c r="Q345" s="40">
        <v>0</v>
      </c>
      <c r="R345" s="92">
        <f>Table1[[#This Row],[Quantity on order]]*(Table1[[#This Row],[Cost ]]+Table1[[#This Row],[shipping]]+Table1[[#This Row],[Tax]])</f>
        <v>0</v>
      </c>
      <c r="S3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5" s="49">
        <f>Table1[[#This Row],[Quantity  to  purchase]]+Table1[[#This Row],[Quantity purchased]]+Table1[[#This Row],[Quantity on order]]+Table1[[#This Row],[Quantity donated]]-Table1[[#This Row],[extended quantity]]</f>
        <v>0</v>
      </c>
      <c r="U3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5" s="51">
        <f>IFERROR(Table1[[#This Row],[Quantity  to  purchase]]*(Table1[[#This Row],[Cost ]]+Table1[[#This Row],[shipping]]+Table1[[#This Row],[Tax]]),0)</f>
        <v>0</v>
      </c>
      <c r="W345" s="36">
        <f>IFERROR(Table1[[#This Row],[leftover material]]*(Table1[[#This Row],[Cost ]]+Table1[[#This Row],[shipping]]+Table1[[#This Row],[Tax]]),0)</f>
        <v>0</v>
      </c>
      <c r="X345" s="36"/>
      <c r="Y345" s="84"/>
      <c r="Z345" s="84"/>
      <c r="AA345" s="84"/>
      <c r="AB345" s="36"/>
      <c r="AC345" s="36">
        <f>IF(ISNA(VLOOKUP(Table1[[#This Row],[Part Number]],'Multi-level BOM'!V$4:V$449,1,FALSE)),0,Table1[[#This Row],[Remaining Extended cost]])</f>
        <v>0</v>
      </c>
    </row>
    <row r="346" spans="1:29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80" t="str">
        <f>IF(Table1[[#This Row],[Buy-now costs]]&gt;0,"X","")</f>
        <v/>
      </c>
      <c r="M346" s="80"/>
      <c r="N346" s="80"/>
      <c r="O346" s="40">
        <v>0</v>
      </c>
      <c r="P346" s="94">
        <f>Table1[[#This Row],[quantity on-hand]]*(Table1[[#This Row],[Cost ]]+Table1[[#This Row],[shipping]]+Table1[[#This Row],[Tax]])</f>
        <v>0</v>
      </c>
      <c r="Q346" s="40">
        <v>0</v>
      </c>
      <c r="R346" s="92">
        <f>Table1[[#This Row],[Quantity on order]]*(Table1[[#This Row],[Cost ]]+Table1[[#This Row],[shipping]]+Table1[[#This Row],[Tax]])</f>
        <v>0</v>
      </c>
      <c r="S3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6" s="49">
        <f>Table1[[#This Row],[Quantity  to  purchase]]+Table1[[#This Row],[Quantity purchased]]+Table1[[#This Row],[Quantity on order]]+Table1[[#This Row],[Quantity donated]]-Table1[[#This Row],[extended quantity]]</f>
        <v>0</v>
      </c>
      <c r="U3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6" s="51">
        <f>IFERROR(Table1[[#This Row],[Quantity  to  purchase]]*(Table1[[#This Row],[Cost ]]+Table1[[#This Row],[shipping]]+Table1[[#This Row],[Tax]]),0)</f>
        <v>0</v>
      </c>
      <c r="W346" s="36">
        <f>IFERROR(Table1[[#This Row],[leftover material]]*(Table1[[#This Row],[Cost ]]+Table1[[#This Row],[shipping]]+Table1[[#This Row],[Tax]]),0)</f>
        <v>0</v>
      </c>
      <c r="X346" s="36"/>
      <c r="Y346" s="84"/>
      <c r="Z346" s="84"/>
      <c r="AA346" s="84"/>
      <c r="AB346" s="36"/>
      <c r="AC346" s="36">
        <f>IF(ISNA(VLOOKUP(Table1[[#This Row],[Part Number]],'Multi-level BOM'!V$4:V$449,1,FALSE)),0,Table1[[#This Row],[Remaining Extended cost]])</f>
        <v>0</v>
      </c>
    </row>
    <row r="347" spans="1:29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80" t="str">
        <f>IF(Table1[[#This Row],[Buy-now costs]]&gt;0,"X","")</f>
        <v/>
      </c>
      <c r="M347" s="80"/>
      <c r="N347" s="80"/>
      <c r="O347" s="40">
        <v>0</v>
      </c>
      <c r="P347" s="94">
        <f>Table1[[#This Row],[quantity on-hand]]*(Table1[[#This Row],[Cost ]]+Table1[[#This Row],[shipping]]+Table1[[#This Row],[Tax]])</f>
        <v>0</v>
      </c>
      <c r="Q347" s="40">
        <v>0</v>
      </c>
      <c r="R347" s="92">
        <f>Table1[[#This Row],[Quantity on order]]*(Table1[[#This Row],[Cost ]]+Table1[[#This Row],[shipping]]+Table1[[#This Row],[Tax]])</f>
        <v>0</v>
      </c>
      <c r="S3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7" s="49">
        <f>Table1[[#This Row],[Quantity  to  purchase]]+Table1[[#This Row],[Quantity purchased]]+Table1[[#This Row],[Quantity on order]]+Table1[[#This Row],[Quantity donated]]-Table1[[#This Row],[extended quantity]]</f>
        <v>0</v>
      </c>
      <c r="U3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7" s="51">
        <f>IFERROR(Table1[[#This Row],[Quantity  to  purchase]]*(Table1[[#This Row],[Cost ]]+Table1[[#This Row],[shipping]]+Table1[[#This Row],[Tax]]),0)</f>
        <v>0</v>
      </c>
      <c r="W347" s="36">
        <f>IFERROR(Table1[[#This Row],[leftover material]]*(Table1[[#This Row],[Cost ]]+Table1[[#This Row],[shipping]]+Table1[[#This Row],[Tax]]),0)</f>
        <v>0</v>
      </c>
      <c r="X347" s="36"/>
      <c r="Y347" s="84"/>
      <c r="Z347" s="84"/>
      <c r="AA347" s="84"/>
      <c r="AB347" s="36"/>
      <c r="AC347" s="36">
        <f>IF(ISNA(VLOOKUP(Table1[[#This Row],[Part Number]],'Multi-level BOM'!V$4:V$449,1,FALSE)),0,Table1[[#This Row],[Remaining Extended cost]])</f>
        <v>0</v>
      </c>
    </row>
    <row r="348" spans="1:29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80" t="str">
        <f>IF(Table1[[#This Row],[Buy-now costs]]&gt;0,"X","")</f>
        <v/>
      </c>
      <c r="M348" s="80"/>
      <c r="N348" s="80"/>
      <c r="O348" s="40">
        <v>0</v>
      </c>
      <c r="P348" s="94">
        <f>Table1[[#This Row],[quantity on-hand]]*(Table1[[#This Row],[Cost ]]+Table1[[#This Row],[shipping]]+Table1[[#This Row],[Tax]])</f>
        <v>0</v>
      </c>
      <c r="Q348" s="40">
        <v>0</v>
      </c>
      <c r="R348" s="92">
        <f>Table1[[#This Row],[Quantity on order]]*(Table1[[#This Row],[Cost ]]+Table1[[#This Row],[shipping]]+Table1[[#This Row],[Tax]])</f>
        <v>0</v>
      </c>
      <c r="S3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8" s="49">
        <f>Table1[[#This Row],[Quantity  to  purchase]]+Table1[[#This Row],[Quantity purchased]]+Table1[[#This Row],[Quantity on order]]+Table1[[#This Row],[Quantity donated]]-Table1[[#This Row],[extended quantity]]</f>
        <v>0</v>
      </c>
      <c r="U3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8" s="51">
        <f>IFERROR(Table1[[#This Row],[Quantity  to  purchase]]*(Table1[[#This Row],[Cost ]]+Table1[[#This Row],[shipping]]+Table1[[#This Row],[Tax]]),0)</f>
        <v>0</v>
      </c>
      <c r="W348" s="36">
        <f>IFERROR(Table1[[#This Row],[leftover material]]*(Table1[[#This Row],[Cost ]]+Table1[[#This Row],[shipping]]+Table1[[#This Row],[Tax]]),0)</f>
        <v>0</v>
      </c>
      <c r="X348" s="36"/>
      <c r="Y348" s="84"/>
      <c r="Z348" s="84"/>
      <c r="AA348" s="84"/>
      <c r="AB348" s="36"/>
      <c r="AC348" s="36">
        <f>IF(ISNA(VLOOKUP(Table1[[#This Row],[Part Number]],'Multi-level BOM'!V$4:V$449,1,FALSE)),0,Table1[[#This Row],[Remaining Extended cost]])</f>
        <v>0</v>
      </c>
    </row>
    <row r="349" spans="1:29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80" t="str">
        <f>IF(Table1[[#This Row],[Buy-now costs]]&gt;0,"X","")</f>
        <v/>
      </c>
      <c r="M349" s="80"/>
      <c r="N349" s="80"/>
      <c r="O349" s="40">
        <v>0</v>
      </c>
      <c r="P349" s="94">
        <f>Table1[[#This Row],[quantity on-hand]]*(Table1[[#This Row],[Cost ]]+Table1[[#This Row],[shipping]]+Table1[[#This Row],[Tax]])</f>
        <v>0</v>
      </c>
      <c r="Q349" s="40">
        <v>0</v>
      </c>
      <c r="R349" s="92">
        <f>Table1[[#This Row],[Quantity on order]]*(Table1[[#This Row],[Cost ]]+Table1[[#This Row],[shipping]]+Table1[[#This Row],[Tax]])</f>
        <v>0</v>
      </c>
      <c r="S3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9" s="49">
        <f>Table1[[#This Row],[Quantity  to  purchase]]+Table1[[#This Row],[Quantity purchased]]+Table1[[#This Row],[Quantity on order]]+Table1[[#This Row],[Quantity donated]]-Table1[[#This Row],[extended quantity]]</f>
        <v>0</v>
      </c>
      <c r="U3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9" s="51">
        <f>IFERROR(Table1[[#This Row],[Quantity  to  purchase]]*(Table1[[#This Row],[Cost ]]+Table1[[#This Row],[shipping]]+Table1[[#This Row],[Tax]]),0)</f>
        <v>0</v>
      </c>
      <c r="W349" s="36">
        <f>IFERROR(Table1[[#This Row],[leftover material]]*(Table1[[#This Row],[Cost ]]+Table1[[#This Row],[shipping]]+Table1[[#This Row],[Tax]]),0)</f>
        <v>0</v>
      </c>
      <c r="X349" s="36"/>
      <c r="Y349" s="84"/>
      <c r="Z349" s="84"/>
      <c r="AA349" s="84"/>
      <c r="AB349" s="36"/>
      <c r="AC349" s="36">
        <f>IF(ISNA(VLOOKUP(Table1[[#This Row],[Part Number]],'Multi-level BOM'!V$4:V$449,1,FALSE)),0,Table1[[#This Row],[Remaining Extended cost]])</f>
        <v>0</v>
      </c>
    </row>
    <row r="350" spans="1:29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80" t="str">
        <f>IF(Table1[[#This Row],[Buy-now costs]]&gt;0,"X","")</f>
        <v/>
      </c>
      <c r="M350" s="80"/>
      <c r="N350" s="80"/>
      <c r="O350" s="40">
        <v>0</v>
      </c>
      <c r="P350" s="94">
        <f>Table1[[#This Row],[quantity on-hand]]*(Table1[[#This Row],[Cost ]]+Table1[[#This Row],[shipping]]+Table1[[#This Row],[Tax]])</f>
        <v>0</v>
      </c>
      <c r="Q350" s="40">
        <v>0</v>
      </c>
      <c r="R350" s="92">
        <f>Table1[[#This Row],[Quantity on order]]*(Table1[[#This Row],[Cost ]]+Table1[[#This Row],[shipping]]+Table1[[#This Row],[Tax]])</f>
        <v>0</v>
      </c>
      <c r="S3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0" s="49">
        <f>Table1[[#This Row],[Quantity  to  purchase]]+Table1[[#This Row],[Quantity purchased]]+Table1[[#This Row],[Quantity on order]]+Table1[[#This Row],[Quantity donated]]-Table1[[#This Row],[extended quantity]]</f>
        <v>0</v>
      </c>
      <c r="U3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0" s="51">
        <f>IFERROR(Table1[[#This Row],[Quantity  to  purchase]]*(Table1[[#This Row],[Cost ]]+Table1[[#This Row],[shipping]]+Table1[[#This Row],[Tax]]),0)</f>
        <v>0</v>
      </c>
      <c r="W350" s="36">
        <f>IFERROR(Table1[[#This Row],[leftover material]]*(Table1[[#This Row],[Cost ]]+Table1[[#This Row],[shipping]]+Table1[[#This Row],[Tax]]),0)</f>
        <v>0</v>
      </c>
      <c r="X350" s="36"/>
      <c r="Y350" s="84"/>
      <c r="Z350" s="84"/>
      <c r="AA350" s="84"/>
      <c r="AB350" s="36"/>
      <c r="AC350" s="36">
        <f>IF(ISNA(VLOOKUP(Table1[[#This Row],[Part Number]],'Multi-level BOM'!V$4:V$449,1,FALSE)),0,Table1[[#This Row],[Remaining Extended cost]])</f>
        <v>0</v>
      </c>
    </row>
    <row r="351" spans="1:29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80" t="str">
        <f>IF(Table1[[#This Row],[Buy-now costs]]&gt;0,"X","")</f>
        <v/>
      </c>
      <c r="M351" s="80"/>
      <c r="N351" s="80"/>
      <c r="O351" s="40">
        <v>0</v>
      </c>
      <c r="P351" s="94">
        <f>Table1[[#This Row],[quantity on-hand]]*(Table1[[#This Row],[Cost ]]+Table1[[#This Row],[shipping]]+Table1[[#This Row],[Tax]])</f>
        <v>0</v>
      </c>
      <c r="Q351" s="40">
        <v>0</v>
      </c>
      <c r="R351" s="92">
        <f>Table1[[#This Row],[Quantity on order]]*(Table1[[#This Row],[Cost ]]+Table1[[#This Row],[shipping]]+Table1[[#This Row],[Tax]])</f>
        <v>0</v>
      </c>
      <c r="S3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1" s="49">
        <f>Table1[[#This Row],[Quantity  to  purchase]]+Table1[[#This Row],[Quantity purchased]]+Table1[[#This Row],[Quantity on order]]+Table1[[#This Row],[Quantity donated]]-Table1[[#This Row],[extended quantity]]</f>
        <v>0</v>
      </c>
      <c r="U3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1" s="51">
        <f>IFERROR(Table1[[#This Row],[Quantity  to  purchase]]*(Table1[[#This Row],[Cost ]]+Table1[[#This Row],[shipping]]+Table1[[#This Row],[Tax]]),0)</f>
        <v>0</v>
      </c>
      <c r="W351" s="36">
        <f>IFERROR(Table1[[#This Row],[leftover material]]*(Table1[[#This Row],[Cost ]]+Table1[[#This Row],[shipping]]+Table1[[#This Row],[Tax]]),0)</f>
        <v>0</v>
      </c>
      <c r="X351" s="36"/>
      <c r="Y351" s="84"/>
      <c r="Z351" s="84"/>
      <c r="AA351" s="84"/>
      <c r="AB351" s="36"/>
      <c r="AC351" s="36">
        <f>IF(ISNA(VLOOKUP(Table1[[#This Row],[Part Number]],'Multi-level BOM'!V$4:V$449,1,FALSE)),0,Table1[[#This Row],[Remaining Extended cost]])</f>
        <v>0</v>
      </c>
    </row>
    <row r="352" spans="1:29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80" t="str">
        <f>IF(Table1[[#This Row],[Buy-now costs]]&gt;0,"X","")</f>
        <v/>
      </c>
      <c r="M352" s="80"/>
      <c r="N352" s="80"/>
      <c r="O352" s="40">
        <v>0</v>
      </c>
      <c r="P352" s="94">
        <f>Table1[[#This Row],[quantity on-hand]]*(Table1[[#This Row],[Cost ]]+Table1[[#This Row],[shipping]]+Table1[[#This Row],[Tax]])</f>
        <v>0</v>
      </c>
      <c r="Q352" s="40">
        <v>0</v>
      </c>
      <c r="R352" s="92">
        <f>Table1[[#This Row],[Quantity on order]]*(Table1[[#This Row],[Cost ]]+Table1[[#This Row],[shipping]]+Table1[[#This Row],[Tax]])</f>
        <v>0</v>
      </c>
      <c r="S3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2" s="49">
        <f>Table1[[#This Row],[Quantity  to  purchase]]+Table1[[#This Row],[Quantity purchased]]+Table1[[#This Row],[Quantity on order]]+Table1[[#This Row],[Quantity donated]]-Table1[[#This Row],[extended quantity]]</f>
        <v>0</v>
      </c>
      <c r="U3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2" s="51">
        <f>IFERROR(Table1[[#This Row],[Quantity  to  purchase]]*(Table1[[#This Row],[Cost ]]+Table1[[#This Row],[shipping]]+Table1[[#This Row],[Tax]]),0)</f>
        <v>0</v>
      </c>
      <c r="W352" s="36">
        <f>IFERROR(Table1[[#This Row],[leftover material]]*(Table1[[#This Row],[Cost ]]+Table1[[#This Row],[shipping]]+Table1[[#This Row],[Tax]]),0)</f>
        <v>0</v>
      </c>
      <c r="X352" s="36"/>
      <c r="Y352" s="84"/>
      <c r="Z352" s="84"/>
      <c r="AA352" s="84"/>
      <c r="AB352" s="36"/>
      <c r="AC352" s="36">
        <f>IF(ISNA(VLOOKUP(Table1[[#This Row],[Part Number]],'Multi-level BOM'!V$4:V$449,1,FALSE)),0,Table1[[#This Row],[Remaining Extended cost]])</f>
        <v>0</v>
      </c>
    </row>
    <row r="353" spans="1:29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80" t="str">
        <f>IF(Table1[[#This Row],[Buy-now costs]]&gt;0,"X","")</f>
        <v/>
      </c>
      <c r="M353" s="80"/>
      <c r="N353" s="80"/>
      <c r="O353" s="40">
        <v>0</v>
      </c>
      <c r="P353" s="94">
        <f>Table1[[#This Row],[quantity on-hand]]*(Table1[[#This Row],[Cost ]]+Table1[[#This Row],[shipping]]+Table1[[#This Row],[Tax]])</f>
        <v>0</v>
      </c>
      <c r="Q353" s="40">
        <v>0</v>
      </c>
      <c r="R353" s="92">
        <f>Table1[[#This Row],[Quantity on order]]*(Table1[[#This Row],[Cost ]]+Table1[[#This Row],[shipping]]+Table1[[#This Row],[Tax]])</f>
        <v>0</v>
      </c>
      <c r="S3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3" s="49">
        <f>Table1[[#This Row],[Quantity  to  purchase]]+Table1[[#This Row],[Quantity purchased]]+Table1[[#This Row],[Quantity on order]]+Table1[[#This Row],[Quantity donated]]-Table1[[#This Row],[extended quantity]]</f>
        <v>0</v>
      </c>
      <c r="U3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3" s="51">
        <f>IFERROR(Table1[[#This Row],[Quantity  to  purchase]]*(Table1[[#This Row],[Cost ]]+Table1[[#This Row],[shipping]]+Table1[[#This Row],[Tax]]),0)</f>
        <v>0</v>
      </c>
      <c r="W353" s="36">
        <f>IFERROR(Table1[[#This Row],[leftover material]]*(Table1[[#This Row],[Cost ]]+Table1[[#This Row],[shipping]]+Table1[[#This Row],[Tax]]),0)</f>
        <v>0</v>
      </c>
      <c r="X353" s="36"/>
      <c r="Y353" s="84"/>
      <c r="Z353" s="84"/>
      <c r="AA353" s="84"/>
      <c r="AB353" s="36"/>
      <c r="AC353" s="36">
        <f>IF(ISNA(VLOOKUP(Table1[[#This Row],[Part Number]],'Multi-level BOM'!V$4:V$449,1,FALSE)),0,Table1[[#This Row],[Remaining Extended cost]])</f>
        <v>0</v>
      </c>
    </row>
    <row r="354" spans="1:29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80" t="str">
        <f>IF(Table1[[#This Row],[Buy-now costs]]&gt;0,"X","")</f>
        <v/>
      </c>
      <c r="M354" s="80"/>
      <c r="N354" s="80"/>
      <c r="O354" s="40">
        <v>0</v>
      </c>
      <c r="P354" s="94">
        <f>Table1[[#This Row],[quantity on-hand]]*(Table1[[#This Row],[Cost ]]+Table1[[#This Row],[shipping]]+Table1[[#This Row],[Tax]])</f>
        <v>0</v>
      </c>
      <c r="Q354" s="40">
        <v>0</v>
      </c>
      <c r="R354" s="92">
        <f>Table1[[#This Row],[Quantity on order]]*(Table1[[#This Row],[Cost ]]+Table1[[#This Row],[shipping]]+Table1[[#This Row],[Tax]])</f>
        <v>0</v>
      </c>
      <c r="S3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4" s="49">
        <f>Table1[[#This Row],[Quantity  to  purchase]]+Table1[[#This Row],[Quantity purchased]]+Table1[[#This Row],[Quantity on order]]+Table1[[#This Row],[Quantity donated]]-Table1[[#This Row],[extended quantity]]</f>
        <v>0</v>
      </c>
      <c r="U3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4" s="51">
        <f>IFERROR(Table1[[#This Row],[Quantity  to  purchase]]*(Table1[[#This Row],[Cost ]]+Table1[[#This Row],[shipping]]+Table1[[#This Row],[Tax]]),0)</f>
        <v>0</v>
      </c>
      <c r="W354" s="36">
        <f>IFERROR(Table1[[#This Row],[leftover material]]*(Table1[[#This Row],[Cost ]]+Table1[[#This Row],[shipping]]+Table1[[#This Row],[Tax]]),0)</f>
        <v>0</v>
      </c>
      <c r="X354" s="36"/>
      <c r="Y354" s="84"/>
      <c r="Z354" s="84"/>
      <c r="AA354" s="84"/>
      <c r="AB354" s="36"/>
      <c r="AC354" s="36">
        <f>IF(ISNA(VLOOKUP(Table1[[#This Row],[Part Number]],'Multi-level BOM'!V$4:V$449,1,FALSE)),0,Table1[[#This Row],[Remaining Extended cost]])</f>
        <v>0</v>
      </c>
    </row>
    <row r="355" spans="1:29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80" t="str">
        <f>IF(Table1[[#This Row],[Buy-now costs]]&gt;0,"X","")</f>
        <v/>
      </c>
      <c r="M355" s="80"/>
      <c r="N355" s="80"/>
      <c r="O355" s="40">
        <v>0</v>
      </c>
      <c r="P355" s="94">
        <f>Table1[[#This Row],[quantity on-hand]]*(Table1[[#This Row],[Cost ]]+Table1[[#This Row],[shipping]]+Table1[[#This Row],[Tax]])</f>
        <v>0</v>
      </c>
      <c r="Q355" s="40">
        <v>0</v>
      </c>
      <c r="R355" s="92">
        <f>Table1[[#This Row],[Quantity on order]]*(Table1[[#This Row],[Cost ]]+Table1[[#This Row],[shipping]]+Table1[[#This Row],[Tax]])</f>
        <v>0</v>
      </c>
      <c r="S3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5" s="49">
        <f>Table1[[#This Row],[Quantity  to  purchase]]+Table1[[#This Row],[Quantity purchased]]+Table1[[#This Row],[Quantity on order]]+Table1[[#This Row],[Quantity donated]]-Table1[[#This Row],[extended quantity]]</f>
        <v>0</v>
      </c>
      <c r="U3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5" s="51">
        <f>IFERROR(Table1[[#This Row],[Quantity  to  purchase]]*(Table1[[#This Row],[Cost ]]+Table1[[#This Row],[shipping]]+Table1[[#This Row],[Tax]]),0)</f>
        <v>0</v>
      </c>
      <c r="W355" s="36">
        <f>IFERROR(Table1[[#This Row],[leftover material]]*(Table1[[#This Row],[Cost ]]+Table1[[#This Row],[shipping]]+Table1[[#This Row],[Tax]]),0)</f>
        <v>0</v>
      </c>
      <c r="X355" s="36"/>
      <c r="Y355" s="84"/>
      <c r="Z355" s="84"/>
      <c r="AA355" s="84"/>
      <c r="AB355" s="36"/>
      <c r="AC355" s="36">
        <f>IF(ISNA(VLOOKUP(Table1[[#This Row],[Part Number]],'Multi-level BOM'!V$4:V$449,1,FALSE)),0,Table1[[#This Row],[Remaining Extended cost]])</f>
        <v>0</v>
      </c>
    </row>
    <row r="356" spans="1:29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80" t="str">
        <f>IF(Table1[[#This Row],[Buy-now costs]]&gt;0,"X","")</f>
        <v/>
      </c>
      <c r="M356" s="80"/>
      <c r="N356" s="80"/>
      <c r="O356" s="40">
        <v>0</v>
      </c>
      <c r="P356" s="94">
        <f>Table1[[#This Row],[quantity on-hand]]*(Table1[[#This Row],[Cost ]]+Table1[[#This Row],[shipping]]+Table1[[#This Row],[Tax]])</f>
        <v>0</v>
      </c>
      <c r="Q356" s="40">
        <v>0</v>
      </c>
      <c r="R356" s="92">
        <f>Table1[[#This Row],[Quantity on order]]*(Table1[[#This Row],[Cost ]]+Table1[[#This Row],[shipping]]+Table1[[#This Row],[Tax]])</f>
        <v>0</v>
      </c>
      <c r="S3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6" s="49">
        <f>Table1[[#This Row],[Quantity  to  purchase]]+Table1[[#This Row],[Quantity purchased]]+Table1[[#This Row],[Quantity on order]]+Table1[[#This Row],[Quantity donated]]-Table1[[#This Row],[extended quantity]]</f>
        <v>0</v>
      </c>
      <c r="U3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6" s="51">
        <f>IFERROR(Table1[[#This Row],[Quantity  to  purchase]]*(Table1[[#This Row],[Cost ]]+Table1[[#This Row],[shipping]]+Table1[[#This Row],[Tax]]),0)</f>
        <v>0</v>
      </c>
      <c r="W356" s="36">
        <f>IFERROR(Table1[[#This Row],[leftover material]]*(Table1[[#This Row],[Cost ]]+Table1[[#This Row],[shipping]]+Table1[[#This Row],[Tax]]),0)</f>
        <v>0</v>
      </c>
      <c r="X356" s="36"/>
      <c r="Y356" s="84"/>
      <c r="Z356" s="84"/>
      <c r="AA356" s="84"/>
      <c r="AB356" s="36"/>
      <c r="AC356" s="36">
        <f>IF(ISNA(VLOOKUP(Table1[[#This Row],[Part Number]],'Multi-level BOM'!V$4:V$449,1,FALSE)),0,Table1[[#This Row],[Remaining Extended cost]])</f>
        <v>0</v>
      </c>
    </row>
    <row r="357" spans="1:29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80" t="str">
        <f>IF(Table1[[#This Row],[Buy-now costs]]&gt;0,"X","")</f>
        <v/>
      </c>
      <c r="M357" s="80"/>
      <c r="N357" s="80"/>
      <c r="O357" s="40">
        <v>0</v>
      </c>
      <c r="P357" s="94">
        <f>Table1[[#This Row],[quantity on-hand]]*(Table1[[#This Row],[Cost ]]+Table1[[#This Row],[shipping]]+Table1[[#This Row],[Tax]])</f>
        <v>0</v>
      </c>
      <c r="Q357" s="40">
        <v>0</v>
      </c>
      <c r="R357" s="92">
        <f>Table1[[#This Row],[Quantity on order]]*(Table1[[#This Row],[Cost ]]+Table1[[#This Row],[shipping]]+Table1[[#This Row],[Tax]])</f>
        <v>0</v>
      </c>
      <c r="S3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7" s="49">
        <f>Table1[[#This Row],[Quantity  to  purchase]]+Table1[[#This Row],[Quantity purchased]]+Table1[[#This Row],[Quantity on order]]+Table1[[#This Row],[Quantity donated]]-Table1[[#This Row],[extended quantity]]</f>
        <v>0</v>
      </c>
      <c r="U3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7" s="51">
        <f>IFERROR(Table1[[#This Row],[Quantity  to  purchase]]*(Table1[[#This Row],[Cost ]]+Table1[[#This Row],[shipping]]+Table1[[#This Row],[Tax]]),0)</f>
        <v>0</v>
      </c>
      <c r="W357" s="36">
        <f>IFERROR(Table1[[#This Row],[leftover material]]*(Table1[[#This Row],[Cost ]]+Table1[[#This Row],[shipping]]+Table1[[#This Row],[Tax]]),0)</f>
        <v>0</v>
      </c>
      <c r="X357" s="36"/>
      <c r="Y357" s="84"/>
      <c r="Z357" s="84"/>
      <c r="AA357" s="84"/>
      <c r="AB357" s="36"/>
      <c r="AC357" s="36">
        <f>IF(ISNA(VLOOKUP(Table1[[#This Row],[Part Number]],'Multi-level BOM'!V$4:V$449,1,FALSE)),0,Table1[[#This Row],[Remaining Extended cost]])</f>
        <v>0</v>
      </c>
    </row>
    <row r="358" spans="1:29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80" t="str">
        <f>IF(Table1[[#This Row],[Buy-now costs]]&gt;0,"X","")</f>
        <v/>
      </c>
      <c r="M358" s="80"/>
      <c r="N358" s="80"/>
      <c r="O358" s="40">
        <v>0</v>
      </c>
      <c r="P358" s="94">
        <f>Table1[[#This Row],[quantity on-hand]]*(Table1[[#This Row],[Cost ]]+Table1[[#This Row],[shipping]]+Table1[[#This Row],[Tax]])</f>
        <v>0</v>
      </c>
      <c r="Q358" s="40">
        <v>0</v>
      </c>
      <c r="R358" s="92">
        <f>Table1[[#This Row],[Quantity on order]]*(Table1[[#This Row],[Cost ]]+Table1[[#This Row],[shipping]]+Table1[[#This Row],[Tax]])</f>
        <v>0</v>
      </c>
      <c r="S3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8" s="49">
        <f>Table1[[#This Row],[Quantity  to  purchase]]+Table1[[#This Row],[Quantity purchased]]+Table1[[#This Row],[Quantity on order]]+Table1[[#This Row],[Quantity donated]]-Table1[[#This Row],[extended quantity]]</f>
        <v>0</v>
      </c>
      <c r="U3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8" s="51">
        <f>IFERROR(Table1[[#This Row],[Quantity  to  purchase]]*(Table1[[#This Row],[Cost ]]+Table1[[#This Row],[shipping]]+Table1[[#This Row],[Tax]]),0)</f>
        <v>0</v>
      </c>
      <c r="W358" s="36">
        <f>IFERROR(Table1[[#This Row],[leftover material]]*(Table1[[#This Row],[Cost ]]+Table1[[#This Row],[shipping]]+Table1[[#This Row],[Tax]]),0)</f>
        <v>0</v>
      </c>
      <c r="X358" s="36"/>
      <c r="Y358" s="84"/>
      <c r="Z358" s="84"/>
      <c r="AA358" s="84"/>
      <c r="AB358" s="36"/>
      <c r="AC358" s="36">
        <f>IF(ISNA(VLOOKUP(Table1[[#This Row],[Part Number]],'Multi-level BOM'!V$4:V$449,1,FALSE)),0,Table1[[#This Row],[Remaining Extended cost]])</f>
        <v>0</v>
      </c>
    </row>
    <row r="359" spans="1:29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80" t="str">
        <f>IF(Table1[[#This Row],[Buy-now costs]]&gt;0,"X","")</f>
        <v/>
      </c>
      <c r="M359" s="80"/>
      <c r="N359" s="80"/>
      <c r="O359" s="40">
        <v>0</v>
      </c>
      <c r="P359" s="94">
        <f>Table1[[#This Row],[quantity on-hand]]*(Table1[[#This Row],[Cost ]]+Table1[[#This Row],[shipping]]+Table1[[#This Row],[Tax]])</f>
        <v>0</v>
      </c>
      <c r="Q359" s="40">
        <v>0</v>
      </c>
      <c r="R359" s="92">
        <f>Table1[[#This Row],[Quantity on order]]*(Table1[[#This Row],[Cost ]]+Table1[[#This Row],[shipping]]+Table1[[#This Row],[Tax]])</f>
        <v>0</v>
      </c>
      <c r="S3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9" s="49">
        <f>Table1[[#This Row],[Quantity  to  purchase]]+Table1[[#This Row],[Quantity purchased]]+Table1[[#This Row],[Quantity on order]]+Table1[[#This Row],[Quantity donated]]-Table1[[#This Row],[extended quantity]]</f>
        <v>0</v>
      </c>
      <c r="U3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9" s="51">
        <f>IFERROR(Table1[[#This Row],[Quantity  to  purchase]]*(Table1[[#This Row],[Cost ]]+Table1[[#This Row],[shipping]]+Table1[[#This Row],[Tax]]),0)</f>
        <v>0</v>
      </c>
      <c r="W359" s="36">
        <f>IFERROR(Table1[[#This Row],[leftover material]]*(Table1[[#This Row],[Cost ]]+Table1[[#This Row],[shipping]]+Table1[[#This Row],[Tax]]),0)</f>
        <v>0</v>
      </c>
      <c r="X359" s="36"/>
      <c r="Y359" s="84"/>
      <c r="Z359" s="84"/>
      <c r="AA359" s="84"/>
      <c r="AB359" s="36"/>
      <c r="AC359" s="36">
        <f>IF(ISNA(VLOOKUP(Table1[[#This Row],[Part Number]],'Multi-level BOM'!V$4:V$449,1,FALSE)),0,Table1[[#This Row],[Remaining Extended cost]])</f>
        <v>0</v>
      </c>
    </row>
    <row r="360" spans="1:29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80" t="str">
        <f>IF(Table1[[#This Row],[Buy-now costs]]&gt;0,"X","")</f>
        <v/>
      </c>
      <c r="M360" s="80"/>
      <c r="N360" s="80"/>
      <c r="O360" s="40">
        <v>0</v>
      </c>
      <c r="P360" s="94">
        <f>Table1[[#This Row],[quantity on-hand]]*(Table1[[#This Row],[Cost ]]+Table1[[#This Row],[shipping]]+Table1[[#This Row],[Tax]])</f>
        <v>0</v>
      </c>
      <c r="Q360" s="40">
        <v>0</v>
      </c>
      <c r="R360" s="92">
        <f>Table1[[#This Row],[Quantity on order]]*(Table1[[#This Row],[Cost ]]+Table1[[#This Row],[shipping]]+Table1[[#This Row],[Tax]])</f>
        <v>0</v>
      </c>
      <c r="S3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0" s="49">
        <f>Table1[[#This Row],[Quantity  to  purchase]]+Table1[[#This Row],[Quantity purchased]]+Table1[[#This Row],[Quantity on order]]+Table1[[#This Row],[Quantity donated]]-Table1[[#This Row],[extended quantity]]</f>
        <v>0</v>
      </c>
      <c r="U3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0" s="51">
        <f>IFERROR(Table1[[#This Row],[Quantity  to  purchase]]*(Table1[[#This Row],[Cost ]]+Table1[[#This Row],[shipping]]+Table1[[#This Row],[Tax]]),0)</f>
        <v>0</v>
      </c>
      <c r="W360" s="36">
        <f>IFERROR(Table1[[#This Row],[leftover material]]*(Table1[[#This Row],[Cost ]]+Table1[[#This Row],[shipping]]+Table1[[#This Row],[Tax]]),0)</f>
        <v>0</v>
      </c>
      <c r="X360" s="36"/>
      <c r="Y360" s="84"/>
      <c r="Z360" s="84"/>
      <c r="AA360" s="84"/>
      <c r="AB360" s="36"/>
      <c r="AC360" s="36">
        <f>IF(ISNA(VLOOKUP(Table1[[#This Row],[Part Number]],'Multi-level BOM'!V$4:V$449,1,FALSE)),0,Table1[[#This Row],[Remaining Extended cost]])</f>
        <v>0</v>
      </c>
    </row>
    <row r="361" spans="1:29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80" t="str">
        <f>IF(Table1[[#This Row],[Buy-now costs]]&gt;0,"X","")</f>
        <v/>
      </c>
      <c r="M361" s="80"/>
      <c r="N361" s="80"/>
      <c r="O361" s="40">
        <v>0</v>
      </c>
      <c r="P361" s="94">
        <f>Table1[[#This Row],[quantity on-hand]]*(Table1[[#This Row],[Cost ]]+Table1[[#This Row],[shipping]]+Table1[[#This Row],[Tax]])</f>
        <v>0</v>
      </c>
      <c r="Q361" s="40">
        <v>0</v>
      </c>
      <c r="R361" s="92">
        <f>Table1[[#This Row],[Quantity on order]]*(Table1[[#This Row],[Cost ]]+Table1[[#This Row],[shipping]]+Table1[[#This Row],[Tax]])</f>
        <v>0</v>
      </c>
      <c r="S3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1" s="49">
        <f>Table1[[#This Row],[Quantity  to  purchase]]+Table1[[#This Row],[Quantity purchased]]+Table1[[#This Row],[Quantity on order]]+Table1[[#This Row],[Quantity donated]]-Table1[[#This Row],[extended quantity]]</f>
        <v>0</v>
      </c>
      <c r="U3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1" s="51">
        <f>IFERROR(Table1[[#This Row],[Quantity  to  purchase]]*(Table1[[#This Row],[Cost ]]+Table1[[#This Row],[shipping]]+Table1[[#This Row],[Tax]]),0)</f>
        <v>0</v>
      </c>
      <c r="W361" s="36">
        <f>IFERROR(Table1[[#This Row],[leftover material]]*(Table1[[#This Row],[Cost ]]+Table1[[#This Row],[shipping]]+Table1[[#This Row],[Tax]]),0)</f>
        <v>0</v>
      </c>
      <c r="X361" s="36"/>
      <c r="Y361" s="84"/>
      <c r="Z361" s="84"/>
      <c r="AA361" s="84"/>
      <c r="AB361" s="36"/>
      <c r="AC361" s="36">
        <f>IF(ISNA(VLOOKUP(Table1[[#This Row],[Part Number]],'Multi-level BOM'!V$4:V$449,1,FALSE)),0,Table1[[#This Row],[Remaining Extended cost]])</f>
        <v>0</v>
      </c>
    </row>
    <row r="362" spans="1:29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80" t="str">
        <f>IF(Table1[[#This Row],[Buy-now costs]]&gt;0,"X","")</f>
        <v/>
      </c>
      <c r="M362" s="80"/>
      <c r="N362" s="80"/>
      <c r="O362" s="40">
        <v>0</v>
      </c>
      <c r="P362" s="94">
        <f>Table1[[#This Row],[quantity on-hand]]*(Table1[[#This Row],[Cost ]]+Table1[[#This Row],[shipping]]+Table1[[#This Row],[Tax]])</f>
        <v>0</v>
      </c>
      <c r="Q362" s="40">
        <v>0</v>
      </c>
      <c r="R362" s="92">
        <f>Table1[[#This Row],[Quantity on order]]*(Table1[[#This Row],[Cost ]]+Table1[[#This Row],[shipping]]+Table1[[#This Row],[Tax]])</f>
        <v>0</v>
      </c>
      <c r="S3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2" s="49">
        <f>Table1[[#This Row],[Quantity  to  purchase]]+Table1[[#This Row],[Quantity purchased]]+Table1[[#This Row],[Quantity on order]]+Table1[[#This Row],[Quantity donated]]-Table1[[#This Row],[extended quantity]]</f>
        <v>0</v>
      </c>
      <c r="U3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2" s="51">
        <f>IFERROR(Table1[[#This Row],[Quantity  to  purchase]]*(Table1[[#This Row],[Cost ]]+Table1[[#This Row],[shipping]]+Table1[[#This Row],[Tax]]),0)</f>
        <v>0</v>
      </c>
      <c r="W362" s="36">
        <f>IFERROR(Table1[[#This Row],[leftover material]]*(Table1[[#This Row],[Cost ]]+Table1[[#This Row],[shipping]]+Table1[[#This Row],[Tax]]),0)</f>
        <v>0</v>
      </c>
      <c r="X362" s="36"/>
      <c r="Y362" s="84"/>
      <c r="Z362" s="84"/>
      <c r="AA362" s="84"/>
      <c r="AB362" s="36"/>
      <c r="AC362" s="36">
        <f>IF(ISNA(VLOOKUP(Table1[[#This Row],[Part Number]],'Multi-level BOM'!V$4:V$449,1,FALSE)),0,Table1[[#This Row],[Remaining Extended cost]])</f>
        <v>0</v>
      </c>
    </row>
    <row r="363" spans="1:29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80" t="str">
        <f>IF(Table1[[#This Row],[Buy-now costs]]&gt;0,"X","")</f>
        <v/>
      </c>
      <c r="M363" s="80"/>
      <c r="N363" s="80"/>
      <c r="O363" s="40">
        <v>0</v>
      </c>
      <c r="P363" s="94">
        <f>Table1[[#This Row],[quantity on-hand]]*(Table1[[#This Row],[Cost ]]+Table1[[#This Row],[shipping]]+Table1[[#This Row],[Tax]])</f>
        <v>0</v>
      </c>
      <c r="Q363" s="40">
        <v>0</v>
      </c>
      <c r="R363" s="92">
        <f>Table1[[#This Row],[Quantity on order]]*(Table1[[#This Row],[Cost ]]+Table1[[#This Row],[shipping]]+Table1[[#This Row],[Tax]])</f>
        <v>0</v>
      </c>
      <c r="S3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3" s="49">
        <f>Table1[[#This Row],[Quantity  to  purchase]]+Table1[[#This Row],[Quantity purchased]]+Table1[[#This Row],[Quantity on order]]+Table1[[#This Row],[Quantity donated]]-Table1[[#This Row],[extended quantity]]</f>
        <v>0</v>
      </c>
      <c r="U3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3" s="51">
        <f>IFERROR(Table1[[#This Row],[Quantity  to  purchase]]*(Table1[[#This Row],[Cost ]]+Table1[[#This Row],[shipping]]+Table1[[#This Row],[Tax]]),0)</f>
        <v>0</v>
      </c>
      <c r="W363" s="36">
        <f>IFERROR(Table1[[#This Row],[leftover material]]*(Table1[[#This Row],[Cost ]]+Table1[[#This Row],[shipping]]+Table1[[#This Row],[Tax]]),0)</f>
        <v>0</v>
      </c>
      <c r="X363" s="36"/>
      <c r="Y363" s="84"/>
      <c r="Z363" s="84"/>
      <c r="AA363" s="84"/>
      <c r="AB363" s="36"/>
      <c r="AC363" s="36">
        <f>IF(ISNA(VLOOKUP(Table1[[#This Row],[Part Number]],'Multi-level BOM'!V$4:V$449,1,FALSE)),0,Table1[[#This Row],[Remaining Extended cost]])</f>
        <v>0</v>
      </c>
    </row>
    <row r="364" spans="1:29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80" t="str">
        <f>IF(Table1[[#This Row],[Buy-now costs]]&gt;0,"X","")</f>
        <v/>
      </c>
      <c r="M364" s="80"/>
      <c r="N364" s="80"/>
      <c r="O364" s="40">
        <v>0</v>
      </c>
      <c r="P364" s="94">
        <f>Table1[[#This Row],[quantity on-hand]]*(Table1[[#This Row],[Cost ]]+Table1[[#This Row],[shipping]]+Table1[[#This Row],[Tax]])</f>
        <v>0</v>
      </c>
      <c r="Q364" s="40">
        <v>0</v>
      </c>
      <c r="R364" s="92">
        <f>Table1[[#This Row],[Quantity on order]]*(Table1[[#This Row],[Cost ]]+Table1[[#This Row],[shipping]]+Table1[[#This Row],[Tax]])</f>
        <v>0</v>
      </c>
      <c r="S3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4" s="49">
        <f>Table1[[#This Row],[Quantity  to  purchase]]+Table1[[#This Row],[Quantity purchased]]+Table1[[#This Row],[Quantity on order]]+Table1[[#This Row],[Quantity donated]]-Table1[[#This Row],[extended quantity]]</f>
        <v>0</v>
      </c>
      <c r="U3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4" s="51">
        <f>IFERROR(Table1[[#This Row],[Quantity  to  purchase]]*(Table1[[#This Row],[Cost ]]+Table1[[#This Row],[shipping]]+Table1[[#This Row],[Tax]]),0)</f>
        <v>0</v>
      </c>
      <c r="W364" s="36">
        <f>IFERROR(Table1[[#This Row],[leftover material]]*(Table1[[#This Row],[Cost ]]+Table1[[#This Row],[shipping]]+Table1[[#This Row],[Tax]]),0)</f>
        <v>0</v>
      </c>
      <c r="X364" s="36"/>
      <c r="Y364" s="84"/>
      <c r="Z364" s="84"/>
      <c r="AA364" s="84"/>
      <c r="AB364" s="36"/>
      <c r="AC364" s="36">
        <f>IF(ISNA(VLOOKUP(Table1[[#This Row],[Part Number]],'Multi-level BOM'!V$4:V$449,1,FALSE)),0,Table1[[#This Row],[Remaining Extended cost]])</f>
        <v>0</v>
      </c>
    </row>
    <row r="365" spans="1:29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80" t="str">
        <f>IF(Table1[[#This Row],[Buy-now costs]]&gt;0,"X","")</f>
        <v/>
      </c>
      <c r="M365" s="80"/>
      <c r="N365" s="80"/>
      <c r="O365" s="40">
        <v>0</v>
      </c>
      <c r="P365" s="94">
        <f>Table1[[#This Row],[quantity on-hand]]*(Table1[[#This Row],[Cost ]]+Table1[[#This Row],[shipping]]+Table1[[#This Row],[Tax]])</f>
        <v>0</v>
      </c>
      <c r="Q365" s="40">
        <v>0</v>
      </c>
      <c r="R365" s="92">
        <f>Table1[[#This Row],[Quantity on order]]*(Table1[[#This Row],[Cost ]]+Table1[[#This Row],[shipping]]+Table1[[#This Row],[Tax]])</f>
        <v>0</v>
      </c>
      <c r="S3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5" s="49">
        <f>Table1[[#This Row],[Quantity  to  purchase]]+Table1[[#This Row],[Quantity purchased]]+Table1[[#This Row],[Quantity on order]]+Table1[[#This Row],[Quantity donated]]-Table1[[#This Row],[extended quantity]]</f>
        <v>0</v>
      </c>
      <c r="U3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5" s="51">
        <f>IFERROR(Table1[[#This Row],[Quantity  to  purchase]]*(Table1[[#This Row],[Cost ]]+Table1[[#This Row],[shipping]]+Table1[[#This Row],[Tax]]),0)</f>
        <v>0</v>
      </c>
      <c r="W365" s="36">
        <f>IFERROR(Table1[[#This Row],[leftover material]]*(Table1[[#This Row],[Cost ]]+Table1[[#This Row],[shipping]]+Table1[[#This Row],[Tax]]),0)</f>
        <v>0</v>
      </c>
      <c r="X365" s="36"/>
      <c r="Y365" s="84"/>
      <c r="Z365" s="84"/>
      <c r="AA365" s="84"/>
      <c r="AB365" s="36"/>
      <c r="AC365" s="36">
        <f>IF(ISNA(VLOOKUP(Table1[[#This Row],[Part Number]],'Multi-level BOM'!V$4:V$449,1,FALSE)),0,Table1[[#This Row],[Remaining Extended cost]])</f>
        <v>0</v>
      </c>
    </row>
    <row r="366" spans="1:29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80" t="str">
        <f>IF(Table1[[#This Row],[Buy-now costs]]&gt;0,"X","")</f>
        <v/>
      </c>
      <c r="M366" s="80"/>
      <c r="N366" s="80"/>
      <c r="O366" s="40">
        <v>0</v>
      </c>
      <c r="P366" s="94">
        <f>Table1[[#This Row],[quantity on-hand]]*(Table1[[#This Row],[Cost ]]+Table1[[#This Row],[shipping]]+Table1[[#This Row],[Tax]])</f>
        <v>0</v>
      </c>
      <c r="Q366" s="40">
        <v>0</v>
      </c>
      <c r="R366" s="92">
        <f>Table1[[#This Row],[Quantity on order]]*(Table1[[#This Row],[Cost ]]+Table1[[#This Row],[shipping]]+Table1[[#This Row],[Tax]])</f>
        <v>0</v>
      </c>
      <c r="S3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6" s="49">
        <f>Table1[[#This Row],[Quantity  to  purchase]]+Table1[[#This Row],[Quantity purchased]]+Table1[[#This Row],[Quantity on order]]+Table1[[#This Row],[Quantity donated]]-Table1[[#This Row],[extended quantity]]</f>
        <v>0</v>
      </c>
      <c r="U3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6" s="51">
        <f>IFERROR(Table1[[#This Row],[Quantity  to  purchase]]*(Table1[[#This Row],[Cost ]]+Table1[[#This Row],[shipping]]+Table1[[#This Row],[Tax]]),0)</f>
        <v>0</v>
      </c>
      <c r="W366" s="36">
        <f>IFERROR(Table1[[#This Row],[leftover material]]*(Table1[[#This Row],[Cost ]]+Table1[[#This Row],[shipping]]+Table1[[#This Row],[Tax]]),0)</f>
        <v>0</v>
      </c>
      <c r="X366" s="36"/>
      <c r="Y366" s="84"/>
      <c r="Z366" s="84"/>
      <c r="AA366" s="84"/>
      <c r="AB366" s="36"/>
      <c r="AC366" s="36">
        <f>IF(ISNA(VLOOKUP(Table1[[#This Row],[Part Number]],'Multi-level BOM'!V$4:V$449,1,FALSE)),0,Table1[[#This Row],[Remaining Extended cost]])</f>
        <v>0</v>
      </c>
    </row>
    <row r="367" spans="1:29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80" t="str">
        <f>IF(Table1[[#This Row],[Buy-now costs]]&gt;0,"X","")</f>
        <v/>
      </c>
      <c r="M367" s="80"/>
      <c r="N367" s="80"/>
      <c r="O367" s="40">
        <v>0</v>
      </c>
      <c r="P367" s="94">
        <f>Table1[[#This Row],[quantity on-hand]]*(Table1[[#This Row],[Cost ]]+Table1[[#This Row],[shipping]]+Table1[[#This Row],[Tax]])</f>
        <v>0</v>
      </c>
      <c r="Q367" s="40">
        <v>0</v>
      </c>
      <c r="R367" s="92">
        <f>Table1[[#This Row],[Quantity on order]]*(Table1[[#This Row],[Cost ]]+Table1[[#This Row],[shipping]]+Table1[[#This Row],[Tax]])</f>
        <v>0</v>
      </c>
      <c r="S3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7" s="49">
        <f>Table1[[#This Row],[Quantity  to  purchase]]+Table1[[#This Row],[Quantity purchased]]+Table1[[#This Row],[Quantity on order]]+Table1[[#This Row],[Quantity donated]]-Table1[[#This Row],[extended quantity]]</f>
        <v>0</v>
      </c>
      <c r="U3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7" s="51">
        <f>IFERROR(Table1[[#This Row],[Quantity  to  purchase]]*(Table1[[#This Row],[Cost ]]+Table1[[#This Row],[shipping]]+Table1[[#This Row],[Tax]]),0)</f>
        <v>0</v>
      </c>
      <c r="W367" s="36">
        <f>IFERROR(Table1[[#This Row],[leftover material]]*(Table1[[#This Row],[Cost ]]+Table1[[#This Row],[shipping]]+Table1[[#This Row],[Tax]]),0)</f>
        <v>0</v>
      </c>
      <c r="X367" s="36"/>
      <c r="Y367" s="84"/>
      <c r="Z367" s="84"/>
      <c r="AA367" s="84"/>
      <c r="AB367" s="36"/>
      <c r="AC367" s="36">
        <f>IF(ISNA(VLOOKUP(Table1[[#This Row],[Part Number]],'Multi-level BOM'!V$4:V$449,1,FALSE)),0,Table1[[#This Row],[Remaining Extended cost]])</f>
        <v>0</v>
      </c>
    </row>
    <row r="368" spans="1:29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80" t="str">
        <f>IF(Table1[[#This Row],[Buy-now costs]]&gt;0,"X","")</f>
        <v/>
      </c>
      <c r="M368" s="80"/>
      <c r="N368" s="80"/>
      <c r="O368" s="40">
        <v>0</v>
      </c>
      <c r="P368" s="94">
        <f>Table1[[#This Row],[quantity on-hand]]*(Table1[[#This Row],[Cost ]]+Table1[[#This Row],[shipping]]+Table1[[#This Row],[Tax]])</f>
        <v>0</v>
      </c>
      <c r="Q368" s="40">
        <v>0</v>
      </c>
      <c r="R368" s="92">
        <f>Table1[[#This Row],[Quantity on order]]*(Table1[[#This Row],[Cost ]]+Table1[[#This Row],[shipping]]+Table1[[#This Row],[Tax]])</f>
        <v>0</v>
      </c>
      <c r="S3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8" s="49">
        <f>Table1[[#This Row],[Quantity  to  purchase]]+Table1[[#This Row],[Quantity purchased]]+Table1[[#This Row],[Quantity on order]]+Table1[[#This Row],[Quantity donated]]-Table1[[#This Row],[extended quantity]]</f>
        <v>0</v>
      </c>
      <c r="U3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8" s="51">
        <f>IFERROR(Table1[[#This Row],[Quantity  to  purchase]]*(Table1[[#This Row],[Cost ]]+Table1[[#This Row],[shipping]]+Table1[[#This Row],[Tax]]),0)</f>
        <v>0</v>
      </c>
      <c r="W368" s="36">
        <f>IFERROR(Table1[[#This Row],[leftover material]]*(Table1[[#This Row],[Cost ]]+Table1[[#This Row],[shipping]]+Table1[[#This Row],[Tax]]),0)</f>
        <v>0</v>
      </c>
      <c r="X368" s="36"/>
      <c r="Y368" s="84"/>
      <c r="Z368" s="84"/>
      <c r="AA368" s="84"/>
      <c r="AB368" s="36"/>
      <c r="AC368" s="36">
        <f>IF(ISNA(VLOOKUP(Table1[[#This Row],[Part Number]],'Multi-level BOM'!V$4:V$449,1,FALSE)),0,Table1[[#This Row],[Remaining Extended cost]])</f>
        <v>0</v>
      </c>
    </row>
    <row r="369" spans="1:29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80" t="str">
        <f>IF(Table1[[#This Row],[Buy-now costs]]&gt;0,"X","")</f>
        <v/>
      </c>
      <c r="M369" s="80"/>
      <c r="N369" s="80"/>
      <c r="O369" s="40">
        <v>0</v>
      </c>
      <c r="P369" s="94">
        <f>Table1[[#This Row],[quantity on-hand]]*(Table1[[#This Row],[Cost ]]+Table1[[#This Row],[shipping]]+Table1[[#This Row],[Tax]])</f>
        <v>0</v>
      </c>
      <c r="Q369" s="40">
        <v>0</v>
      </c>
      <c r="R369" s="92">
        <f>Table1[[#This Row],[Quantity on order]]*(Table1[[#This Row],[Cost ]]+Table1[[#This Row],[shipping]]+Table1[[#This Row],[Tax]])</f>
        <v>0</v>
      </c>
      <c r="S3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9" s="49">
        <f>Table1[[#This Row],[Quantity  to  purchase]]+Table1[[#This Row],[Quantity purchased]]+Table1[[#This Row],[Quantity on order]]+Table1[[#This Row],[Quantity donated]]-Table1[[#This Row],[extended quantity]]</f>
        <v>0</v>
      </c>
      <c r="U3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9" s="51">
        <f>IFERROR(Table1[[#This Row],[Quantity  to  purchase]]*(Table1[[#This Row],[Cost ]]+Table1[[#This Row],[shipping]]+Table1[[#This Row],[Tax]]),0)</f>
        <v>0</v>
      </c>
      <c r="W369" s="36">
        <f>IFERROR(Table1[[#This Row],[leftover material]]*(Table1[[#This Row],[Cost ]]+Table1[[#This Row],[shipping]]+Table1[[#This Row],[Tax]]),0)</f>
        <v>0</v>
      </c>
      <c r="X369" s="36"/>
      <c r="Y369" s="84"/>
      <c r="Z369" s="84"/>
      <c r="AA369" s="84"/>
      <c r="AB369" s="36"/>
      <c r="AC369" s="36">
        <f>IF(ISNA(VLOOKUP(Table1[[#This Row],[Part Number]],'Multi-level BOM'!V$4:V$449,1,FALSE)),0,Table1[[#This Row],[Remaining Extended cost]])</f>
        <v>0</v>
      </c>
    </row>
    <row r="370" spans="1:29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80" t="str">
        <f>IF(Table1[[#This Row],[Buy-now costs]]&gt;0,"X","")</f>
        <v/>
      </c>
      <c r="M370" s="80"/>
      <c r="N370" s="80"/>
      <c r="O370" s="40">
        <v>0</v>
      </c>
      <c r="P370" s="94">
        <f>Table1[[#This Row],[quantity on-hand]]*(Table1[[#This Row],[Cost ]]+Table1[[#This Row],[shipping]]+Table1[[#This Row],[Tax]])</f>
        <v>0</v>
      </c>
      <c r="Q370" s="40">
        <v>0</v>
      </c>
      <c r="R370" s="92">
        <f>Table1[[#This Row],[Quantity on order]]*(Table1[[#This Row],[Cost ]]+Table1[[#This Row],[shipping]]+Table1[[#This Row],[Tax]])</f>
        <v>0</v>
      </c>
      <c r="S3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0" s="49">
        <f>Table1[[#This Row],[Quantity  to  purchase]]+Table1[[#This Row],[Quantity purchased]]+Table1[[#This Row],[Quantity on order]]+Table1[[#This Row],[Quantity donated]]-Table1[[#This Row],[extended quantity]]</f>
        <v>0</v>
      </c>
      <c r="U3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0" s="51">
        <f>IFERROR(Table1[[#This Row],[Quantity  to  purchase]]*(Table1[[#This Row],[Cost ]]+Table1[[#This Row],[shipping]]+Table1[[#This Row],[Tax]]),0)</f>
        <v>0</v>
      </c>
      <c r="W370" s="36">
        <f>IFERROR(Table1[[#This Row],[leftover material]]*(Table1[[#This Row],[Cost ]]+Table1[[#This Row],[shipping]]+Table1[[#This Row],[Tax]]),0)</f>
        <v>0</v>
      </c>
      <c r="X370" s="36"/>
      <c r="Y370" s="84"/>
      <c r="Z370" s="84"/>
      <c r="AA370" s="84"/>
      <c r="AB370" s="36"/>
      <c r="AC370" s="36">
        <f>IF(ISNA(VLOOKUP(Table1[[#This Row],[Part Number]],'Multi-level BOM'!V$4:V$449,1,FALSE)),0,Table1[[#This Row],[Remaining Extended cost]])</f>
        <v>0</v>
      </c>
    </row>
    <row r="371" spans="1:29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80" t="str">
        <f>IF(Table1[[#This Row],[Buy-now costs]]&gt;0,"X","")</f>
        <v/>
      </c>
      <c r="M371" s="80"/>
      <c r="N371" s="80"/>
      <c r="O371" s="40">
        <v>0</v>
      </c>
      <c r="P371" s="94">
        <f>Table1[[#This Row],[quantity on-hand]]*(Table1[[#This Row],[Cost ]]+Table1[[#This Row],[shipping]]+Table1[[#This Row],[Tax]])</f>
        <v>0</v>
      </c>
      <c r="Q371" s="40">
        <v>0</v>
      </c>
      <c r="R371" s="92">
        <f>Table1[[#This Row],[Quantity on order]]*(Table1[[#This Row],[Cost ]]+Table1[[#This Row],[shipping]]+Table1[[#This Row],[Tax]])</f>
        <v>0</v>
      </c>
      <c r="S3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1" s="49">
        <f>Table1[[#This Row],[Quantity  to  purchase]]+Table1[[#This Row],[Quantity purchased]]+Table1[[#This Row],[Quantity on order]]+Table1[[#This Row],[Quantity donated]]-Table1[[#This Row],[extended quantity]]</f>
        <v>0</v>
      </c>
      <c r="U3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1" s="51">
        <f>IFERROR(Table1[[#This Row],[Quantity  to  purchase]]*(Table1[[#This Row],[Cost ]]+Table1[[#This Row],[shipping]]+Table1[[#This Row],[Tax]]),0)</f>
        <v>0</v>
      </c>
      <c r="W371" s="36">
        <f>IFERROR(Table1[[#This Row],[leftover material]]*(Table1[[#This Row],[Cost ]]+Table1[[#This Row],[shipping]]+Table1[[#This Row],[Tax]]),0)</f>
        <v>0</v>
      </c>
      <c r="X371" s="36"/>
      <c r="Y371" s="84"/>
      <c r="Z371" s="84"/>
      <c r="AA371" s="84"/>
      <c r="AB371" s="36"/>
      <c r="AC371" s="36">
        <f>IF(ISNA(VLOOKUP(Table1[[#This Row],[Part Number]],'Multi-level BOM'!V$4:V$449,1,FALSE)),0,Table1[[#This Row],[Remaining Extended cost]])</f>
        <v>0</v>
      </c>
    </row>
    <row r="372" spans="1:29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80" t="str">
        <f>IF(Table1[[#This Row],[Buy-now costs]]&gt;0,"X","")</f>
        <v/>
      </c>
      <c r="M372" s="80"/>
      <c r="N372" s="80"/>
      <c r="O372" s="40">
        <v>0</v>
      </c>
      <c r="P372" s="94">
        <f>Table1[[#This Row],[quantity on-hand]]*(Table1[[#This Row],[Cost ]]+Table1[[#This Row],[shipping]]+Table1[[#This Row],[Tax]])</f>
        <v>0</v>
      </c>
      <c r="Q372" s="40">
        <v>0</v>
      </c>
      <c r="R372" s="92">
        <f>Table1[[#This Row],[Quantity on order]]*(Table1[[#This Row],[Cost ]]+Table1[[#This Row],[shipping]]+Table1[[#This Row],[Tax]])</f>
        <v>0</v>
      </c>
      <c r="S3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2" s="49">
        <f>Table1[[#This Row],[Quantity  to  purchase]]+Table1[[#This Row],[Quantity purchased]]+Table1[[#This Row],[Quantity on order]]+Table1[[#This Row],[Quantity donated]]-Table1[[#This Row],[extended quantity]]</f>
        <v>0</v>
      </c>
      <c r="U3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2" s="51">
        <f>IFERROR(Table1[[#This Row],[Quantity  to  purchase]]*(Table1[[#This Row],[Cost ]]+Table1[[#This Row],[shipping]]+Table1[[#This Row],[Tax]]),0)</f>
        <v>0</v>
      </c>
      <c r="W372" s="36">
        <f>IFERROR(Table1[[#This Row],[leftover material]]*(Table1[[#This Row],[Cost ]]+Table1[[#This Row],[shipping]]+Table1[[#This Row],[Tax]]),0)</f>
        <v>0</v>
      </c>
      <c r="X372" s="36"/>
      <c r="Y372" s="84"/>
      <c r="Z372" s="84"/>
      <c r="AA372" s="84"/>
      <c r="AB372" s="36"/>
      <c r="AC372" s="36">
        <f>IF(ISNA(VLOOKUP(Table1[[#This Row],[Part Number]],'Multi-level BOM'!V$4:V$449,1,FALSE)),0,Table1[[#This Row],[Remaining Extended cost]])</f>
        <v>0</v>
      </c>
    </row>
    <row r="373" spans="1:29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80" t="str">
        <f>IF(Table1[[#This Row],[Buy-now costs]]&gt;0,"X","")</f>
        <v/>
      </c>
      <c r="M373" s="80"/>
      <c r="N373" s="80"/>
      <c r="O373" s="40">
        <v>0</v>
      </c>
      <c r="P373" s="94">
        <f>Table1[[#This Row],[quantity on-hand]]*(Table1[[#This Row],[Cost ]]+Table1[[#This Row],[shipping]]+Table1[[#This Row],[Tax]])</f>
        <v>0</v>
      </c>
      <c r="Q373" s="40">
        <v>0</v>
      </c>
      <c r="R373" s="92">
        <f>Table1[[#This Row],[Quantity on order]]*(Table1[[#This Row],[Cost ]]+Table1[[#This Row],[shipping]]+Table1[[#This Row],[Tax]])</f>
        <v>0</v>
      </c>
      <c r="S3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3" s="49">
        <f>Table1[[#This Row],[Quantity  to  purchase]]+Table1[[#This Row],[Quantity purchased]]+Table1[[#This Row],[Quantity on order]]+Table1[[#This Row],[Quantity donated]]-Table1[[#This Row],[extended quantity]]</f>
        <v>0</v>
      </c>
      <c r="U3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3" s="51">
        <f>IFERROR(Table1[[#This Row],[Quantity  to  purchase]]*(Table1[[#This Row],[Cost ]]+Table1[[#This Row],[shipping]]+Table1[[#This Row],[Tax]]),0)</f>
        <v>0</v>
      </c>
      <c r="W373" s="36">
        <f>IFERROR(Table1[[#This Row],[leftover material]]*(Table1[[#This Row],[Cost ]]+Table1[[#This Row],[shipping]]+Table1[[#This Row],[Tax]]),0)</f>
        <v>0</v>
      </c>
      <c r="X373" s="36"/>
      <c r="Y373" s="84"/>
      <c r="Z373" s="84"/>
      <c r="AA373" s="84"/>
      <c r="AB373" s="36"/>
      <c r="AC373" s="36">
        <f>IF(ISNA(VLOOKUP(Table1[[#This Row],[Part Number]],'Multi-level BOM'!V$4:V$449,1,FALSE)),0,Table1[[#This Row],[Remaining Extended cost]])</f>
        <v>0</v>
      </c>
    </row>
    <row r="374" spans="1:29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80" t="str">
        <f>IF(Table1[[#This Row],[Buy-now costs]]&gt;0,"X","")</f>
        <v/>
      </c>
      <c r="M374" s="80"/>
      <c r="N374" s="80"/>
      <c r="O374" s="40">
        <v>0</v>
      </c>
      <c r="P374" s="94">
        <f>Table1[[#This Row],[quantity on-hand]]*(Table1[[#This Row],[Cost ]]+Table1[[#This Row],[shipping]]+Table1[[#This Row],[Tax]])</f>
        <v>0</v>
      </c>
      <c r="Q374" s="40">
        <v>0</v>
      </c>
      <c r="R374" s="92">
        <f>Table1[[#This Row],[Quantity on order]]*(Table1[[#This Row],[Cost ]]+Table1[[#This Row],[shipping]]+Table1[[#This Row],[Tax]])</f>
        <v>0</v>
      </c>
      <c r="S3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4" s="49">
        <f>Table1[[#This Row],[Quantity  to  purchase]]+Table1[[#This Row],[Quantity purchased]]+Table1[[#This Row],[Quantity on order]]+Table1[[#This Row],[Quantity donated]]-Table1[[#This Row],[extended quantity]]</f>
        <v>0</v>
      </c>
      <c r="U3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4" s="51">
        <f>IFERROR(Table1[[#This Row],[Quantity  to  purchase]]*(Table1[[#This Row],[Cost ]]+Table1[[#This Row],[shipping]]+Table1[[#This Row],[Tax]]),0)</f>
        <v>0</v>
      </c>
      <c r="W374" s="36">
        <f>IFERROR(Table1[[#This Row],[leftover material]]*(Table1[[#This Row],[Cost ]]+Table1[[#This Row],[shipping]]+Table1[[#This Row],[Tax]]),0)</f>
        <v>0</v>
      </c>
      <c r="X374" s="36"/>
      <c r="Y374" s="84"/>
      <c r="Z374" s="84"/>
      <c r="AA374" s="84"/>
      <c r="AB374" s="36"/>
      <c r="AC374" s="36">
        <f>IF(ISNA(VLOOKUP(Table1[[#This Row],[Part Number]],'Multi-level BOM'!V$4:V$449,1,FALSE)),0,Table1[[#This Row],[Remaining Extended cost]])</f>
        <v>0</v>
      </c>
    </row>
    <row r="375" spans="1:29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80" t="str">
        <f>IF(Table1[[#This Row],[Buy-now costs]]&gt;0,"X","")</f>
        <v/>
      </c>
      <c r="M375" s="80"/>
      <c r="N375" s="80"/>
      <c r="O375" s="40">
        <v>0</v>
      </c>
      <c r="P375" s="94">
        <f>Table1[[#This Row],[quantity on-hand]]*(Table1[[#This Row],[Cost ]]+Table1[[#This Row],[shipping]]+Table1[[#This Row],[Tax]])</f>
        <v>0</v>
      </c>
      <c r="Q375" s="40">
        <v>0</v>
      </c>
      <c r="R375" s="92">
        <f>Table1[[#This Row],[Quantity on order]]*(Table1[[#This Row],[Cost ]]+Table1[[#This Row],[shipping]]+Table1[[#This Row],[Tax]])</f>
        <v>0</v>
      </c>
      <c r="S3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5" s="49">
        <f>Table1[[#This Row],[Quantity  to  purchase]]+Table1[[#This Row],[Quantity purchased]]+Table1[[#This Row],[Quantity on order]]+Table1[[#This Row],[Quantity donated]]-Table1[[#This Row],[extended quantity]]</f>
        <v>0</v>
      </c>
      <c r="U3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5" s="51">
        <f>IFERROR(Table1[[#This Row],[Quantity  to  purchase]]*(Table1[[#This Row],[Cost ]]+Table1[[#This Row],[shipping]]+Table1[[#This Row],[Tax]]),0)</f>
        <v>0</v>
      </c>
      <c r="W375" s="36">
        <f>IFERROR(Table1[[#This Row],[leftover material]]*(Table1[[#This Row],[Cost ]]+Table1[[#This Row],[shipping]]+Table1[[#This Row],[Tax]]),0)</f>
        <v>0</v>
      </c>
      <c r="X375" s="36"/>
      <c r="Y375" s="84"/>
      <c r="Z375" s="84"/>
      <c r="AA375" s="84"/>
      <c r="AB375" s="36"/>
      <c r="AC375" s="36">
        <f>IF(ISNA(VLOOKUP(Table1[[#This Row],[Part Number]],'Multi-level BOM'!V$4:V$449,1,FALSE)),0,Table1[[#This Row],[Remaining Extended cost]])</f>
        <v>0</v>
      </c>
    </row>
    <row r="376" spans="1:29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80" t="str">
        <f>IF(Table1[[#This Row],[Buy-now costs]]&gt;0,"X","")</f>
        <v/>
      </c>
      <c r="M376" s="80"/>
      <c r="N376" s="80"/>
      <c r="O376" s="40">
        <v>0</v>
      </c>
      <c r="P376" s="94">
        <f>Table1[[#This Row],[quantity on-hand]]*(Table1[[#This Row],[Cost ]]+Table1[[#This Row],[shipping]]+Table1[[#This Row],[Tax]])</f>
        <v>0</v>
      </c>
      <c r="Q376" s="40">
        <v>0</v>
      </c>
      <c r="R376" s="92">
        <f>Table1[[#This Row],[Quantity on order]]*(Table1[[#This Row],[Cost ]]+Table1[[#This Row],[shipping]]+Table1[[#This Row],[Tax]])</f>
        <v>0</v>
      </c>
      <c r="S3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6" s="49">
        <f>Table1[[#This Row],[Quantity  to  purchase]]+Table1[[#This Row],[Quantity purchased]]+Table1[[#This Row],[Quantity on order]]+Table1[[#This Row],[Quantity donated]]-Table1[[#This Row],[extended quantity]]</f>
        <v>0</v>
      </c>
      <c r="U3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6" s="51">
        <f>IFERROR(Table1[[#This Row],[Quantity  to  purchase]]*(Table1[[#This Row],[Cost ]]+Table1[[#This Row],[shipping]]+Table1[[#This Row],[Tax]]),0)</f>
        <v>0</v>
      </c>
      <c r="W376" s="36">
        <f>IFERROR(Table1[[#This Row],[leftover material]]*(Table1[[#This Row],[Cost ]]+Table1[[#This Row],[shipping]]+Table1[[#This Row],[Tax]]),0)</f>
        <v>0</v>
      </c>
      <c r="X376" s="36"/>
      <c r="Y376" s="84"/>
      <c r="Z376" s="84"/>
      <c r="AA376" s="84"/>
      <c r="AB376" s="36"/>
      <c r="AC376" s="36">
        <f>IF(ISNA(VLOOKUP(Table1[[#This Row],[Part Number]],'Multi-level BOM'!V$4:V$449,1,FALSE)),0,Table1[[#This Row],[Remaining Extended cost]])</f>
        <v>0</v>
      </c>
    </row>
    <row r="377" spans="1:29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80" t="str">
        <f>IF(Table1[[#This Row],[Buy-now costs]]&gt;0,"X","")</f>
        <v/>
      </c>
      <c r="M377" s="80"/>
      <c r="N377" s="80"/>
      <c r="O377" s="40">
        <v>0</v>
      </c>
      <c r="P377" s="94">
        <f>Table1[[#This Row],[quantity on-hand]]*(Table1[[#This Row],[Cost ]]+Table1[[#This Row],[shipping]]+Table1[[#This Row],[Tax]])</f>
        <v>0</v>
      </c>
      <c r="Q377" s="40">
        <v>0</v>
      </c>
      <c r="R377" s="92">
        <f>Table1[[#This Row],[Quantity on order]]*(Table1[[#This Row],[Cost ]]+Table1[[#This Row],[shipping]]+Table1[[#This Row],[Tax]])</f>
        <v>0</v>
      </c>
      <c r="S3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7" s="49">
        <f>Table1[[#This Row],[Quantity  to  purchase]]+Table1[[#This Row],[Quantity purchased]]+Table1[[#This Row],[Quantity on order]]+Table1[[#This Row],[Quantity donated]]-Table1[[#This Row],[extended quantity]]</f>
        <v>0</v>
      </c>
      <c r="U3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7" s="51">
        <f>IFERROR(Table1[[#This Row],[Quantity  to  purchase]]*(Table1[[#This Row],[Cost ]]+Table1[[#This Row],[shipping]]+Table1[[#This Row],[Tax]]),0)</f>
        <v>0</v>
      </c>
      <c r="W377" s="36">
        <f>IFERROR(Table1[[#This Row],[leftover material]]*(Table1[[#This Row],[Cost ]]+Table1[[#This Row],[shipping]]+Table1[[#This Row],[Tax]]),0)</f>
        <v>0</v>
      </c>
      <c r="X377" s="36"/>
      <c r="Y377" s="84"/>
      <c r="Z377" s="84"/>
      <c r="AA377" s="84"/>
      <c r="AB377" s="36"/>
      <c r="AC377" s="36">
        <f>IF(ISNA(VLOOKUP(Table1[[#This Row],[Part Number]],'Multi-level BOM'!V$4:V$449,1,FALSE)),0,Table1[[#This Row],[Remaining Extended cost]])</f>
        <v>0</v>
      </c>
    </row>
    <row r="378" spans="1:29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80" t="str">
        <f>IF(Table1[[#This Row],[Buy-now costs]]&gt;0,"X","")</f>
        <v/>
      </c>
      <c r="M378" s="80"/>
      <c r="N378" s="80"/>
      <c r="O378" s="40">
        <v>0</v>
      </c>
      <c r="P378" s="94">
        <f>Table1[[#This Row],[quantity on-hand]]*(Table1[[#This Row],[Cost ]]+Table1[[#This Row],[shipping]]+Table1[[#This Row],[Tax]])</f>
        <v>0</v>
      </c>
      <c r="Q378" s="40">
        <v>0</v>
      </c>
      <c r="R378" s="92">
        <f>Table1[[#This Row],[Quantity on order]]*(Table1[[#This Row],[Cost ]]+Table1[[#This Row],[shipping]]+Table1[[#This Row],[Tax]])</f>
        <v>0</v>
      </c>
      <c r="S3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8" s="49">
        <f>Table1[[#This Row],[Quantity  to  purchase]]+Table1[[#This Row],[Quantity purchased]]+Table1[[#This Row],[Quantity on order]]+Table1[[#This Row],[Quantity donated]]-Table1[[#This Row],[extended quantity]]</f>
        <v>0</v>
      </c>
      <c r="U3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8" s="51">
        <f>IFERROR(Table1[[#This Row],[Quantity  to  purchase]]*(Table1[[#This Row],[Cost ]]+Table1[[#This Row],[shipping]]+Table1[[#This Row],[Tax]]),0)</f>
        <v>0</v>
      </c>
      <c r="W378" s="36">
        <f>IFERROR(Table1[[#This Row],[leftover material]]*(Table1[[#This Row],[Cost ]]+Table1[[#This Row],[shipping]]+Table1[[#This Row],[Tax]]),0)</f>
        <v>0</v>
      </c>
      <c r="X378" s="36"/>
      <c r="Y378" s="84"/>
      <c r="Z378" s="84"/>
      <c r="AA378" s="84"/>
      <c r="AB378" s="36"/>
      <c r="AC378" s="36">
        <f>IF(ISNA(VLOOKUP(Table1[[#This Row],[Part Number]],'Multi-level BOM'!V$4:V$449,1,FALSE)),0,Table1[[#This Row],[Remaining Extended cost]])</f>
        <v>0</v>
      </c>
    </row>
    <row r="379" spans="1:29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80" t="str">
        <f>IF(Table1[[#This Row],[Buy-now costs]]&gt;0,"X","")</f>
        <v/>
      </c>
      <c r="M379" s="80"/>
      <c r="N379" s="80"/>
      <c r="O379" s="40">
        <v>0</v>
      </c>
      <c r="P379" s="94">
        <f>Table1[[#This Row],[quantity on-hand]]*(Table1[[#This Row],[Cost ]]+Table1[[#This Row],[shipping]]+Table1[[#This Row],[Tax]])</f>
        <v>0</v>
      </c>
      <c r="Q379" s="40">
        <v>0</v>
      </c>
      <c r="R379" s="92">
        <f>Table1[[#This Row],[Quantity on order]]*(Table1[[#This Row],[Cost ]]+Table1[[#This Row],[shipping]]+Table1[[#This Row],[Tax]])</f>
        <v>0</v>
      </c>
      <c r="S3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9" s="49">
        <f>Table1[[#This Row],[Quantity  to  purchase]]+Table1[[#This Row],[Quantity purchased]]+Table1[[#This Row],[Quantity on order]]+Table1[[#This Row],[Quantity donated]]-Table1[[#This Row],[extended quantity]]</f>
        <v>0</v>
      </c>
      <c r="U3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9" s="51">
        <f>IFERROR(Table1[[#This Row],[Quantity  to  purchase]]*(Table1[[#This Row],[Cost ]]+Table1[[#This Row],[shipping]]+Table1[[#This Row],[Tax]]),0)</f>
        <v>0</v>
      </c>
      <c r="W379" s="36">
        <f>IFERROR(Table1[[#This Row],[leftover material]]*(Table1[[#This Row],[Cost ]]+Table1[[#This Row],[shipping]]+Table1[[#This Row],[Tax]]),0)</f>
        <v>0</v>
      </c>
      <c r="X379" s="36"/>
      <c r="Y379" s="84"/>
      <c r="Z379" s="84"/>
      <c r="AA379" s="84"/>
      <c r="AB379" s="36"/>
      <c r="AC379" s="36">
        <f>IF(ISNA(VLOOKUP(Table1[[#This Row],[Part Number]],'Multi-level BOM'!V$4:V$449,1,FALSE)),0,Table1[[#This Row],[Remaining Extended cost]])</f>
        <v>0</v>
      </c>
    </row>
    <row r="380" spans="1:29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80" t="str">
        <f>IF(Table1[[#This Row],[Buy-now costs]]&gt;0,"X","")</f>
        <v/>
      </c>
      <c r="M380" s="80"/>
      <c r="N380" s="80"/>
      <c r="O380" s="40">
        <v>0</v>
      </c>
      <c r="P380" s="94">
        <f>Table1[[#This Row],[quantity on-hand]]*(Table1[[#This Row],[Cost ]]+Table1[[#This Row],[shipping]]+Table1[[#This Row],[Tax]])</f>
        <v>0</v>
      </c>
      <c r="Q380" s="40">
        <v>0</v>
      </c>
      <c r="R380" s="92">
        <f>Table1[[#This Row],[Quantity on order]]*(Table1[[#This Row],[Cost ]]+Table1[[#This Row],[shipping]]+Table1[[#This Row],[Tax]])</f>
        <v>0</v>
      </c>
      <c r="S3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0" s="49">
        <f>Table1[[#This Row],[Quantity  to  purchase]]+Table1[[#This Row],[Quantity purchased]]+Table1[[#This Row],[Quantity on order]]+Table1[[#This Row],[Quantity donated]]-Table1[[#This Row],[extended quantity]]</f>
        <v>0</v>
      </c>
      <c r="U3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0" s="51">
        <f>IFERROR(Table1[[#This Row],[Quantity  to  purchase]]*(Table1[[#This Row],[Cost ]]+Table1[[#This Row],[shipping]]+Table1[[#This Row],[Tax]]),0)</f>
        <v>0</v>
      </c>
      <c r="W380" s="36">
        <f>IFERROR(Table1[[#This Row],[leftover material]]*(Table1[[#This Row],[Cost ]]+Table1[[#This Row],[shipping]]+Table1[[#This Row],[Tax]]),0)</f>
        <v>0</v>
      </c>
      <c r="X380" s="36"/>
      <c r="Y380" s="84"/>
      <c r="Z380" s="84"/>
      <c r="AA380" s="84"/>
      <c r="AB380" s="36"/>
      <c r="AC380" s="36">
        <f>IF(ISNA(VLOOKUP(Table1[[#This Row],[Part Number]],'Multi-level BOM'!V$4:V$449,1,FALSE)),0,Table1[[#This Row],[Remaining Extended cost]])</f>
        <v>0</v>
      </c>
    </row>
    <row r="381" spans="1:29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80" t="str">
        <f>IF(Table1[[#This Row],[Buy-now costs]]&gt;0,"X","")</f>
        <v/>
      </c>
      <c r="M381" s="80"/>
      <c r="N381" s="80"/>
      <c r="O381" s="40">
        <v>0</v>
      </c>
      <c r="P381" s="94">
        <f>Table1[[#This Row],[quantity on-hand]]*(Table1[[#This Row],[Cost ]]+Table1[[#This Row],[shipping]]+Table1[[#This Row],[Tax]])</f>
        <v>0</v>
      </c>
      <c r="Q381" s="40">
        <v>0</v>
      </c>
      <c r="R381" s="92">
        <f>Table1[[#This Row],[Quantity on order]]*(Table1[[#This Row],[Cost ]]+Table1[[#This Row],[shipping]]+Table1[[#This Row],[Tax]])</f>
        <v>0</v>
      </c>
      <c r="S3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1" s="49">
        <f>Table1[[#This Row],[Quantity  to  purchase]]+Table1[[#This Row],[Quantity purchased]]+Table1[[#This Row],[Quantity on order]]+Table1[[#This Row],[Quantity donated]]-Table1[[#This Row],[extended quantity]]</f>
        <v>0</v>
      </c>
      <c r="U3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1" s="51">
        <f>IFERROR(Table1[[#This Row],[Quantity  to  purchase]]*(Table1[[#This Row],[Cost ]]+Table1[[#This Row],[shipping]]+Table1[[#This Row],[Tax]]),0)</f>
        <v>0</v>
      </c>
      <c r="W381" s="36">
        <f>IFERROR(Table1[[#This Row],[leftover material]]*(Table1[[#This Row],[Cost ]]+Table1[[#This Row],[shipping]]+Table1[[#This Row],[Tax]]),0)</f>
        <v>0</v>
      </c>
      <c r="X381" s="36"/>
      <c r="Y381" s="84"/>
      <c r="Z381" s="84"/>
      <c r="AA381" s="84"/>
      <c r="AB381" s="36"/>
      <c r="AC381" s="36">
        <f>IF(ISNA(VLOOKUP(Table1[[#This Row],[Part Number]],'Multi-level BOM'!V$4:V$449,1,FALSE)),0,Table1[[#This Row],[Remaining Extended cost]])</f>
        <v>0</v>
      </c>
    </row>
    <row r="382" spans="1:29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80" t="str">
        <f>IF(Table1[[#This Row],[Buy-now costs]]&gt;0,"X","")</f>
        <v/>
      </c>
      <c r="M382" s="80"/>
      <c r="N382" s="80"/>
      <c r="O382" s="40">
        <v>0</v>
      </c>
      <c r="P382" s="94">
        <f>Table1[[#This Row],[quantity on-hand]]*(Table1[[#This Row],[Cost ]]+Table1[[#This Row],[shipping]]+Table1[[#This Row],[Tax]])</f>
        <v>0</v>
      </c>
      <c r="Q382" s="40">
        <v>0</v>
      </c>
      <c r="R382" s="92">
        <f>Table1[[#This Row],[Quantity on order]]*(Table1[[#This Row],[Cost ]]+Table1[[#This Row],[shipping]]+Table1[[#This Row],[Tax]])</f>
        <v>0</v>
      </c>
      <c r="S3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2" s="49">
        <f>Table1[[#This Row],[Quantity  to  purchase]]+Table1[[#This Row],[Quantity purchased]]+Table1[[#This Row],[Quantity on order]]+Table1[[#This Row],[Quantity donated]]-Table1[[#This Row],[extended quantity]]</f>
        <v>0</v>
      </c>
      <c r="U3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2" s="51">
        <f>IFERROR(Table1[[#This Row],[Quantity  to  purchase]]*(Table1[[#This Row],[Cost ]]+Table1[[#This Row],[shipping]]+Table1[[#This Row],[Tax]]),0)</f>
        <v>0</v>
      </c>
      <c r="W382" s="36">
        <f>IFERROR(Table1[[#This Row],[leftover material]]*(Table1[[#This Row],[Cost ]]+Table1[[#This Row],[shipping]]+Table1[[#This Row],[Tax]]),0)</f>
        <v>0</v>
      </c>
      <c r="X382" s="36"/>
      <c r="Y382" s="84"/>
      <c r="Z382" s="84"/>
      <c r="AA382" s="84"/>
      <c r="AB382" s="36"/>
      <c r="AC382" s="36">
        <f>IF(ISNA(VLOOKUP(Table1[[#This Row],[Part Number]],'Multi-level BOM'!V$4:V$449,1,FALSE)),0,Table1[[#This Row],[Remaining Extended cost]])</f>
        <v>0</v>
      </c>
    </row>
    <row r="383" spans="1:29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80" t="str">
        <f>IF(Table1[[#This Row],[Buy-now costs]]&gt;0,"X","")</f>
        <v/>
      </c>
      <c r="M383" s="80"/>
      <c r="N383" s="80"/>
      <c r="O383" s="40">
        <v>0</v>
      </c>
      <c r="P383" s="94">
        <f>Table1[[#This Row],[quantity on-hand]]*(Table1[[#This Row],[Cost ]]+Table1[[#This Row],[shipping]]+Table1[[#This Row],[Tax]])</f>
        <v>0</v>
      </c>
      <c r="Q383" s="40">
        <v>0</v>
      </c>
      <c r="R383" s="92">
        <f>Table1[[#This Row],[Quantity on order]]*(Table1[[#This Row],[Cost ]]+Table1[[#This Row],[shipping]]+Table1[[#This Row],[Tax]])</f>
        <v>0</v>
      </c>
      <c r="S3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3" s="49">
        <f>Table1[[#This Row],[Quantity  to  purchase]]+Table1[[#This Row],[Quantity purchased]]+Table1[[#This Row],[Quantity on order]]+Table1[[#This Row],[Quantity donated]]-Table1[[#This Row],[extended quantity]]</f>
        <v>0</v>
      </c>
      <c r="U3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3" s="51">
        <f>IFERROR(Table1[[#This Row],[Quantity  to  purchase]]*(Table1[[#This Row],[Cost ]]+Table1[[#This Row],[shipping]]+Table1[[#This Row],[Tax]]),0)</f>
        <v>0</v>
      </c>
      <c r="W383" s="36">
        <f>IFERROR(Table1[[#This Row],[leftover material]]*(Table1[[#This Row],[Cost ]]+Table1[[#This Row],[shipping]]+Table1[[#This Row],[Tax]]),0)</f>
        <v>0</v>
      </c>
      <c r="X383" s="36"/>
      <c r="Y383" s="84"/>
      <c r="Z383" s="84"/>
      <c r="AA383" s="84"/>
      <c r="AB383" s="36"/>
      <c r="AC383" s="36">
        <f>IF(ISNA(VLOOKUP(Table1[[#This Row],[Part Number]],'Multi-level BOM'!V$4:V$449,1,FALSE)),0,Table1[[#This Row],[Remaining Extended cost]])</f>
        <v>0</v>
      </c>
    </row>
    <row r="384" spans="1:29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80" t="str">
        <f>IF(Table1[[#This Row],[Buy-now costs]]&gt;0,"X","")</f>
        <v/>
      </c>
      <c r="M384" s="80"/>
      <c r="N384" s="80"/>
      <c r="O384" s="40">
        <v>0</v>
      </c>
      <c r="P384" s="94">
        <f>Table1[[#This Row],[quantity on-hand]]*(Table1[[#This Row],[Cost ]]+Table1[[#This Row],[shipping]]+Table1[[#This Row],[Tax]])</f>
        <v>0</v>
      </c>
      <c r="Q384" s="40">
        <v>0</v>
      </c>
      <c r="R384" s="92">
        <f>Table1[[#This Row],[Quantity on order]]*(Table1[[#This Row],[Cost ]]+Table1[[#This Row],[shipping]]+Table1[[#This Row],[Tax]])</f>
        <v>0</v>
      </c>
      <c r="S3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4" s="49">
        <f>Table1[[#This Row],[Quantity  to  purchase]]+Table1[[#This Row],[Quantity purchased]]+Table1[[#This Row],[Quantity on order]]+Table1[[#This Row],[Quantity donated]]-Table1[[#This Row],[extended quantity]]</f>
        <v>0</v>
      </c>
      <c r="U3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4" s="51">
        <f>IFERROR(Table1[[#This Row],[Quantity  to  purchase]]*(Table1[[#This Row],[Cost ]]+Table1[[#This Row],[shipping]]+Table1[[#This Row],[Tax]]),0)</f>
        <v>0</v>
      </c>
      <c r="W384" s="36">
        <f>IFERROR(Table1[[#This Row],[leftover material]]*(Table1[[#This Row],[Cost ]]+Table1[[#This Row],[shipping]]+Table1[[#This Row],[Tax]]),0)</f>
        <v>0</v>
      </c>
      <c r="X384" s="36"/>
      <c r="Y384" s="84"/>
      <c r="Z384" s="84"/>
      <c r="AA384" s="84"/>
      <c r="AB384" s="36"/>
      <c r="AC384" s="36">
        <f>IF(ISNA(VLOOKUP(Table1[[#This Row],[Part Number]],'Multi-level BOM'!V$4:V$449,1,FALSE)),0,Table1[[#This Row],[Remaining Extended cost]])</f>
        <v>0</v>
      </c>
    </row>
    <row r="385" spans="1:29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80" t="str">
        <f>IF(Table1[[#This Row],[Buy-now costs]]&gt;0,"X","")</f>
        <v/>
      </c>
      <c r="M385" s="80"/>
      <c r="N385" s="80"/>
      <c r="O385" s="40">
        <v>0</v>
      </c>
      <c r="P385" s="94">
        <f>Table1[[#This Row],[quantity on-hand]]*(Table1[[#This Row],[Cost ]]+Table1[[#This Row],[shipping]]+Table1[[#This Row],[Tax]])</f>
        <v>0</v>
      </c>
      <c r="Q385" s="40">
        <v>0</v>
      </c>
      <c r="R385" s="92">
        <f>Table1[[#This Row],[Quantity on order]]*(Table1[[#This Row],[Cost ]]+Table1[[#This Row],[shipping]]+Table1[[#This Row],[Tax]])</f>
        <v>0</v>
      </c>
      <c r="S3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5" s="49">
        <f>Table1[[#This Row],[Quantity  to  purchase]]+Table1[[#This Row],[Quantity purchased]]+Table1[[#This Row],[Quantity on order]]+Table1[[#This Row],[Quantity donated]]-Table1[[#This Row],[extended quantity]]</f>
        <v>0</v>
      </c>
      <c r="U3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5" s="51">
        <f>IFERROR(Table1[[#This Row],[Quantity  to  purchase]]*(Table1[[#This Row],[Cost ]]+Table1[[#This Row],[shipping]]+Table1[[#This Row],[Tax]]),0)</f>
        <v>0</v>
      </c>
      <c r="W385" s="36">
        <f>IFERROR(Table1[[#This Row],[leftover material]]*(Table1[[#This Row],[Cost ]]+Table1[[#This Row],[shipping]]+Table1[[#This Row],[Tax]]),0)</f>
        <v>0</v>
      </c>
      <c r="X385" s="36"/>
      <c r="Y385" s="84"/>
      <c r="Z385" s="84"/>
      <c r="AA385" s="84"/>
      <c r="AB385" s="36"/>
      <c r="AC385" s="36">
        <f>IF(ISNA(VLOOKUP(Table1[[#This Row],[Part Number]],'Multi-level BOM'!V$4:V$449,1,FALSE)),0,Table1[[#This Row],[Remaining Extended cost]])</f>
        <v>0</v>
      </c>
    </row>
    <row r="386" spans="1:29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80" t="str">
        <f>IF(Table1[[#This Row],[Buy-now costs]]&gt;0,"X","")</f>
        <v/>
      </c>
      <c r="M386" s="80"/>
      <c r="N386" s="80"/>
      <c r="O386" s="40">
        <v>0</v>
      </c>
      <c r="P386" s="94">
        <f>Table1[[#This Row],[quantity on-hand]]*(Table1[[#This Row],[Cost ]]+Table1[[#This Row],[shipping]]+Table1[[#This Row],[Tax]])</f>
        <v>0</v>
      </c>
      <c r="Q386" s="40">
        <v>0</v>
      </c>
      <c r="R386" s="92">
        <f>Table1[[#This Row],[Quantity on order]]*(Table1[[#This Row],[Cost ]]+Table1[[#This Row],[shipping]]+Table1[[#This Row],[Tax]])</f>
        <v>0</v>
      </c>
      <c r="S3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6" s="49">
        <f>Table1[[#This Row],[Quantity  to  purchase]]+Table1[[#This Row],[Quantity purchased]]+Table1[[#This Row],[Quantity on order]]+Table1[[#This Row],[Quantity donated]]-Table1[[#This Row],[extended quantity]]</f>
        <v>0</v>
      </c>
      <c r="U3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6" s="51">
        <f>IFERROR(Table1[[#This Row],[Quantity  to  purchase]]*(Table1[[#This Row],[Cost ]]+Table1[[#This Row],[shipping]]+Table1[[#This Row],[Tax]]),0)</f>
        <v>0</v>
      </c>
      <c r="W386" s="36">
        <f>IFERROR(Table1[[#This Row],[leftover material]]*(Table1[[#This Row],[Cost ]]+Table1[[#This Row],[shipping]]+Table1[[#This Row],[Tax]]),0)</f>
        <v>0</v>
      </c>
      <c r="X386" s="36"/>
      <c r="Y386" s="84"/>
      <c r="Z386" s="84"/>
      <c r="AA386" s="84"/>
      <c r="AB386" s="36"/>
      <c r="AC386" s="36">
        <f>IF(ISNA(VLOOKUP(Table1[[#This Row],[Part Number]],'Multi-level BOM'!V$4:V$449,1,FALSE)),0,Table1[[#This Row],[Remaining Extended cost]])</f>
        <v>0</v>
      </c>
    </row>
    <row r="387" spans="1:29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80" t="str">
        <f>IF(Table1[[#This Row],[Buy-now costs]]&gt;0,"X","")</f>
        <v/>
      </c>
      <c r="M387" s="80"/>
      <c r="N387" s="80"/>
      <c r="O387" s="40">
        <v>0</v>
      </c>
      <c r="P387" s="94">
        <f>Table1[[#This Row],[quantity on-hand]]*(Table1[[#This Row],[Cost ]]+Table1[[#This Row],[shipping]]+Table1[[#This Row],[Tax]])</f>
        <v>0</v>
      </c>
      <c r="Q387" s="40">
        <v>0</v>
      </c>
      <c r="R387" s="92">
        <f>Table1[[#This Row],[Quantity on order]]*(Table1[[#This Row],[Cost ]]+Table1[[#This Row],[shipping]]+Table1[[#This Row],[Tax]])</f>
        <v>0</v>
      </c>
      <c r="S3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7" s="49">
        <f>Table1[[#This Row],[Quantity  to  purchase]]+Table1[[#This Row],[Quantity purchased]]+Table1[[#This Row],[Quantity on order]]+Table1[[#This Row],[Quantity donated]]-Table1[[#This Row],[extended quantity]]</f>
        <v>0</v>
      </c>
      <c r="U3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7" s="51">
        <f>IFERROR(Table1[[#This Row],[Quantity  to  purchase]]*(Table1[[#This Row],[Cost ]]+Table1[[#This Row],[shipping]]+Table1[[#This Row],[Tax]]),0)</f>
        <v>0</v>
      </c>
      <c r="W387" s="36">
        <f>IFERROR(Table1[[#This Row],[leftover material]]*(Table1[[#This Row],[Cost ]]+Table1[[#This Row],[shipping]]+Table1[[#This Row],[Tax]]),0)</f>
        <v>0</v>
      </c>
      <c r="X387" s="36"/>
      <c r="Y387" s="84"/>
      <c r="Z387" s="84"/>
      <c r="AA387" s="84"/>
      <c r="AB387" s="36"/>
      <c r="AC387" s="36">
        <f>IF(ISNA(VLOOKUP(Table1[[#This Row],[Part Number]],'Multi-level BOM'!V$4:V$449,1,FALSE)),0,Table1[[#This Row],[Remaining Extended cost]])</f>
        <v>0</v>
      </c>
    </row>
    <row r="388" spans="1:29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80" t="str">
        <f>IF(Table1[[#This Row],[Buy-now costs]]&gt;0,"X","")</f>
        <v/>
      </c>
      <c r="M388" s="80"/>
      <c r="N388" s="80"/>
      <c r="O388" s="40">
        <v>0</v>
      </c>
      <c r="P388" s="94">
        <f>Table1[[#This Row],[quantity on-hand]]*(Table1[[#This Row],[Cost ]]+Table1[[#This Row],[shipping]]+Table1[[#This Row],[Tax]])</f>
        <v>0</v>
      </c>
      <c r="Q388" s="40">
        <v>0</v>
      </c>
      <c r="R388" s="92">
        <f>Table1[[#This Row],[Quantity on order]]*(Table1[[#This Row],[Cost ]]+Table1[[#This Row],[shipping]]+Table1[[#This Row],[Tax]])</f>
        <v>0</v>
      </c>
      <c r="S3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8" s="49">
        <f>Table1[[#This Row],[Quantity  to  purchase]]+Table1[[#This Row],[Quantity purchased]]+Table1[[#This Row],[Quantity on order]]+Table1[[#This Row],[Quantity donated]]-Table1[[#This Row],[extended quantity]]</f>
        <v>0</v>
      </c>
      <c r="U3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8" s="51">
        <f>IFERROR(Table1[[#This Row],[Quantity  to  purchase]]*(Table1[[#This Row],[Cost ]]+Table1[[#This Row],[shipping]]+Table1[[#This Row],[Tax]]),0)</f>
        <v>0</v>
      </c>
      <c r="W388" s="36">
        <f>IFERROR(Table1[[#This Row],[leftover material]]*(Table1[[#This Row],[Cost ]]+Table1[[#This Row],[shipping]]+Table1[[#This Row],[Tax]]),0)</f>
        <v>0</v>
      </c>
      <c r="X388" s="36"/>
      <c r="Y388" s="84"/>
      <c r="Z388" s="84"/>
      <c r="AA388" s="84"/>
      <c r="AB388" s="36"/>
      <c r="AC388" s="36">
        <f>IF(ISNA(VLOOKUP(Table1[[#This Row],[Part Number]],'Multi-level BOM'!V$4:V$449,1,FALSE)),0,Table1[[#This Row],[Remaining Extended cost]])</f>
        <v>0</v>
      </c>
    </row>
    <row r="389" spans="1:29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80" t="str">
        <f>IF(Table1[[#This Row],[Buy-now costs]]&gt;0,"X","")</f>
        <v/>
      </c>
      <c r="M389" s="80"/>
      <c r="N389" s="80"/>
      <c r="O389" s="40">
        <v>0</v>
      </c>
      <c r="P389" s="94">
        <f>Table1[[#This Row],[quantity on-hand]]*(Table1[[#This Row],[Cost ]]+Table1[[#This Row],[shipping]]+Table1[[#This Row],[Tax]])</f>
        <v>0</v>
      </c>
      <c r="Q389" s="40">
        <v>0</v>
      </c>
      <c r="R389" s="92">
        <f>Table1[[#This Row],[Quantity on order]]*(Table1[[#This Row],[Cost ]]+Table1[[#This Row],[shipping]]+Table1[[#This Row],[Tax]])</f>
        <v>0</v>
      </c>
      <c r="S3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9" s="49">
        <f>Table1[[#This Row],[Quantity  to  purchase]]+Table1[[#This Row],[Quantity purchased]]+Table1[[#This Row],[Quantity on order]]+Table1[[#This Row],[Quantity donated]]-Table1[[#This Row],[extended quantity]]</f>
        <v>0</v>
      </c>
      <c r="U3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9" s="51">
        <f>IFERROR(Table1[[#This Row],[Quantity  to  purchase]]*(Table1[[#This Row],[Cost ]]+Table1[[#This Row],[shipping]]+Table1[[#This Row],[Tax]]),0)</f>
        <v>0</v>
      </c>
      <c r="W389" s="36">
        <f>IFERROR(Table1[[#This Row],[leftover material]]*(Table1[[#This Row],[Cost ]]+Table1[[#This Row],[shipping]]+Table1[[#This Row],[Tax]]),0)</f>
        <v>0</v>
      </c>
      <c r="X389" s="36"/>
      <c r="Y389" s="84"/>
      <c r="Z389" s="84"/>
      <c r="AA389" s="84"/>
      <c r="AB389" s="36"/>
      <c r="AC389" s="36">
        <f>IF(ISNA(VLOOKUP(Table1[[#This Row],[Part Number]],'Multi-level BOM'!V$4:V$449,1,FALSE)),0,Table1[[#This Row],[Remaining Extended cost]])</f>
        <v>0</v>
      </c>
    </row>
    <row r="390" spans="1:29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80" t="str">
        <f>IF(Table1[[#This Row],[Buy-now costs]]&gt;0,"X","")</f>
        <v/>
      </c>
      <c r="M390" s="80"/>
      <c r="N390" s="80"/>
      <c r="O390" s="40">
        <v>0</v>
      </c>
      <c r="P390" s="94">
        <f>Table1[[#This Row],[quantity on-hand]]*(Table1[[#This Row],[Cost ]]+Table1[[#This Row],[shipping]]+Table1[[#This Row],[Tax]])</f>
        <v>0</v>
      </c>
      <c r="Q390" s="40">
        <v>0</v>
      </c>
      <c r="R390" s="92">
        <f>Table1[[#This Row],[Quantity on order]]*(Table1[[#This Row],[Cost ]]+Table1[[#This Row],[shipping]]+Table1[[#This Row],[Tax]])</f>
        <v>0</v>
      </c>
      <c r="S3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0" s="49">
        <f>Table1[[#This Row],[Quantity  to  purchase]]+Table1[[#This Row],[Quantity purchased]]+Table1[[#This Row],[Quantity on order]]+Table1[[#This Row],[Quantity donated]]-Table1[[#This Row],[extended quantity]]</f>
        <v>0</v>
      </c>
      <c r="U3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0" s="51">
        <f>IFERROR(Table1[[#This Row],[Quantity  to  purchase]]*(Table1[[#This Row],[Cost ]]+Table1[[#This Row],[shipping]]+Table1[[#This Row],[Tax]]),0)</f>
        <v>0</v>
      </c>
      <c r="W390" s="36">
        <f>IFERROR(Table1[[#This Row],[leftover material]]*(Table1[[#This Row],[Cost ]]+Table1[[#This Row],[shipping]]+Table1[[#This Row],[Tax]]),0)</f>
        <v>0</v>
      </c>
      <c r="X390" s="36"/>
      <c r="Y390" s="84"/>
      <c r="Z390" s="84"/>
      <c r="AA390" s="84"/>
      <c r="AB390" s="36"/>
      <c r="AC390" s="36">
        <f>IF(ISNA(VLOOKUP(Table1[[#This Row],[Part Number]],'Multi-level BOM'!V$4:V$449,1,FALSE)),0,Table1[[#This Row],[Remaining Extended cost]])</f>
        <v>0</v>
      </c>
    </row>
    <row r="391" spans="1:29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80" t="str">
        <f>IF(Table1[[#This Row],[Buy-now costs]]&gt;0,"X","")</f>
        <v/>
      </c>
      <c r="M391" s="80"/>
      <c r="N391" s="80"/>
      <c r="O391" s="40">
        <v>0</v>
      </c>
      <c r="P391" s="94">
        <f>Table1[[#This Row],[quantity on-hand]]*(Table1[[#This Row],[Cost ]]+Table1[[#This Row],[shipping]]+Table1[[#This Row],[Tax]])</f>
        <v>0</v>
      </c>
      <c r="Q391" s="40">
        <v>0</v>
      </c>
      <c r="R391" s="92">
        <f>Table1[[#This Row],[Quantity on order]]*(Table1[[#This Row],[Cost ]]+Table1[[#This Row],[shipping]]+Table1[[#This Row],[Tax]])</f>
        <v>0</v>
      </c>
      <c r="S3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1" s="49">
        <f>Table1[[#This Row],[Quantity  to  purchase]]+Table1[[#This Row],[Quantity purchased]]+Table1[[#This Row],[Quantity on order]]+Table1[[#This Row],[Quantity donated]]-Table1[[#This Row],[extended quantity]]</f>
        <v>0</v>
      </c>
      <c r="U3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1" s="51">
        <f>IFERROR(Table1[[#This Row],[Quantity  to  purchase]]*(Table1[[#This Row],[Cost ]]+Table1[[#This Row],[shipping]]+Table1[[#This Row],[Tax]]),0)</f>
        <v>0</v>
      </c>
      <c r="W391" s="36">
        <f>IFERROR(Table1[[#This Row],[leftover material]]*(Table1[[#This Row],[Cost ]]+Table1[[#This Row],[shipping]]+Table1[[#This Row],[Tax]]),0)</f>
        <v>0</v>
      </c>
      <c r="X391" s="36"/>
      <c r="Y391" s="84"/>
      <c r="Z391" s="84"/>
      <c r="AA391" s="84"/>
      <c r="AB391" s="36"/>
      <c r="AC391" s="36">
        <f>IF(ISNA(VLOOKUP(Table1[[#This Row],[Part Number]],'Multi-level BOM'!V$4:V$449,1,FALSE)),0,Table1[[#This Row],[Remaining Extended cost]])</f>
        <v>0</v>
      </c>
    </row>
    <row r="392" spans="1:29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80" t="str">
        <f>IF(Table1[[#This Row],[Buy-now costs]]&gt;0,"X","")</f>
        <v/>
      </c>
      <c r="M392" s="80"/>
      <c r="N392" s="80"/>
      <c r="O392" s="40">
        <v>0</v>
      </c>
      <c r="P392" s="94">
        <f>Table1[[#This Row],[quantity on-hand]]*(Table1[[#This Row],[Cost ]]+Table1[[#This Row],[shipping]]+Table1[[#This Row],[Tax]])</f>
        <v>0</v>
      </c>
      <c r="Q392" s="40">
        <v>0</v>
      </c>
      <c r="R392" s="92">
        <f>Table1[[#This Row],[Quantity on order]]*(Table1[[#This Row],[Cost ]]+Table1[[#This Row],[shipping]]+Table1[[#This Row],[Tax]])</f>
        <v>0</v>
      </c>
      <c r="S3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2" s="49">
        <f>Table1[[#This Row],[Quantity  to  purchase]]+Table1[[#This Row],[Quantity purchased]]+Table1[[#This Row],[Quantity on order]]+Table1[[#This Row],[Quantity donated]]-Table1[[#This Row],[extended quantity]]</f>
        <v>0</v>
      </c>
      <c r="U3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2" s="51">
        <f>IFERROR(Table1[[#This Row],[Quantity  to  purchase]]*(Table1[[#This Row],[Cost ]]+Table1[[#This Row],[shipping]]+Table1[[#This Row],[Tax]]),0)</f>
        <v>0</v>
      </c>
      <c r="W392" s="36">
        <f>IFERROR(Table1[[#This Row],[leftover material]]*(Table1[[#This Row],[Cost ]]+Table1[[#This Row],[shipping]]+Table1[[#This Row],[Tax]]),0)</f>
        <v>0</v>
      </c>
      <c r="X392" s="36"/>
      <c r="Y392" s="84"/>
      <c r="Z392" s="84"/>
      <c r="AA392" s="84"/>
      <c r="AB392" s="36"/>
      <c r="AC392" s="36">
        <f>IF(ISNA(VLOOKUP(Table1[[#This Row],[Part Number]],'Multi-level BOM'!V$4:V$449,1,FALSE)),0,Table1[[#This Row],[Remaining Extended cost]])</f>
        <v>0</v>
      </c>
    </row>
    <row r="393" spans="1:29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80" t="str">
        <f>IF(Table1[[#This Row],[Buy-now costs]]&gt;0,"X","")</f>
        <v/>
      </c>
      <c r="M393" s="80"/>
      <c r="N393" s="80"/>
      <c r="O393" s="40">
        <v>0</v>
      </c>
      <c r="P393" s="94">
        <f>Table1[[#This Row],[quantity on-hand]]*(Table1[[#This Row],[Cost ]]+Table1[[#This Row],[shipping]]+Table1[[#This Row],[Tax]])</f>
        <v>0</v>
      </c>
      <c r="Q393" s="40">
        <v>0</v>
      </c>
      <c r="R393" s="92">
        <f>Table1[[#This Row],[Quantity on order]]*(Table1[[#This Row],[Cost ]]+Table1[[#This Row],[shipping]]+Table1[[#This Row],[Tax]])</f>
        <v>0</v>
      </c>
      <c r="S3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3" s="49">
        <f>Table1[[#This Row],[Quantity  to  purchase]]+Table1[[#This Row],[Quantity purchased]]+Table1[[#This Row],[Quantity on order]]+Table1[[#This Row],[Quantity donated]]-Table1[[#This Row],[extended quantity]]</f>
        <v>0</v>
      </c>
      <c r="U3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3" s="51">
        <f>IFERROR(Table1[[#This Row],[Quantity  to  purchase]]*(Table1[[#This Row],[Cost ]]+Table1[[#This Row],[shipping]]+Table1[[#This Row],[Tax]]),0)</f>
        <v>0</v>
      </c>
      <c r="W393" s="36">
        <f>IFERROR(Table1[[#This Row],[leftover material]]*(Table1[[#This Row],[Cost ]]+Table1[[#This Row],[shipping]]+Table1[[#This Row],[Tax]]),0)</f>
        <v>0</v>
      </c>
      <c r="X393" s="36"/>
      <c r="Y393" s="84"/>
      <c r="Z393" s="84"/>
      <c r="AA393" s="84"/>
      <c r="AB393" s="36"/>
      <c r="AC393" s="36">
        <f>IF(ISNA(VLOOKUP(Table1[[#This Row],[Part Number]],'Multi-level BOM'!V$4:V$449,1,FALSE)),0,Table1[[#This Row],[Remaining Extended cost]])</f>
        <v>0</v>
      </c>
    </row>
    <row r="394" spans="1:29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80" t="str">
        <f>IF(Table1[[#This Row],[Buy-now costs]]&gt;0,"X","")</f>
        <v/>
      </c>
      <c r="M394" s="80"/>
      <c r="N394" s="80"/>
      <c r="O394" s="40">
        <v>0</v>
      </c>
      <c r="P394" s="94">
        <f>Table1[[#This Row],[quantity on-hand]]*(Table1[[#This Row],[Cost ]]+Table1[[#This Row],[shipping]]+Table1[[#This Row],[Tax]])</f>
        <v>0</v>
      </c>
      <c r="Q394" s="40">
        <v>0</v>
      </c>
      <c r="R394" s="92">
        <f>Table1[[#This Row],[Quantity on order]]*(Table1[[#This Row],[Cost ]]+Table1[[#This Row],[shipping]]+Table1[[#This Row],[Tax]])</f>
        <v>0</v>
      </c>
      <c r="S3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4" s="49">
        <f>Table1[[#This Row],[Quantity  to  purchase]]+Table1[[#This Row],[Quantity purchased]]+Table1[[#This Row],[Quantity on order]]+Table1[[#This Row],[Quantity donated]]-Table1[[#This Row],[extended quantity]]</f>
        <v>0</v>
      </c>
      <c r="U3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4" s="51">
        <f>IFERROR(Table1[[#This Row],[Quantity  to  purchase]]*(Table1[[#This Row],[Cost ]]+Table1[[#This Row],[shipping]]+Table1[[#This Row],[Tax]]),0)</f>
        <v>0</v>
      </c>
      <c r="W394" s="36">
        <f>IFERROR(Table1[[#This Row],[leftover material]]*(Table1[[#This Row],[Cost ]]+Table1[[#This Row],[shipping]]+Table1[[#This Row],[Tax]]),0)</f>
        <v>0</v>
      </c>
      <c r="X394" s="36"/>
      <c r="Y394" s="84"/>
      <c r="Z394" s="84"/>
      <c r="AA394" s="84"/>
      <c r="AB394" s="36"/>
      <c r="AC394" s="36">
        <f>IF(ISNA(VLOOKUP(Table1[[#This Row],[Part Number]],'Multi-level BOM'!V$4:V$449,1,FALSE)),0,Table1[[#This Row],[Remaining Extended cost]])</f>
        <v>0</v>
      </c>
    </row>
    <row r="395" spans="1:29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80" t="str">
        <f>IF(Table1[[#This Row],[Buy-now costs]]&gt;0,"X","")</f>
        <v/>
      </c>
      <c r="M395" s="80"/>
      <c r="N395" s="80"/>
      <c r="O395" s="40">
        <v>0</v>
      </c>
      <c r="P395" s="94">
        <f>Table1[[#This Row],[quantity on-hand]]*(Table1[[#This Row],[Cost ]]+Table1[[#This Row],[shipping]]+Table1[[#This Row],[Tax]])</f>
        <v>0</v>
      </c>
      <c r="Q395" s="40">
        <v>0</v>
      </c>
      <c r="R395" s="92">
        <f>Table1[[#This Row],[Quantity on order]]*(Table1[[#This Row],[Cost ]]+Table1[[#This Row],[shipping]]+Table1[[#This Row],[Tax]])</f>
        <v>0</v>
      </c>
      <c r="S3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5" s="49">
        <f>Table1[[#This Row],[Quantity  to  purchase]]+Table1[[#This Row],[Quantity purchased]]+Table1[[#This Row],[Quantity on order]]+Table1[[#This Row],[Quantity donated]]-Table1[[#This Row],[extended quantity]]</f>
        <v>0</v>
      </c>
      <c r="U3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5" s="51">
        <f>IFERROR(Table1[[#This Row],[Quantity  to  purchase]]*(Table1[[#This Row],[Cost ]]+Table1[[#This Row],[shipping]]+Table1[[#This Row],[Tax]]),0)</f>
        <v>0</v>
      </c>
      <c r="W395" s="36">
        <f>IFERROR(Table1[[#This Row],[leftover material]]*(Table1[[#This Row],[Cost ]]+Table1[[#This Row],[shipping]]+Table1[[#This Row],[Tax]]),0)</f>
        <v>0</v>
      </c>
      <c r="X395" s="36"/>
      <c r="Y395" s="84"/>
      <c r="Z395" s="84"/>
      <c r="AA395" s="84"/>
      <c r="AB395" s="36"/>
      <c r="AC395" s="36">
        <f>IF(ISNA(VLOOKUP(Table1[[#This Row],[Part Number]],'Multi-level BOM'!V$4:V$449,1,FALSE)),0,Table1[[#This Row],[Remaining Extended cost]])</f>
        <v>0</v>
      </c>
    </row>
    <row r="396" spans="1:29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80" t="str">
        <f>IF(Table1[[#This Row],[Buy-now costs]]&gt;0,"X","")</f>
        <v/>
      </c>
      <c r="M396" s="80"/>
      <c r="N396" s="80"/>
      <c r="O396" s="40">
        <v>0</v>
      </c>
      <c r="P396" s="94">
        <f>Table1[[#This Row],[quantity on-hand]]*(Table1[[#This Row],[Cost ]]+Table1[[#This Row],[shipping]]+Table1[[#This Row],[Tax]])</f>
        <v>0</v>
      </c>
      <c r="Q396" s="40">
        <v>0</v>
      </c>
      <c r="R396" s="92">
        <f>Table1[[#This Row],[Quantity on order]]*(Table1[[#This Row],[Cost ]]+Table1[[#This Row],[shipping]]+Table1[[#This Row],[Tax]])</f>
        <v>0</v>
      </c>
      <c r="S3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6" s="49">
        <f>Table1[[#This Row],[Quantity  to  purchase]]+Table1[[#This Row],[Quantity purchased]]+Table1[[#This Row],[Quantity on order]]+Table1[[#This Row],[Quantity donated]]-Table1[[#This Row],[extended quantity]]</f>
        <v>0</v>
      </c>
      <c r="U3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6" s="51">
        <f>IFERROR(Table1[[#This Row],[Quantity  to  purchase]]*(Table1[[#This Row],[Cost ]]+Table1[[#This Row],[shipping]]+Table1[[#This Row],[Tax]]),0)</f>
        <v>0</v>
      </c>
      <c r="W396" s="36">
        <f>IFERROR(Table1[[#This Row],[leftover material]]*(Table1[[#This Row],[Cost ]]+Table1[[#This Row],[shipping]]+Table1[[#This Row],[Tax]]),0)</f>
        <v>0</v>
      </c>
      <c r="X396" s="36"/>
      <c r="Y396" s="84"/>
      <c r="Z396" s="84"/>
      <c r="AA396" s="84"/>
      <c r="AB396" s="36"/>
      <c r="AC396" s="36">
        <f>IF(ISNA(VLOOKUP(Table1[[#This Row],[Part Number]],'Multi-level BOM'!V$4:V$449,1,FALSE)),0,Table1[[#This Row],[Remaining Extended cost]])</f>
        <v>0</v>
      </c>
    </row>
    <row r="397" spans="1:29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80" t="str">
        <f>IF(Table1[[#This Row],[Buy-now costs]]&gt;0,"X","")</f>
        <v/>
      </c>
      <c r="M397" s="80"/>
      <c r="N397" s="80"/>
      <c r="O397" s="40">
        <v>0</v>
      </c>
      <c r="P397" s="94">
        <f>Table1[[#This Row],[quantity on-hand]]*(Table1[[#This Row],[Cost ]]+Table1[[#This Row],[shipping]]+Table1[[#This Row],[Tax]])</f>
        <v>0</v>
      </c>
      <c r="Q397" s="40">
        <v>0</v>
      </c>
      <c r="R397" s="92">
        <f>Table1[[#This Row],[Quantity on order]]*(Table1[[#This Row],[Cost ]]+Table1[[#This Row],[shipping]]+Table1[[#This Row],[Tax]])</f>
        <v>0</v>
      </c>
      <c r="S3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7" s="49">
        <f>Table1[[#This Row],[Quantity  to  purchase]]+Table1[[#This Row],[Quantity purchased]]+Table1[[#This Row],[Quantity on order]]+Table1[[#This Row],[Quantity donated]]-Table1[[#This Row],[extended quantity]]</f>
        <v>0</v>
      </c>
      <c r="U3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7" s="51">
        <f>IFERROR(Table1[[#This Row],[Quantity  to  purchase]]*(Table1[[#This Row],[Cost ]]+Table1[[#This Row],[shipping]]+Table1[[#This Row],[Tax]]),0)</f>
        <v>0</v>
      </c>
      <c r="W397" s="36">
        <f>IFERROR(Table1[[#This Row],[leftover material]]*(Table1[[#This Row],[Cost ]]+Table1[[#This Row],[shipping]]+Table1[[#This Row],[Tax]]),0)</f>
        <v>0</v>
      </c>
      <c r="X397" s="36"/>
      <c r="Y397" s="84"/>
      <c r="Z397" s="84"/>
      <c r="AA397" s="84"/>
      <c r="AB397" s="36"/>
      <c r="AC397" s="36">
        <f>IF(ISNA(VLOOKUP(Table1[[#This Row],[Part Number]],'Multi-level BOM'!V$4:V$449,1,FALSE)),0,Table1[[#This Row],[Remaining Extended cost]])</f>
        <v>0</v>
      </c>
    </row>
    <row r="398" spans="1:29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80" t="str">
        <f>IF(Table1[[#This Row],[Buy-now costs]]&gt;0,"X","")</f>
        <v/>
      </c>
      <c r="M398" s="80"/>
      <c r="N398" s="80"/>
      <c r="O398" s="40">
        <v>0</v>
      </c>
      <c r="P398" s="94">
        <f>Table1[[#This Row],[quantity on-hand]]*(Table1[[#This Row],[Cost ]]+Table1[[#This Row],[shipping]]+Table1[[#This Row],[Tax]])</f>
        <v>0</v>
      </c>
      <c r="Q398" s="40">
        <v>0</v>
      </c>
      <c r="R398" s="92">
        <f>Table1[[#This Row],[Quantity on order]]*(Table1[[#This Row],[Cost ]]+Table1[[#This Row],[shipping]]+Table1[[#This Row],[Tax]])</f>
        <v>0</v>
      </c>
      <c r="S3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8" s="49">
        <f>Table1[[#This Row],[Quantity  to  purchase]]+Table1[[#This Row],[Quantity purchased]]+Table1[[#This Row],[Quantity on order]]+Table1[[#This Row],[Quantity donated]]-Table1[[#This Row],[extended quantity]]</f>
        <v>0</v>
      </c>
      <c r="U3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8" s="51">
        <f>IFERROR(Table1[[#This Row],[Quantity  to  purchase]]*(Table1[[#This Row],[Cost ]]+Table1[[#This Row],[shipping]]+Table1[[#This Row],[Tax]]),0)</f>
        <v>0</v>
      </c>
      <c r="W398" s="36">
        <f>IFERROR(Table1[[#This Row],[leftover material]]*(Table1[[#This Row],[Cost ]]+Table1[[#This Row],[shipping]]+Table1[[#This Row],[Tax]]),0)</f>
        <v>0</v>
      </c>
      <c r="X398" s="36"/>
      <c r="Y398" s="84"/>
      <c r="Z398" s="84"/>
      <c r="AA398" s="84"/>
      <c r="AB398" s="36"/>
      <c r="AC398" s="36">
        <f>IF(ISNA(VLOOKUP(Table1[[#This Row],[Part Number]],'Multi-level BOM'!V$4:V$449,1,FALSE)),0,Table1[[#This Row],[Remaining Extended cost]])</f>
        <v>0</v>
      </c>
    </row>
    <row r="399" spans="1:29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80" t="str">
        <f>IF(Table1[[#This Row],[Buy-now costs]]&gt;0,"X","")</f>
        <v/>
      </c>
      <c r="M399" s="80"/>
      <c r="N399" s="80"/>
      <c r="O399" s="40">
        <v>0</v>
      </c>
      <c r="P399" s="94">
        <f>Table1[[#This Row],[quantity on-hand]]*(Table1[[#This Row],[Cost ]]+Table1[[#This Row],[shipping]]+Table1[[#This Row],[Tax]])</f>
        <v>0</v>
      </c>
      <c r="Q399" s="40">
        <v>0</v>
      </c>
      <c r="R399" s="92">
        <f>Table1[[#This Row],[Quantity on order]]*(Table1[[#This Row],[Cost ]]+Table1[[#This Row],[shipping]]+Table1[[#This Row],[Tax]])</f>
        <v>0</v>
      </c>
      <c r="S3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9" s="49">
        <f>Table1[[#This Row],[Quantity  to  purchase]]+Table1[[#This Row],[Quantity purchased]]+Table1[[#This Row],[Quantity on order]]+Table1[[#This Row],[Quantity donated]]-Table1[[#This Row],[extended quantity]]</f>
        <v>0</v>
      </c>
      <c r="U3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9" s="51">
        <f>IFERROR(Table1[[#This Row],[Quantity  to  purchase]]*(Table1[[#This Row],[Cost ]]+Table1[[#This Row],[shipping]]+Table1[[#This Row],[Tax]]),0)</f>
        <v>0</v>
      </c>
      <c r="W399" s="36">
        <f>IFERROR(Table1[[#This Row],[leftover material]]*(Table1[[#This Row],[Cost ]]+Table1[[#This Row],[shipping]]+Table1[[#This Row],[Tax]]),0)</f>
        <v>0</v>
      </c>
      <c r="X399" s="36"/>
      <c r="Y399" s="84"/>
      <c r="Z399" s="84"/>
      <c r="AA399" s="84"/>
      <c r="AB399" s="36"/>
      <c r="AC399" s="36">
        <f>IF(ISNA(VLOOKUP(Table1[[#This Row],[Part Number]],'Multi-level BOM'!V$4:V$449,1,FALSE)),0,Table1[[#This Row],[Remaining Extended cost]])</f>
        <v>0</v>
      </c>
    </row>
    <row r="400" spans="1:29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80" t="str">
        <f>IF(Table1[[#This Row],[Buy-now costs]]&gt;0,"X","")</f>
        <v/>
      </c>
      <c r="M400" s="80"/>
      <c r="N400" s="80"/>
      <c r="O400" s="40">
        <v>0</v>
      </c>
      <c r="P400" s="94">
        <f>Table1[[#This Row],[quantity on-hand]]*(Table1[[#This Row],[Cost ]]+Table1[[#This Row],[shipping]]+Table1[[#This Row],[Tax]])</f>
        <v>0</v>
      </c>
      <c r="Q400" s="40">
        <v>0</v>
      </c>
      <c r="R400" s="92">
        <f>Table1[[#This Row],[Quantity on order]]*(Table1[[#This Row],[Cost ]]+Table1[[#This Row],[shipping]]+Table1[[#This Row],[Tax]])</f>
        <v>0</v>
      </c>
      <c r="S4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0" s="49">
        <f>Table1[[#This Row],[Quantity  to  purchase]]+Table1[[#This Row],[Quantity purchased]]+Table1[[#This Row],[Quantity on order]]+Table1[[#This Row],[Quantity donated]]-Table1[[#This Row],[extended quantity]]</f>
        <v>0</v>
      </c>
      <c r="U4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0" s="51">
        <f>IFERROR(Table1[[#This Row],[Quantity  to  purchase]]*(Table1[[#This Row],[Cost ]]+Table1[[#This Row],[shipping]]+Table1[[#This Row],[Tax]]),0)</f>
        <v>0</v>
      </c>
      <c r="W400" s="36">
        <f>IFERROR(Table1[[#This Row],[leftover material]]*(Table1[[#This Row],[Cost ]]+Table1[[#This Row],[shipping]]+Table1[[#This Row],[Tax]]),0)</f>
        <v>0</v>
      </c>
      <c r="X400" s="36"/>
      <c r="Y400" s="84"/>
      <c r="Z400" s="84"/>
      <c r="AA400" s="84"/>
      <c r="AB400" s="36"/>
      <c r="AC400" s="36">
        <f>IF(ISNA(VLOOKUP(Table1[[#This Row],[Part Number]],'Multi-level BOM'!V$4:V$449,1,FALSE)),0,Table1[[#This Row],[Remaining Extended cost]])</f>
        <v>0</v>
      </c>
    </row>
    <row r="401" spans="1:29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80" t="str">
        <f>IF(Table1[[#This Row],[Buy-now costs]]&gt;0,"X","")</f>
        <v/>
      </c>
      <c r="M401" s="80"/>
      <c r="N401" s="80"/>
      <c r="O401" s="40">
        <v>0</v>
      </c>
      <c r="P401" s="94">
        <f>Table1[[#This Row],[quantity on-hand]]*(Table1[[#This Row],[Cost ]]+Table1[[#This Row],[shipping]]+Table1[[#This Row],[Tax]])</f>
        <v>0</v>
      </c>
      <c r="Q401" s="40">
        <v>0</v>
      </c>
      <c r="R401" s="92">
        <f>Table1[[#This Row],[Quantity on order]]*(Table1[[#This Row],[Cost ]]+Table1[[#This Row],[shipping]]+Table1[[#This Row],[Tax]])</f>
        <v>0</v>
      </c>
      <c r="S4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1" s="49">
        <f>Table1[[#This Row],[Quantity  to  purchase]]+Table1[[#This Row],[Quantity purchased]]+Table1[[#This Row],[Quantity on order]]+Table1[[#This Row],[Quantity donated]]-Table1[[#This Row],[extended quantity]]</f>
        <v>0</v>
      </c>
      <c r="U4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1" s="51">
        <f>IFERROR(Table1[[#This Row],[Quantity  to  purchase]]*(Table1[[#This Row],[Cost ]]+Table1[[#This Row],[shipping]]+Table1[[#This Row],[Tax]]),0)</f>
        <v>0</v>
      </c>
      <c r="W401" s="36">
        <f>IFERROR(Table1[[#This Row],[leftover material]]*(Table1[[#This Row],[Cost ]]+Table1[[#This Row],[shipping]]+Table1[[#This Row],[Tax]]),0)</f>
        <v>0</v>
      </c>
      <c r="X401" s="36"/>
      <c r="Y401" s="84"/>
      <c r="Z401" s="84"/>
      <c r="AA401" s="84"/>
      <c r="AB401" s="36"/>
      <c r="AC401" s="36">
        <f>IF(ISNA(VLOOKUP(Table1[[#This Row],[Part Number]],'Multi-level BOM'!V$4:V$449,1,FALSE)),0,Table1[[#This Row],[Remaining Extended cost]])</f>
        <v>0</v>
      </c>
    </row>
    <row r="402" spans="1:29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80" t="str">
        <f>IF(Table1[[#This Row],[Buy-now costs]]&gt;0,"X","")</f>
        <v/>
      </c>
      <c r="M402" s="80"/>
      <c r="N402" s="80"/>
      <c r="O402" s="40">
        <v>0</v>
      </c>
      <c r="P402" s="94">
        <f>Table1[[#This Row],[quantity on-hand]]*(Table1[[#This Row],[Cost ]]+Table1[[#This Row],[shipping]]+Table1[[#This Row],[Tax]])</f>
        <v>0</v>
      </c>
      <c r="Q402" s="40">
        <v>0</v>
      </c>
      <c r="R402" s="92">
        <f>Table1[[#This Row],[Quantity on order]]*(Table1[[#This Row],[Cost ]]+Table1[[#This Row],[shipping]]+Table1[[#This Row],[Tax]])</f>
        <v>0</v>
      </c>
      <c r="S4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2" s="49">
        <f>Table1[[#This Row],[Quantity  to  purchase]]+Table1[[#This Row],[Quantity purchased]]+Table1[[#This Row],[Quantity on order]]+Table1[[#This Row],[Quantity donated]]-Table1[[#This Row],[extended quantity]]</f>
        <v>0</v>
      </c>
      <c r="U4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2" s="51">
        <f>IFERROR(Table1[[#This Row],[Quantity  to  purchase]]*(Table1[[#This Row],[Cost ]]+Table1[[#This Row],[shipping]]+Table1[[#This Row],[Tax]]),0)</f>
        <v>0</v>
      </c>
      <c r="W402" s="36">
        <f>IFERROR(Table1[[#This Row],[leftover material]]*(Table1[[#This Row],[Cost ]]+Table1[[#This Row],[shipping]]+Table1[[#This Row],[Tax]]),0)</f>
        <v>0</v>
      </c>
      <c r="X402" s="36"/>
      <c r="Y402" s="84"/>
      <c r="Z402" s="84"/>
      <c r="AA402" s="84"/>
      <c r="AB402" s="36"/>
      <c r="AC402" s="36">
        <f>IF(ISNA(VLOOKUP(Table1[[#This Row],[Part Number]],'Multi-level BOM'!V$4:V$449,1,FALSE)),0,Table1[[#This Row],[Remaining Extended cost]])</f>
        <v>0</v>
      </c>
    </row>
    <row r="403" spans="1:29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80" t="str">
        <f>IF(Table1[[#This Row],[Buy-now costs]]&gt;0,"X","")</f>
        <v/>
      </c>
      <c r="M403" s="80"/>
      <c r="N403" s="80"/>
      <c r="O403" s="40">
        <v>0</v>
      </c>
      <c r="P403" s="94">
        <f>Table1[[#This Row],[quantity on-hand]]*(Table1[[#This Row],[Cost ]]+Table1[[#This Row],[shipping]]+Table1[[#This Row],[Tax]])</f>
        <v>0</v>
      </c>
      <c r="Q403" s="40">
        <v>0</v>
      </c>
      <c r="R403" s="92">
        <f>Table1[[#This Row],[Quantity on order]]*(Table1[[#This Row],[Cost ]]+Table1[[#This Row],[shipping]]+Table1[[#This Row],[Tax]])</f>
        <v>0</v>
      </c>
      <c r="S4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3" s="49">
        <f>Table1[[#This Row],[Quantity  to  purchase]]+Table1[[#This Row],[Quantity purchased]]+Table1[[#This Row],[Quantity on order]]+Table1[[#This Row],[Quantity donated]]-Table1[[#This Row],[extended quantity]]</f>
        <v>0</v>
      </c>
      <c r="U4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3" s="51">
        <f>IFERROR(Table1[[#This Row],[Quantity  to  purchase]]*(Table1[[#This Row],[Cost ]]+Table1[[#This Row],[shipping]]+Table1[[#This Row],[Tax]]),0)</f>
        <v>0</v>
      </c>
      <c r="W403" s="36">
        <f>IFERROR(Table1[[#This Row],[leftover material]]*(Table1[[#This Row],[Cost ]]+Table1[[#This Row],[shipping]]+Table1[[#This Row],[Tax]]),0)</f>
        <v>0</v>
      </c>
      <c r="X403" s="36"/>
      <c r="Y403" s="84"/>
      <c r="Z403" s="84"/>
      <c r="AA403" s="84"/>
      <c r="AB403" s="36"/>
      <c r="AC403" s="36">
        <f>IF(ISNA(VLOOKUP(Table1[[#This Row],[Part Number]],'Multi-level BOM'!V$4:V$449,1,FALSE)),0,Table1[[#This Row],[Remaining Extended cost]])</f>
        <v>0</v>
      </c>
    </row>
    <row r="404" spans="1:29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80" t="str">
        <f>IF(Table1[[#This Row],[Buy-now costs]]&gt;0,"X","")</f>
        <v/>
      </c>
      <c r="M404" s="80"/>
      <c r="N404" s="80"/>
      <c r="O404" s="40">
        <v>0</v>
      </c>
      <c r="P404" s="94">
        <f>Table1[[#This Row],[quantity on-hand]]*(Table1[[#This Row],[Cost ]]+Table1[[#This Row],[shipping]]+Table1[[#This Row],[Tax]])</f>
        <v>0</v>
      </c>
      <c r="Q404" s="40">
        <v>0</v>
      </c>
      <c r="R404" s="92">
        <f>Table1[[#This Row],[Quantity on order]]*(Table1[[#This Row],[Cost ]]+Table1[[#This Row],[shipping]]+Table1[[#This Row],[Tax]])</f>
        <v>0</v>
      </c>
      <c r="S4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4" s="49">
        <f>Table1[[#This Row],[Quantity  to  purchase]]+Table1[[#This Row],[Quantity purchased]]+Table1[[#This Row],[Quantity on order]]+Table1[[#This Row],[Quantity donated]]-Table1[[#This Row],[extended quantity]]</f>
        <v>0</v>
      </c>
      <c r="U4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4" s="51">
        <f>IFERROR(Table1[[#This Row],[Quantity  to  purchase]]*(Table1[[#This Row],[Cost ]]+Table1[[#This Row],[shipping]]+Table1[[#This Row],[Tax]]),0)</f>
        <v>0</v>
      </c>
      <c r="W404" s="36">
        <f>IFERROR(Table1[[#This Row],[leftover material]]*(Table1[[#This Row],[Cost ]]+Table1[[#This Row],[shipping]]+Table1[[#This Row],[Tax]]),0)</f>
        <v>0</v>
      </c>
      <c r="X404" s="36"/>
      <c r="Y404" s="84"/>
      <c r="Z404" s="84"/>
      <c r="AA404" s="84"/>
      <c r="AB404" s="36"/>
      <c r="AC404" s="36">
        <f>IF(ISNA(VLOOKUP(Table1[[#This Row],[Part Number]],'Multi-level BOM'!V$4:V$449,1,FALSE)),0,Table1[[#This Row],[Remaining Extended cost]])</f>
        <v>0</v>
      </c>
    </row>
    <row r="405" spans="1:29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80" t="str">
        <f>IF(Table1[[#This Row],[Buy-now costs]]&gt;0,"X","")</f>
        <v/>
      </c>
      <c r="M405" s="80"/>
      <c r="N405" s="80"/>
      <c r="O405" s="40">
        <v>0</v>
      </c>
      <c r="P405" s="94">
        <f>Table1[[#This Row],[quantity on-hand]]*(Table1[[#This Row],[Cost ]]+Table1[[#This Row],[shipping]]+Table1[[#This Row],[Tax]])</f>
        <v>0</v>
      </c>
      <c r="Q405" s="40">
        <v>0</v>
      </c>
      <c r="R405" s="92">
        <f>Table1[[#This Row],[Quantity on order]]*(Table1[[#This Row],[Cost ]]+Table1[[#This Row],[shipping]]+Table1[[#This Row],[Tax]])</f>
        <v>0</v>
      </c>
      <c r="S4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5" s="49">
        <f>Table1[[#This Row],[Quantity  to  purchase]]+Table1[[#This Row],[Quantity purchased]]+Table1[[#This Row],[Quantity on order]]+Table1[[#This Row],[Quantity donated]]-Table1[[#This Row],[extended quantity]]</f>
        <v>0</v>
      </c>
      <c r="U4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5" s="51">
        <f>IFERROR(Table1[[#This Row],[Quantity  to  purchase]]*(Table1[[#This Row],[Cost ]]+Table1[[#This Row],[shipping]]+Table1[[#This Row],[Tax]]),0)</f>
        <v>0</v>
      </c>
      <c r="W405" s="36">
        <f>IFERROR(Table1[[#This Row],[leftover material]]*(Table1[[#This Row],[Cost ]]+Table1[[#This Row],[shipping]]+Table1[[#This Row],[Tax]]),0)</f>
        <v>0</v>
      </c>
      <c r="X405" s="36"/>
      <c r="Y405" s="84"/>
      <c r="Z405" s="84"/>
      <c r="AA405" s="84"/>
      <c r="AB405" s="36"/>
      <c r="AC405" s="36">
        <f>IF(ISNA(VLOOKUP(Table1[[#This Row],[Part Number]],'Multi-level BOM'!V$4:V$449,1,FALSE)),0,Table1[[#This Row],[Remaining Extended cost]])</f>
        <v>0</v>
      </c>
    </row>
    <row r="406" spans="1:29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80" t="str">
        <f>IF(Table1[[#This Row],[Buy-now costs]]&gt;0,"X","")</f>
        <v/>
      </c>
      <c r="M406" s="80"/>
      <c r="N406" s="80"/>
      <c r="O406" s="40">
        <v>0</v>
      </c>
      <c r="P406" s="94">
        <f>Table1[[#This Row],[quantity on-hand]]*(Table1[[#This Row],[Cost ]]+Table1[[#This Row],[shipping]]+Table1[[#This Row],[Tax]])</f>
        <v>0</v>
      </c>
      <c r="Q406" s="40">
        <v>0</v>
      </c>
      <c r="R406" s="92">
        <f>Table1[[#This Row],[Quantity on order]]*(Table1[[#This Row],[Cost ]]+Table1[[#This Row],[shipping]]+Table1[[#This Row],[Tax]])</f>
        <v>0</v>
      </c>
      <c r="S4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6" s="49">
        <f>Table1[[#This Row],[Quantity  to  purchase]]+Table1[[#This Row],[Quantity purchased]]+Table1[[#This Row],[Quantity on order]]+Table1[[#This Row],[Quantity donated]]-Table1[[#This Row],[extended quantity]]</f>
        <v>0</v>
      </c>
      <c r="U4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6" s="51">
        <f>IFERROR(Table1[[#This Row],[Quantity  to  purchase]]*(Table1[[#This Row],[Cost ]]+Table1[[#This Row],[shipping]]+Table1[[#This Row],[Tax]]),0)</f>
        <v>0</v>
      </c>
      <c r="W406" s="36">
        <f>IFERROR(Table1[[#This Row],[leftover material]]*(Table1[[#This Row],[Cost ]]+Table1[[#This Row],[shipping]]+Table1[[#This Row],[Tax]]),0)</f>
        <v>0</v>
      </c>
      <c r="X406" s="36"/>
      <c r="Y406" s="84"/>
      <c r="Z406" s="84"/>
      <c r="AA406" s="84"/>
      <c r="AB406" s="36"/>
      <c r="AC406" s="36">
        <f>IF(ISNA(VLOOKUP(Table1[[#This Row],[Part Number]],'Multi-level BOM'!V$4:V$449,1,FALSE)),0,Table1[[#This Row],[Remaining Extended cost]])</f>
        <v>0</v>
      </c>
    </row>
    <row r="407" spans="1:29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80" t="str">
        <f>IF(Table1[[#This Row],[Buy-now costs]]&gt;0,"X","")</f>
        <v/>
      </c>
      <c r="M407" s="80"/>
      <c r="N407" s="80"/>
      <c r="O407" s="40">
        <v>0</v>
      </c>
      <c r="P407" s="94">
        <f>Table1[[#This Row],[quantity on-hand]]*(Table1[[#This Row],[Cost ]]+Table1[[#This Row],[shipping]]+Table1[[#This Row],[Tax]])</f>
        <v>0</v>
      </c>
      <c r="Q407" s="40">
        <v>0</v>
      </c>
      <c r="R407" s="92">
        <f>Table1[[#This Row],[Quantity on order]]*(Table1[[#This Row],[Cost ]]+Table1[[#This Row],[shipping]]+Table1[[#This Row],[Tax]])</f>
        <v>0</v>
      </c>
      <c r="S4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7" s="49">
        <f>Table1[[#This Row],[Quantity  to  purchase]]+Table1[[#This Row],[Quantity purchased]]+Table1[[#This Row],[Quantity on order]]+Table1[[#This Row],[Quantity donated]]-Table1[[#This Row],[extended quantity]]</f>
        <v>0</v>
      </c>
      <c r="U4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7" s="51">
        <f>IFERROR(Table1[[#This Row],[Quantity  to  purchase]]*(Table1[[#This Row],[Cost ]]+Table1[[#This Row],[shipping]]+Table1[[#This Row],[Tax]]),0)</f>
        <v>0</v>
      </c>
      <c r="W407" s="36">
        <f>IFERROR(Table1[[#This Row],[leftover material]]*(Table1[[#This Row],[Cost ]]+Table1[[#This Row],[shipping]]+Table1[[#This Row],[Tax]]),0)</f>
        <v>0</v>
      </c>
      <c r="X407" s="36"/>
      <c r="Y407" s="84"/>
      <c r="Z407" s="84"/>
      <c r="AA407" s="84"/>
      <c r="AB407" s="36"/>
      <c r="AC407" s="36">
        <f>IF(ISNA(VLOOKUP(Table1[[#This Row],[Part Number]],'Multi-level BOM'!V$4:V$449,1,FALSE)),0,Table1[[#This Row],[Remaining Extended cost]])</f>
        <v>0</v>
      </c>
    </row>
    <row r="408" spans="1:29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80" t="str">
        <f>IF(Table1[[#This Row],[Buy-now costs]]&gt;0,"X","")</f>
        <v/>
      </c>
      <c r="M408" s="80"/>
      <c r="N408" s="80"/>
      <c r="O408" s="40">
        <v>0</v>
      </c>
      <c r="P408" s="94">
        <f>Table1[[#This Row],[quantity on-hand]]*(Table1[[#This Row],[Cost ]]+Table1[[#This Row],[shipping]]+Table1[[#This Row],[Tax]])</f>
        <v>0</v>
      </c>
      <c r="Q408" s="40">
        <v>0</v>
      </c>
      <c r="R408" s="92">
        <f>Table1[[#This Row],[Quantity on order]]*(Table1[[#This Row],[Cost ]]+Table1[[#This Row],[shipping]]+Table1[[#This Row],[Tax]])</f>
        <v>0</v>
      </c>
      <c r="S4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8" s="49">
        <f>Table1[[#This Row],[Quantity  to  purchase]]+Table1[[#This Row],[Quantity purchased]]+Table1[[#This Row],[Quantity on order]]+Table1[[#This Row],[Quantity donated]]-Table1[[#This Row],[extended quantity]]</f>
        <v>0</v>
      </c>
      <c r="U4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8" s="51">
        <f>IFERROR(Table1[[#This Row],[Quantity  to  purchase]]*(Table1[[#This Row],[Cost ]]+Table1[[#This Row],[shipping]]+Table1[[#This Row],[Tax]]),0)</f>
        <v>0</v>
      </c>
      <c r="W408" s="36">
        <f>IFERROR(Table1[[#This Row],[leftover material]]*(Table1[[#This Row],[Cost ]]+Table1[[#This Row],[shipping]]+Table1[[#This Row],[Tax]]),0)</f>
        <v>0</v>
      </c>
      <c r="X408" s="36"/>
      <c r="Y408" s="84"/>
      <c r="Z408" s="84"/>
      <c r="AA408" s="84"/>
      <c r="AB408" s="36"/>
      <c r="AC408" s="36">
        <f>IF(ISNA(VLOOKUP(Table1[[#This Row],[Part Number]],'Multi-level BOM'!V$4:V$449,1,FALSE)),0,Table1[[#This Row],[Remaining Extended cost]])</f>
        <v>0</v>
      </c>
    </row>
    <row r="409" spans="1:29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80" t="str">
        <f>IF(Table1[[#This Row],[Buy-now costs]]&gt;0,"X","")</f>
        <v/>
      </c>
      <c r="M409" s="80"/>
      <c r="N409" s="80"/>
      <c r="O409" s="40">
        <v>0</v>
      </c>
      <c r="P409" s="94">
        <f>Table1[[#This Row],[quantity on-hand]]*(Table1[[#This Row],[Cost ]]+Table1[[#This Row],[shipping]]+Table1[[#This Row],[Tax]])</f>
        <v>0</v>
      </c>
      <c r="Q409" s="40">
        <v>0</v>
      </c>
      <c r="R409" s="92">
        <f>Table1[[#This Row],[Quantity on order]]*(Table1[[#This Row],[Cost ]]+Table1[[#This Row],[shipping]]+Table1[[#This Row],[Tax]])</f>
        <v>0</v>
      </c>
      <c r="S4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9" s="49">
        <f>Table1[[#This Row],[Quantity  to  purchase]]+Table1[[#This Row],[Quantity purchased]]+Table1[[#This Row],[Quantity on order]]+Table1[[#This Row],[Quantity donated]]-Table1[[#This Row],[extended quantity]]</f>
        <v>0</v>
      </c>
      <c r="U4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9" s="51">
        <f>IFERROR(Table1[[#This Row],[Quantity  to  purchase]]*(Table1[[#This Row],[Cost ]]+Table1[[#This Row],[shipping]]+Table1[[#This Row],[Tax]]),0)</f>
        <v>0</v>
      </c>
      <c r="W409" s="36">
        <f>IFERROR(Table1[[#This Row],[leftover material]]*(Table1[[#This Row],[Cost ]]+Table1[[#This Row],[shipping]]+Table1[[#This Row],[Tax]]),0)</f>
        <v>0</v>
      </c>
      <c r="X409" s="36"/>
      <c r="Y409" s="84"/>
      <c r="Z409" s="84"/>
      <c r="AA409" s="84"/>
      <c r="AB409" s="36"/>
      <c r="AC409" s="36">
        <f>IF(ISNA(VLOOKUP(Table1[[#This Row],[Part Number]],'Multi-level BOM'!V$4:V$449,1,FALSE)),0,Table1[[#This Row],[Remaining Extended cost]])</f>
        <v>0</v>
      </c>
    </row>
    <row r="410" spans="1:29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80" t="str">
        <f>IF(Table1[[#This Row],[Buy-now costs]]&gt;0,"X","")</f>
        <v/>
      </c>
      <c r="M410" s="80"/>
      <c r="N410" s="80"/>
      <c r="O410" s="40">
        <v>0</v>
      </c>
      <c r="P410" s="94">
        <f>Table1[[#This Row],[quantity on-hand]]*(Table1[[#This Row],[Cost ]]+Table1[[#This Row],[shipping]]+Table1[[#This Row],[Tax]])</f>
        <v>0</v>
      </c>
      <c r="Q410" s="40">
        <v>0</v>
      </c>
      <c r="R410" s="92">
        <f>Table1[[#This Row],[Quantity on order]]*(Table1[[#This Row],[Cost ]]+Table1[[#This Row],[shipping]]+Table1[[#This Row],[Tax]])</f>
        <v>0</v>
      </c>
      <c r="S4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0" s="49">
        <f>Table1[[#This Row],[Quantity  to  purchase]]+Table1[[#This Row],[Quantity purchased]]+Table1[[#This Row],[Quantity on order]]+Table1[[#This Row],[Quantity donated]]-Table1[[#This Row],[extended quantity]]</f>
        <v>0</v>
      </c>
      <c r="U4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0" s="51">
        <f>IFERROR(Table1[[#This Row],[Quantity  to  purchase]]*(Table1[[#This Row],[Cost ]]+Table1[[#This Row],[shipping]]+Table1[[#This Row],[Tax]]),0)</f>
        <v>0</v>
      </c>
      <c r="W410" s="36">
        <f>IFERROR(Table1[[#This Row],[leftover material]]*(Table1[[#This Row],[Cost ]]+Table1[[#This Row],[shipping]]+Table1[[#This Row],[Tax]]),0)</f>
        <v>0</v>
      </c>
      <c r="X410" s="36"/>
      <c r="Y410" s="84"/>
      <c r="Z410" s="84"/>
      <c r="AA410" s="84"/>
      <c r="AB410" s="36"/>
      <c r="AC410" s="36">
        <f>IF(ISNA(VLOOKUP(Table1[[#This Row],[Part Number]],'Multi-level BOM'!V$4:V$449,1,FALSE)),0,Table1[[#This Row],[Remaining Extended cost]])</f>
        <v>0</v>
      </c>
    </row>
    <row r="411" spans="1:29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80" t="str">
        <f>IF(Table1[[#This Row],[Buy-now costs]]&gt;0,"X","")</f>
        <v/>
      </c>
      <c r="M411" s="80"/>
      <c r="N411" s="80"/>
      <c r="O411" s="40">
        <v>0</v>
      </c>
      <c r="P411" s="94">
        <f>Table1[[#This Row],[quantity on-hand]]*(Table1[[#This Row],[Cost ]]+Table1[[#This Row],[shipping]]+Table1[[#This Row],[Tax]])</f>
        <v>0</v>
      </c>
      <c r="Q411" s="40">
        <v>0</v>
      </c>
      <c r="R411" s="92">
        <f>Table1[[#This Row],[Quantity on order]]*(Table1[[#This Row],[Cost ]]+Table1[[#This Row],[shipping]]+Table1[[#This Row],[Tax]])</f>
        <v>0</v>
      </c>
      <c r="S4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1" s="49">
        <f>Table1[[#This Row],[Quantity  to  purchase]]+Table1[[#This Row],[Quantity purchased]]+Table1[[#This Row],[Quantity on order]]+Table1[[#This Row],[Quantity donated]]-Table1[[#This Row],[extended quantity]]</f>
        <v>0</v>
      </c>
      <c r="U4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1" s="51">
        <f>IFERROR(Table1[[#This Row],[Quantity  to  purchase]]*(Table1[[#This Row],[Cost ]]+Table1[[#This Row],[shipping]]+Table1[[#This Row],[Tax]]),0)</f>
        <v>0</v>
      </c>
      <c r="W411" s="36">
        <f>IFERROR(Table1[[#This Row],[leftover material]]*(Table1[[#This Row],[Cost ]]+Table1[[#This Row],[shipping]]+Table1[[#This Row],[Tax]]),0)</f>
        <v>0</v>
      </c>
      <c r="X411" s="36"/>
      <c r="Y411" s="84"/>
      <c r="Z411" s="84"/>
      <c r="AA411" s="84"/>
      <c r="AB411" s="36"/>
      <c r="AC411" s="36">
        <f>IF(ISNA(VLOOKUP(Table1[[#This Row],[Part Number]],'Multi-level BOM'!V$4:V$449,1,FALSE)),0,Table1[[#This Row],[Remaining Extended cost]])</f>
        <v>0</v>
      </c>
    </row>
    <row r="412" spans="1:29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80" t="str">
        <f>IF(Table1[[#This Row],[Buy-now costs]]&gt;0,"X","")</f>
        <v/>
      </c>
      <c r="M412" s="80"/>
      <c r="N412" s="80"/>
      <c r="O412" s="40">
        <v>0</v>
      </c>
      <c r="P412" s="94">
        <f>Table1[[#This Row],[quantity on-hand]]*(Table1[[#This Row],[Cost ]]+Table1[[#This Row],[shipping]]+Table1[[#This Row],[Tax]])</f>
        <v>0</v>
      </c>
      <c r="Q412" s="40">
        <v>0</v>
      </c>
      <c r="R412" s="92">
        <f>Table1[[#This Row],[Quantity on order]]*(Table1[[#This Row],[Cost ]]+Table1[[#This Row],[shipping]]+Table1[[#This Row],[Tax]])</f>
        <v>0</v>
      </c>
      <c r="S4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2" s="49">
        <f>Table1[[#This Row],[Quantity  to  purchase]]+Table1[[#This Row],[Quantity purchased]]+Table1[[#This Row],[Quantity on order]]+Table1[[#This Row],[Quantity donated]]-Table1[[#This Row],[extended quantity]]</f>
        <v>0</v>
      </c>
      <c r="U4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2" s="51">
        <f>IFERROR(Table1[[#This Row],[Quantity  to  purchase]]*(Table1[[#This Row],[Cost ]]+Table1[[#This Row],[shipping]]+Table1[[#This Row],[Tax]]),0)</f>
        <v>0</v>
      </c>
      <c r="W412" s="36">
        <f>IFERROR(Table1[[#This Row],[leftover material]]*(Table1[[#This Row],[Cost ]]+Table1[[#This Row],[shipping]]+Table1[[#This Row],[Tax]]),0)</f>
        <v>0</v>
      </c>
      <c r="X412" s="36"/>
      <c r="Y412" s="84"/>
      <c r="Z412" s="84"/>
      <c r="AA412" s="84"/>
      <c r="AB412" s="36"/>
      <c r="AC412" s="36">
        <f>IF(ISNA(VLOOKUP(Table1[[#This Row],[Part Number]],'Multi-level BOM'!V$4:V$449,1,FALSE)),0,Table1[[#This Row],[Remaining Extended cost]])</f>
        <v>0</v>
      </c>
    </row>
    <row r="413" spans="1:29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80" t="str">
        <f>IF(Table1[[#This Row],[Buy-now costs]]&gt;0,"X","")</f>
        <v/>
      </c>
      <c r="M413" s="80"/>
      <c r="N413" s="80"/>
      <c r="O413" s="40">
        <v>0</v>
      </c>
      <c r="P413" s="94">
        <f>Table1[[#This Row],[quantity on-hand]]*(Table1[[#This Row],[Cost ]]+Table1[[#This Row],[shipping]]+Table1[[#This Row],[Tax]])</f>
        <v>0</v>
      </c>
      <c r="Q413" s="40">
        <v>0</v>
      </c>
      <c r="R413" s="92">
        <f>Table1[[#This Row],[Quantity on order]]*(Table1[[#This Row],[Cost ]]+Table1[[#This Row],[shipping]]+Table1[[#This Row],[Tax]])</f>
        <v>0</v>
      </c>
      <c r="S4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3" s="49">
        <f>Table1[[#This Row],[Quantity  to  purchase]]+Table1[[#This Row],[Quantity purchased]]+Table1[[#This Row],[Quantity on order]]+Table1[[#This Row],[Quantity donated]]-Table1[[#This Row],[extended quantity]]</f>
        <v>0</v>
      </c>
      <c r="U4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3" s="51">
        <f>IFERROR(Table1[[#This Row],[Quantity  to  purchase]]*(Table1[[#This Row],[Cost ]]+Table1[[#This Row],[shipping]]+Table1[[#This Row],[Tax]]),0)</f>
        <v>0</v>
      </c>
      <c r="W413" s="36">
        <f>IFERROR(Table1[[#This Row],[leftover material]]*(Table1[[#This Row],[Cost ]]+Table1[[#This Row],[shipping]]+Table1[[#This Row],[Tax]]),0)</f>
        <v>0</v>
      </c>
      <c r="X413" s="36"/>
      <c r="Y413" s="84"/>
      <c r="Z413" s="84"/>
      <c r="AA413" s="84"/>
      <c r="AB413" s="36"/>
      <c r="AC413" s="36">
        <f>IF(ISNA(VLOOKUP(Table1[[#This Row],[Part Number]],'Multi-level BOM'!V$4:V$449,1,FALSE)),0,Table1[[#This Row],[Remaining Extended cost]])</f>
        <v>0</v>
      </c>
    </row>
    <row r="414" spans="1:29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80" t="str">
        <f>IF(Table1[[#This Row],[Buy-now costs]]&gt;0,"X","")</f>
        <v/>
      </c>
      <c r="M414" s="80"/>
      <c r="N414" s="80"/>
      <c r="O414" s="40">
        <v>0</v>
      </c>
      <c r="P414" s="94">
        <f>Table1[[#This Row],[quantity on-hand]]*(Table1[[#This Row],[Cost ]]+Table1[[#This Row],[shipping]]+Table1[[#This Row],[Tax]])</f>
        <v>0</v>
      </c>
      <c r="Q414" s="40">
        <v>0</v>
      </c>
      <c r="R414" s="92">
        <f>Table1[[#This Row],[Quantity on order]]*(Table1[[#This Row],[Cost ]]+Table1[[#This Row],[shipping]]+Table1[[#This Row],[Tax]])</f>
        <v>0</v>
      </c>
      <c r="S4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4" s="49">
        <f>Table1[[#This Row],[Quantity  to  purchase]]+Table1[[#This Row],[Quantity purchased]]+Table1[[#This Row],[Quantity on order]]+Table1[[#This Row],[Quantity donated]]-Table1[[#This Row],[extended quantity]]</f>
        <v>0</v>
      </c>
      <c r="U4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4" s="51">
        <f>IFERROR(Table1[[#This Row],[Quantity  to  purchase]]*(Table1[[#This Row],[Cost ]]+Table1[[#This Row],[shipping]]+Table1[[#This Row],[Tax]]),0)</f>
        <v>0</v>
      </c>
      <c r="W414" s="36">
        <f>IFERROR(Table1[[#This Row],[leftover material]]*(Table1[[#This Row],[Cost ]]+Table1[[#This Row],[shipping]]+Table1[[#This Row],[Tax]]),0)</f>
        <v>0</v>
      </c>
      <c r="X414" s="36"/>
      <c r="Y414" s="84"/>
      <c r="Z414" s="84"/>
      <c r="AA414" s="84"/>
      <c r="AB414" s="36"/>
      <c r="AC414" s="36">
        <f>IF(ISNA(VLOOKUP(Table1[[#This Row],[Part Number]],'Multi-level BOM'!V$4:V$449,1,FALSE)),0,Table1[[#This Row],[Remaining Extended cost]])</f>
        <v>0</v>
      </c>
    </row>
    <row r="415" spans="1:29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80" t="str">
        <f>IF(Table1[[#This Row],[Buy-now costs]]&gt;0,"X","")</f>
        <v/>
      </c>
      <c r="M415" s="80"/>
      <c r="N415" s="80"/>
      <c r="O415" s="40">
        <v>0</v>
      </c>
      <c r="P415" s="94">
        <f>Table1[[#This Row],[quantity on-hand]]*(Table1[[#This Row],[Cost ]]+Table1[[#This Row],[shipping]]+Table1[[#This Row],[Tax]])</f>
        <v>0</v>
      </c>
      <c r="Q415" s="40">
        <v>0</v>
      </c>
      <c r="R415" s="92">
        <f>Table1[[#This Row],[Quantity on order]]*(Table1[[#This Row],[Cost ]]+Table1[[#This Row],[shipping]]+Table1[[#This Row],[Tax]])</f>
        <v>0</v>
      </c>
      <c r="S4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5" s="49">
        <f>Table1[[#This Row],[Quantity  to  purchase]]+Table1[[#This Row],[Quantity purchased]]+Table1[[#This Row],[Quantity on order]]+Table1[[#This Row],[Quantity donated]]-Table1[[#This Row],[extended quantity]]</f>
        <v>0</v>
      </c>
      <c r="U4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5" s="51">
        <f>IFERROR(Table1[[#This Row],[Quantity  to  purchase]]*(Table1[[#This Row],[Cost ]]+Table1[[#This Row],[shipping]]+Table1[[#This Row],[Tax]]),0)</f>
        <v>0</v>
      </c>
      <c r="W415" s="36">
        <f>IFERROR(Table1[[#This Row],[leftover material]]*(Table1[[#This Row],[Cost ]]+Table1[[#This Row],[shipping]]+Table1[[#This Row],[Tax]]),0)</f>
        <v>0</v>
      </c>
      <c r="X415" s="36"/>
      <c r="Y415" s="84"/>
      <c r="Z415" s="84"/>
      <c r="AA415" s="84"/>
      <c r="AB415" s="36"/>
      <c r="AC415" s="36">
        <f>IF(ISNA(VLOOKUP(Table1[[#This Row],[Part Number]],'Multi-level BOM'!V$4:V$449,1,FALSE)),0,Table1[[#This Row],[Remaining Extended cost]])</f>
        <v>0</v>
      </c>
    </row>
    <row r="416" spans="1:29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80" t="str">
        <f>IF(Table1[[#This Row],[Buy-now costs]]&gt;0,"X","")</f>
        <v/>
      </c>
      <c r="M416" s="80"/>
      <c r="N416" s="80"/>
      <c r="O416" s="40">
        <v>0</v>
      </c>
      <c r="P416" s="94">
        <f>Table1[[#This Row],[quantity on-hand]]*(Table1[[#This Row],[Cost ]]+Table1[[#This Row],[shipping]]+Table1[[#This Row],[Tax]])</f>
        <v>0</v>
      </c>
      <c r="Q416" s="40">
        <v>0</v>
      </c>
      <c r="R416" s="92">
        <f>Table1[[#This Row],[Quantity on order]]*(Table1[[#This Row],[Cost ]]+Table1[[#This Row],[shipping]]+Table1[[#This Row],[Tax]])</f>
        <v>0</v>
      </c>
      <c r="S4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6" s="49">
        <f>Table1[[#This Row],[Quantity  to  purchase]]+Table1[[#This Row],[Quantity purchased]]+Table1[[#This Row],[Quantity on order]]+Table1[[#This Row],[Quantity donated]]-Table1[[#This Row],[extended quantity]]</f>
        <v>0</v>
      </c>
      <c r="U4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6" s="51">
        <f>IFERROR(Table1[[#This Row],[Quantity  to  purchase]]*(Table1[[#This Row],[Cost ]]+Table1[[#This Row],[shipping]]+Table1[[#This Row],[Tax]]),0)</f>
        <v>0</v>
      </c>
      <c r="W416" s="36">
        <f>IFERROR(Table1[[#This Row],[leftover material]]*(Table1[[#This Row],[Cost ]]+Table1[[#This Row],[shipping]]+Table1[[#This Row],[Tax]]),0)</f>
        <v>0</v>
      </c>
      <c r="X416" s="36"/>
      <c r="Y416" s="84"/>
      <c r="Z416" s="84"/>
      <c r="AA416" s="84"/>
      <c r="AB416" s="36"/>
      <c r="AC416" s="36">
        <f>IF(ISNA(VLOOKUP(Table1[[#This Row],[Part Number]],'Multi-level BOM'!V$4:V$449,1,FALSE)),0,Table1[[#This Row],[Remaining Extended cost]])</f>
        <v>0</v>
      </c>
    </row>
    <row r="417" spans="1:29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80" t="str">
        <f>IF(Table1[[#This Row],[Buy-now costs]]&gt;0,"X","")</f>
        <v/>
      </c>
      <c r="M417" s="80"/>
      <c r="N417" s="80"/>
      <c r="O417" s="40">
        <v>0</v>
      </c>
      <c r="P417" s="94">
        <f>Table1[[#This Row],[quantity on-hand]]*(Table1[[#This Row],[Cost ]]+Table1[[#This Row],[shipping]]+Table1[[#This Row],[Tax]])</f>
        <v>0</v>
      </c>
      <c r="Q417" s="40">
        <v>0</v>
      </c>
      <c r="R417" s="92">
        <f>Table1[[#This Row],[Quantity on order]]*(Table1[[#This Row],[Cost ]]+Table1[[#This Row],[shipping]]+Table1[[#This Row],[Tax]])</f>
        <v>0</v>
      </c>
      <c r="S4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7" s="49">
        <f>Table1[[#This Row],[Quantity  to  purchase]]+Table1[[#This Row],[Quantity purchased]]+Table1[[#This Row],[Quantity on order]]+Table1[[#This Row],[Quantity donated]]-Table1[[#This Row],[extended quantity]]</f>
        <v>0</v>
      </c>
      <c r="U4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7" s="51">
        <f>IFERROR(Table1[[#This Row],[Quantity  to  purchase]]*(Table1[[#This Row],[Cost ]]+Table1[[#This Row],[shipping]]+Table1[[#This Row],[Tax]]),0)</f>
        <v>0</v>
      </c>
      <c r="W417" s="36">
        <f>IFERROR(Table1[[#This Row],[leftover material]]*(Table1[[#This Row],[Cost ]]+Table1[[#This Row],[shipping]]+Table1[[#This Row],[Tax]]),0)</f>
        <v>0</v>
      </c>
      <c r="X417" s="36"/>
      <c r="Y417" s="84"/>
      <c r="Z417" s="84"/>
      <c r="AA417" s="84"/>
      <c r="AB417" s="36"/>
      <c r="AC417" s="36">
        <f>IF(ISNA(VLOOKUP(Table1[[#This Row],[Part Number]],'Multi-level BOM'!V$4:V$449,1,FALSE)),0,Table1[[#This Row],[Remaining Extended cost]])</f>
        <v>0</v>
      </c>
    </row>
    <row r="418" spans="1:29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80" t="str">
        <f>IF(Table1[[#This Row],[Buy-now costs]]&gt;0,"X","")</f>
        <v/>
      </c>
      <c r="M418" s="80"/>
      <c r="N418" s="80"/>
      <c r="O418" s="40">
        <v>0</v>
      </c>
      <c r="P418" s="94">
        <f>Table1[[#This Row],[quantity on-hand]]*(Table1[[#This Row],[Cost ]]+Table1[[#This Row],[shipping]]+Table1[[#This Row],[Tax]])</f>
        <v>0</v>
      </c>
      <c r="Q418" s="40">
        <v>0</v>
      </c>
      <c r="R418" s="92">
        <f>Table1[[#This Row],[Quantity on order]]*(Table1[[#This Row],[Cost ]]+Table1[[#This Row],[shipping]]+Table1[[#This Row],[Tax]])</f>
        <v>0</v>
      </c>
      <c r="S4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8" s="49">
        <f>Table1[[#This Row],[Quantity  to  purchase]]+Table1[[#This Row],[Quantity purchased]]+Table1[[#This Row],[Quantity on order]]+Table1[[#This Row],[Quantity donated]]-Table1[[#This Row],[extended quantity]]</f>
        <v>0</v>
      </c>
      <c r="U4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8" s="51">
        <f>IFERROR(Table1[[#This Row],[Quantity  to  purchase]]*(Table1[[#This Row],[Cost ]]+Table1[[#This Row],[shipping]]+Table1[[#This Row],[Tax]]),0)</f>
        <v>0</v>
      </c>
      <c r="W418" s="36">
        <f>IFERROR(Table1[[#This Row],[leftover material]]*(Table1[[#This Row],[Cost ]]+Table1[[#This Row],[shipping]]+Table1[[#This Row],[Tax]]),0)</f>
        <v>0</v>
      </c>
      <c r="X418" s="36"/>
      <c r="Y418" s="84"/>
      <c r="Z418" s="84"/>
      <c r="AA418" s="84"/>
      <c r="AB418" s="36"/>
      <c r="AC418" s="36">
        <f>IF(ISNA(VLOOKUP(Table1[[#This Row],[Part Number]],'Multi-level BOM'!V$4:V$449,1,FALSE)),0,Table1[[#This Row],[Remaining Extended cost]])</f>
        <v>0</v>
      </c>
    </row>
    <row r="419" spans="1:29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80" t="str">
        <f>IF(Table1[[#This Row],[Buy-now costs]]&gt;0,"X","")</f>
        <v/>
      </c>
      <c r="M419" s="80"/>
      <c r="N419" s="80"/>
      <c r="O419" s="40">
        <v>0</v>
      </c>
      <c r="P419" s="94">
        <f>Table1[[#This Row],[quantity on-hand]]*(Table1[[#This Row],[Cost ]]+Table1[[#This Row],[shipping]]+Table1[[#This Row],[Tax]])</f>
        <v>0</v>
      </c>
      <c r="Q419" s="40">
        <v>0</v>
      </c>
      <c r="R419" s="92">
        <f>Table1[[#This Row],[Quantity on order]]*(Table1[[#This Row],[Cost ]]+Table1[[#This Row],[shipping]]+Table1[[#This Row],[Tax]])</f>
        <v>0</v>
      </c>
      <c r="S4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9" s="49">
        <f>Table1[[#This Row],[Quantity  to  purchase]]+Table1[[#This Row],[Quantity purchased]]+Table1[[#This Row],[Quantity on order]]+Table1[[#This Row],[Quantity donated]]-Table1[[#This Row],[extended quantity]]</f>
        <v>0</v>
      </c>
      <c r="U4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9" s="51">
        <f>IFERROR(Table1[[#This Row],[Quantity  to  purchase]]*(Table1[[#This Row],[Cost ]]+Table1[[#This Row],[shipping]]+Table1[[#This Row],[Tax]]),0)</f>
        <v>0</v>
      </c>
      <c r="W419" s="36">
        <f>IFERROR(Table1[[#This Row],[leftover material]]*(Table1[[#This Row],[Cost ]]+Table1[[#This Row],[shipping]]+Table1[[#This Row],[Tax]]),0)</f>
        <v>0</v>
      </c>
      <c r="X419" s="36"/>
      <c r="Y419" s="84"/>
      <c r="Z419" s="84"/>
      <c r="AA419" s="84"/>
      <c r="AB419" s="36"/>
      <c r="AC419" s="36">
        <f>IF(ISNA(VLOOKUP(Table1[[#This Row],[Part Number]],'Multi-level BOM'!V$4:V$449,1,FALSE)),0,Table1[[#This Row],[Remaining Extended cost]])</f>
        <v>0</v>
      </c>
    </row>
    <row r="420" spans="1:29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80" t="str">
        <f>IF(Table1[[#This Row],[Buy-now costs]]&gt;0,"X","")</f>
        <v/>
      </c>
      <c r="M420" s="80"/>
      <c r="N420" s="80"/>
      <c r="O420" s="40">
        <v>0</v>
      </c>
      <c r="P420" s="94">
        <f>Table1[[#This Row],[quantity on-hand]]*(Table1[[#This Row],[Cost ]]+Table1[[#This Row],[shipping]]+Table1[[#This Row],[Tax]])</f>
        <v>0</v>
      </c>
      <c r="Q420" s="40">
        <v>0</v>
      </c>
      <c r="R420" s="92">
        <f>Table1[[#This Row],[Quantity on order]]*(Table1[[#This Row],[Cost ]]+Table1[[#This Row],[shipping]]+Table1[[#This Row],[Tax]])</f>
        <v>0</v>
      </c>
      <c r="S4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0" s="49">
        <f>Table1[[#This Row],[Quantity  to  purchase]]+Table1[[#This Row],[Quantity purchased]]+Table1[[#This Row],[Quantity on order]]+Table1[[#This Row],[Quantity donated]]-Table1[[#This Row],[extended quantity]]</f>
        <v>0</v>
      </c>
      <c r="U4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0" s="51">
        <f>IFERROR(Table1[[#This Row],[Quantity  to  purchase]]*(Table1[[#This Row],[Cost ]]+Table1[[#This Row],[shipping]]+Table1[[#This Row],[Tax]]),0)</f>
        <v>0</v>
      </c>
      <c r="W420" s="36">
        <f>IFERROR(Table1[[#This Row],[leftover material]]*(Table1[[#This Row],[Cost ]]+Table1[[#This Row],[shipping]]+Table1[[#This Row],[Tax]]),0)</f>
        <v>0</v>
      </c>
      <c r="X420" s="36"/>
      <c r="Y420" s="84"/>
      <c r="Z420" s="84"/>
      <c r="AA420" s="84"/>
      <c r="AB420" s="36"/>
      <c r="AC420" s="36">
        <f>IF(ISNA(VLOOKUP(Table1[[#This Row],[Part Number]],'Multi-level BOM'!V$4:V$449,1,FALSE)),0,Table1[[#This Row],[Remaining Extended cost]])</f>
        <v>0</v>
      </c>
    </row>
    <row r="421" spans="1:29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80" t="str">
        <f>IF(Table1[[#This Row],[Buy-now costs]]&gt;0,"X","")</f>
        <v/>
      </c>
      <c r="M421" s="80"/>
      <c r="N421" s="80"/>
      <c r="O421" s="40">
        <v>0</v>
      </c>
      <c r="P421" s="94">
        <f>Table1[[#This Row],[quantity on-hand]]*(Table1[[#This Row],[Cost ]]+Table1[[#This Row],[shipping]]+Table1[[#This Row],[Tax]])</f>
        <v>0</v>
      </c>
      <c r="Q421" s="40">
        <v>0</v>
      </c>
      <c r="R421" s="92">
        <f>Table1[[#This Row],[Quantity on order]]*(Table1[[#This Row],[Cost ]]+Table1[[#This Row],[shipping]]+Table1[[#This Row],[Tax]])</f>
        <v>0</v>
      </c>
      <c r="S4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1" s="49">
        <f>Table1[[#This Row],[Quantity  to  purchase]]+Table1[[#This Row],[Quantity purchased]]+Table1[[#This Row],[Quantity on order]]+Table1[[#This Row],[Quantity donated]]-Table1[[#This Row],[extended quantity]]</f>
        <v>0</v>
      </c>
      <c r="U4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1" s="51">
        <f>IFERROR(Table1[[#This Row],[Quantity  to  purchase]]*(Table1[[#This Row],[Cost ]]+Table1[[#This Row],[shipping]]+Table1[[#This Row],[Tax]]),0)</f>
        <v>0</v>
      </c>
      <c r="W421" s="36">
        <f>IFERROR(Table1[[#This Row],[leftover material]]*(Table1[[#This Row],[Cost ]]+Table1[[#This Row],[shipping]]+Table1[[#This Row],[Tax]]),0)</f>
        <v>0</v>
      </c>
      <c r="X421" s="36"/>
      <c r="Y421" s="84"/>
      <c r="Z421" s="84"/>
      <c r="AA421" s="84"/>
      <c r="AB421" s="36"/>
      <c r="AC421" s="36">
        <f>IF(ISNA(VLOOKUP(Table1[[#This Row],[Part Number]],'Multi-level BOM'!V$4:V$449,1,FALSE)),0,Table1[[#This Row],[Remaining Extended cost]])</f>
        <v>0</v>
      </c>
    </row>
    <row r="422" spans="1:29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80" t="str">
        <f>IF(Table1[[#This Row],[Buy-now costs]]&gt;0,"X","")</f>
        <v/>
      </c>
      <c r="M422" s="80"/>
      <c r="N422" s="80"/>
      <c r="O422" s="40">
        <v>0</v>
      </c>
      <c r="P422" s="94">
        <f>Table1[[#This Row],[quantity on-hand]]*(Table1[[#This Row],[Cost ]]+Table1[[#This Row],[shipping]]+Table1[[#This Row],[Tax]])</f>
        <v>0</v>
      </c>
      <c r="Q422" s="40">
        <v>0</v>
      </c>
      <c r="R422" s="92">
        <f>Table1[[#This Row],[Quantity on order]]*(Table1[[#This Row],[Cost ]]+Table1[[#This Row],[shipping]]+Table1[[#This Row],[Tax]])</f>
        <v>0</v>
      </c>
      <c r="S4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2" s="49">
        <f>Table1[[#This Row],[Quantity  to  purchase]]+Table1[[#This Row],[Quantity purchased]]+Table1[[#This Row],[Quantity on order]]+Table1[[#This Row],[Quantity donated]]-Table1[[#This Row],[extended quantity]]</f>
        <v>0</v>
      </c>
      <c r="U4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2" s="51">
        <f>IFERROR(Table1[[#This Row],[Quantity  to  purchase]]*(Table1[[#This Row],[Cost ]]+Table1[[#This Row],[shipping]]+Table1[[#This Row],[Tax]]),0)</f>
        <v>0</v>
      </c>
      <c r="W422" s="36">
        <f>IFERROR(Table1[[#This Row],[leftover material]]*(Table1[[#This Row],[Cost ]]+Table1[[#This Row],[shipping]]+Table1[[#This Row],[Tax]]),0)</f>
        <v>0</v>
      </c>
      <c r="X422" s="36"/>
      <c r="Y422" s="84"/>
      <c r="Z422" s="84"/>
      <c r="AA422" s="84"/>
      <c r="AB422" s="36"/>
      <c r="AC422" s="36">
        <f>IF(ISNA(VLOOKUP(Table1[[#This Row],[Part Number]],'Multi-level BOM'!V$4:V$449,1,FALSE)),0,Table1[[#This Row],[Remaining Extended cost]])</f>
        <v>0</v>
      </c>
    </row>
    <row r="423" spans="1:29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80" t="str">
        <f>IF(Table1[[#This Row],[Buy-now costs]]&gt;0,"X","")</f>
        <v/>
      </c>
      <c r="M423" s="80"/>
      <c r="N423" s="80"/>
      <c r="O423" s="40">
        <v>0</v>
      </c>
      <c r="P423" s="94">
        <f>Table1[[#This Row],[quantity on-hand]]*(Table1[[#This Row],[Cost ]]+Table1[[#This Row],[shipping]]+Table1[[#This Row],[Tax]])</f>
        <v>0</v>
      </c>
      <c r="Q423" s="40">
        <v>0</v>
      </c>
      <c r="R423" s="92">
        <f>Table1[[#This Row],[Quantity on order]]*(Table1[[#This Row],[Cost ]]+Table1[[#This Row],[shipping]]+Table1[[#This Row],[Tax]])</f>
        <v>0</v>
      </c>
      <c r="S4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3" s="49">
        <f>Table1[[#This Row],[Quantity  to  purchase]]+Table1[[#This Row],[Quantity purchased]]+Table1[[#This Row],[Quantity on order]]+Table1[[#This Row],[Quantity donated]]-Table1[[#This Row],[extended quantity]]</f>
        <v>0</v>
      </c>
      <c r="U4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3" s="51">
        <f>IFERROR(Table1[[#This Row],[Quantity  to  purchase]]*(Table1[[#This Row],[Cost ]]+Table1[[#This Row],[shipping]]+Table1[[#This Row],[Tax]]),0)</f>
        <v>0</v>
      </c>
      <c r="W423" s="36">
        <f>IFERROR(Table1[[#This Row],[leftover material]]*(Table1[[#This Row],[Cost ]]+Table1[[#This Row],[shipping]]+Table1[[#This Row],[Tax]]),0)</f>
        <v>0</v>
      </c>
      <c r="X423" s="36"/>
      <c r="Y423" s="84"/>
      <c r="Z423" s="84"/>
      <c r="AA423" s="84"/>
      <c r="AB423" s="36"/>
      <c r="AC423" s="36">
        <f>IF(ISNA(VLOOKUP(Table1[[#This Row],[Part Number]],'Multi-level BOM'!V$4:V$449,1,FALSE)),0,Table1[[#This Row],[Remaining Extended cost]])</f>
        <v>0</v>
      </c>
    </row>
    <row r="424" spans="1:29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80" t="str">
        <f>IF(Table1[[#This Row],[Buy-now costs]]&gt;0,"X","")</f>
        <v/>
      </c>
      <c r="M424" s="80"/>
      <c r="N424" s="80"/>
      <c r="O424" s="40">
        <v>0</v>
      </c>
      <c r="P424" s="94">
        <f>Table1[[#This Row],[quantity on-hand]]*(Table1[[#This Row],[Cost ]]+Table1[[#This Row],[shipping]]+Table1[[#This Row],[Tax]])</f>
        <v>0</v>
      </c>
      <c r="Q424" s="40">
        <v>0</v>
      </c>
      <c r="R424" s="92">
        <f>Table1[[#This Row],[Quantity on order]]*(Table1[[#This Row],[Cost ]]+Table1[[#This Row],[shipping]]+Table1[[#This Row],[Tax]])</f>
        <v>0</v>
      </c>
      <c r="S4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4" s="49">
        <f>Table1[[#This Row],[Quantity  to  purchase]]+Table1[[#This Row],[Quantity purchased]]+Table1[[#This Row],[Quantity on order]]+Table1[[#This Row],[Quantity donated]]-Table1[[#This Row],[extended quantity]]</f>
        <v>0</v>
      </c>
      <c r="U4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4" s="51">
        <f>IFERROR(Table1[[#This Row],[Quantity  to  purchase]]*(Table1[[#This Row],[Cost ]]+Table1[[#This Row],[shipping]]+Table1[[#This Row],[Tax]]),0)</f>
        <v>0</v>
      </c>
      <c r="W424" s="36">
        <f>IFERROR(Table1[[#This Row],[leftover material]]*(Table1[[#This Row],[Cost ]]+Table1[[#This Row],[shipping]]+Table1[[#This Row],[Tax]]),0)</f>
        <v>0</v>
      </c>
      <c r="X424" s="36"/>
      <c r="Y424" s="84"/>
      <c r="Z424" s="84"/>
      <c r="AA424" s="84"/>
      <c r="AB424" s="36"/>
      <c r="AC424" s="36">
        <f>IF(ISNA(VLOOKUP(Table1[[#This Row],[Part Number]],'Multi-level BOM'!V$4:V$449,1,FALSE)),0,Table1[[#This Row],[Remaining Extended cost]])</f>
        <v>0</v>
      </c>
    </row>
    <row r="425" spans="1:29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80" t="str">
        <f>IF(Table1[[#This Row],[Buy-now costs]]&gt;0,"X","")</f>
        <v/>
      </c>
      <c r="M425" s="80"/>
      <c r="N425" s="80"/>
      <c r="O425" s="40">
        <v>0</v>
      </c>
      <c r="P425" s="94">
        <f>Table1[[#This Row],[quantity on-hand]]*(Table1[[#This Row],[Cost ]]+Table1[[#This Row],[shipping]]+Table1[[#This Row],[Tax]])</f>
        <v>0</v>
      </c>
      <c r="Q425" s="40">
        <v>0</v>
      </c>
      <c r="R425" s="92">
        <f>Table1[[#This Row],[Quantity on order]]*(Table1[[#This Row],[Cost ]]+Table1[[#This Row],[shipping]]+Table1[[#This Row],[Tax]])</f>
        <v>0</v>
      </c>
      <c r="S4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5" s="49">
        <f>Table1[[#This Row],[Quantity  to  purchase]]+Table1[[#This Row],[Quantity purchased]]+Table1[[#This Row],[Quantity on order]]+Table1[[#This Row],[Quantity donated]]-Table1[[#This Row],[extended quantity]]</f>
        <v>0</v>
      </c>
      <c r="U4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5" s="51">
        <f>IFERROR(Table1[[#This Row],[Quantity  to  purchase]]*(Table1[[#This Row],[Cost ]]+Table1[[#This Row],[shipping]]+Table1[[#This Row],[Tax]]),0)</f>
        <v>0</v>
      </c>
      <c r="W425" s="36">
        <f>IFERROR(Table1[[#This Row],[leftover material]]*(Table1[[#This Row],[Cost ]]+Table1[[#This Row],[shipping]]+Table1[[#This Row],[Tax]]),0)</f>
        <v>0</v>
      </c>
      <c r="X425" s="36"/>
      <c r="Y425" s="84"/>
      <c r="Z425" s="84"/>
      <c r="AA425" s="84"/>
      <c r="AB425" s="36"/>
      <c r="AC425" s="36">
        <f>IF(ISNA(VLOOKUP(Table1[[#This Row],[Part Number]],'Multi-level BOM'!V$4:V$449,1,FALSE)),0,Table1[[#This Row],[Remaining Extended cost]])</f>
        <v>0</v>
      </c>
    </row>
    <row r="426" spans="1:29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80" t="str">
        <f>IF(Table1[[#This Row],[Buy-now costs]]&gt;0,"X","")</f>
        <v/>
      </c>
      <c r="M426" s="80"/>
      <c r="N426" s="80"/>
      <c r="O426" s="40">
        <v>0</v>
      </c>
      <c r="P426" s="94">
        <f>Table1[[#This Row],[quantity on-hand]]*(Table1[[#This Row],[Cost ]]+Table1[[#This Row],[shipping]]+Table1[[#This Row],[Tax]])</f>
        <v>0</v>
      </c>
      <c r="Q426" s="40">
        <v>0</v>
      </c>
      <c r="R426" s="92">
        <f>Table1[[#This Row],[Quantity on order]]*(Table1[[#This Row],[Cost ]]+Table1[[#This Row],[shipping]]+Table1[[#This Row],[Tax]])</f>
        <v>0</v>
      </c>
      <c r="S4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6" s="49">
        <f>Table1[[#This Row],[Quantity  to  purchase]]+Table1[[#This Row],[Quantity purchased]]+Table1[[#This Row],[Quantity on order]]+Table1[[#This Row],[Quantity donated]]-Table1[[#This Row],[extended quantity]]</f>
        <v>0</v>
      </c>
      <c r="U4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6" s="51">
        <f>IFERROR(Table1[[#This Row],[Quantity  to  purchase]]*(Table1[[#This Row],[Cost ]]+Table1[[#This Row],[shipping]]+Table1[[#This Row],[Tax]]),0)</f>
        <v>0</v>
      </c>
      <c r="W426" s="36">
        <f>IFERROR(Table1[[#This Row],[leftover material]]*(Table1[[#This Row],[Cost ]]+Table1[[#This Row],[shipping]]+Table1[[#This Row],[Tax]]),0)</f>
        <v>0</v>
      </c>
      <c r="X426" s="36"/>
      <c r="Y426" s="84"/>
      <c r="Z426" s="84"/>
      <c r="AA426" s="84"/>
      <c r="AB426" s="36"/>
      <c r="AC426" s="36">
        <f>IF(ISNA(VLOOKUP(Table1[[#This Row],[Part Number]],'Multi-level BOM'!V$4:V$449,1,FALSE)),0,Table1[[#This Row],[Remaining Extended cost]])</f>
        <v>0</v>
      </c>
    </row>
    <row r="427" spans="1:29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80" t="str">
        <f>IF(Table1[[#This Row],[Buy-now costs]]&gt;0,"X","")</f>
        <v/>
      </c>
      <c r="M427" s="80"/>
      <c r="N427" s="80"/>
      <c r="O427" s="40">
        <v>0</v>
      </c>
      <c r="P427" s="94">
        <f>Table1[[#This Row],[quantity on-hand]]*(Table1[[#This Row],[Cost ]]+Table1[[#This Row],[shipping]]+Table1[[#This Row],[Tax]])</f>
        <v>0</v>
      </c>
      <c r="Q427" s="40">
        <v>0</v>
      </c>
      <c r="R427" s="92">
        <f>Table1[[#This Row],[Quantity on order]]*(Table1[[#This Row],[Cost ]]+Table1[[#This Row],[shipping]]+Table1[[#This Row],[Tax]])</f>
        <v>0</v>
      </c>
      <c r="S4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7" s="49">
        <f>Table1[[#This Row],[Quantity  to  purchase]]+Table1[[#This Row],[Quantity purchased]]+Table1[[#This Row],[Quantity on order]]+Table1[[#This Row],[Quantity donated]]-Table1[[#This Row],[extended quantity]]</f>
        <v>0</v>
      </c>
      <c r="U4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7" s="51">
        <f>IFERROR(Table1[[#This Row],[Quantity  to  purchase]]*(Table1[[#This Row],[Cost ]]+Table1[[#This Row],[shipping]]+Table1[[#This Row],[Tax]]),0)</f>
        <v>0</v>
      </c>
      <c r="W427" s="36">
        <f>IFERROR(Table1[[#This Row],[leftover material]]*(Table1[[#This Row],[Cost ]]+Table1[[#This Row],[shipping]]+Table1[[#This Row],[Tax]]),0)</f>
        <v>0</v>
      </c>
      <c r="X427" s="36"/>
      <c r="Y427" s="84"/>
      <c r="Z427" s="84"/>
      <c r="AA427" s="84"/>
      <c r="AB427" s="36"/>
      <c r="AC427" s="36">
        <f>IF(ISNA(VLOOKUP(Table1[[#This Row],[Part Number]],'Multi-level BOM'!V$4:V$449,1,FALSE)),0,Table1[[#This Row],[Remaining Extended cost]])</f>
        <v>0</v>
      </c>
    </row>
    <row r="428" spans="1:29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80" t="str">
        <f>IF(Table1[[#This Row],[Buy-now costs]]&gt;0,"X","")</f>
        <v/>
      </c>
      <c r="M428" s="80"/>
      <c r="N428" s="80"/>
      <c r="O428" s="40">
        <v>0</v>
      </c>
      <c r="P428" s="94">
        <f>Table1[[#This Row],[quantity on-hand]]*(Table1[[#This Row],[Cost ]]+Table1[[#This Row],[shipping]]+Table1[[#This Row],[Tax]])</f>
        <v>0</v>
      </c>
      <c r="Q428" s="40">
        <v>0</v>
      </c>
      <c r="R428" s="92">
        <f>Table1[[#This Row],[Quantity on order]]*(Table1[[#This Row],[Cost ]]+Table1[[#This Row],[shipping]]+Table1[[#This Row],[Tax]])</f>
        <v>0</v>
      </c>
      <c r="S4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8" s="49">
        <f>Table1[[#This Row],[Quantity  to  purchase]]+Table1[[#This Row],[Quantity purchased]]+Table1[[#This Row],[Quantity on order]]+Table1[[#This Row],[Quantity donated]]-Table1[[#This Row],[extended quantity]]</f>
        <v>0</v>
      </c>
      <c r="U4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8" s="51">
        <f>IFERROR(Table1[[#This Row],[Quantity  to  purchase]]*(Table1[[#This Row],[Cost ]]+Table1[[#This Row],[shipping]]+Table1[[#This Row],[Tax]]),0)</f>
        <v>0</v>
      </c>
      <c r="W428" s="36">
        <f>IFERROR(Table1[[#This Row],[leftover material]]*(Table1[[#This Row],[Cost ]]+Table1[[#This Row],[shipping]]+Table1[[#This Row],[Tax]]),0)</f>
        <v>0</v>
      </c>
      <c r="X428" s="36"/>
      <c r="Y428" s="84"/>
      <c r="Z428" s="84"/>
      <c r="AA428" s="84"/>
      <c r="AB428" s="36"/>
      <c r="AC428" s="36">
        <f>IF(ISNA(VLOOKUP(Table1[[#This Row],[Part Number]],'Multi-level BOM'!V$4:V$449,1,FALSE)),0,Table1[[#This Row],[Remaining Extended cost]])</f>
        <v>0</v>
      </c>
    </row>
    <row r="429" spans="1:29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80" t="str">
        <f>IF(Table1[[#This Row],[Buy-now costs]]&gt;0,"X","")</f>
        <v/>
      </c>
      <c r="M429" s="80"/>
      <c r="N429" s="80"/>
      <c r="O429" s="40">
        <v>0</v>
      </c>
      <c r="P429" s="94">
        <f>Table1[[#This Row],[quantity on-hand]]*(Table1[[#This Row],[Cost ]]+Table1[[#This Row],[shipping]]+Table1[[#This Row],[Tax]])</f>
        <v>0</v>
      </c>
      <c r="Q429" s="40">
        <v>0</v>
      </c>
      <c r="R429" s="92">
        <f>Table1[[#This Row],[Quantity on order]]*(Table1[[#This Row],[Cost ]]+Table1[[#This Row],[shipping]]+Table1[[#This Row],[Tax]])</f>
        <v>0</v>
      </c>
      <c r="S4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9" s="49">
        <f>Table1[[#This Row],[Quantity  to  purchase]]+Table1[[#This Row],[Quantity purchased]]+Table1[[#This Row],[Quantity on order]]+Table1[[#This Row],[Quantity donated]]-Table1[[#This Row],[extended quantity]]</f>
        <v>0</v>
      </c>
      <c r="U4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9" s="51">
        <f>IFERROR(Table1[[#This Row],[Quantity  to  purchase]]*(Table1[[#This Row],[Cost ]]+Table1[[#This Row],[shipping]]+Table1[[#This Row],[Tax]]),0)</f>
        <v>0</v>
      </c>
      <c r="W429" s="36">
        <f>IFERROR(Table1[[#This Row],[leftover material]]*(Table1[[#This Row],[Cost ]]+Table1[[#This Row],[shipping]]+Table1[[#This Row],[Tax]]),0)</f>
        <v>0</v>
      </c>
      <c r="X429" s="36"/>
      <c r="Y429" s="84"/>
      <c r="Z429" s="84"/>
      <c r="AA429" s="84"/>
      <c r="AB429" s="36"/>
      <c r="AC429" s="36">
        <f>IF(ISNA(VLOOKUP(Table1[[#This Row],[Part Number]],'Multi-level BOM'!V$4:V$449,1,FALSE)),0,Table1[[#This Row],[Remaining Extended cost]])</f>
        <v>0</v>
      </c>
    </row>
    <row r="430" spans="1:29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80" t="str">
        <f>IF(Table1[[#This Row],[Buy-now costs]]&gt;0,"X","")</f>
        <v/>
      </c>
      <c r="M430" s="80"/>
      <c r="N430" s="80"/>
      <c r="O430" s="40">
        <v>0</v>
      </c>
      <c r="P430" s="94">
        <f>Table1[[#This Row],[quantity on-hand]]*(Table1[[#This Row],[Cost ]]+Table1[[#This Row],[shipping]]+Table1[[#This Row],[Tax]])</f>
        <v>0</v>
      </c>
      <c r="Q430" s="40">
        <v>0</v>
      </c>
      <c r="R430" s="92">
        <f>Table1[[#This Row],[Quantity on order]]*(Table1[[#This Row],[Cost ]]+Table1[[#This Row],[shipping]]+Table1[[#This Row],[Tax]])</f>
        <v>0</v>
      </c>
      <c r="S4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0" s="49">
        <f>Table1[[#This Row],[Quantity  to  purchase]]+Table1[[#This Row],[Quantity purchased]]+Table1[[#This Row],[Quantity on order]]+Table1[[#This Row],[Quantity donated]]-Table1[[#This Row],[extended quantity]]</f>
        <v>0</v>
      </c>
      <c r="U4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0" s="51">
        <f>IFERROR(Table1[[#This Row],[Quantity  to  purchase]]*(Table1[[#This Row],[Cost ]]+Table1[[#This Row],[shipping]]+Table1[[#This Row],[Tax]]),0)</f>
        <v>0</v>
      </c>
      <c r="W430" s="36">
        <f>IFERROR(Table1[[#This Row],[leftover material]]*(Table1[[#This Row],[Cost ]]+Table1[[#This Row],[shipping]]+Table1[[#This Row],[Tax]]),0)</f>
        <v>0</v>
      </c>
      <c r="X430" s="36"/>
      <c r="Y430" s="84"/>
      <c r="Z430" s="84"/>
      <c r="AA430" s="84"/>
      <c r="AB430" s="36"/>
      <c r="AC430" s="36">
        <f>IF(ISNA(VLOOKUP(Table1[[#This Row],[Part Number]],'Multi-level BOM'!V$4:V$449,1,FALSE)),0,Table1[[#This Row],[Remaining Extended cost]])</f>
        <v>0</v>
      </c>
    </row>
    <row r="431" spans="1:29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80" t="str">
        <f>IF(Table1[[#This Row],[Buy-now costs]]&gt;0,"X","")</f>
        <v/>
      </c>
      <c r="M431" s="80"/>
      <c r="N431" s="80"/>
      <c r="O431" s="40">
        <v>0</v>
      </c>
      <c r="P431" s="94">
        <f>Table1[[#This Row],[quantity on-hand]]*(Table1[[#This Row],[Cost ]]+Table1[[#This Row],[shipping]]+Table1[[#This Row],[Tax]])</f>
        <v>0</v>
      </c>
      <c r="Q431" s="40">
        <v>0</v>
      </c>
      <c r="R431" s="92">
        <f>Table1[[#This Row],[Quantity on order]]*(Table1[[#This Row],[Cost ]]+Table1[[#This Row],[shipping]]+Table1[[#This Row],[Tax]])</f>
        <v>0</v>
      </c>
      <c r="S4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1" s="49">
        <f>Table1[[#This Row],[Quantity  to  purchase]]+Table1[[#This Row],[Quantity purchased]]+Table1[[#This Row],[Quantity on order]]+Table1[[#This Row],[Quantity donated]]-Table1[[#This Row],[extended quantity]]</f>
        <v>0</v>
      </c>
      <c r="U4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1" s="51">
        <f>IFERROR(Table1[[#This Row],[Quantity  to  purchase]]*(Table1[[#This Row],[Cost ]]+Table1[[#This Row],[shipping]]+Table1[[#This Row],[Tax]]),0)</f>
        <v>0</v>
      </c>
      <c r="W431" s="36">
        <f>IFERROR(Table1[[#This Row],[leftover material]]*(Table1[[#This Row],[Cost ]]+Table1[[#This Row],[shipping]]+Table1[[#This Row],[Tax]]),0)</f>
        <v>0</v>
      </c>
      <c r="X431" s="36"/>
      <c r="Y431" s="84"/>
      <c r="Z431" s="84"/>
      <c r="AA431" s="84"/>
      <c r="AB431" s="36"/>
      <c r="AC431" s="36">
        <f>IF(ISNA(VLOOKUP(Table1[[#This Row],[Part Number]],'Multi-level BOM'!V$4:V$449,1,FALSE)),0,Table1[[#This Row],[Remaining Extended cost]])</f>
        <v>0</v>
      </c>
    </row>
    <row r="432" spans="1:29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80" t="str">
        <f>IF(Table1[[#This Row],[Buy-now costs]]&gt;0,"X","")</f>
        <v/>
      </c>
      <c r="M432" s="80"/>
      <c r="N432" s="80"/>
      <c r="O432" s="40">
        <v>0</v>
      </c>
      <c r="P432" s="94">
        <f>Table1[[#This Row],[quantity on-hand]]*(Table1[[#This Row],[Cost ]]+Table1[[#This Row],[shipping]]+Table1[[#This Row],[Tax]])</f>
        <v>0</v>
      </c>
      <c r="Q432" s="40">
        <v>0</v>
      </c>
      <c r="R432" s="92">
        <f>Table1[[#This Row],[Quantity on order]]*(Table1[[#This Row],[Cost ]]+Table1[[#This Row],[shipping]]+Table1[[#This Row],[Tax]])</f>
        <v>0</v>
      </c>
      <c r="S4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2" s="49">
        <f>Table1[[#This Row],[Quantity  to  purchase]]+Table1[[#This Row],[Quantity purchased]]+Table1[[#This Row],[Quantity on order]]+Table1[[#This Row],[Quantity donated]]-Table1[[#This Row],[extended quantity]]</f>
        <v>0</v>
      </c>
      <c r="U4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2" s="51">
        <f>IFERROR(Table1[[#This Row],[Quantity  to  purchase]]*(Table1[[#This Row],[Cost ]]+Table1[[#This Row],[shipping]]+Table1[[#This Row],[Tax]]),0)</f>
        <v>0</v>
      </c>
      <c r="W432" s="36">
        <f>IFERROR(Table1[[#This Row],[leftover material]]*(Table1[[#This Row],[Cost ]]+Table1[[#This Row],[shipping]]+Table1[[#This Row],[Tax]]),0)</f>
        <v>0</v>
      </c>
      <c r="X432" s="36"/>
      <c r="Y432" s="84"/>
      <c r="Z432" s="84"/>
      <c r="AA432" s="84"/>
      <c r="AB432" s="36"/>
      <c r="AC432" s="36">
        <f>IF(ISNA(VLOOKUP(Table1[[#This Row],[Part Number]],'Multi-level BOM'!V$4:V$449,1,FALSE)),0,Table1[[#This Row],[Remaining Extended cost]])</f>
        <v>0</v>
      </c>
    </row>
    <row r="433" spans="1:29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80" t="str">
        <f>IF(Table1[[#This Row],[Buy-now costs]]&gt;0,"X","")</f>
        <v/>
      </c>
      <c r="M433" s="80"/>
      <c r="N433" s="80"/>
      <c r="O433" s="40">
        <v>0</v>
      </c>
      <c r="P433" s="94">
        <f>Table1[[#This Row],[quantity on-hand]]*(Table1[[#This Row],[Cost ]]+Table1[[#This Row],[shipping]]+Table1[[#This Row],[Tax]])</f>
        <v>0</v>
      </c>
      <c r="Q433" s="40">
        <v>0</v>
      </c>
      <c r="R433" s="92">
        <f>Table1[[#This Row],[Quantity on order]]*(Table1[[#This Row],[Cost ]]+Table1[[#This Row],[shipping]]+Table1[[#This Row],[Tax]])</f>
        <v>0</v>
      </c>
      <c r="S4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3" s="49">
        <f>Table1[[#This Row],[Quantity  to  purchase]]+Table1[[#This Row],[Quantity purchased]]+Table1[[#This Row],[Quantity on order]]+Table1[[#This Row],[Quantity donated]]-Table1[[#This Row],[extended quantity]]</f>
        <v>0</v>
      </c>
      <c r="U4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3" s="51">
        <f>IFERROR(Table1[[#This Row],[Quantity  to  purchase]]*(Table1[[#This Row],[Cost ]]+Table1[[#This Row],[shipping]]+Table1[[#This Row],[Tax]]),0)</f>
        <v>0</v>
      </c>
      <c r="W433" s="36">
        <f>IFERROR(Table1[[#This Row],[leftover material]]*(Table1[[#This Row],[Cost ]]+Table1[[#This Row],[shipping]]+Table1[[#This Row],[Tax]]),0)</f>
        <v>0</v>
      </c>
      <c r="X433" s="36"/>
      <c r="Y433" s="84"/>
      <c r="Z433" s="84"/>
      <c r="AA433" s="84"/>
      <c r="AB433" s="36"/>
      <c r="AC433" s="36">
        <f>IF(ISNA(VLOOKUP(Table1[[#This Row],[Part Number]],'Multi-level BOM'!V$4:V$449,1,FALSE)),0,Table1[[#This Row],[Remaining Extended cost]])</f>
        <v>0</v>
      </c>
    </row>
    <row r="434" spans="1:29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80" t="str">
        <f>IF(Table1[[#This Row],[Buy-now costs]]&gt;0,"X","")</f>
        <v/>
      </c>
      <c r="M434" s="80"/>
      <c r="N434" s="80"/>
      <c r="O434" s="40">
        <v>0</v>
      </c>
      <c r="P434" s="94">
        <f>Table1[[#This Row],[quantity on-hand]]*(Table1[[#This Row],[Cost ]]+Table1[[#This Row],[shipping]]+Table1[[#This Row],[Tax]])</f>
        <v>0</v>
      </c>
      <c r="Q434" s="40">
        <v>0</v>
      </c>
      <c r="R434" s="92">
        <f>Table1[[#This Row],[Quantity on order]]*(Table1[[#This Row],[Cost ]]+Table1[[#This Row],[shipping]]+Table1[[#This Row],[Tax]])</f>
        <v>0</v>
      </c>
      <c r="S4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4" s="49">
        <f>Table1[[#This Row],[Quantity  to  purchase]]+Table1[[#This Row],[Quantity purchased]]+Table1[[#This Row],[Quantity on order]]+Table1[[#This Row],[Quantity donated]]-Table1[[#This Row],[extended quantity]]</f>
        <v>0</v>
      </c>
      <c r="U4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4" s="51">
        <f>IFERROR(Table1[[#This Row],[Quantity  to  purchase]]*(Table1[[#This Row],[Cost ]]+Table1[[#This Row],[shipping]]+Table1[[#This Row],[Tax]]),0)</f>
        <v>0</v>
      </c>
      <c r="W434" s="36">
        <f>IFERROR(Table1[[#This Row],[leftover material]]*(Table1[[#This Row],[Cost ]]+Table1[[#This Row],[shipping]]+Table1[[#This Row],[Tax]]),0)</f>
        <v>0</v>
      </c>
      <c r="X434" s="36"/>
      <c r="Y434" s="84"/>
      <c r="Z434" s="84"/>
      <c r="AA434" s="84"/>
      <c r="AB434" s="36"/>
      <c r="AC434" s="36">
        <f>IF(ISNA(VLOOKUP(Table1[[#This Row],[Part Number]],'Multi-level BOM'!V$4:V$449,1,FALSE)),0,Table1[[#This Row],[Remaining Extended cost]])</f>
        <v>0</v>
      </c>
    </row>
    <row r="435" spans="1:29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80" t="str">
        <f>IF(Table1[[#This Row],[Buy-now costs]]&gt;0,"X","")</f>
        <v/>
      </c>
      <c r="M435" s="80"/>
      <c r="N435" s="80"/>
      <c r="O435" s="40">
        <v>0</v>
      </c>
      <c r="P435" s="94">
        <f>Table1[[#This Row],[quantity on-hand]]*(Table1[[#This Row],[Cost ]]+Table1[[#This Row],[shipping]]+Table1[[#This Row],[Tax]])</f>
        <v>0</v>
      </c>
      <c r="Q435" s="40">
        <v>0</v>
      </c>
      <c r="R435" s="92">
        <f>Table1[[#This Row],[Quantity on order]]*(Table1[[#This Row],[Cost ]]+Table1[[#This Row],[shipping]]+Table1[[#This Row],[Tax]])</f>
        <v>0</v>
      </c>
      <c r="S4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5" s="49">
        <f>Table1[[#This Row],[Quantity  to  purchase]]+Table1[[#This Row],[Quantity purchased]]+Table1[[#This Row],[Quantity on order]]+Table1[[#This Row],[Quantity donated]]-Table1[[#This Row],[extended quantity]]</f>
        <v>0</v>
      </c>
      <c r="U4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5" s="51">
        <f>IFERROR(Table1[[#This Row],[Quantity  to  purchase]]*(Table1[[#This Row],[Cost ]]+Table1[[#This Row],[shipping]]+Table1[[#This Row],[Tax]]),0)</f>
        <v>0</v>
      </c>
      <c r="W435" s="36">
        <f>IFERROR(Table1[[#This Row],[leftover material]]*(Table1[[#This Row],[Cost ]]+Table1[[#This Row],[shipping]]+Table1[[#This Row],[Tax]]),0)</f>
        <v>0</v>
      </c>
      <c r="X435" s="36"/>
      <c r="Y435" s="84"/>
      <c r="Z435" s="84"/>
      <c r="AA435" s="84"/>
      <c r="AB435" s="36"/>
      <c r="AC435" s="36">
        <f>IF(ISNA(VLOOKUP(Table1[[#This Row],[Part Number]],'Multi-level BOM'!V$4:V$449,1,FALSE)),0,Table1[[#This Row],[Remaining Extended cost]])</f>
        <v>0</v>
      </c>
    </row>
    <row r="436" spans="1:29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80" t="str">
        <f>IF(Table1[[#This Row],[Buy-now costs]]&gt;0,"X","")</f>
        <v/>
      </c>
      <c r="M436" s="80"/>
      <c r="N436" s="80"/>
      <c r="O436" s="40">
        <v>0</v>
      </c>
      <c r="P436" s="94">
        <f>Table1[[#This Row],[quantity on-hand]]*(Table1[[#This Row],[Cost ]]+Table1[[#This Row],[shipping]]+Table1[[#This Row],[Tax]])</f>
        <v>0</v>
      </c>
      <c r="Q436" s="40">
        <v>0</v>
      </c>
      <c r="R436" s="92">
        <f>Table1[[#This Row],[Quantity on order]]*(Table1[[#This Row],[Cost ]]+Table1[[#This Row],[shipping]]+Table1[[#This Row],[Tax]])</f>
        <v>0</v>
      </c>
      <c r="S4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6" s="49">
        <f>Table1[[#This Row],[Quantity  to  purchase]]+Table1[[#This Row],[Quantity purchased]]+Table1[[#This Row],[Quantity on order]]+Table1[[#This Row],[Quantity donated]]-Table1[[#This Row],[extended quantity]]</f>
        <v>0</v>
      </c>
      <c r="U4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6" s="51">
        <f>IFERROR(Table1[[#This Row],[Quantity  to  purchase]]*(Table1[[#This Row],[Cost ]]+Table1[[#This Row],[shipping]]+Table1[[#This Row],[Tax]]),0)</f>
        <v>0</v>
      </c>
      <c r="W436" s="36">
        <f>IFERROR(Table1[[#This Row],[leftover material]]*(Table1[[#This Row],[Cost ]]+Table1[[#This Row],[shipping]]+Table1[[#This Row],[Tax]]),0)</f>
        <v>0</v>
      </c>
      <c r="X436" s="36"/>
      <c r="Y436" s="84"/>
      <c r="Z436" s="84"/>
      <c r="AA436" s="84"/>
      <c r="AB436" s="36"/>
      <c r="AC436" s="36">
        <f>IF(ISNA(VLOOKUP(Table1[[#This Row],[Part Number]],'Multi-level BOM'!V$4:V$449,1,FALSE)),0,Table1[[#This Row],[Remaining Extended cost]])</f>
        <v>0</v>
      </c>
    </row>
    <row r="437" spans="1:29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80" t="str">
        <f>IF(Table1[[#This Row],[Buy-now costs]]&gt;0,"X","")</f>
        <v/>
      </c>
      <c r="M437" s="80"/>
      <c r="N437" s="80"/>
      <c r="O437" s="40">
        <v>0</v>
      </c>
      <c r="P437" s="94">
        <f>Table1[[#This Row],[quantity on-hand]]*(Table1[[#This Row],[Cost ]]+Table1[[#This Row],[shipping]]+Table1[[#This Row],[Tax]])</f>
        <v>0</v>
      </c>
      <c r="Q437" s="40">
        <v>0</v>
      </c>
      <c r="R437" s="92">
        <f>Table1[[#This Row],[Quantity on order]]*(Table1[[#This Row],[Cost ]]+Table1[[#This Row],[shipping]]+Table1[[#This Row],[Tax]])</f>
        <v>0</v>
      </c>
      <c r="S4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7" s="49">
        <f>Table1[[#This Row],[Quantity  to  purchase]]+Table1[[#This Row],[Quantity purchased]]+Table1[[#This Row],[Quantity on order]]+Table1[[#This Row],[Quantity donated]]-Table1[[#This Row],[extended quantity]]</f>
        <v>0</v>
      </c>
      <c r="U4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7" s="51">
        <f>IFERROR(Table1[[#This Row],[Quantity  to  purchase]]*(Table1[[#This Row],[Cost ]]+Table1[[#This Row],[shipping]]+Table1[[#This Row],[Tax]]),0)</f>
        <v>0</v>
      </c>
      <c r="W437" s="36">
        <f>IFERROR(Table1[[#This Row],[leftover material]]*(Table1[[#This Row],[Cost ]]+Table1[[#This Row],[shipping]]+Table1[[#This Row],[Tax]]),0)</f>
        <v>0</v>
      </c>
      <c r="X437" s="36"/>
      <c r="Y437" s="84"/>
      <c r="Z437" s="84"/>
      <c r="AA437" s="84"/>
      <c r="AB437" s="36"/>
      <c r="AC437" s="36">
        <f>IF(ISNA(VLOOKUP(Table1[[#This Row],[Part Number]],'Multi-level BOM'!V$4:V$449,1,FALSE)),0,Table1[[#This Row],[Remaining Extended cost]])</f>
        <v>0</v>
      </c>
    </row>
    <row r="438" spans="1:29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80" t="str">
        <f>IF(Table1[[#This Row],[Buy-now costs]]&gt;0,"X","")</f>
        <v/>
      </c>
      <c r="M438" s="80"/>
      <c r="N438" s="80"/>
      <c r="O438" s="40">
        <v>0</v>
      </c>
      <c r="P438" s="94">
        <f>Table1[[#This Row],[quantity on-hand]]*(Table1[[#This Row],[Cost ]]+Table1[[#This Row],[shipping]]+Table1[[#This Row],[Tax]])</f>
        <v>0</v>
      </c>
      <c r="Q438" s="40">
        <v>0</v>
      </c>
      <c r="R438" s="92">
        <f>Table1[[#This Row],[Quantity on order]]*(Table1[[#This Row],[Cost ]]+Table1[[#This Row],[shipping]]+Table1[[#This Row],[Tax]])</f>
        <v>0</v>
      </c>
      <c r="S4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8" s="49">
        <f>Table1[[#This Row],[Quantity  to  purchase]]+Table1[[#This Row],[Quantity purchased]]+Table1[[#This Row],[Quantity on order]]+Table1[[#This Row],[Quantity donated]]-Table1[[#This Row],[extended quantity]]</f>
        <v>0</v>
      </c>
      <c r="U4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8" s="51">
        <f>IFERROR(Table1[[#This Row],[Quantity  to  purchase]]*(Table1[[#This Row],[Cost ]]+Table1[[#This Row],[shipping]]+Table1[[#This Row],[Tax]]),0)</f>
        <v>0</v>
      </c>
      <c r="W438" s="36">
        <f>IFERROR(Table1[[#This Row],[leftover material]]*(Table1[[#This Row],[Cost ]]+Table1[[#This Row],[shipping]]+Table1[[#This Row],[Tax]]),0)</f>
        <v>0</v>
      </c>
      <c r="X438" s="36"/>
      <c r="Y438" s="84"/>
      <c r="Z438" s="84"/>
      <c r="AA438" s="84"/>
      <c r="AB438" s="36"/>
      <c r="AC438" s="36">
        <f>IF(ISNA(VLOOKUP(Table1[[#This Row],[Part Number]],'Multi-level BOM'!V$4:V$449,1,FALSE)),0,Table1[[#This Row],[Remaining Extended cost]])</f>
        <v>0</v>
      </c>
    </row>
    <row r="439" spans="1:29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80" t="str">
        <f>IF(Table1[[#This Row],[Buy-now costs]]&gt;0,"X","")</f>
        <v/>
      </c>
      <c r="M439" s="80"/>
      <c r="N439" s="80"/>
      <c r="O439" s="40">
        <v>0</v>
      </c>
      <c r="P439" s="94">
        <f>Table1[[#This Row],[quantity on-hand]]*(Table1[[#This Row],[Cost ]]+Table1[[#This Row],[shipping]]+Table1[[#This Row],[Tax]])</f>
        <v>0</v>
      </c>
      <c r="Q439" s="40">
        <v>0</v>
      </c>
      <c r="R439" s="92">
        <f>Table1[[#This Row],[Quantity on order]]*(Table1[[#This Row],[Cost ]]+Table1[[#This Row],[shipping]]+Table1[[#This Row],[Tax]])</f>
        <v>0</v>
      </c>
      <c r="S4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9" s="49">
        <f>Table1[[#This Row],[Quantity  to  purchase]]+Table1[[#This Row],[Quantity purchased]]+Table1[[#This Row],[Quantity on order]]+Table1[[#This Row],[Quantity donated]]-Table1[[#This Row],[extended quantity]]</f>
        <v>0</v>
      </c>
      <c r="U4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9" s="51">
        <f>IFERROR(Table1[[#This Row],[Quantity  to  purchase]]*(Table1[[#This Row],[Cost ]]+Table1[[#This Row],[shipping]]+Table1[[#This Row],[Tax]]),0)</f>
        <v>0</v>
      </c>
      <c r="W439" s="36">
        <f>IFERROR(Table1[[#This Row],[leftover material]]*(Table1[[#This Row],[Cost ]]+Table1[[#This Row],[shipping]]+Table1[[#This Row],[Tax]]),0)</f>
        <v>0</v>
      </c>
      <c r="X439" s="36"/>
      <c r="Y439" s="84"/>
      <c r="Z439" s="84"/>
      <c r="AA439" s="84"/>
      <c r="AB439" s="36"/>
      <c r="AC439" s="36">
        <f>IF(ISNA(VLOOKUP(Table1[[#This Row],[Part Number]],'Multi-level BOM'!V$4:V$449,1,FALSE)),0,Table1[[#This Row],[Remaining Extended cost]])</f>
        <v>0</v>
      </c>
    </row>
    <row r="440" spans="1:29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80" t="str">
        <f>IF(Table1[[#This Row],[Buy-now costs]]&gt;0,"X","")</f>
        <v/>
      </c>
      <c r="M440" s="80"/>
      <c r="N440" s="80"/>
      <c r="O440" s="40">
        <v>0</v>
      </c>
      <c r="P440" s="94">
        <f>Table1[[#This Row],[quantity on-hand]]*(Table1[[#This Row],[Cost ]]+Table1[[#This Row],[shipping]]+Table1[[#This Row],[Tax]])</f>
        <v>0</v>
      </c>
      <c r="Q440" s="40">
        <v>0</v>
      </c>
      <c r="R440" s="92">
        <f>Table1[[#This Row],[Quantity on order]]*(Table1[[#This Row],[Cost ]]+Table1[[#This Row],[shipping]]+Table1[[#This Row],[Tax]])</f>
        <v>0</v>
      </c>
      <c r="S4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0" s="49">
        <f>Table1[[#This Row],[Quantity  to  purchase]]+Table1[[#This Row],[Quantity purchased]]+Table1[[#This Row],[Quantity on order]]+Table1[[#This Row],[Quantity donated]]-Table1[[#This Row],[extended quantity]]</f>
        <v>0</v>
      </c>
      <c r="U4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0" s="51">
        <f>IFERROR(Table1[[#This Row],[Quantity  to  purchase]]*(Table1[[#This Row],[Cost ]]+Table1[[#This Row],[shipping]]+Table1[[#This Row],[Tax]]),0)</f>
        <v>0</v>
      </c>
      <c r="W440" s="36">
        <f>IFERROR(Table1[[#This Row],[leftover material]]*(Table1[[#This Row],[Cost ]]+Table1[[#This Row],[shipping]]+Table1[[#This Row],[Tax]]),0)</f>
        <v>0</v>
      </c>
      <c r="X440" s="36"/>
      <c r="Y440" s="84"/>
      <c r="Z440" s="84"/>
      <c r="AA440" s="84"/>
      <c r="AB440" s="36"/>
      <c r="AC440" s="36">
        <f>IF(ISNA(VLOOKUP(Table1[[#This Row],[Part Number]],'Multi-level BOM'!V$4:V$449,1,FALSE)),0,Table1[[#This Row],[Remaining Extended cost]])</f>
        <v>0</v>
      </c>
    </row>
    <row r="441" spans="1:29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80" t="str">
        <f>IF(Table1[[#This Row],[Buy-now costs]]&gt;0,"X","")</f>
        <v/>
      </c>
      <c r="M441" s="80"/>
      <c r="N441" s="80"/>
      <c r="O441" s="40">
        <v>0</v>
      </c>
      <c r="P441" s="94">
        <f>Table1[[#This Row],[quantity on-hand]]*(Table1[[#This Row],[Cost ]]+Table1[[#This Row],[shipping]]+Table1[[#This Row],[Tax]])</f>
        <v>0</v>
      </c>
      <c r="Q441" s="40">
        <v>0</v>
      </c>
      <c r="R441" s="92">
        <f>Table1[[#This Row],[Quantity on order]]*(Table1[[#This Row],[Cost ]]+Table1[[#This Row],[shipping]]+Table1[[#This Row],[Tax]])</f>
        <v>0</v>
      </c>
      <c r="S4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1" s="49">
        <f>Table1[[#This Row],[Quantity  to  purchase]]+Table1[[#This Row],[Quantity purchased]]+Table1[[#This Row],[Quantity on order]]+Table1[[#This Row],[Quantity donated]]-Table1[[#This Row],[extended quantity]]</f>
        <v>0</v>
      </c>
      <c r="U4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1" s="51">
        <f>IFERROR(Table1[[#This Row],[Quantity  to  purchase]]*(Table1[[#This Row],[Cost ]]+Table1[[#This Row],[shipping]]+Table1[[#This Row],[Tax]]),0)</f>
        <v>0</v>
      </c>
      <c r="W441" s="36">
        <f>IFERROR(Table1[[#This Row],[leftover material]]*(Table1[[#This Row],[Cost ]]+Table1[[#This Row],[shipping]]+Table1[[#This Row],[Tax]]),0)</f>
        <v>0</v>
      </c>
      <c r="X441" s="36"/>
      <c r="Y441" s="84"/>
      <c r="Z441" s="84"/>
      <c r="AA441" s="84"/>
      <c r="AB441" s="36"/>
      <c r="AC441" s="36">
        <f>IF(ISNA(VLOOKUP(Table1[[#This Row],[Part Number]],'Multi-level BOM'!V$4:V$449,1,FALSE)),0,Table1[[#This Row],[Remaining Extended cost]])</f>
        <v>0</v>
      </c>
    </row>
    <row r="442" spans="1:29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80" t="str">
        <f>IF(Table1[[#This Row],[Buy-now costs]]&gt;0,"X","")</f>
        <v/>
      </c>
      <c r="M442" s="80"/>
      <c r="N442" s="80"/>
      <c r="O442" s="40">
        <v>0</v>
      </c>
      <c r="P442" s="94">
        <f>Table1[[#This Row],[quantity on-hand]]*(Table1[[#This Row],[Cost ]]+Table1[[#This Row],[shipping]]+Table1[[#This Row],[Tax]])</f>
        <v>0</v>
      </c>
      <c r="Q442" s="40">
        <v>0</v>
      </c>
      <c r="R442" s="92">
        <f>Table1[[#This Row],[Quantity on order]]*(Table1[[#This Row],[Cost ]]+Table1[[#This Row],[shipping]]+Table1[[#This Row],[Tax]])</f>
        <v>0</v>
      </c>
      <c r="S4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2" s="49">
        <f>Table1[[#This Row],[Quantity  to  purchase]]+Table1[[#This Row],[Quantity purchased]]+Table1[[#This Row],[Quantity on order]]+Table1[[#This Row],[Quantity donated]]-Table1[[#This Row],[extended quantity]]</f>
        <v>0</v>
      </c>
      <c r="U4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2" s="51">
        <f>IFERROR(Table1[[#This Row],[Quantity  to  purchase]]*(Table1[[#This Row],[Cost ]]+Table1[[#This Row],[shipping]]+Table1[[#This Row],[Tax]]),0)</f>
        <v>0</v>
      </c>
      <c r="W442" s="36">
        <f>IFERROR(Table1[[#This Row],[leftover material]]*(Table1[[#This Row],[Cost ]]+Table1[[#This Row],[shipping]]+Table1[[#This Row],[Tax]]),0)</f>
        <v>0</v>
      </c>
      <c r="X442" s="36"/>
      <c r="Y442" s="84"/>
      <c r="Z442" s="84"/>
      <c r="AA442" s="84"/>
      <c r="AB442" s="36"/>
      <c r="AC442" s="36">
        <f>IF(ISNA(VLOOKUP(Table1[[#This Row],[Part Number]],'Multi-level BOM'!V$4:V$449,1,FALSE)),0,Table1[[#This Row],[Remaining Extended cost]])</f>
        <v>0</v>
      </c>
    </row>
    <row r="443" spans="1:29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80" t="str">
        <f>IF(Table1[[#This Row],[Buy-now costs]]&gt;0,"X","")</f>
        <v/>
      </c>
      <c r="M443" s="80"/>
      <c r="N443" s="80"/>
      <c r="O443" s="40">
        <v>0</v>
      </c>
      <c r="P443" s="94">
        <f>Table1[[#This Row],[quantity on-hand]]*(Table1[[#This Row],[Cost ]]+Table1[[#This Row],[shipping]]+Table1[[#This Row],[Tax]])</f>
        <v>0</v>
      </c>
      <c r="Q443" s="40">
        <v>0</v>
      </c>
      <c r="R443" s="92">
        <f>Table1[[#This Row],[Quantity on order]]*(Table1[[#This Row],[Cost ]]+Table1[[#This Row],[shipping]]+Table1[[#This Row],[Tax]])</f>
        <v>0</v>
      </c>
      <c r="S4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3" s="49">
        <f>Table1[[#This Row],[Quantity  to  purchase]]+Table1[[#This Row],[Quantity purchased]]+Table1[[#This Row],[Quantity on order]]+Table1[[#This Row],[Quantity donated]]-Table1[[#This Row],[extended quantity]]</f>
        <v>0</v>
      </c>
      <c r="U4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3" s="51">
        <f>IFERROR(Table1[[#This Row],[Quantity  to  purchase]]*(Table1[[#This Row],[Cost ]]+Table1[[#This Row],[shipping]]+Table1[[#This Row],[Tax]]),0)</f>
        <v>0</v>
      </c>
      <c r="W443" s="36">
        <f>IFERROR(Table1[[#This Row],[leftover material]]*(Table1[[#This Row],[Cost ]]+Table1[[#This Row],[shipping]]+Table1[[#This Row],[Tax]]),0)</f>
        <v>0</v>
      </c>
      <c r="X443" s="36"/>
      <c r="Y443" s="84"/>
      <c r="Z443" s="84"/>
      <c r="AA443" s="84"/>
      <c r="AB443" s="36"/>
      <c r="AC443" s="36">
        <f>IF(ISNA(VLOOKUP(Table1[[#This Row],[Part Number]],'Multi-level BOM'!V$4:V$449,1,FALSE)),0,Table1[[#This Row],[Remaining Extended cost]])</f>
        <v>0</v>
      </c>
    </row>
    <row r="444" spans="1:29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80" t="str">
        <f>IF(Table1[[#This Row],[Buy-now costs]]&gt;0,"X","")</f>
        <v/>
      </c>
      <c r="M444" s="80"/>
      <c r="N444" s="80"/>
      <c r="O444" s="40">
        <v>0</v>
      </c>
      <c r="P444" s="94">
        <f>Table1[[#This Row],[quantity on-hand]]*(Table1[[#This Row],[Cost ]]+Table1[[#This Row],[shipping]]+Table1[[#This Row],[Tax]])</f>
        <v>0</v>
      </c>
      <c r="Q444" s="40">
        <v>0</v>
      </c>
      <c r="R444" s="92">
        <f>Table1[[#This Row],[Quantity on order]]*(Table1[[#This Row],[Cost ]]+Table1[[#This Row],[shipping]]+Table1[[#This Row],[Tax]])</f>
        <v>0</v>
      </c>
      <c r="S4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4" s="49">
        <f>Table1[[#This Row],[Quantity  to  purchase]]+Table1[[#This Row],[Quantity purchased]]+Table1[[#This Row],[Quantity on order]]+Table1[[#This Row],[Quantity donated]]-Table1[[#This Row],[extended quantity]]</f>
        <v>0</v>
      </c>
      <c r="U4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4" s="51">
        <f>IFERROR(Table1[[#This Row],[Quantity  to  purchase]]*(Table1[[#This Row],[Cost ]]+Table1[[#This Row],[shipping]]+Table1[[#This Row],[Tax]]),0)</f>
        <v>0</v>
      </c>
      <c r="W444" s="36">
        <f>IFERROR(Table1[[#This Row],[leftover material]]*(Table1[[#This Row],[Cost ]]+Table1[[#This Row],[shipping]]+Table1[[#This Row],[Tax]]),0)</f>
        <v>0</v>
      </c>
      <c r="X444" s="36"/>
      <c r="Y444" s="84"/>
      <c r="Z444" s="84"/>
      <c r="AA444" s="84"/>
      <c r="AB444" s="36"/>
      <c r="AC444" s="36">
        <f>IF(ISNA(VLOOKUP(Table1[[#This Row],[Part Number]],'Multi-level BOM'!V$4:V$449,1,FALSE)),0,Table1[[#This Row],[Remaining Extended cost]])</f>
        <v>0</v>
      </c>
    </row>
    <row r="445" spans="1:29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80" t="str">
        <f>IF(Table1[[#This Row],[Buy-now costs]]&gt;0,"X","")</f>
        <v/>
      </c>
      <c r="M445" s="80"/>
      <c r="N445" s="80"/>
      <c r="O445" s="40">
        <v>0</v>
      </c>
      <c r="P445" s="94">
        <f>Table1[[#This Row],[quantity on-hand]]*(Table1[[#This Row],[Cost ]]+Table1[[#This Row],[shipping]]+Table1[[#This Row],[Tax]])</f>
        <v>0</v>
      </c>
      <c r="Q445" s="40">
        <v>0</v>
      </c>
      <c r="R445" s="92">
        <f>Table1[[#This Row],[Quantity on order]]*(Table1[[#This Row],[Cost ]]+Table1[[#This Row],[shipping]]+Table1[[#This Row],[Tax]])</f>
        <v>0</v>
      </c>
      <c r="S4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5" s="49">
        <f>Table1[[#This Row],[Quantity  to  purchase]]+Table1[[#This Row],[Quantity purchased]]+Table1[[#This Row],[Quantity on order]]+Table1[[#This Row],[Quantity donated]]-Table1[[#This Row],[extended quantity]]</f>
        <v>0</v>
      </c>
      <c r="U4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5" s="51">
        <f>IFERROR(Table1[[#This Row],[Quantity  to  purchase]]*(Table1[[#This Row],[Cost ]]+Table1[[#This Row],[shipping]]+Table1[[#This Row],[Tax]]),0)</f>
        <v>0</v>
      </c>
      <c r="W445" s="36">
        <f>IFERROR(Table1[[#This Row],[leftover material]]*(Table1[[#This Row],[Cost ]]+Table1[[#This Row],[shipping]]+Table1[[#This Row],[Tax]]),0)</f>
        <v>0</v>
      </c>
      <c r="X445" s="36"/>
      <c r="Y445" s="84"/>
      <c r="Z445" s="84"/>
      <c r="AA445" s="84"/>
      <c r="AB445" s="36"/>
      <c r="AC445" s="36">
        <f>IF(ISNA(VLOOKUP(Table1[[#This Row],[Part Number]],'Multi-level BOM'!V$4:V$449,1,FALSE)),0,Table1[[#This Row],[Remaining Extended cost]])</f>
        <v>0</v>
      </c>
    </row>
    <row r="446" spans="1:29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80" t="str">
        <f>IF(Table1[[#This Row],[Buy-now costs]]&gt;0,"X","")</f>
        <v/>
      </c>
      <c r="M446" s="80"/>
      <c r="N446" s="80"/>
      <c r="O446" s="40">
        <v>0</v>
      </c>
      <c r="P446" s="94">
        <f>Table1[[#This Row],[quantity on-hand]]*(Table1[[#This Row],[Cost ]]+Table1[[#This Row],[shipping]]+Table1[[#This Row],[Tax]])</f>
        <v>0</v>
      </c>
      <c r="Q446" s="40">
        <v>0</v>
      </c>
      <c r="R446" s="92">
        <f>Table1[[#This Row],[Quantity on order]]*(Table1[[#This Row],[Cost ]]+Table1[[#This Row],[shipping]]+Table1[[#This Row],[Tax]])</f>
        <v>0</v>
      </c>
      <c r="S4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6" s="49">
        <f>Table1[[#This Row],[Quantity  to  purchase]]+Table1[[#This Row],[Quantity purchased]]+Table1[[#This Row],[Quantity on order]]+Table1[[#This Row],[Quantity donated]]-Table1[[#This Row],[extended quantity]]</f>
        <v>0</v>
      </c>
      <c r="U4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6" s="51">
        <f>IFERROR(Table1[[#This Row],[Quantity  to  purchase]]*(Table1[[#This Row],[Cost ]]+Table1[[#This Row],[shipping]]+Table1[[#This Row],[Tax]]),0)</f>
        <v>0</v>
      </c>
      <c r="W446" s="36">
        <f>IFERROR(Table1[[#This Row],[leftover material]]*(Table1[[#This Row],[Cost ]]+Table1[[#This Row],[shipping]]+Table1[[#This Row],[Tax]]),0)</f>
        <v>0</v>
      </c>
      <c r="X446" s="36"/>
      <c r="Y446" s="84"/>
      <c r="Z446" s="84"/>
      <c r="AA446" s="84"/>
      <c r="AB446" s="36"/>
      <c r="AC446" s="36">
        <f>IF(ISNA(VLOOKUP(Table1[[#This Row],[Part Number]],'Multi-level BOM'!V$4:V$449,1,FALSE)),0,Table1[[#This Row],[Remaining Extended cost]])</f>
        <v>0</v>
      </c>
    </row>
    <row r="447" spans="1:29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80" t="str">
        <f>IF(Table1[[#This Row],[Buy-now costs]]&gt;0,"X","")</f>
        <v/>
      </c>
      <c r="M447" s="80"/>
      <c r="N447" s="80"/>
      <c r="O447" s="40">
        <v>0</v>
      </c>
      <c r="P447" s="94">
        <f>Table1[[#This Row],[quantity on-hand]]*(Table1[[#This Row],[Cost ]]+Table1[[#This Row],[shipping]]+Table1[[#This Row],[Tax]])</f>
        <v>0</v>
      </c>
      <c r="Q447" s="40">
        <v>0</v>
      </c>
      <c r="R447" s="92">
        <f>Table1[[#This Row],[Quantity on order]]*(Table1[[#This Row],[Cost ]]+Table1[[#This Row],[shipping]]+Table1[[#This Row],[Tax]])</f>
        <v>0</v>
      </c>
      <c r="S4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7" s="49">
        <f>Table1[[#This Row],[Quantity  to  purchase]]+Table1[[#This Row],[Quantity purchased]]+Table1[[#This Row],[Quantity on order]]+Table1[[#This Row],[Quantity donated]]-Table1[[#This Row],[extended quantity]]</f>
        <v>0</v>
      </c>
      <c r="U4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7" s="51">
        <f>IFERROR(Table1[[#This Row],[Quantity  to  purchase]]*(Table1[[#This Row],[Cost ]]+Table1[[#This Row],[shipping]]+Table1[[#This Row],[Tax]]),0)</f>
        <v>0</v>
      </c>
      <c r="W447" s="36">
        <f>IFERROR(Table1[[#This Row],[leftover material]]*(Table1[[#This Row],[Cost ]]+Table1[[#This Row],[shipping]]+Table1[[#This Row],[Tax]]),0)</f>
        <v>0</v>
      </c>
      <c r="X447" s="36"/>
      <c r="Y447" s="84"/>
      <c r="Z447" s="84"/>
      <c r="AA447" s="84"/>
      <c r="AB447" s="36"/>
      <c r="AC447" s="36">
        <f>IF(ISNA(VLOOKUP(Table1[[#This Row],[Part Number]],'Multi-level BOM'!V$4:V$449,1,FALSE)),0,Table1[[#This Row],[Remaining Extended cost]])</f>
        <v>0</v>
      </c>
    </row>
    <row r="448" spans="1:29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80" t="str">
        <f>IF(Table1[[#This Row],[Buy-now costs]]&gt;0,"X","")</f>
        <v/>
      </c>
      <c r="M448" s="80"/>
      <c r="N448" s="80"/>
      <c r="O448" s="40">
        <v>0</v>
      </c>
      <c r="P448" s="94">
        <f>Table1[[#This Row],[quantity on-hand]]*(Table1[[#This Row],[Cost ]]+Table1[[#This Row],[shipping]]+Table1[[#This Row],[Tax]])</f>
        <v>0</v>
      </c>
      <c r="Q448" s="40">
        <v>0</v>
      </c>
      <c r="R448" s="92">
        <f>Table1[[#This Row],[Quantity on order]]*(Table1[[#This Row],[Cost ]]+Table1[[#This Row],[shipping]]+Table1[[#This Row],[Tax]])</f>
        <v>0</v>
      </c>
      <c r="S4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8" s="49">
        <f>Table1[[#This Row],[Quantity  to  purchase]]+Table1[[#This Row],[Quantity purchased]]+Table1[[#This Row],[Quantity on order]]+Table1[[#This Row],[Quantity donated]]-Table1[[#This Row],[extended quantity]]</f>
        <v>0</v>
      </c>
      <c r="U4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8" s="51">
        <f>IFERROR(Table1[[#This Row],[Quantity  to  purchase]]*(Table1[[#This Row],[Cost ]]+Table1[[#This Row],[shipping]]+Table1[[#This Row],[Tax]]),0)</f>
        <v>0</v>
      </c>
      <c r="W448" s="36">
        <f>IFERROR(Table1[[#This Row],[leftover material]]*(Table1[[#This Row],[Cost ]]+Table1[[#This Row],[shipping]]+Table1[[#This Row],[Tax]]),0)</f>
        <v>0</v>
      </c>
      <c r="X448" s="36"/>
      <c r="Y448" s="84"/>
      <c r="Z448" s="84"/>
      <c r="AA448" s="84"/>
      <c r="AB448" s="36"/>
      <c r="AC448" s="36">
        <f>IF(ISNA(VLOOKUP(Table1[[#This Row],[Part Number]],'Multi-level BOM'!V$4:V$449,1,FALSE)),0,Table1[[#This Row],[Remaining Extended cost]])</f>
        <v>0</v>
      </c>
    </row>
    <row r="449" spans="1:29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80" t="str">
        <f>IF(Table1[[#This Row],[Buy-now costs]]&gt;0,"X","")</f>
        <v/>
      </c>
      <c r="M449" s="80"/>
      <c r="N449" s="80"/>
      <c r="O449" s="40">
        <v>0</v>
      </c>
      <c r="P449" s="94">
        <f>Table1[[#This Row],[quantity on-hand]]*(Table1[[#This Row],[Cost ]]+Table1[[#This Row],[shipping]]+Table1[[#This Row],[Tax]])</f>
        <v>0</v>
      </c>
      <c r="Q449" s="40">
        <v>0</v>
      </c>
      <c r="R449" s="92">
        <f>Table1[[#This Row],[Quantity on order]]*(Table1[[#This Row],[Cost ]]+Table1[[#This Row],[shipping]]+Table1[[#This Row],[Tax]])</f>
        <v>0</v>
      </c>
      <c r="S4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9" s="49">
        <f>Table1[[#This Row],[Quantity  to  purchase]]+Table1[[#This Row],[Quantity purchased]]+Table1[[#This Row],[Quantity on order]]+Table1[[#This Row],[Quantity donated]]-Table1[[#This Row],[extended quantity]]</f>
        <v>0</v>
      </c>
      <c r="U4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9" s="51">
        <f>IFERROR(Table1[[#This Row],[Quantity  to  purchase]]*(Table1[[#This Row],[Cost ]]+Table1[[#This Row],[shipping]]+Table1[[#This Row],[Tax]]),0)</f>
        <v>0</v>
      </c>
      <c r="W449" s="36">
        <f>IFERROR(Table1[[#This Row],[leftover material]]*(Table1[[#This Row],[Cost ]]+Table1[[#This Row],[shipping]]+Table1[[#This Row],[Tax]]),0)</f>
        <v>0</v>
      </c>
      <c r="X449" s="36"/>
      <c r="Y449" s="84"/>
      <c r="Z449" s="84"/>
      <c r="AA449" s="84"/>
      <c r="AB449" s="36"/>
      <c r="AC449" s="36">
        <f>IF(ISNA(VLOOKUP(Table1[[#This Row],[Part Number]],'Multi-level BOM'!V$4:V$449,1,FALSE)),0,Table1[[#This Row],[Remaining Extended cost]])</f>
        <v>0</v>
      </c>
    </row>
    <row r="450" spans="1:29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80" t="str">
        <f>IF(Table1[[#This Row],[Buy-now costs]]&gt;0,"X","")</f>
        <v/>
      </c>
      <c r="M450" s="80"/>
      <c r="N450" s="80"/>
      <c r="O450" s="40">
        <v>0</v>
      </c>
      <c r="P450" s="94">
        <f>Table1[[#This Row],[quantity on-hand]]*(Table1[[#This Row],[Cost ]]+Table1[[#This Row],[shipping]]+Table1[[#This Row],[Tax]])</f>
        <v>0</v>
      </c>
      <c r="Q450" s="40">
        <v>0</v>
      </c>
      <c r="R450" s="92">
        <f>Table1[[#This Row],[Quantity on order]]*(Table1[[#This Row],[Cost ]]+Table1[[#This Row],[shipping]]+Table1[[#This Row],[Tax]])</f>
        <v>0</v>
      </c>
      <c r="S4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0" s="49">
        <f>Table1[[#This Row],[Quantity  to  purchase]]+Table1[[#This Row],[Quantity purchased]]+Table1[[#This Row],[Quantity on order]]+Table1[[#This Row],[Quantity donated]]-Table1[[#This Row],[extended quantity]]</f>
        <v>0</v>
      </c>
      <c r="U4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0" s="51">
        <f>IFERROR(Table1[[#This Row],[Quantity  to  purchase]]*(Table1[[#This Row],[Cost ]]+Table1[[#This Row],[shipping]]+Table1[[#This Row],[Tax]]),0)</f>
        <v>0</v>
      </c>
      <c r="W450" s="36">
        <f>IFERROR(Table1[[#This Row],[leftover material]]*(Table1[[#This Row],[Cost ]]+Table1[[#This Row],[shipping]]+Table1[[#This Row],[Tax]]),0)</f>
        <v>0</v>
      </c>
      <c r="X450" s="36"/>
      <c r="Y450" s="84"/>
      <c r="Z450" s="84"/>
      <c r="AA450" s="84"/>
      <c r="AB450" s="36"/>
      <c r="AC450" s="36">
        <f>IF(ISNA(VLOOKUP(Table1[[#This Row],[Part Number]],'Multi-level BOM'!V$4:V$449,1,FALSE)),0,Table1[[#This Row],[Remaining Extended cost]])</f>
        <v>0</v>
      </c>
    </row>
    <row r="451" spans="1:29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80" t="str">
        <f>IF(Table1[[#This Row],[Buy-now costs]]&gt;0,"X","")</f>
        <v/>
      </c>
      <c r="M451" s="80"/>
      <c r="N451" s="80"/>
      <c r="O451" s="40">
        <v>0</v>
      </c>
      <c r="P451" s="94">
        <f>Table1[[#This Row],[quantity on-hand]]*(Table1[[#This Row],[Cost ]]+Table1[[#This Row],[shipping]]+Table1[[#This Row],[Tax]])</f>
        <v>0</v>
      </c>
      <c r="Q451" s="40">
        <v>0</v>
      </c>
      <c r="R451" s="92">
        <f>Table1[[#This Row],[Quantity on order]]*(Table1[[#This Row],[Cost ]]+Table1[[#This Row],[shipping]]+Table1[[#This Row],[Tax]])</f>
        <v>0</v>
      </c>
      <c r="S4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1" s="49">
        <f>Table1[[#This Row],[Quantity  to  purchase]]+Table1[[#This Row],[Quantity purchased]]+Table1[[#This Row],[Quantity on order]]+Table1[[#This Row],[Quantity donated]]-Table1[[#This Row],[extended quantity]]</f>
        <v>0</v>
      </c>
      <c r="U4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1" s="51">
        <f>IFERROR(Table1[[#This Row],[Quantity  to  purchase]]*(Table1[[#This Row],[Cost ]]+Table1[[#This Row],[shipping]]+Table1[[#This Row],[Tax]]),0)</f>
        <v>0</v>
      </c>
      <c r="W451" s="36">
        <f>IFERROR(Table1[[#This Row],[leftover material]]*(Table1[[#This Row],[Cost ]]+Table1[[#This Row],[shipping]]+Table1[[#This Row],[Tax]]),0)</f>
        <v>0</v>
      </c>
      <c r="X451" s="36"/>
      <c r="Y451" s="84"/>
      <c r="Z451" s="84"/>
      <c r="AA451" s="84"/>
      <c r="AB451" s="36"/>
      <c r="AC451" s="36">
        <f>IF(ISNA(VLOOKUP(Table1[[#This Row],[Part Number]],'Multi-level BOM'!V$4:V$449,1,FALSE)),0,Table1[[#This Row],[Remaining Extended cost]])</f>
        <v>0</v>
      </c>
    </row>
    <row r="452" spans="1:29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80" t="str">
        <f>IF(Table1[[#This Row],[Buy-now costs]]&gt;0,"X","")</f>
        <v/>
      </c>
      <c r="M452" s="80"/>
      <c r="N452" s="80"/>
      <c r="O452" s="40">
        <v>0</v>
      </c>
      <c r="P452" s="94">
        <f>Table1[[#This Row],[quantity on-hand]]*(Table1[[#This Row],[Cost ]]+Table1[[#This Row],[shipping]]+Table1[[#This Row],[Tax]])</f>
        <v>0</v>
      </c>
      <c r="Q452" s="40">
        <v>0</v>
      </c>
      <c r="R452" s="92">
        <f>Table1[[#This Row],[Quantity on order]]*(Table1[[#This Row],[Cost ]]+Table1[[#This Row],[shipping]]+Table1[[#This Row],[Tax]])</f>
        <v>0</v>
      </c>
      <c r="S4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2" s="49">
        <f>Table1[[#This Row],[Quantity  to  purchase]]+Table1[[#This Row],[Quantity purchased]]+Table1[[#This Row],[Quantity on order]]+Table1[[#This Row],[Quantity donated]]-Table1[[#This Row],[extended quantity]]</f>
        <v>0</v>
      </c>
      <c r="U4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2" s="51">
        <f>IFERROR(Table1[[#This Row],[Quantity  to  purchase]]*(Table1[[#This Row],[Cost ]]+Table1[[#This Row],[shipping]]+Table1[[#This Row],[Tax]]),0)</f>
        <v>0</v>
      </c>
      <c r="W452" s="36">
        <f>IFERROR(Table1[[#This Row],[leftover material]]*(Table1[[#This Row],[Cost ]]+Table1[[#This Row],[shipping]]+Table1[[#This Row],[Tax]]),0)</f>
        <v>0</v>
      </c>
      <c r="X452" s="36"/>
      <c r="Y452" s="84"/>
      <c r="Z452" s="84"/>
      <c r="AA452" s="84"/>
      <c r="AB452" s="36"/>
      <c r="AC452" s="36">
        <f>IF(ISNA(VLOOKUP(Table1[[#This Row],[Part Number]],'Multi-level BOM'!V$4:V$449,1,FALSE)),0,Table1[[#This Row],[Remaining Extended cost]])</f>
        <v>0</v>
      </c>
    </row>
    <row r="453" spans="1:29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80" t="str">
        <f>IF(Table1[[#This Row],[Buy-now costs]]&gt;0,"X","")</f>
        <v/>
      </c>
      <c r="M453" s="80"/>
      <c r="N453" s="80"/>
      <c r="O453" s="40">
        <v>0</v>
      </c>
      <c r="P453" s="94">
        <f>Table1[[#This Row],[quantity on-hand]]*(Table1[[#This Row],[Cost ]]+Table1[[#This Row],[shipping]]+Table1[[#This Row],[Tax]])</f>
        <v>0</v>
      </c>
      <c r="Q453" s="40">
        <v>0</v>
      </c>
      <c r="R453" s="92">
        <f>Table1[[#This Row],[Quantity on order]]*(Table1[[#This Row],[Cost ]]+Table1[[#This Row],[shipping]]+Table1[[#This Row],[Tax]])</f>
        <v>0</v>
      </c>
      <c r="S4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3" s="49">
        <f>Table1[[#This Row],[Quantity  to  purchase]]+Table1[[#This Row],[Quantity purchased]]+Table1[[#This Row],[Quantity on order]]+Table1[[#This Row],[Quantity donated]]-Table1[[#This Row],[extended quantity]]</f>
        <v>0</v>
      </c>
      <c r="U4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3" s="51">
        <f>IFERROR(Table1[[#This Row],[Quantity  to  purchase]]*(Table1[[#This Row],[Cost ]]+Table1[[#This Row],[shipping]]+Table1[[#This Row],[Tax]]),0)</f>
        <v>0</v>
      </c>
      <c r="W453" s="36">
        <f>IFERROR(Table1[[#This Row],[leftover material]]*(Table1[[#This Row],[Cost ]]+Table1[[#This Row],[shipping]]+Table1[[#This Row],[Tax]]),0)</f>
        <v>0</v>
      </c>
      <c r="X453" s="36"/>
      <c r="Y453" s="84"/>
      <c r="Z453" s="84"/>
      <c r="AA453" s="84"/>
      <c r="AB453" s="36"/>
      <c r="AC453" s="36">
        <f>IF(ISNA(VLOOKUP(Table1[[#This Row],[Part Number]],'Multi-level BOM'!V$4:V$449,1,FALSE)),0,Table1[[#This Row],[Remaining Extended cost]])</f>
        <v>0</v>
      </c>
    </row>
    <row r="454" spans="1:29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80" t="str">
        <f>IF(Table1[[#This Row],[Buy-now costs]]&gt;0,"X","")</f>
        <v/>
      </c>
      <c r="M454" s="80"/>
      <c r="N454" s="80"/>
      <c r="O454" s="40">
        <v>0</v>
      </c>
      <c r="P454" s="94">
        <f>Table1[[#This Row],[quantity on-hand]]*(Table1[[#This Row],[Cost ]]+Table1[[#This Row],[shipping]]+Table1[[#This Row],[Tax]])</f>
        <v>0</v>
      </c>
      <c r="Q454" s="40">
        <v>0</v>
      </c>
      <c r="R454" s="92">
        <f>Table1[[#This Row],[Quantity on order]]*(Table1[[#This Row],[Cost ]]+Table1[[#This Row],[shipping]]+Table1[[#This Row],[Tax]])</f>
        <v>0</v>
      </c>
      <c r="S4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4" s="49">
        <f>Table1[[#This Row],[Quantity  to  purchase]]+Table1[[#This Row],[Quantity purchased]]+Table1[[#This Row],[Quantity on order]]+Table1[[#This Row],[Quantity donated]]-Table1[[#This Row],[extended quantity]]</f>
        <v>0</v>
      </c>
      <c r="U4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4" s="51">
        <f>IFERROR(Table1[[#This Row],[Quantity  to  purchase]]*(Table1[[#This Row],[Cost ]]+Table1[[#This Row],[shipping]]+Table1[[#This Row],[Tax]]),0)</f>
        <v>0</v>
      </c>
      <c r="W454" s="36">
        <f>IFERROR(Table1[[#This Row],[leftover material]]*(Table1[[#This Row],[Cost ]]+Table1[[#This Row],[shipping]]+Table1[[#This Row],[Tax]]),0)</f>
        <v>0</v>
      </c>
      <c r="X454" s="36"/>
      <c r="Y454" s="84"/>
      <c r="Z454" s="84"/>
      <c r="AA454" s="84"/>
      <c r="AB454" s="36"/>
      <c r="AC454" s="36">
        <f>IF(ISNA(VLOOKUP(Table1[[#This Row],[Part Number]],'Multi-level BOM'!V$4:V$449,1,FALSE)),0,Table1[[#This Row],[Remaining Extended cost]])</f>
        <v>0</v>
      </c>
    </row>
    <row r="455" spans="1:29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80" t="str">
        <f>IF(Table1[[#This Row],[Buy-now costs]]&gt;0,"X","")</f>
        <v/>
      </c>
      <c r="M455" s="80"/>
      <c r="N455" s="80"/>
      <c r="O455" s="40">
        <v>0</v>
      </c>
      <c r="P455" s="94">
        <f>Table1[[#This Row],[quantity on-hand]]*(Table1[[#This Row],[Cost ]]+Table1[[#This Row],[shipping]]+Table1[[#This Row],[Tax]])</f>
        <v>0</v>
      </c>
      <c r="Q455" s="40">
        <v>0</v>
      </c>
      <c r="R455" s="92">
        <f>Table1[[#This Row],[Quantity on order]]*(Table1[[#This Row],[Cost ]]+Table1[[#This Row],[shipping]]+Table1[[#This Row],[Tax]])</f>
        <v>0</v>
      </c>
      <c r="S4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5" s="49">
        <f>Table1[[#This Row],[Quantity  to  purchase]]+Table1[[#This Row],[Quantity purchased]]+Table1[[#This Row],[Quantity on order]]+Table1[[#This Row],[Quantity donated]]-Table1[[#This Row],[extended quantity]]</f>
        <v>0</v>
      </c>
      <c r="U4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5" s="51">
        <f>IFERROR(Table1[[#This Row],[Quantity  to  purchase]]*(Table1[[#This Row],[Cost ]]+Table1[[#This Row],[shipping]]+Table1[[#This Row],[Tax]]),0)</f>
        <v>0</v>
      </c>
      <c r="W455" s="36">
        <f>IFERROR(Table1[[#This Row],[leftover material]]*(Table1[[#This Row],[Cost ]]+Table1[[#This Row],[shipping]]+Table1[[#This Row],[Tax]]),0)</f>
        <v>0</v>
      </c>
      <c r="X455" s="36"/>
      <c r="Y455" s="84"/>
      <c r="Z455" s="84"/>
      <c r="AA455" s="84"/>
      <c r="AB455" s="36"/>
      <c r="AC455" s="36">
        <f>IF(ISNA(VLOOKUP(Table1[[#This Row],[Part Number]],'Multi-level BOM'!V$4:V$449,1,FALSE)),0,Table1[[#This Row],[Remaining Extended cost]])</f>
        <v>0</v>
      </c>
    </row>
    <row r="456" spans="1:29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80" t="str">
        <f>IF(Table1[[#This Row],[Buy-now costs]]&gt;0,"X","")</f>
        <v/>
      </c>
      <c r="M456" s="80"/>
      <c r="N456" s="80"/>
      <c r="O456" s="40">
        <v>0</v>
      </c>
      <c r="P456" s="94">
        <f>Table1[[#This Row],[quantity on-hand]]*(Table1[[#This Row],[Cost ]]+Table1[[#This Row],[shipping]]+Table1[[#This Row],[Tax]])</f>
        <v>0</v>
      </c>
      <c r="Q456" s="40">
        <v>0</v>
      </c>
      <c r="R456" s="92">
        <f>Table1[[#This Row],[Quantity on order]]*(Table1[[#This Row],[Cost ]]+Table1[[#This Row],[shipping]]+Table1[[#This Row],[Tax]])</f>
        <v>0</v>
      </c>
      <c r="S4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6" s="49">
        <f>Table1[[#This Row],[Quantity  to  purchase]]+Table1[[#This Row],[Quantity purchased]]+Table1[[#This Row],[Quantity on order]]+Table1[[#This Row],[Quantity donated]]-Table1[[#This Row],[extended quantity]]</f>
        <v>0</v>
      </c>
      <c r="U4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6" s="51">
        <f>IFERROR(Table1[[#This Row],[Quantity  to  purchase]]*(Table1[[#This Row],[Cost ]]+Table1[[#This Row],[shipping]]+Table1[[#This Row],[Tax]]),0)</f>
        <v>0</v>
      </c>
      <c r="W456" s="36">
        <f>IFERROR(Table1[[#This Row],[leftover material]]*(Table1[[#This Row],[Cost ]]+Table1[[#This Row],[shipping]]+Table1[[#This Row],[Tax]]),0)</f>
        <v>0</v>
      </c>
      <c r="X456" s="36"/>
      <c r="Y456" s="84"/>
      <c r="Z456" s="84"/>
      <c r="AA456" s="84"/>
      <c r="AB456" s="36"/>
      <c r="AC456" s="36">
        <f>IF(ISNA(VLOOKUP(Table1[[#This Row],[Part Number]],'Multi-level BOM'!V$4:V$449,1,FALSE)),0,Table1[[#This Row],[Remaining Extended cost]])</f>
        <v>0</v>
      </c>
    </row>
    <row r="457" spans="1:29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80" t="str">
        <f>IF(Table1[[#This Row],[Buy-now costs]]&gt;0,"X","")</f>
        <v/>
      </c>
      <c r="M457" s="80"/>
      <c r="N457" s="80"/>
      <c r="O457" s="40">
        <v>0</v>
      </c>
      <c r="P457" s="94">
        <f>Table1[[#This Row],[quantity on-hand]]*(Table1[[#This Row],[Cost ]]+Table1[[#This Row],[shipping]]+Table1[[#This Row],[Tax]])</f>
        <v>0</v>
      </c>
      <c r="Q457" s="40">
        <v>0</v>
      </c>
      <c r="R457" s="92">
        <f>Table1[[#This Row],[Quantity on order]]*(Table1[[#This Row],[Cost ]]+Table1[[#This Row],[shipping]]+Table1[[#This Row],[Tax]])</f>
        <v>0</v>
      </c>
      <c r="S4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7" s="49">
        <f>Table1[[#This Row],[Quantity  to  purchase]]+Table1[[#This Row],[Quantity purchased]]+Table1[[#This Row],[Quantity on order]]+Table1[[#This Row],[Quantity donated]]-Table1[[#This Row],[extended quantity]]</f>
        <v>0</v>
      </c>
      <c r="U4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7" s="51">
        <f>IFERROR(Table1[[#This Row],[Quantity  to  purchase]]*(Table1[[#This Row],[Cost ]]+Table1[[#This Row],[shipping]]+Table1[[#This Row],[Tax]]),0)</f>
        <v>0</v>
      </c>
      <c r="W457" s="36">
        <f>IFERROR(Table1[[#This Row],[leftover material]]*(Table1[[#This Row],[Cost ]]+Table1[[#This Row],[shipping]]+Table1[[#This Row],[Tax]]),0)</f>
        <v>0</v>
      </c>
      <c r="X457" s="36"/>
      <c r="Y457" s="84"/>
      <c r="Z457" s="84"/>
      <c r="AA457" s="84"/>
      <c r="AB457" s="36"/>
      <c r="AC457" s="36">
        <f>IF(ISNA(VLOOKUP(Table1[[#This Row],[Part Number]],'Multi-level BOM'!V$4:V$449,1,FALSE)),0,Table1[[#This Row],[Remaining Extended cost]])</f>
        <v>0</v>
      </c>
    </row>
    <row r="458" spans="1:29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80" t="str">
        <f>IF(Table1[[#This Row],[Buy-now costs]]&gt;0,"X","")</f>
        <v/>
      </c>
      <c r="M458" s="80"/>
      <c r="N458" s="80"/>
      <c r="O458" s="40">
        <v>0</v>
      </c>
      <c r="P458" s="94">
        <f>Table1[[#This Row],[quantity on-hand]]*(Table1[[#This Row],[Cost ]]+Table1[[#This Row],[shipping]]+Table1[[#This Row],[Tax]])</f>
        <v>0</v>
      </c>
      <c r="Q458" s="40">
        <v>0</v>
      </c>
      <c r="R458" s="92">
        <f>Table1[[#This Row],[Quantity on order]]*(Table1[[#This Row],[Cost ]]+Table1[[#This Row],[shipping]]+Table1[[#This Row],[Tax]])</f>
        <v>0</v>
      </c>
      <c r="S4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8" s="49">
        <f>Table1[[#This Row],[Quantity  to  purchase]]+Table1[[#This Row],[Quantity purchased]]+Table1[[#This Row],[Quantity on order]]+Table1[[#This Row],[Quantity donated]]-Table1[[#This Row],[extended quantity]]</f>
        <v>0</v>
      </c>
      <c r="U4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8" s="51">
        <f>IFERROR(Table1[[#This Row],[Quantity  to  purchase]]*(Table1[[#This Row],[Cost ]]+Table1[[#This Row],[shipping]]+Table1[[#This Row],[Tax]]),0)</f>
        <v>0</v>
      </c>
      <c r="W458" s="36">
        <f>IFERROR(Table1[[#This Row],[leftover material]]*(Table1[[#This Row],[Cost ]]+Table1[[#This Row],[shipping]]+Table1[[#This Row],[Tax]]),0)</f>
        <v>0</v>
      </c>
      <c r="X458" s="36"/>
      <c r="Y458" s="84"/>
      <c r="Z458" s="84"/>
      <c r="AA458" s="84"/>
      <c r="AB458" s="36"/>
      <c r="AC458" s="36">
        <f>IF(ISNA(VLOOKUP(Table1[[#This Row],[Part Number]],'Multi-level BOM'!V$4:V$449,1,FALSE)),0,Table1[[#This Row],[Remaining Extended cost]])</f>
        <v>0</v>
      </c>
    </row>
    <row r="459" spans="1:29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80" t="str">
        <f>IF(Table1[[#This Row],[Buy-now costs]]&gt;0,"X","")</f>
        <v/>
      </c>
      <c r="M459" s="80"/>
      <c r="N459" s="80"/>
      <c r="O459" s="40">
        <v>0</v>
      </c>
      <c r="P459" s="94">
        <f>Table1[[#This Row],[quantity on-hand]]*(Table1[[#This Row],[Cost ]]+Table1[[#This Row],[shipping]]+Table1[[#This Row],[Tax]])</f>
        <v>0</v>
      </c>
      <c r="Q459" s="40">
        <v>0</v>
      </c>
      <c r="R459" s="92">
        <f>Table1[[#This Row],[Quantity on order]]*(Table1[[#This Row],[Cost ]]+Table1[[#This Row],[shipping]]+Table1[[#This Row],[Tax]])</f>
        <v>0</v>
      </c>
      <c r="S4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9" s="49">
        <f>Table1[[#This Row],[Quantity  to  purchase]]+Table1[[#This Row],[Quantity purchased]]+Table1[[#This Row],[Quantity on order]]+Table1[[#This Row],[Quantity donated]]-Table1[[#This Row],[extended quantity]]</f>
        <v>0</v>
      </c>
      <c r="U4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9" s="51">
        <f>IFERROR(Table1[[#This Row],[Quantity  to  purchase]]*(Table1[[#This Row],[Cost ]]+Table1[[#This Row],[shipping]]+Table1[[#This Row],[Tax]]),0)</f>
        <v>0</v>
      </c>
      <c r="W459" s="36">
        <f>IFERROR(Table1[[#This Row],[leftover material]]*(Table1[[#This Row],[Cost ]]+Table1[[#This Row],[shipping]]+Table1[[#This Row],[Tax]]),0)</f>
        <v>0</v>
      </c>
      <c r="X459" s="36"/>
      <c r="Y459" s="84"/>
      <c r="Z459" s="84"/>
      <c r="AA459" s="84"/>
      <c r="AB459" s="36"/>
      <c r="AC459" s="36">
        <f>IF(ISNA(VLOOKUP(Table1[[#This Row],[Part Number]],'Multi-level BOM'!V$4:V$449,1,FALSE)),0,Table1[[#This Row],[Remaining Extended cost]])</f>
        <v>0</v>
      </c>
    </row>
    <row r="460" spans="1:29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80" t="str">
        <f>IF(Table1[[#This Row],[Buy-now costs]]&gt;0,"X","")</f>
        <v/>
      </c>
      <c r="M460" s="80"/>
      <c r="N460" s="80"/>
      <c r="O460" s="40">
        <v>0</v>
      </c>
      <c r="P460" s="94">
        <f>Table1[[#This Row],[quantity on-hand]]*(Table1[[#This Row],[Cost ]]+Table1[[#This Row],[shipping]]+Table1[[#This Row],[Tax]])</f>
        <v>0</v>
      </c>
      <c r="Q460" s="40">
        <v>0</v>
      </c>
      <c r="R460" s="92">
        <f>Table1[[#This Row],[Quantity on order]]*(Table1[[#This Row],[Cost ]]+Table1[[#This Row],[shipping]]+Table1[[#This Row],[Tax]])</f>
        <v>0</v>
      </c>
      <c r="S4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0" s="49">
        <f>Table1[[#This Row],[Quantity  to  purchase]]+Table1[[#This Row],[Quantity purchased]]+Table1[[#This Row],[Quantity on order]]+Table1[[#This Row],[Quantity donated]]-Table1[[#This Row],[extended quantity]]</f>
        <v>0</v>
      </c>
      <c r="U4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0" s="51">
        <f>IFERROR(Table1[[#This Row],[Quantity  to  purchase]]*(Table1[[#This Row],[Cost ]]+Table1[[#This Row],[shipping]]+Table1[[#This Row],[Tax]]),0)</f>
        <v>0</v>
      </c>
      <c r="W460" s="36">
        <f>IFERROR(Table1[[#This Row],[leftover material]]*(Table1[[#This Row],[Cost ]]+Table1[[#This Row],[shipping]]+Table1[[#This Row],[Tax]]),0)</f>
        <v>0</v>
      </c>
      <c r="X460" s="36"/>
      <c r="Y460" s="84"/>
      <c r="Z460" s="84"/>
      <c r="AA460" s="84"/>
      <c r="AB460" s="36"/>
      <c r="AC460" s="36">
        <f>IF(ISNA(VLOOKUP(Table1[[#This Row],[Part Number]],'Multi-level BOM'!V$4:V$449,1,FALSE)),0,Table1[[#This Row],[Remaining Extended cost]])</f>
        <v>0</v>
      </c>
    </row>
    <row r="461" spans="1:29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80" t="str">
        <f>IF(Table1[[#This Row],[Buy-now costs]]&gt;0,"X","")</f>
        <v/>
      </c>
      <c r="M461" s="80"/>
      <c r="N461" s="80"/>
      <c r="O461" s="40">
        <v>0</v>
      </c>
      <c r="P461" s="94">
        <f>Table1[[#This Row],[quantity on-hand]]*(Table1[[#This Row],[Cost ]]+Table1[[#This Row],[shipping]]+Table1[[#This Row],[Tax]])</f>
        <v>0</v>
      </c>
      <c r="Q461" s="40">
        <v>0</v>
      </c>
      <c r="R461" s="92">
        <f>Table1[[#This Row],[Quantity on order]]*(Table1[[#This Row],[Cost ]]+Table1[[#This Row],[shipping]]+Table1[[#This Row],[Tax]])</f>
        <v>0</v>
      </c>
      <c r="S4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1" s="49">
        <f>Table1[[#This Row],[Quantity  to  purchase]]+Table1[[#This Row],[Quantity purchased]]+Table1[[#This Row],[Quantity on order]]+Table1[[#This Row],[Quantity donated]]-Table1[[#This Row],[extended quantity]]</f>
        <v>0</v>
      </c>
      <c r="U4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1" s="51">
        <f>IFERROR(Table1[[#This Row],[Quantity  to  purchase]]*(Table1[[#This Row],[Cost ]]+Table1[[#This Row],[shipping]]+Table1[[#This Row],[Tax]]),0)</f>
        <v>0</v>
      </c>
      <c r="W461" s="36">
        <f>IFERROR(Table1[[#This Row],[leftover material]]*(Table1[[#This Row],[Cost ]]+Table1[[#This Row],[shipping]]+Table1[[#This Row],[Tax]]),0)</f>
        <v>0</v>
      </c>
      <c r="X461" s="36"/>
      <c r="Y461" s="84"/>
      <c r="Z461" s="84"/>
      <c r="AA461" s="84"/>
      <c r="AB461" s="36"/>
      <c r="AC461" s="36">
        <f>IF(ISNA(VLOOKUP(Table1[[#This Row],[Part Number]],'Multi-level BOM'!V$4:V$449,1,FALSE)),0,Table1[[#This Row],[Remaining Extended cost]])</f>
        <v>0</v>
      </c>
    </row>
    <row r="462" spans="1:29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80" t="str">
        <f>IF(Table1[[#This Row],[Buy-now costs]]&gt;0,"X","")</f>
        <v/>
      </c>
      <c r="M462" s="80"/>
      <c r="N462" s="80"/>
      <c r="O462" s="40">
        <v>0</v>
      </c>
      <c r="P462" s="94">
        <f>Table1[[#This Row],[quantity on-hand]]*(Table1[[#This Row],[Cost ]]+Table1[[#This Row],[shipping]]+Table1[[#This Row],[Tax]])</f>
        <v>0</v>
      </c>
      <c r="Q462" s="40">
        <v>0</v>
      </c>
      <c r="R462" s="92">
        <f>Table1[[#This Row],[Quantity on order]]*(Table1[[#This Row],[Cost ]]+Table1[[#This Row],[shipping]]+Table1[[#This Row],[Tax]])</f>
        <v>0</v>
      </c>
      <c r="S4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2" s="49">
        <f>Table1[[#This Row],[Quantity  to  purchase]]+Table1[[#This Row],[Quantity purchased]]+Table1[[#This Row],[Quantity on order]]+Table1[[#This Row],[Quantity donated]]-Table1[[#This Row],[extended quantity]]</f>
        <v>0</v>
      </c>
      <c r="U4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2" s="51">
        <f>IFERROR(Table1[[#This Row],[Quantity  to  purchase]]*(Table1[[#This Row],[Cost ]]+Table1[[#This Row],[shipping]]+Table1[[#This Row],[Tax]]),0)</f>
        <v>0</v>
      </c>
      <c r="W462" s="36">
        <f>IFERROR(Table1[[#This Row],[leftover material]]*(Table1[[#This Row],[Cost ]]+Table1[[#This Row],[shipping]]+Table1[[#This Row],[Tax]]),0)</f>
        <v>0</v>
      </c>
      <c r="X462" s="36"/>
      <c r="Y462" s="84"/>
      <c r="Z462" s="84"/>
      <c r="AA462" s="84"/>
      <c r="AB462" s="36"/>
      <c r="AC462" s="36">
        <f>IF(ISNA(VLOOKUP(Table1[[#This Row],[Part Number]],'Multi-level BOM'!V$4:V$449,1,FALSE)),0,Table1[[#This Row],[Remaining Extended cost]])</f>
        <v>0</v>
      </c>
    </row>
    <row r="463" spans="1:29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80" t="str">
        <f>IF(Table1[[#This Row],[Buy-now costs]]&gt;0,"X","")</f>
        <v/>
      </c>
      <c r="M463" s="80"/>
      <c r="N463" s="80"/>
      <c r="O463" s="40">
        <v>0</v>
      </c>
      <c r="P463" s="94">
        <f>Table1[[#This Row],[quantity on-hand]]*(Table1[[#This Row],[Cost ]]+Table1[[#This Row],[shipping]]+Table1[[#This Row],[Tax]])</f>
        <v>0</v>
      </c>
      <c r="Q463" s="40">
        <v>0</v>
      </c>
      <c r="R463" s="92">
        <f>Table1[[#This Row],[Quantity on order]]*(Table1[[#This Row],[Cost ]]+Table1[[#This Row],[shipping]]+Table1[[#This Row],[Tax]])</f>
        <v>0</v>
      </c>
      <c r="S4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3" s="49">
        <f>Table1[[#This Row],[Quantity  to  purchase]]+Table1[[#This Row],[Quantity purchased]]+Table1[[#This Row],[Quantity on order]]+Table1[[#This Row],[Quantity donated]]-Table1[[#This Row],[extended quantity]]</f>
        <v>0</v>
      </c>
      <c r="U4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3" s="51">
        <f>IFERROR(Table1[[#This Row],[Quantity  to  purchase]]*(Table1[[#This Row],[Cost ]]+Table1[[#This Row],[shipping]]+Table1[[#This Row],[Tax]]),0)</f>
        <v>0</v>
      </c>
      <c r="W463" s="36">
        <f>IFERROR(Table1[[#This Row],[leftover material]]*(Table1[[#This Row],[Cost ]]+Table1[[#This Row],[shipping]]+Table1[[#This Row],[Tax]]),0)</f>
        <v>0</v>
      </c>
      <c r="X463" s="36"/>
      <c r="Y463" s="84"/>
      <c r="Z463" s="84"/>
      <c r="AA463" s="84"/>
      <c r="AB463" s="36"/>
      <c r="AC463" s="36">
        <f>IF(ISNA(VLOOKUP(Table1[[#This Row],[Part Number]],'Multi-level BOM'!V$4:V$449,1,FALSE)),0,Table1[[#This Row],[Remaining Extended cost]])</f>
        <v>0</v>
      </c>
    </row>
    <row r="464" spans="1:29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80" t="str">
        <f>IF(Table1[[#This Row],[Buy-now costs]]&gt;0,"X","")</f>
        <v/>
      </c>
      <c r="M464" s="80"/>
      <c r="N464" s="80"/>
      <c r="O464" s="40">
        <v>0</v>
      </c>
      <c r="P464" s="94">
        <f>Table1[[#This Row],[quantity on-hand]]*(Table1[[#This Row],[Cost ]]+Table1[[#This Row],[shipping]]+Table1[[#This Row],[Tax]])</f>
        <v>0</v>
      </c>
      <c r="Q464" s="40">
        <v>0</v>
      </c>
      <c r="R464" s="92">
        <f>Table1[[#This Row],[Quantity on order]]*(Table1[[#This Row],[Cost ]]+Table1[[#This Row],[shipping]]+Table1[[#This Row],[Tax]])</f>
        <v>0</v>
      </c>
      <c r="S4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4" s="49">
        <f>Table1[[#This Row],[Quantity  to  purchase]]+Table1[[#This Row],[Quantity purchased]]+Table1[[#This Row],[Quantity on order]]+Table1[[#This Row],[Quantity donated]]-Table1[[#This Row],[extended quantity]]</f>
        <v>0</v>
      </c>
      <c r="U4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4" s="51">
        <f>IFERROR(Table1[[#This Row],[Quantity  to  purchase]]*(Table1[[#This Row],[Cost ]]+Table1[[#This Row],[shipping]]+Table1[[#This Row],[Tax]]),0)</f>
        <v>0</v>
      </c>
      <c r="W464" s="36">
        <f>IFERROR(Table1[[#This Row],[leftover material]]*(Table1[[#This Row],[Cost ]]+Table1[[#This Row],[shipping]]+Table1[[#This Row],[Tax]]),0)</f>
        <v>0</v>
      </c>
      <c r="X464" s="36"/>
      <c r="Y464" s="84"/>
      <c r="Z464" s="84"/>
      <c r="AA464" s="84"/>
      <c r="AB464" s="36"/>
      <c r="AC464" s="36">
        <f>IF(ISNA(VLOOKUP(Table1[[#This Row],[Part Number]],'Multi-level BOM'!V$4:V$449,1,FALSE)),0,Table1[[#This Row],[Remaining Extended cost]])</f>
        <v>0</v>
      </c>
    </row>
    <row r="465" spans="1:29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80" t="str">
        <f>IF(Table1[[#This Row],[Buy-now costs]]&gt;0,"X","")</f>
        <v/>
      </c>
      <c r="M465" s="80"/>
      <c r="N465" s="80"/>
      <c r="O465" s="40">
        <v>0</v>
      </c>
      <c r="P465" s="94">
        <f>Table1[[#This Row],[quantity on-hand]]*(Table1[[#This Row],[Cost ]]+Table1[[#This Row],[shipping]]+Table1[[#This Row],[Tax]])</f>
        <v>0</v>
      </c>
      <c r="Q465" s="40">
        <v>0</v>
      </c>
      <c r="R465" s="92">
        <f>Table1[[#This Row],[Quantity on order]]*(Table1[[#This Row],[Cost ]]+Table1[[#This Row],[shipping]]+Table1[[#This Row],[Tax]])</f>
        <v>0</v>
      </c>
      <c r="S4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5" s="49">
        <f>Table1[[#This Row],[Quantity  to  purchase]]+Table1[[#This Row],[Quantity purchased]]+Table1[[#This Row],[Quantity on order]]+Table1[[#This Row],[Quantity donated]]-Table1[[#This Row],[extended quantity]]</f>
        <v>0</v>
      </c>
      <c r="U4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5" s="51">
        <f>IFERROR(Table1[[#This Row],[Quantity  to  purchase]]*(Table1[[#This Row],[Cost ]]+Table1[[#This Row],[shipping]]+Table1[[#This Row],[Tax]]),0)</f>
        <v>0</v>
      </c>
      <c r="W465" s="36">
        <f>IFERROR(Table1[[#This Row],[leftover material]]*(Table1[[#This Row],[Cost ]]+Table1[[#This Row],[shipping]]+Table1[[#This Row],[Tax]]),0)</f>
        <v>0</v>
      </c>
      <c r="X465" s="36"/>
      <c r="Y465" s="84"/>
      <c r="Z465" s="84"/>
      <c r="AA465" s="84"/>
      <c r="AB465" s="36"/>
      <c r="AC465" s="36">
        <f>IF(ISNA(VLOOKUP(Table1[[#This Row],[Part Number]],'Multi-level BOM'!V$4:V$449,1,FALSE)),0,Table1[[#This Row],[Remaining Extended cost]])</f>
        <v>0</v>
      </c>
    </row>
    <row r="466" spans="1:29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80" t="str">
        <f>IF(Table1[[#This Row],[Buy-now costs]]&gt;0,"X","")</f>
        <v/>
      </c>
      <c r="M466" s="80"/>
      <c r="N466" s="80"/>
      <c r="O466" s="40">
        <v>0</v>
      </c>
      <c r="P466" s="94">
        <f>Table1[[#This Row],[quantity on-hand]]*(Table1[[#This Row],[Cost ]]+Table1[[#This Row],[shipping]]+Table1[[#This Row],[Tax]])</f>
        <v>0</v>
      </c>
      <c r="Q466" s="40">
        <v>0</v>
      </c>
      <c r="R466" s="92">
        <f>Table1[[#This Row],[Quantity on order]]*(Table1[[#This Row],[Cost ]]+Table1[[#This Row],[shipping]]+Table1[[#This Row],[Tax]])</f>
        <v>0</v>
      </c>
      <c r="S4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6" s="49">
        <f>Table1[[#This Row],[Quantity  to  purchase]]+Table1[[#This Row],[Quantity purchased]]+Table1[[#This Row],[Quantity on order]]+Table1[[#This Row],[Quantity donated]]-Table1[[#This Row],[extended quantity]]</f>
        <v>0</v>
      </c>
      <c r="U4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6" s="51">
        <f>IFERROR(Table1[[#This Row],[Quantity  to  purchase]]*(Table1[[#This Row],[Cost ]]+Table1[[#This Row],[shipping]]+Table1[[#This Row],[Tax]]),0)</f>
        <v>0</v>
      </c>
      <c r="W466" s="36">
        <f>IFERROR(Table1[[#This Row],[leftover material]]*(Table1[[#This Row],[Cost ]]+Table1[[#This Row],[shipping]]+Table1[[#This Row],[Tax]]),0)</f>
        <v>0</v>
      </c>
      <c r="X466" s="36"/>
      <c r="Y466" s="84"/>
      <c r="Z466" s="84"/>
      <c r="AA466" s="84"/>
      <c r="AB466" s="36"/>
      <c r="AC466" s="36">
        <f>IF(ISNA(VLOOKUP(Table1[[#This Row],[Part Number]],'Multi-level BOM'!V$4:V$449,1,FALSE)),0,Table1[[#This Row],[Remaining Extended cost]])</f>
        <v>0</v>
      </c>
    </row>
    <row r="467" spans="1:29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80" t="str">
        <f>IF(Table1[[#This Row],[Buy-now costs]]&gt;0,"X","")</f>
        <v/>
      </c>
      <c r="M467" s="80"/>
      <c r="N467" s="80"/>
      <c r="O467" s="40">
        <v>0</v>
      </c>
      <c r="P467" s="94">
        <f>Table1[[#This Row],[quantity on-hand]]*(Table1[[#This Row],[Cost ]]+Table1[[#This Row],[shipping]]+Table1[[#This Row],[Tax]])</f>
        <v>0</v>
      </c>
      <c r="Q467" s="40">
        <v>0</v>
      </c>
      <c r="R467" s="92">
        <f>Table1[[#This Row],[Quantity on order]]*(Table1[[#This Row],[Cost ]]+Table1[[#This Row],[shipping]]+Table1[[#This Row],[Tax]])</f>
        <v>0</v>
      </c>
      <c r="S4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7" s="49">
        <f>Table1[[#This Row],[Quantity  to  purchase]]+Table1[[#This Row],[Quantity purchased]]+Table1[[#This Row],[Quantity on order]]+Table1[[#This Row],[Quantity donated]]-Table1[[#This Row],[extended quantity]]</f>
        <v>0</v>
      </c>
      <c r="U4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7" s="51">
        <f>IFERROR(Table1[[#This Row],[Quantity  to  purchase]]*(Table1[[#This Row],[Cost ]]+Table1[[#This Row],[shipping]]+Table1[[#This Row],[Tax]]),0)</f>
        <v>0</v>
      </c>
      <c r="W467" s="36">
        <f>IFERROR(Table1[[#This Row],[leftover material]]*(Table1[[#This Row],[Cost ]]+Table1[[#This Row],[shipping]]+Table1[[#This Row],[Tax]]),0)</f>
        <v>0</v>
      </c>
      <c r="X467" s="36"/>
      <c r="Y467" s="84"/>
      <c r="Z467" s="84"/>
      <c r="AA467" s="84"/>
      <c r="AB467" s="36"/>
      <c r="AC467" s="36">
        <f>IF(ISNA(VLOOKUP(Table1[[#This Row],[Part Number]],'Multi-level BOM'!V$4:V$449,1,FALSE)),0,Table1[[#This Row],[Remaining Extended cost]])</f>
        <v>0</v>
      </c>
    </row>
    <row r="468" spans="1:29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80" t="str">
        <f>IF(Table1[[#This Row],[Buy-now costs]]&gt;0,"X","")</f>
        <v/>
      </c>
      <c r="M468" s="80"/>
      <c r="N468" s="80"/>
      <c r="O468" s="40">
        <v>0</v>
      </c>
      <c r="P468" s="94">
        <f>Table1[[#This Row],[quantity on-hand]]*(Table1[[#This Row],[Cost ]]+Table1[[#This Row],[shipping]]+Table1[[#This Row],[Tax]])</f>
        <v>0</v>
      </c>
      <c r="Q468" s="40">
        <v>0</v>
      </c>
      <c r="R468" s="92">
        <f>Table1[[#This Row],[Quantity on order]]*(Table1[[#This Row],[Cost ]]+Table1[[#This Row],[shipping]]+Table1[[#This Row],[Tax]])</f>
        <v>0</v>
      </c>
      <c r="S4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8" s="49">
        <f>Table1[[#This Row],[Quantity  to  purchase]]+Table1[[#This Row],[Quantity purchased]]+Table1[[#This Row],[Quantity on order]]+Table1[[#This Row],[Quantity donated]]-Table1[[#This Row],[extended quantity]]</f>
        <v>0</v>
      </c>
      <c r="U4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8" s="51">
        <f>IFERROR(Table1[[#This Row],[Quantity  to  purchase]]*(Table1[[#This Row],[Cost ]]+Table1[[#This Row],[shipping]]+Table1[[#This Row],[Tax]]),0)</f>
        <v>0</v>
      </c>
      <c r="W468" s="36">
        <f>IFERROR(Table1[[#This Row],[leftover material]]*(Table1[[#This Row],[Cost ]]+Table1[[#This Row],[shipping]]+Table1[[#This Row],[Tax]]),0)</f>
        <v>0</v>
      </c>
      <c r="X468" s="36"/>
      <c r="Y468" s="84"/>
      <c r="Z468" s="84"/>
      <c r="AA468" s="84"/>
      <c r="AB468" s="36"/>
      <c r="AC468" s="36">
        <f>IF(ISNA(VLOOKUP(Table1[[#This Row],[Part Number]],'Multi-level BOM'!V$4:V$449,1,FALSE)),0,Table1[[#This Row],[Remaining Extended cost]])</f>
        <v>0</v>
      </c>
    </row>
    <row r="469" spans="1:29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80" t="str">
        <f>IF(Table1[[#This Row],[Buy-now costs]]&gt;0,"X","")</f>
        <v/>
      </c>
      <c r="M469" s="80"/>
      <c r="N469" s="80"/>
      <c r="O469" s="40">
        <v>0</v>
      </c>
      <c r="P469" s="94">
        <f>Table1[[#This Row],[quantity on-hand]]*(Table1[[#This Row],[Cost ]]+Table1[[#This Row],[shipping]]+Table1[[#This Row],[Tax]])</f>
        <v>0</v>
      </c>
      <c r="Q469" s="40">
        <v>0</v>
      </c>
      <c r="R469" s="92">
        <f>Table1[[#This Row],[Quantity on order]]*(Table1[[#This Row],[Cost ]]+Table1[[#This Row],[shipping]]+Table1[[#This Row],[Tax]])</f>
        <v>0</v>
      </c>
      <c r="S4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9" s="49">
        <f>Table1[[#This Row],[Quantity  to  purchase]]+Table1[[#This Row],[Quantity purchased]]+Table1[[#This Row],[Quantity on order]]+Table1[[#This Row],[Quantity donated]]-Table1[[#This Row],[extended quantity]]</f>
        <v>0</v>
      </c>
      <c r="U4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9" s="51">
        <f>IFERROR(Table1[[#This Row],[Quantity  to  purchase]]*(Table1[[#This Row],[Cost ]]+Table1[[#This Row],[shipping]]+Table1[[#This Row],[Tax]]),0)</f>
        <v>0</v>
      </c>
      <c r="W469" s="36">
        <f>IFERROR(Table1[[#This Row],[leftover material]]*(Table1[[#This Row],[Cost ]]+Table1[[#This Row],[shipping]]+Table1[[#This Row],[Tax]]),0)</f>
        <v>0</v>
      </c>
      <c r="X469" s="36"/>
      <c r="Y469" s="84"/>
      <c r="Z469" s="84"/>
      <c r="AA469" s="84"/>
      <c r="AB469" s="36"/>
      <c r="AC469" s="36">
        <f>IF(ISNA(VLOOKUP(Table1[[#This Row],[Part Number]],'Multi-level BOM'!V$4:V$449,1,FALSE)),0,Table1[[#This Row],[Remaining Extended cost]])</f>
        <v>0</v>
      </c>
    </row>
    <row r="470" spans="1:29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80" t="str">
        <f>IF(Table1[[#This Row],[Buy-now costs]]&gt;0,"X","")</f>
        <v/>
      </c>
      <c r="M470" s="80"/>
      <c r="N470" s="80"/>
      <c r="O470" s="40">
        <v>0</v>
      </c>
      <c r="P470" s="94">
        <f>Table1[[#This Row],[quantity on-hand]]*(Table1[[#This Row],[Cost ]]+Table1[[#This Row],[shipping]]+Table1[[#This Row],[Tax]])</f>
        <v>0</v>
      </c>
      <c r="Q470" s="40">
        <v>0</v>
      </c>
      <c r="R470" s="92">
        <f>Table1[[#This Row],[Quantity on order]]*(Table1[[#This Row],[Cost ]]+Table1[[#This Row],[shipping]]+Table1[[#This Row],[Tax]])</f>
        <v>0</v>
      </c>
      <c r="S4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0" s="49">
        <f>Table1[[#This Row],[Quantity  to  purchase]]+Table1[[#This Row],[Quantity purchased]]+Table1[[#This Row],[Quantity on order]]+Table1[[#This Row],[Quantity donated]]-Table1[[#This Row],[extended quantity]]</f>
        <v>0</v>
      </c>
      <c r="U4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0" s="51">
        <f>IFERROR(Table1[[#This Row],[Quantity  to  purchase]]*(Table1[[#This Row],[Cost ]]+Table1[[#This Row],[shipping]]+Table1[[#This Row],[Tax]]),0)</f>
        <v>0</v>
      </c>
      <c r="W470" s="36">
        <f>IFERROR(Table1[[#This Row],[leftover material]]*(Table1[[#This Row],[Cost ]]+Table1[[#This Row],[shipping]]+Table1[[#This Row],[Tax]]),0)</f>
        <v>0</v>
      </c>
      <c r="X470" s="36"/>
      <c r="Y470" s="84"/>
      <c r="Z470" s="84"/>
      <c r="AA470" s="84"/>
      <c r="AB470" s="36"/>
      <c r="AC470" s="36">
        <f>IF(ISNA(VLOOKUP(Table1[[#This Row],[Part Number]],'Multi-level BOM'!V$4:V$449,1,FALSE)),0,Table1[[#This Row],[Remaining Extended cost]])</f>
        <v>0</v>
      </c>
    </row>
    <row r="471" spans="1:29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80" t="str">
        <f>IF(Table1[[#This Row],[Buy-now costs]]&gt;0,"X","")</f>
        <v/>
      </c>
      <c r="M471" s="80"/>
      <c r="N471" s="80"/>
      <c r="O471" s="40">
        <v>0</v>
      </c>
      <c r="P471" s="94">
        <f>Table1[[#This Row],[quantity on-hand]]*(Table1[[#This Row],[Cost ]]+Table1[[#This Row],[shipping]]+Table1[[#This Row],[Tax]])</f>
        <v>0</v>
      </c>
      <c r="Q471" s="40">
        <v>0</v>
      </c>
      <c r="R471" s="92">
        <f>Table1[[#This Row],[Quantity on order]]*(Table1[[#This Row],[Cost ]]+Table1[[#This Row],[shipping]]+Table1[[#This Row],[Tax]])</f>
        <v>0</v>
      </c>
      <c r="S4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1" s="49">
        <f>Table1[[#This Row],[Quantity  to  purchase]]+Table1[[#This Row],[Quantity purchased]]+Table1[[#This Row],[Quantity on order]]+Table1[[#This Row],[Quantity donated]]-Table1[[#This Row],[extended quantity]]</f>
        <v>0</v>
      </c>
      <c r="U4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1" s="51">
        <f>IFERROR(Table1[[#This Row],[Quantity  to  purchase]]*(Table1[[#This Row],[Cost ]]+Table1[[#This Row],[shipping]]+Table1[[#This Row],[Tax]]),0)</f>
        <v>0</v>
      </c>
      <c r="W471" s="36">
        <f>IFERROR(Table1[[#This Row],[leftover material]]*(Table1[[#This Row],[Cost ]]+Table1[[#This Row],[shipping]]+Table1[[#This Row],[Tax]]),0)</f>
        <v>0</v>
      </c>
      <c r="X471" s="36"/>
      <c r="Y471" s="84"/>
      <c r="Z471" s="84"/>
      <c r="AA471" s="84"/>
      <c r="AB471" s="36"/>
      <c r="AC471" s="36">
        <f>IF(ISNA(VLOOKUP(Table1[[#This Row],[Part Number]],'Multi-level BOM'!V$4:V$449,1,FALSE)),0,Table1[[#This Row],[Remaining Extended cost]])</f>
        <v>0</v>
      </c>
    </row>
    <row r="472" spans="1:29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80" t="str">
        <f>IF(Table1[[#This Row],[Buy-now costs]]&gt;0,"X","")</f>
        <v/>
      </c>
      <c r="M472" s="80"/>
      <c r="N472" s="80"/>
      <c r="O472" s="40">
        <v>0</v>
      </c>
      <c r="P472" s="94">
        <f>Table1[[#This Row],[quantity on-hand]]*(Table1[[#This Row],[Cost ]]+Table1[[#This Row],[shipping]]+Table1[[#This Row],[Tax]])</f>
        <v>0</v>
      </c>
      <c r="Q472" s="40">
        <v>0</v>
      </c>
      <c r="R472" s="92">
        <f>Table1[[#This Row],[Quantity on order]]*(Table1[[#This Row],[Cost ]]+Table1[[#This Row],[shipping]]+Table1[[#This Row],[Tax]])</f>
        <v>0</v>
      </c>
      <c r="S4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2" s="49">
        <f>Table1[[#This Row],[Quantity  to  purchase]]+Table1[[#This Row],[Quantity purchased]]+Table1[[#This Row],[Quantity on order]]+Table1[[#This Row],[Quantity donated]]-Table1[[#This Row],[extended quantity]]</f>
        <v>0</v>
      </c>
      <c r="U4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2" s="51">
        <f>IFERROR(Table1[[#This Row],[Quantity  to  purchase]]*(Table1[[#This Row],[Cost ]]+Table1[[#This Row],[shipping]]+Table1[[#This Row],[Tax]]),0)</f>
        <v>0</v>
      </c>
      <c r="W472" s="36">
        <f>IFERROR(Table1[[#This Row],[leftover material]]*(Table1[[#This Row],[Cost ]]+Table1[[#This Row],[shipping]]+Table1[[#This Row],[Tax]]),0)</f>
        <v>0</v>
      </c>
      <c r="X472" s="36"/>
      <c r="Y472" s="84"/>
      <c r="Z472" s="84"/>
      <c r="AA472" s="84"/>
      <c r="AB472" s="36"/>
      <c r="AC472" s="36">
        <f>IF(ISNA(VLOOKUP(Table1[[#This Row],[Part Number]],'Multi-level BOM'!V$4:V$449,1,FALSE)),0,Table1[[#This Row],[Remaining Extended cost]])</f>
        <v>0</v>
      </c>
    </row>
    <row r="473" spans="1:29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80" t="str">
        <f>IF(Table1[[#This Row],[Buy-now costs]]&gt;0,"X","")</f>
        <v/>
      </c>
      <c r="M473" s="80"/>
      <c r="N473" s="80"/>
      <c r="O473" s="40">
        <v>0</v>
      </c>
      <c r="P473" s="94">
        <f>Table1[[#This Row],[quantity on-hand]]*(Table1[[#This Row],[Cost ]]+Table1[[#This Row],[shipping]]+Table1[[#This Row],[Tax]])</f>
        <v>0</v>
      </c>
      <c r="Q473" s="40">
        <v>0</v>
      </c>
      <c r="R473" s="92">
        <f>Table1[[#This Row],[Quantity on order]]*(Table1[[#This Row],[Cost ]]+Table1[[#This Row],[shipping]]+Table1[[#This Row],[Tax]])</f>
        <v>0</v>
      </c>
      <c r="S4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3" s="49">
        <f>Table1[[#This Row],[Quantity  to  purchase]]+Table1[[#This Row],[Quantity purchased]]+Table1[[#This Row],[Quantity on order]]+Table1[[#This Row],[Quantity donated]]-Table1[[#This Row],[extended quantity]]</f>
        <v>0</v>
      </c>
      <c r="U4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3" s="51">
        <f>IFERROR(Table1[[#This Row],[Quantity  to  purchase]]*(Table1[[#This Row],[Cost ]]+Table1[[#This Row],[shipping]]+Table1[[#This Row],[Tax]]),0)</f>
        <v>0</v>
      </c>
      <c r="W473" s="36">
        <f>IFERROR(Table1[[#This Row],[leftover material]]*(Table1[[#This Row],[Cost ]]+Table1[[#This Row],[shipping]]+Table1[[#This Row],[Tax]]),0)</f>
        <v>0</v>
      </c>
      <c r="X473" s="36"/>
      <c r="Y473" s="84"/>
      <c r="Z473" s="84"/>
      <c r="AA473" s="84"/>
      <c r="AB473" s="36"/>
      <c r="AC473" s="36">
        <f>IF(ISNA(VLOOKUP(Table1[[#This Row],[Part Number]],'Multi-level BOM'!V$4:V$449,1,FALSE)),0,Table1[[#This Row],[Remaining Extended cost]])</f>
        <v>0</v>
      </c>
    </row>
    <row r="474" spans="1:29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80" t="str">
        <f>IF(Table1[[#This Row],[Buy-now costs]]&gt;0,"X","")</f>
        <v/>
      </c>
      <c r="M474" s="80"/>
      <c r="N474" s="80"/>
      <c r="O474" s="40">
        <v>0</v>
      </c>
      <c r="P474" s="94">
        <f>Table1[[#This Row],[quantity on-hand]]*(Table1[[#This Row],[Cost ]]+Table1[[#This Row],[shipping]]+Table1[[#This Row],[Tax]])</f>
        <v>0</v>
      </c>
      <c r="Q474" s="40">
        <v>0</v>
      </c>
      <c r="R474" s="92">
        <f>Table1[[#This Row],[Quantity on order]]*(Table1[[#This Row],[Cost ]]+Table1[[#This Row],[shipping]]+Table1[[#This Row],[Tax]])</f>
        <v>0</v>
      </c>
      <c r="S4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4" s="49">
        <f>Table1[[#This Row],[Quantity  to  purchase]]+Table1[[#This Row],[Quantity purchased]]+Table1[[#This Row],[Quantity on order]]+Table1[[#This Row],[Quantity donated]]-Table1[[#This Row],[extended quantity]]</f>
        <v>0</v>
      </c>
      <c r="U4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4" s="51">
        <f>IFERROR(Table1[[#This Row],[Quantity  to  purchase]]*(Table1[[#This Row],[Cost ]]+Table1[[#This Row],[shipping]]+Table1[[#This Row],[Tax]]),0)</f>
        <v>0</v>
      </c>
      <c r="W474" s="36">
        <f>IFERROR(Table1[[#This Row],[leftover material]]*(Table1[[#This Row],[Cost ]]+Table1[[#This Row],[shipping]]+Table1[[#This Row],[Tax]]),0)</f>
        <v>0</v>
      </c>
      <c r="X474" s="36"/>
      <c r="Y474" s="84"/>
      <c r="Z474" s="84"/>
      <c r="AA474" s="84"/>
      <c r="AB474" s="36"/>
      <c r="AC474" s="36">
        <f>IF(ISNA(VLOOKUP(Table1[[#This Row],[Part Number]],'Multi-level BOM'!V$4:V$449,1,FALSE)),0,Table1[[#This Row],[Remaining Extended cost]])</f>
        <v>0</v>
      </c>
    </row>
    <row r="475" spans="1:29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80" t="str">
        <f>IF(Table1[[#This Row],[Buy-now costs]]&gt;0,"X","")</f>
        <v/>
      </c>
      <c r="M475" s="80"/>
      <c r="N475" s="80"/>
      <c r="O475" s="40">
        <v>0</v>
      </c>
      <c r="P475" s="94">
        <f>Table1[[#This Row],[quantity on-hand]]*(Table1[[#This Row],[Cost ]]+Table1[[#This Row],[shipping]]+Table1[[#This Row],[Tax]])</f>
        <v>0</v>
      </c>
      <c r="Q475" s="40">
        <v>0</v>
      </c>
      <c r="R475" s="92">
        <f>Table1[[#This Row],[Quantity on order]]*(Table1[[#This Row],[Cost ]]+Table1[[#This Row],[shipping]]+Table1[[#This Row],[Tax]])</f>
        <v>0</v>
      </c>
      <c r="S4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5" s="49">
        <f>Table1[[#This Row],[Quantity  to  purchase]]+Table1[[#This Row],[Quantity purchased]]+Table1[[#This Row],[Quantity on order]]+Table1[[#This Row],[Quantity donated]]-Table1[[#This Row],[extended quantity]]</f>
        <v>0</v>
      </c>
      <c r="U4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5" s="51">
        <f>IFERROR(Table1[[#This Row],[Quantity  to  purchase]]*(Table1[[#This Row],[Cost ]]+Table1[[#This Row],[shipping]]+Table1[[#This Row],[Tax]]),0)</f>
        <v>0</v>
      </c>
      <c r="W475" s="36">
        <f>IFERROR(Table1[[#This Row],[leftover material]]*(Table1[[#This Row],[Cost ]]+Table1[[#This Row],[shipping]]+Table1[[#This Row],[Tax]]),0)</f>
        <v>0</v>
      </c>
      <c r="X475" s="36"/>
      <c r="Y475" s="84"/>
      <c r="Z475" s="84"/>
      <c r="AA475" s="84"/>
      <c r="AB475" s="36"/>
      <c r="AC475" s="36">
        <f>IF(ISNA(VLOOKUP(Table1[[#This Row],[Part Number]],'Multi-level BOM'!V$4:V$449,1,FALSE)),0,Table1[[#This Row],[Remaining Extended cost]])</f>
        <v>0</v>
      </c>
    </row>
    <row r="476" spans="1:29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80" t="str">
        <f>IF(Table1[[#This Row],[Buy-now costs]]&gt;0,"X","")</f>
        <v/>
      </c>
      <c r="M476" s="80"/>
      <c r="N476" s="80"/>
      <c r="O476" s="40">
        <v>0</v>
      </c>
      <c r="P476" s="94">
        <f>Table1[[#This Row],[quantity on-hand]]*(Table1[[#This Row],[Cost ]]+Table1[[#This Row],[shipping]]+Table1[[#This Row],[Tax]])</f>
        <v>0</v>
      </c>
      <c r="Q476" s="40">
        <v>0</v>
      </c>
      <c r="R476" s="92">
        <f>Table1[[#This Row],[Quantity on order]]*(Table1[[#This Row],[Cost ]]+Table1[[#This Row],[shipping]]+Table1[[#This Row],[Tax]])</f>
        <v>0</v>
      </c>
      <c r="S4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6" s="49">
        <f>Table1[[#This Row],[Quantity  to  purchase]]+Table1[[#This Row],[Quantity purchased]]+Table1[[#This Row],[Quantity on order]]+Table1[[#This Row],[Quantity donated]]-Table1[[#This Row],[extended quantity]]</f>
        <v>0</v>
      </c>
      <c r="U4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6" s="51">
        <f>IFERROR(Table1[[#This Row],[Quantity  to  purchase]]*(Table1[[#This Row],[Cost ]]+Table1[[#This Row],[shipping]]+Table1[[#This Row],[Tax]]),0)</f>
        <v>0</v>
      </c>
      <c r="W476" s="36">
        <f>IFERROR(Table1[[#This Row],[leftover material]]*(Table1[[#This Row],[Cost ]]+Table1[[#This Row],[shipping]]+Table1[[#This Row],[Tax]]),0)</f>
        <v>0</v>
      </c>
      <c r="X476" s="36"/>
      <c r="Y476" s="84"/>
      <c r="Z476" s="84"/>
      <c r="AA476" s="84"/>
      <c r="AB476" s="36"/>
      <c r="AC476" s="36">
        <f>IF(ISNA(VLOOKUP(Table1[[#This Row],[Part Number]],'Multi-level BOM'!V$4:V$449,1,FALSE)),0,Table1[[#This Row],[Remaining Extended cost]])</f>
        <v>0</v>
      </c>
    </row>
    <row r="477" spans="1:29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80" t="str">
        <f>IF(Table1[[#This Row],[Buy-now costs]]&gt;0,"X","")</f>
        <v/>
      </c>
      <c r="M477" s="80"/>
      <c r="N477" s="80"/>
      <c r="O477" s="40">
        <v>0</v>
      </c>
      <c r="P477" s="94">
        <f>Table1[[#This Row],[quantity on-hand]]*(Table1[[#This Row],[Cost ]]+Table1[[#This Row],[shipping]]+Table1[[#This Row],[Tax]])</f>
        <v>0</v>
      </c>
      <c r="Q477" s="40">
        <v>0</v>
      </c>
      <c r="R477" s="92">
        <f>Table1[[#This Row],[Quantity on order]]*(Table1[[#This Row],[Cost ]]+Table1[[#This Row],[shipping]]+Table1[[#This Row],[Tax]])</f>
        <v>0</v>
      </c>
      <c r="S4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7" s="49">
        <f>Table1[[#This Row],[Quantity  to  purchase]]+Table1[[#This Row],[Quantity purchased]]+Table1[[#This Row],[Quantity on order]]+Table1[[#This Row],[Quantity donated]]-Table1[[#This Row],[extended quantity]]</f>
        <v>0</v>
      </c>
      <c r="U4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7" s="51">
        <f>IFERROR(Table1[[#This Row],[Quantity  to  purchase]]*(Table1[[#This Row],[Cost ]]+Table1[[#This Row],[shipping]]+Table1[[#This Row],[Tax]]),0)</f>
        <v>0</v>
      </c>
      <c r="W477" s="36">
        <f>IFERROR(Table1[[#This Row],[leftover material]]*(Table1[[#This Row],[Cost ]]+Table1[[#This Row],[shipping]]+Table1[[#This Row],[Tax]]),0)</f>
        <v>0</v>
      </c>
      <c r="X477" s="36"/>
      <c r="Y477" s="84"/>
      <c r="Z477" s="84"/>
      <c r="AA477" s="84"/>
      <c r="AB477" s="36"/>
      <c r="AC477" s="36">
        <f>IF(ISNA(VLOOKUP(Table1[[#This Row],[Part Number]],'Multi-level BOM'!V$4:V$449,1,FALSE)),0,Table1[[#This Row],[Remaining Extended cost]])</f>
        <v>0</v>
      </c>
    </row>
    <row r="478" spans="1:29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80" t="str">
        <f>IF(Table1[[#This Row],[Buy-now costs]]&gt;0,"X","")</f>
        <v/>
      </c>
      <c r="M478" s="80"/>
      <c r="N478" s="80"/>
      <c r="O478" s="40">
        <v>0</v>
      </c>
      <c r="P478" s="94">
        <f>Table1[[#This Row],[quantity on-hand]]*(Table1[[#This Row],[Cost ]]+Table1[[#This Row],[shipping]]+Table1[[#This Row],[Tax]])</f>
        <v>0</v>
      </c>
      <c r="Q478" s="40">
        <v>0</v>
      </c>
      <c r="R478" s="92">
        <f>Table1[[#This Row],[Quantity on order]]*(Table1[[#This Row],[Cost ]]+Table1[[#This Row],[shipping]]+Table1[[#This Row],[Tax]])</f>
        <v>0</v>
      </c>
      <c r="S4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8" s="49">
        <f>Table1[[#This Row],[Quantity  to  purchase]]+Table1[[#This Row],[Quantity purchased]]+Table1[[#This Row],[Quantity on order]]+Table1[[#This Row],[Quantity donated]]-Table1[[#This Row],[extended quantity]]</f>
        <v>0</v>
      </c>
      <c r="U4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8" s="51">
        <f>IFERROR(Table1[[#This Row],[Quantity  to  purchase]]*(Table1[[#This Row],[Cost ]]+Table1[[#This Row],[shipping]]+Table1[[#This Row],[Tax]]),0)</f>
        <v>0</v>
      </c>
      <c r="W478" s="36">
        <f>IFERROR(Table1[[#This Row],[leftover material]]*(Table1[[#This Row],[Cost ]]+Table1[[#This Row],[shipping]]+Table1[[#This Row],[Tax]]),0)</f>
        <v>0</v>
      </c>
      <c r="X478" s="36"/>
      <c r="Y478" s="84"/>
      <c r="Z478" s="84"/>
      <c r="AA478" s="84"/>
      <c r="AB478" s="36"/>
      <c r="AC478" s="36">
        <f>IF(ISNA(VLOOKUP(Table1[[#This Row],[Part Number]],'Multi-level BOM'!V$4:V$449,1,FALSE)),0,Table1[[#This Row],[Remaining Extended cost]])</f>
        <v>0</v>
      </c>
    </row>
    <row r="479" spans="1:29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80" t="str">
        <f>IF(Table1[[#This Row],[Buy-now costs]]&gt;0,"X","")</f>
        <v/>
      </c>
      <c r="M479" s="80"/>
      <c r="N479" s="80"/>
      <c r="O479" s="40">
        <v>0</v>
      </c>
      <c r="P479" s="94">
        <f>Table1[[#This Row],[quantity on-hand]]*(Table1[[#This Row],[Cost ]]+Table1[[#This Row],[shipping]]+Table1[[#This Row],[Tax]])</f>
        <v>0</v>
      </c>
      <c r="Q479" s="40">
        <v>0</v>
      </c>
      <c r="R479" s="92">
        <f>Table1[[#This Row],[Quantity on order]]*(Table1[[#This Row],[Cost ]]+Table1[[#This Row],[shipping]]+Table1[[#This Row],[Tax]])</f>
        <v>0</v>
      </c>
      <c r="S4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9" s="49">
        <f>Table1[[#This Row],[Quantity  to  purchase]]+Table1[[#This Row],[Quantity purchased]]+Table1[[#This Row],[Quantity on order]]+Table1[[#This Row],[Quantity donated]]-Table1[[#This Row],[extended quantity]]</f>
        <v>0</v>
      </c>
      <c r="U4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9" s="51">
        <f>IFERROR(Table1[[#This Row],[Quantity  to  purchase]]*(Table1[[#This Row],[Cost ]]+Table1[[#This Row],[shipping]]+Table1[[#This Row],[Tax]]),0)</f>
        <v>0</v>
      </c>
      <c r="W479" s="36">
        <f>IFERROR(Table1[[#This Row],[leftover material]]*(Table1[[#This Row],[Cost ]]+Table1[[#This Row],[shipping]]+Table1[[#This Row],[Tax]]),0)</f>
        <v>0</v>
      </c>
      <c r="X479" s="36"/>
      <c r="Y479" s="84"/>
      <c r="Z479" s="84"/>
      <c r="AA479" s="84"/>
      <c r="AB479" s="36"/>
      <c r="AC479" s="36">
        <f>IF(ISNA(VLOOKUP(Table1[[#This Row],[Part Number]],'Multi-level BOM'!V$4:V$449,1,FALSE)),0,Table1[[#This Row],[Remaining Extended cost]])</f>
        <v>0</v>
      </c>
    </row>
    <row r="480" spans="1:29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80" t="str">
        <f>IF(Table1[[#This Row],[Buy-now costs]]&gt;0,"X","")</f>
        <v/>
      </c>
      <c r="M480" s="80"/>
      <c r="N480" s="80"/>
      <c r="O480" s="40">
        <v>0</v>
      </c>
      <c r="P480" s="94">
        <f>Table1[[#This Row],[quantity on-hand]]*(Table1[[#This Row],[Cost ]]+Table1[[#This Row],[shipping]]+Table1[[#This Row],[Tax]])</f>
        <v>0</v>
      </c>
      <c r="Q480" s="40">
        <v>0</v>
      </c>
      <c r="R480" s="92">
        <f>Table1[[#This Row],[Quantity on order]]*(Table1[[#This Row],[Cost ]]+Table1[[#This Row],[shipping]]+Table1[[#This Row],[Tax]])</f>
        <v>0</v>
      </c>
      <c r="S4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0" s="49">
        <f>Table1[[#This Row],[Quantity  to  purchase]]+Table1[[#This Row],[Quantity purchased]]+Table1[[#This Row],[Quantity on order]]+Table1[[#This Row],[Quantity donated]]-Table1[[#This Row],[extended quantity]]</f>
        <v>0</v>
      </c>
      <c r="U4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0" s="51">
        <f>IFERROR(Table1[[#This Row],[Quantity  to  purchase]]*(Table1[[#This Row],[Cost ]]+Table1[[#This Row],[shipping]]+Table1[[#This Row],[Tax]]),0)</f>
        <v>0</v>
      </c>
      <c r="W480" s="36">
        <f>IFERROR(Table1[[#This Row],[leftover material]]*(Table1[[#This Row],[Cost ]]+Table1[[#This Row],[shipping]]+Table1[[#This Row],[Tax]]),0)</f>
        <v>0</v>
      </c>
      <c r="X480" s="36"/>
      <c r="Y480" s="84"/>
      <c r="Z480" s="84"/>
      <c r="AA480" s="84"/>
      <c r="AB480" s="36"/>
      <c r="AC480" s="36">
        <f>IF(ISNA(VLOOKUP(Table1[[#This Row],[Part Number]],'Multi-level BOM'!V$4:V$449,1,FALSE)),0,Table1[[#This Row],[Remaining Extended cost]])</f>
        <v>0</v>
      </c>
    </row>
    <row r="481" spans="1:29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80" t="str">
        <f>IF(Table1[[#This Row],[Buy-now costs]]&gt;0,"X","")</f>
        <v/>
      </c>
      <c r="M481" s="80"/>
      <c r="N481" s="80"/>
      <c r="O481" s="40">
        <v>0</v>
      </c>
      <c r="P481" s="94">
        <f>Table1[[#This Row],[quantity on-hand]]*(Table1[[#This Row],[Cost ]]+Table1[[#This Row],[shipping]]+Table1[[#This Row],[Tax]])</f>
        <v>0</v>
      </c>
      <c r="Q481" s="40">
        <v>0</v>
      </c>
      <c r="R481" s="92">
        <f>Table1[[#This Row],[Quantity on order]]*(Table1[[#This Row],[Cost ]]+Table1[[#This Row],[shipping]]+Table1[[#This Row],[Tax]])</f>
        <v>0</v>
      </c>
      <c r="S4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1" s="49">
        <f>Table1[[#This Row],[Quantity  to  purchase]]+Table1[[#This Row],[Quantity purchased]]+Table1[[#This Row],[Quantity on order]]+Table1[[#This Row],[Quantity donated]]-Table1[[#This Row],[extended quantity]]</f>
        <v>0</v>
      </c>
      <c r="U4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1" s="51">
        <f>IFERROR(Table1[[#This Row],[Quantity  to  purchase]]*(Table1[[#This Row],[Cost ]]+Table1[[#This Row],[shipping]]+Table1[[#This Row],[Tax]]),0)</f>
        <v>0</v>
      </c>
      <c r="W481" s="36">
        <f>IFERROR(Table1[[#This Row],[leftover material]]*(Table1[[#This Row],[Cost ]]+Table1[[#This Row],[shipping]]+Table1[[#This Row],[Tax]]),0)</f>
        <v>0</v>
      </c>
      <c r="X481" s="36"/>
      <c r="Y481" s="84"/>
      <c r="Z481" s="84"/>
      <c r="AA481" s="84"/>
      <c r="AB481" s="36"/>
      <c r="AC481" s="36">
        <f>IF(ISNA(VLOOKUP(Table1[[#This Row],[Part Number]],'Multi-level BOM'!V$4:V$449,1,FALSE)),0,Table1[[#This Row],[Remaining Extended cost]])</f>
        <v>0</v>
      </c>
    </row>
    <row r="482" spans="1:29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80" t="str">
        <f>IF(Table1[[#This Row],[Buy-now costs]]&gt;0,"X","")</f>
        <v/>
      </c>
      <c r="M482" s="80"/>
      <c r="N482" s="80"/>
      <c r="O482" s="40">
        <v>0</v>
      </c>
      <c r="P482" s="94">
        <f>Table1[[#This Row],[quantity on-hand]]*(Table1[[#This Row],[Cost ]]+Table1[[#This Row],[shipping]]+Table1[[#This Row],[Tax]])</f>
        <v>0</v>
      </c>
      <c r="Q482" s="40">
        <v>0</v>
      </c>
      <c r="R482" s="92">
        <f>Table1[[#This Row],[Quantity on order]]*(Table1[[#This Row],[Cost ]]+Table1[[#This Row],[shipping]]+Table1[[#This Row],[Tax]])</f>
        <v>0</v>
      </c>
      <c r="S4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2" s="49">
        <f>Table1[[#This Row],[Quantity  to  purchase]]+Table1[[#This Row],[Quantity purchased]]+Table1[[#This Row],[Quantity on order]]+Table1[[#This Row],[Quantity donated]]-Table1[[#This Row],[extended quantity]]</f>
        <v>0</v>
      </c>
      <c r="U4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2" s="51">
        <f>IFERROR(Table1[[#This Row],[Quantity  to  purchase]]*(Table1[[#This Row],[Cost ]]+Table1[[#This Row],[shipping]]+Table1[[#This Row],[Tax]]),0)</f>
        <v>0</v>
      </c>
      <c r="W482" s="36">
        <f>IFERROR(Table1[[#This Row],[leftover material]]*(Table1[[#This Row],[Cost ]]+Table1[[#This Row],[shipping]]+Table1[[#This Row],[Tax]]),0)</f>
        <v>0</v>
      </c>
      <c r="X482" s="36"/>
      <c r="Y482" s="84"/>
      <c r="Z482" s="84"/>
      <c r="AA482" s="84"/>
      <c r="AB482" s="36"/>
      <c r="AC482" s="36">
        <f>IF(ISNA(VLOOKUP(Table1[[#This Row],[Part Number]],'Multi-level BOM'!V$4:V$449,1,FALSE)),0,Table1[[#This Row],[Remaining Extended cost]])</f>
        <v>0</v>
      </c>
    </row>
    <row r="483" spans="1:29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80" t="str">
        <f>IF(Table1[[#This Row],[Buy-now costs]]&gt;0,"X","")</f>
        <v/>
      </c>
      <c r="M483" s="80"/>
      <c r="N483" s="80"/>
      <c r="O483" s="40">
        <v>0</v>
      </c>
      <c r="P483" s="94">
        <f>Table1[[#This Row],[quantity on-hand]]*(Table1[[#This Row],[Cost ]]+Table1[[#This Row],[shipping]]+Table1[[#This Row],[Tax]])</f>
        <v>0</v>
      </c>
      <c r="Q483" s="40">
        <v>0</v>
      </c>
      <c r="R483" s="92">
        <f>Table1[[#This Row],[Quantity on order]]*(Table1[[#This Row],[Cost ]]+Table1[[#This Row],[shipping]]+Table1[[#This Row],[Tax]])</f>
        <v>0</v>
      </c>
      <c r="S4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3" s="49">
        <f>Table1[[#This Row],[Quantity  to  purchase]]+Table1[[#This Row],[Quantity purchased]]+Table1[[#This Row],[Quantity on order]]+Table1[[#This Row],[Quantity donated]]-Table1[[#This Row],[extended quantity]]</f>
        <v>0</v>
      </c>
      <c r="U4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3" s="51">
        <f>IFERROR(Table1[[#This Row],[Quantity  to  purchase]]*(Table1[[#This Row],[Cost ]]+Table1[[#This Row],[shipping]]+Table1[[#This Row],[Tax]]),0)</f>
        <v>0</v>
      </c>
      <c r="W483" s="36">
        <f>IFERROR(Table1[[#This Row],[leftover material]]*(Table1[[#This Row],[Cost ]]+Table1[[#This Row],[shipping]]+Table1[[#This Row],[Tax]]),0)</f>
        <v>0</v>
      </c>
      <c r="X483" s="36"/>
      <c r="Y483" s="84"/>
      <c r="Z483" s="84"/>
      <c r="AA483" s="84"/>
      <c r="AB483" s="36"/>
      <c r="AC483" s="36">
        <f>IF(ISNA(VLOOKUP(Table1[[#This Row],[Part Number]],'Multi-level BOM'!V$4:V$449,1,FALSE)),0,Table1[[#This Row],[Remaining Extended cost]])</f>
        <v>0</v>
      </c>
    </row>
    <row r="484" spans="1:29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80" t="str">
        <f>IF(Table1[[#This Row],[Buy-now costs]]&gt;0,"X","")</f>
        <v/>
      </c>
      <c r="M484" s="80"/>
      <c r="N484" s="80"/>
      <c r="O484" s="40">
        <v>0</v>
      </c>
      <c r="P484" s="94">
        <f>Table1[[#This Row],[quantity on-hand]]*(Table1[[#This Row],[Cost ]]+Table1[[#This Row],[shipping]]+Table1[[#This Row],[Tax]])</f>
        <v>0</v>
      </c>
      <c r="Q484" s="40">
        <v>0</v>
      </c>
      <c r="R484" s="92">
        <f>Table1[[#This Row],[Quantity on order]]*(Table1[[#This Row],[Cost ]]+Table1[[#This Row],[shipping]]+Table1[[#This Row],[Tax]])</f>
        <v>0</v>
      </c>
      <c r="S4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4" s="49">
        <f>Table1[[#This Row],[Quantity  to  purchase]]+Table1[[#This Row],[Quantity purchased]]+Table1[[#This Row],[Quantity on order]]+Table1[[#This Row],[Quantity donated]]-Table1[[#This Row],[extended quantity]]</f>
        <v>0</v>
      </c>
      <c r="U4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4" s="51">
        <f>IFERROR(Table1[[#This Row],[Quantity  to  purchase]]*(Table1[[#This Row],[Cost ]]+Table1[[#This Row],[shipping]]+Table1[[#This Row],[Tax]]),0)</f>
        <v>0</v>
      </c>
      <c r="W484" s="36">
        <f>IFERROR(Table1[[#This Row],[leftover material]]*(Table1[[#This Row],[Cost ]]+Table1[[#This Row],[shipping]]+Table1[[#This Row],[Tax]]),0)</f>
        <v>0</v>
      </c>
      <c r="X484" s="36"/>
      <c r="Y484" s="84"/>
      <c r="Z484" s="84"/>
      <c r="AA484" s="84"/>
      <c r="AB484" s="36"/>
      <c r="AC484" s="36">
        <f>IF(ISNA(VLOOKUP(Table1[[#This Row],[Part Number]],'Multi-level BOM'!V$4:V$449,1,FALSE)),0,Table1[[#This Row],[Remaining Extended cost]])</f>
        <v>0</v>
      </c>
    </row>
    <row r="485" spans="1:29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80" t="str">
        <f>IF(Table1[[#This Row],[Buy-now costs]]&gt;0,"X","")</f>
        <v/>
      </c>
      <c r="M485" s="80"/>
      <c r="N485" s="80"/>
      <c r="O485" s="40">
        <v>0</v>
      </c>
      <c r="P485" s="94">
        <f>Table1[[#This Row],[quantity on-hand]]*(Table1[[#This Row],[Cost ]]+Table1[[#This Row],[shipping]]+Table1[[#This Row],[Tax]])</f>
        <v>0</v>
      </c>
      <c r="Q485" s="40">
        <v>0</v>
      </c>
      <c r="R485" s="92">
        <f>Table1[[#This Row],[Quantity on order]]*(Table1[[#This Row],[Cost ]]+Table1[[#This Row],[shipping]]+Table1[[#This Row],[Tax]])</f>
        <v>0</v>
      </c>
      <c r="S4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5" s="49">
        <f>Table1[[#This Row],[Quantity  to  purchase]]+Table1[[#This Row],[Quantity purchased]]+Table1[[#This Row],[Quantity on order]]+Table1[[#This Row],[Quantity donated]]-Table1[[#This Row],[extended quantity]]</f>
        <v>0</v>
      </c>
      <c r="U4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5" s="51">
        <f>IFERROR(Table1[[#This Row],[Quantity  to  purchase]]*(Table1[[#This Row],[Cost ]]+Table1[[#This Row],[shipping]]+Table1[[#This Row],[Tax]]),0)</f>
        <v>0</v>
      </c>
      <c r="W485" s="36">
        <f>IFERROR(Table1[[#This Row],[leftover material]]*(Table1[[#This Row],[Cost ]]+Table1[[#This Row],[shipping]]+Table1[[#This Row],[Tax]]),0)</f>
        <v>0</v>
      </c>
      <c r="X485" s="36"/>
      <c r="Y485" s="84"/>
      <c r="Z485" s="84"/>
      <c r="AA485" s="84"/>
      <c r="AB485" s="36"/>
      <c r="AC485" s="36">
        <f>IF(ISNA(VLOOKUP(Table1[[#This Row],[Part Number]],'Multi-level BOM'!V$4:V$449,1,FALSE)),0,Table1[[#This Row],[Remaining Extended cost]])</f>
        <v>0</v>
      </c>
    </row>
    <row r="486" spans="1:29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80" t="str">
        <f>IF(Table1[[#This Row],[Buy-now costs]]&gt;0,"X","")</f>
        <v/>
      </c>
      <c r="M486" s="80"/>
      <c r="N486" s="80"/>
      <c r="O486" s="40">
        <v>0</v>
      </c>
      <c r="P486" s="94">
        <f>Table1[[#This Row],[quantity on-hand]]*(Table1[[#This Row],[Cost ]]+Table1[[#This Row],[shipping]]+Table1[[#This Row],[Tax]])</f>
        <v>0</v>
      </c>
      <c r="Q486" s="40">
        <v>0</v>
      </c>
      <c r="R486" s="92">
        <f>Table1[[#This Row],[Quantity on order]]*(Table1[[#This Row],[Cost ]]+Table1[[#This Row],[shipping]]+Table1[[#This Row],[Tax]])</f>
        <v>0</v>
      </c>
      <c r="S4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6" s="49">
        <f>Table1[[#This Row],[Quantity  to  purchase]]+Table1[[#This Row],[Quantity purchased]]+Table1[[#This Row],[Quantity on order]]+Table1[[#This Row],[Quantity donated]]-Table1[[#This Row],[extended quantity]]</f>
        <v>0</v>
      </c>
      <c r="U4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6" s="51">
        <f>IFERROR(Table1[[#This Row],[Quantity  to  purchase]]*(Table1[[#This Row],[Cost ]]+Table1[[#This Row],[shipping]]+Table1[[#This Row],[Tax]]),0)</f>
        <v>0</v>
      </c>
      <c r="W486" s="36">
        <f>IFERROR(Table1[[#This Row],[leftover material]]*(Table1[[#This Row],[Cost ]]+Table1[[#This Row],[shipping]]+Table1[[#This Row],[Tax]]),0)</f>
        <v>0</v>
      </c>
      <c r="X486" s="36"/>
      <c r="Y486" s="84"/>
      <c r="Z486" s="84"/>
      <c r="AA486" s="84"/>
      <c r="AB486" s="36"/>
      <c r="AC486" s="36">
        <f>IF(ISNA(VLOOKUP(Table1[[#This Row],[Part Number]],'Multi-level BOM'!V$4:V$449,1,FALSE)),0,Table1[[#This Row],[Remaining Extended cost]])</f>
        <v>0</v>
      </c>
    </row>
    <row r="487" spans="1:29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80" t="str">
        <f>IF(Table1[[#This Row],[Buy-now costs]]&gt;0,"X","")</f>
        <v/>
      </c>
      <c r="M487" s="80"/>
      <c r="N487" s="80"/>
      <c r="O487" s="40">
        <v>0</v>
      </c>
      <c r="P487" s="94">
        <f>Table1[[#This Row],[quantity on-hand]]*(Table1[[#This Row],[Cost ]]+Table1[[#This Row],[shipping]]+Table1[[#This Row],[Tax]])</f>
        <v>0</v>
      </c>
      <c r="Q487" s="40">
        <v>0</v>
      </c>
      <c r="R487" s="92">
        <f>Table1[[#This Row],[Quantity on order]]*(Table1[[#This Row],[Cost ]]+Table1[[#This Row],[shipping]]+Table1[[#This Row],[Tax]])</f>
        <v>0</v>
      </c>
      <c r="S4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7" s="49">
        <f>Table1[[#This Row],[Quantity  to  purchase]]+Table1[[#This Row],[Quantity purchased]]+Table1[[#This Row],[Quantity on order]]+Table1[[#This Row],[Quantity donated]]-Table1[[#This Row],[extended quantity]]</f>
        <v>0</v>
      </c>
      <c r="U4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7" s="51">
        <f>IFERROR(Table1[[#This Row],[Quantity  to  purchase]]*(Table1[[#This Row],[Cost ]]+Table1[[#This Row],[shipping]]+Table1[[#This Row],[Tax]]),0)</f>
        <v>0</v>
      </c>
      <c r="W487" s="36">
        <f>IFERROR(Table1[[#This Row],[leftover material]]*(Table1[[#This Row],[Cost ]]+Table1[[#This Row],[shipping]]+Table1[[#This Row],[Tax]]),0)</f>
        <v>0</v>
      </c>
      <c r="X487" s="36"/>
      <c r="Y487" s="84"/>
      <c r="Z487" s="84"/>
      <c r="AA487" s="84"/>
      <c r="AB487" s="36"/>
      <c r="AC487" s="36">
        <f>IF(ISNA(VLOOKUP(Table1[[#This Row],[Part Number]],'Multi-level BOM'!V$4:V$449,1,FALSE)),0,Table1[[#This Row],[Remaining Extended cost]])</f>
        <v>0</v>
      </c>
    </row>
    <row r="488" spans="1:29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80" t="str">
        <f>IF(Table1[[#This Row],[Buy-now costs]]&gt;0,"X","")</f>
        <v/>
      </c>
      <c r="M488" s="80"/>
      <c r="N488" s="80"/>
      <c r="O488" s="40">
        <v>0</v>
      </c>
      <c r="P488" s="94">
        <f>Table1[[#This Row],[quantity on-hand]]*(Table1[[#This Row],[Cost ]]+Table1[[#This Row],[shipping]]+Table1[[#This Row],[Tax]])</f>
        <v>0</v>
      </c>
      <c r="Q488" s="40">
        <v>0</v>
      </c>
      <c r="R488" s="92">
        <f>Table1[[#This Row],[Quantity on order]]*(Table1[[#This Row],[Cost ]]+Table1[[#This Row],[shipping]]+Table1[[#This Row],[Tax]])</f>
        <v>0</v>
      </c>
      <c r="S4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8" s="49">
        <f>Table1[[#This Row],[Quantity  to  purchase]]+Table1[[#This Row],[Quantity purchased]]+Table1[[#This Row],[Quantity on order]]+Table1[[#This Row],[Quantity donated]]-Table1[[#This Row],[extended quantity]]</f>
        <v>0</v>
      </c>
      <c r="U4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8" s="51">
        <f>IFERROR(Table1[[#This Row],[Quantity  to  purchase]]*(Table1[[#This Row],[Cost ]]+Table1[[#This Row],[shipping]]+Table1[[#This Row],[Tax]]),0)</f>
        <v>0</v>
      </c>
      <c r="W488" s="36">
        <f>IFERROR(Table1[[#This Row],[leftover material]]*(Table1[[#This Row],[Cost ]]+Table1[[#This Row],[shipping]]+Table1[[#This Row],[Tax]]),0)</f>
        <v>0</v>
      </c>
      <c r="X488" s="36"/>
      <c r="Y488" s="84"/>
      <c r="Z488" s="84"/>
      <c r="AA488" s="84"/>
      <c r="AB488" s="36"/>
      <c r="AC488" s="36">
        <f>IF(ISNA(VLOOKUP(Table1[[#This Row],[Part Number]],'Multi-level BOM'!V$4:V$449,1,FALSE)),0,Table1[[#This Row],[Remaining Extended cost]])</f>
        <v>0</v>
      </c>
    </row>
    <row r="489" spans="1:29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80" t="str">
        <f>IF(Table1[[#This Row],[Buy-now costs]]&gt;0,"X","")</f>
        <v/>
      </c>
      <c r="M489" s="80"/>
      <c r="N489" s="80"/>
      <c r="O489" s="40">
        <v>0</v>
      </c>
      <c r="P489" s="94">
        <f>Table1[[#This Row],[quantity on-hand]]*(Table1[[#This Row],[Cost ]]+Table1[[#This Row],[shipping]]+Table1[[#This Row],[Tax]])</f>
        <v>0</v>
      </c>
      <c r="Q489" s="40">
        <v>0</v>
      </c>
      <c r="R489" s="92">
        <f>Table1[[#This Row],[Quantity on order]]*(Table1[[#This Row],[Cost ]]+Table1[[#This Row],[shipping]]+Table1[[#This Row],[Tax]])</f>
        <v>0</v>
      </c>
      <c r="S4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9" s="49">
        <f>Table1[[#This Row],[Quantity  to  purchase]]+Table1[[#This Row],[Quantity purchased]]+Table1[[#This Row],[Quantity on order]]+Table1[[#This Row],[Quantity donated]]-Table1[[#This Row],[extended quantity]]</f>
        <v>0</v>
      </c>
      <c r="U4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9" s="51">
        <f>IFERROR(Table1[[#This Row],[Quantity  to  purchase]]*(Table1[[#This Row],[Cost ]]+Table1[[#This Row],[shipping]]+Table1[[#This Row],[Tax]]),0)</f>
        <v>0</v>
      </c>
      <c r="W489" s="36">
        <f>IFERROR(Table1[[#This Row],[leftover material]]*(Table1[[#This Row],[Cost ]]+Table1[[#This Row],[shipping]]+Table1[[#This Row],[Tax]]),0)</f>
        <v>0</v>
      </c>
      <c r="X489" s="36"/>
      <c r="Y489" s="84"/>
      <c r="Z489" s="84"/>
      <c r="AA489" s="84"/>
      <c r="AB489" s="36"/>
      <c r="AC489" s="36">
        <f>IF(ISNA(VLOOKUP(Table1[[#This Row],[Part Number]],'Multi-level BOM'!V$4:V$449,1,FALSE)),0,Table1[[#This Row],[Remaining Extended cost]])</f>
        <v>0</v>
      </c>
    </row>
    <row r="490" spans="1:29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80" t="str">
        <f>IF(Table1[[#This Row],[Buy-now costs]]&gt;0,"X","")</f>
        <v/>
      </c>
      <c r="M490" s="80"/>
      <c r="N490" s="80"/>
      <c r="O490" s="40">
        <v>0</v>
      </c>
      <c r="P490" s="94">
        <f>Table1[[#This Row],[quantity on-hand]]*(Table1[[#This Row],[Cost ]]+Table1[[#This Row],[shipping]]+Table1[[#This Row],[Tax]])</f>
        <v>0</v>
      </c>
      <c r="Q490" s="40">
        <v>0</v>
      </c>
      <c r="R490" s="92">
        <f>Table1[[#This Row],[Quantity on order]]*(Table1[[#This Row],[Cost ]]+Table1[[#This Row],[shipping]]+Table1[[#This Row],[Tax]])</f>
        <v>0</v>
      </c>
      <c r="S4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0" s="49">
        <f>Table1[[#This Row],[Quantity  to  purchase]]+Table1[[#This Row],[Quantity purchased]]+Table1[[#This Row],[Quantity on order]]+Table1[[#This Row],[Quantity donated]]-Table1[[#This Row],[extended quantity]]</f>
        <v>0</v>
      </c>
      <c r="U4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0" s="51">
        <f>IFERROR(Table1[[#This Row],[Quantity  to  purchase]]*(Table1[[#This Row],[Cost ]]+Table1[[#This Row],[shipping]]+Table1[[#This Row],[Tax]]),0)</f>
        <v>0</v>
      </c>
      <c r="W490" s="36">
        <f>IFERROR(Table1[[#This Row],[leftover material]]*(Table1[[#This Row],[Cost ]]+Table1[[#This Row],[shipping]]+Table1[[#This Row],[Tax]]),0)</f>
        <v>0</v>
      </c>
      <c r="X490" s="36"/>
      <c r="Y490" s="84"/>
      <c r="Z490" s="84"/>
      <c r="AA490" s="84"/>
      <c r="AB490" s="36"/>
      <c r="AC490" s="36">
        <f>IF(ISNA(VLOOKUP(Table1[[#This Row],[Part Number]],'Multi-level BOM'!V$4:V$449,1,FALSE)),0,Table1[[#This Row],[Remaining Extended cost]])</f>
        <v>0</v>
      </c>
    </row>
    <row r="491" spans="1:29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80" t="str">
        <f>IF(Table1[[#This Row],[Buy-now costs]]&gt;0,"X","")</f>
        <v/>
      </c>
      <c r="M491" s="80"/>
      <c r="N491" s="80"/>
      <c r="O491" s="40">
        <v>0</v>
      </c>
      <c r="P491" s="94">
        <f>Table1[[#This Row],[quantity on-hand]]*(Table1[[#This Row],[Cost ]]+Table1[[#This Row],[shipping]]+Table1[[#This Row],[Tax]])</f>
        <v>0</v>
      </c>
      <c r="Q491" s="40">
        <v>0</v>
      </c>
      <c r="R491" s="92">
        <f>Table1[[#This Row],[Quantity on order]]*(Table1[[#This Row],[Cost ]]+Table1[[#This Row],[shipping]]+Table1[[#This Row],[Tax]])</f>
        <v>0</v>
      </c>
      <c r="S4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1" s="49">
        <f>Table1[[#This Row],[Quantity  to  purchase]]+Table1[[#This Row],[Quantity purchased]]+Table1[[#This Row],[Quantity on order]]+Table1[[#This Row],[Quantity donated]]-Table1[[#This Row],[extended quantity]]</f>
        <v>0</v>
      </c>
      <c r="U4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1" s="51">
        <f>IFERROR(Table1[[#This Row],[Quantity  to  purchase]]*(Table1[[#This Row],[Cost ]]+Table1[[#This Row],[shipping]]+Table1[[#This Row],[Tax]]),0)</f>
        <v>0</v>
      </c>
      <c r="W491" s="36">
        <f>IFERROR(Table1[[#This Row],[leftover material]]*(Table1[[#This Row],[Cost ]]+Table1[[#This Row],[shipping]]+Table1[[#This Row],[Tax]]),0)</f>
        <v>0</v>
      </c>
      <c r="X491" s="36"/>
      <c r="Y491" s="84"/>
      <c r="Z491" s="84"/>
      <c r="AA491" s="84"/>
      <c r="AB491" s="36"/>
      <c r="AC491" s="36">
        <f>IF(ISNA(VLOOKUP(Table1[[#This Row],[Part Number]],'Multi-level BOM'!V$4:V$449,1,FALSE)),0,Table1[[#This Row],[Remaining Extended cost]])</f>
        <v>0</v>
      </c>
    </row>
    <row r="492" spans="1:29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80" t="str">
        <f>IF(Table1[[#This Row],[Buy-now costs]]&gt;0,"X","")</f>
        <v/>
      </c>
      <c r="M492" s="80"/>
      <c r="N492" s="80"/>
      <c r="O492" s="40">
        <v>0</v>
      </c>
      <c r="P492" s="94">
        <f>Table1[[#This Row],[quantity on-hand]]*(Table1[[#This Row],[Cost ]]+Table1[[#This Row],[shipping]]+Table1[[#This Row],[Tax]])</f>
        <v>0</v>
      </c>
      <c r="Q492" s="40">
        <v>0</v>
      </c>
      <c r="R492" s="92">
        <f>Table1[[#This Row],[Quantity on order]]*(Table1[[#This Row],[Cost ]]+Table1[[#This Row],[shipping]]+Table1[[#This Row],[Tax]])</f>
        <v>0</v>
      </c>
      <c r="S4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2" s="49">
        <f>Table1[[#This Row],[Quantity  to  purchase]]+Table1[[#This Row],[Quantity purchased]]+Table1[[#This Row],[Quantity on order]]+Table1[[#This Row],[Quantity donated]]-Table1[[#This Row],[extended quantity]]</f>
        <v>0</v>
      </c>
      <c r="U4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2" s="51">
        <f>IFERROR(Table1[[#This Row],[Quantity  to  purchase]]*(Table1[[#This Row],[Cost ]]+Table1[[#This Row],[shipping]]+Table1[[#This Row],[Tax]]),0)</f>
        <v>0</v>
      </c>
      <c r="W492" s="36">
        <f>IFERROR(Table1[[#This Row],[leftover material]]*(Table1[[#This Row],[Cost ]]+Table1[[#This Row],[shipping]]+Table1[[#This Row],[Tax]]),0)</f>
        <v>0</v>
      </c>
      <c r="X492" s="36"/>
      <c r="Y492" s="84"/>
      <c r="Z492" s="84"/>
      <c r="AA492" s="84"/>
      <c r="AB492" s="36"/>
      <c r="AC492" s="36">
        <f>IF(ISNA(VLOOKUP(Table1[[#This Row],[Part Number]],'Multi-level BOM'!V$4:V$449,1,FALSE)),0,Table1[[#This Row],[Remaining Extended cost]])</f>
        <v>0</v>
      </c>
    </row>
    <row r="493" spans="1:29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80" t="str">
        <f>IF(Table1[[#This Row],[Buy-now costs]]&gt;0,"X","")</f>
        <v/>
      </c>
      <c r="M493" s="80"/>
      <c r="N493" s="80"/>
      <c r="O493" s="40">
        <v>0</v>
      </c>
      <c r="P493" s="94">
        <f>Table1[[#This Row],[quantity on-hand]]*(Table1[[#This Row],[Cost ]]+Table1[[#This Row],[shipping]]+Table1[[#This Row],[Tax]])</f>
        <v>0</v>
      </c>
      <c r="Q493" s="40">
        <v>0</v>
      </c>
      <c r="R493" s="92">
        <f>Table1[[#This Row],[Quantity on order]]*(Table1[[#This Row],[Cost ]]+Table1[[#This Row],[shipping]]+Table1[[#This Row],[Tax]])</f>
        <v>0</v>
      </c>
      <c r="S4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3" s="49">
        <f>Table1[[#This Row],[Quantity  to  purchase]]+Table1[[#This Row],[Quantity purchased]]+Table1[[#This Row],[Quantity on order]]+Table1[[#This Row],[Quantity donated]]-Table1[[#This Row],[extended quantity]]</f>
        <v>0</v>
      </c>
      <c r="U4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3" s="51">
        <f>IFERROR(Table1[[#This Row],[Quantity  to  purchase]]*(Table1[[#This Row],[Cost ]]+Table1[[#This Row],[shipping]]+Table1[[#This Row],[Tax]]),0)</f>
        <v>0</v>
      </c>
      <c r="W493" s="36">
        <f>IFERROR(Table1[[#This Row],[leftover material]]*(Table1[[#This Row],[Cost ]]+Table1[[#This Row],[shipping]]+Table1[[#This Row],[Tax]]),0)</f>
        <v>0</v>
      </c>
      <c r="X493" s="36"/>
      <c r="Y493" s="84"/>
      <c r="Z493" s="84"/>
      <c r="AA493" s="84"/>
      <c r="AB493" s="36"/>
      <c r="AC493" s="36">
        <f>IF(ISNA(VLOOKUP(Table1[[#This Row],[Part Number]],'Multi-level BOM'!V$4:V$449,1,FALSE)),0,Table1[[#This Row],[Remaining Extended cost]])</f>
        <v>0</v>
      </c>
    </row>
    <row r="494" spans="1:29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80" t="str">
        <f>IF(Table1[[#This Row],[Buy-now costs]]&gt;0,"X","")</f>
        <v/>
      </c>
      <c r="M494" s="80"/>
      <c r="N494" s="80"/>
      <c r="O494" s="40">
        <v>0</v>
      </c>
      <c r="P494" s="94">
        <f>Table1[[#This Row],[quantity on-hand]]*(Table1[[#This Row],[Cost ]]+Table1[[#This Row],[shipping]]+Table1[[#This Row],[Tax]])</f>
        <v>0</v>
      </c>
      <c r="Q494" s="40">
        <v>0</v>
      </c>
      <c r="R494" s="92">
        <f>Table1[[#This Row],[Quantity on order]]*(Table1[[#This Row],[Cost ]]+Table1[[#This Row],[shipping]]+Table1[[#This Row],[Tax]])</f>
        <v>0</v>
      </c>
      <c r="S4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4" s="49">
        <f>Table1[[#This Row],[Quantity  to  purchase]]+Table1[[#This Row],[Quantity purchased]]+Table1[[#This Row],[Quantity on order]]+Table1[[#This Row],[Quantity donated]]-Table1[[#This Row],[extended quantity]]</f>
        <v>0</v>
      </c>
      <c r="U4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4" s="51">
        <f>IFERROR(Table1[[#This Row],[Quantity  to  purchase]]*(Table1[[#This Row],[Cost ]]+Table1[[#This Row],[shipping]]+Table1[[#This Row],[Tax]]),0)</f>
        <v>0</v>
      </c>
      <c r="W494" s="36">
        <f>IFERROR(Table1[[#This Row],[leftover material]]*(Table1[[#This Row],[Cost ]]+Table1[[#This Row],[shipping]]+Table1[[#This Row],[Tax]]),0)</f>
        <v>0</v>
      </c>
      <c r="X494" s="36"/>
      <c r="Y494" s="84"/>
      <c r="Z494" s="84"/>
      <c r="AA494" s="84"/>
      <c r="AB494" s="36"/>
      <c r="AC494" s="36">
        <f>IF(ISNA(VLOOKUP(Table1[[#This Row],[Part Number]],'Multi-level BOM'!V$4:V$449,1,FALSE)),0,Table1[[#This Row],[Remaining Extended cost]])</f>
        <v>0</v>
      </c>
    </row>
    <row r="495" spans="1:29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80" t="str">
        <f>IF(Table1[[#This Row],[Buy-now costs]]&gt;0,"X","")</f>
        <v/>
      </c>
      <c r="M495" s="80"/>
      <c r="N495" s="80"/>
      <c r="O495" s="40">
        <v>0</v>
      </c>
      <c r="P495" s="94">
        <f>Table1[[#This Row],[quantity on-hand]]*(Table1[[#This Row],[Cost ]]+Table1[[#This Row],[shipping]]+Table1[[#This Row],[Tax]])</f>
        <v>0</v>
      </c>
      <c r="Q495" s="40">
        <v>0</v>
      </c>
      <c r="R495" s="92">
        <f>Table1[[#This Row],[Quantity on order]]*(Table1[[#This Row],[Cost ]]+Table1[[#This Row],[shipping]]+Table1[[#This Row],[Tax]])</f>
        <v>0</v>
      </c>
      <c r="S4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5" s="49">
        <f>Table1[[#This Row],[Quantity  to  purchase]]+Table1[[#This Row],[Quantity purchased]]+Table1[[#This Row],[Quantity on order]]+Table1[[#This Row],[Quantity donated]]-Table1[[#This Row],[extended quantity]]</f>
        <v>0</v>
      </c>
      <c r="U4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5" s="51">
        <f>IFERROR(Table1[[#This Row],[Quantity  to  purchase]]*(Table1[[#This Row],[Cost ]]+Table1[[#This Row],[shipping]]+Table1[[#This Row],[Tax]]),0)</f>
        <v>0</v>
      </c>
      <c r="W495" s="36">
        <f>IFERROR(Table1[[#This Row],[leftover material]]*(Table1[[#This Row],[Cost ]]+Table1[[#This Row],[shipping]]+Table1[[#This Row],[Tax]]),0)</f>
        <v>0</v>
      </c>
      <c r="X495" s="36"/>
      <c r="Y495" s="84"/>
      <c r="Z495" s="84"/>
      <c r="AA495" s="84"/>
      <c r="AB495" s="36"/>
      <c r="AC495" s="36">
        <f>IF(ISNA(VLOOKUP(Table1[[#This Row],[Part Number]],'Multi-level BOM'!V$4:V$449,1,FALSE)),0,Table1[[#This Row],[Remaining Extended cost]])</f>
        <v>0</v>
      </c>
    </row>
    <row r="496" spans="1:29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80" t="str">
        <f>IF(Table1[[#This Row],[Buy-now costs]]&gt;0,"X","")</f>
        <v/>
      </c>
      <c r="M496" s="80"/>
      <c r="N496" s="80"/>
      <c r="O496" s="40">
        <v>0</v>
      </c>
      <c r="P496" s="94">
        <f>Table1[[#This Row],[quantity on-hand]]*(Table1[[#This Row],[Cost ]]+Table1[[#This Row],[shipping]]+Table1[[#This Row],[Tax]])</f>
        <v>0</v>
      </c>
      <c r="Q496" s="40">
        <v>0</v>
      </c>
      <c r="R496" s="92">
        <f>Table1[[#This Row],[Quantity on order]]*(Table1[[#This Row],[Cost ]]+Table1[[#This Row],[shipping]]+Table1[[#This Row],[Tax]])</f>
        <v>0</v>
      </c>
      <c r="S4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6" s="49">
        <f>Table1[[#This Row],[Quantity  to  purchase]]+Table1[[#This Row],[Quantity purchased]]+Table1[[#This Row],[Quantity on order]]+Table1[[#This Row],[Quantity donated]]-Table1[[#This Row],[extended quantity]]</f>
        <v>0</v>
      </c>
      <c r="U4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6" s="51">
        <f>IFERROR(Table1[[#This Row],[Quantity  to  purchase]]*(Table1[[#This Row],[Cost ]]+Table1[[#This Row],[shipping]]+Table1[[#This Row],[Tax]]),0)</f>
        <v>0</v>
      </c>
      <c r="W496" s="36">
        <f>IFERROR(Table1[[#This Row],[leftover material]]*(Table1[[#This Row],[Cost ]]+Table1[[#This Row],[shipping]]+Table1[[#This Row],[Tax]]),0)</f>
        <v>0</v>
      </c>
      <c r="X496" s="36"/>
      <c r="Y496" s="84"/>
      <c r="Z496" s="84"/>
      <c r="AA496" s="84"/>
      <c r="AB496" s="36"/>
      <c r="AC496" s="36">
        <f>IF(ISNA(VLOOKUP(Table1[[#This Row],[Part Number]],'Multi-level BOM'!V$4:V$449,1,FALSE)),0,Table1[[#This Row],[Remaining Extended cost]])</f>
        <v>0</v>
      </c>
    </row>
    <row r="497" spans="1:29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80" t="str">
        <f>IF(Table1[[#This Row],[Buy-now costs]]&gt;0,"X","")</f>
        <v/>
      </c>
      <c r="M497" s="80"/>
      <c r="N497" s="80"/>
      <c r="O497" s="40">
        <v>0</v>
      </c>
      <c r="P497" s="94">
        <f>Table1[[#This Row],[quantity on-hand]]*(Table1[[#This Row],[Cost ]]+Table1[[#This Row],[shipping]]+Table1[[#This Row],[Tax]])</f>
        <v>0</v>
      </c>
      <c r="Q497" s="40">
        <v>0</v>
      </c>
      <c r="R497" s="92">
        <f>Table1[[#This Row],[Quantity on order]]*(Table1[[#This Row],[Cost ]]+Table1[[#This Row],[shipping]]+Table1[[#This Row],[Tax]])</f>
        <v>0</v>
      </c>
      <c r="S4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7" s="49">
        <f>Table1[[#This Row],[Quantity  to  purchase]]+Table1[[#This Row],[Quantity purchased]]+Table1[[#This Row],[Quantity on order]]+Table1[[#This Row],[Quantity donated]]-Table1[[#This Row],[extended quantity]]</f>
        <v>0</v>
      </c>
      <c r="U4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7" s="51">
        <f>IFERROR(Table1[[#This Row],[Quantity  to  purchase]]*(Table1[[#This Row],[Cost ]]+Table1[[#This Row],[shipping]]+Table1[[#This Row],[Tax]]),0)</f>
        <v>0</v>
      </c>
      <c r="W497" s="36">
        <f>IFERROR(Table1[[#This Row],[leftover material]]*(Table1[[#This Row],[Cost ]]+Table1[[#This Row],[shipping]]+Table1[[#This Row],[Tax]]),0)</f>
        <v>0</v>
      </c>
      <c r="X497" s="36"/>
      <c r="Y497" s="84"/>
      <c r="Z497" s="84"/>
      <c r="AA497" s="84"/>
      <c r="AB497" s="36"/>
      <c r="AC497" s="36">
        <f>IF(ISNA(VLOOKUP(Table1[[#This Row],[Part Number]],'Multi-level BOM'!V$4:V$449,1,FALSE)),0,Table1[[#This Row],[Remaining Extended cost]])</f>
        <v>0</v>
      </c>
    </row>
    <row r="498" spans="1:29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80" t="str">
        <f>IF(Table1[[#This Row],[Buy-now costs]]&gt;0,"X","")</f>
        <v/>
      </c>
      <c r="M498" s="80"/>
      <c r="N498" s="80"/>
      <c r="O498" s="40">
        <v>0</v>
      </c>
      <c r="P498" s="94">
        <f>Table1[[#This Row],[quantity on-hand]]*(Table1[[#This Row],[Cost ]]+Table1[[#This Row],[shipping]]+Table1[[#This Row],[Tax]])</f>
        <v>0</v>
      </c>
      <c r="Q498" s="40">
        <v>0</v>
      </c>
      <c r="R498" s="92">
        <f>Table1[[#This Row],[Quantity on order]]*(Table1[[#This Row],[Cost ]]+Table1[[#This Row],[shipping]]+Table1[[#This Row],[Tax]])</f>
        <v>0</v>
      </c>
      <c r="S4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8" s="49">
        <f>Table1[[#This Row],[Quantity  to  purchase]]+Table1[[#This Row],[Quantity purchased]]+Table1[[#This Row],[Quantity on order]]+Table1[[#This Row],[Quantity donated]]-Table1[[#This Row],[extended quantity]]</f>
        <v>0</v>
      </c>
      <c r="U4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8" s="51">
        <f>IFERROR(Table1[[#This Row],[Quantity  to  purchase]]*(Table1[[#This Row],[Cost ]]+Table1[[#This Row],[shipping]]+Table1[[#This Row],[Tax]]),0)</f>
        <v>0</v>
      </c>
      <c r="W498" s="36">
        <f>IFERROR(Table1[[#This Row],[leftover material]]*(Table1[[#This Row],[Cost ]]+Table1[[#This Row],[shipping]]+Table1[[#This Row],[Tax]]),0)</f>
        <v>0</v>
      </c>
      <c r="X498" s="36"/>
      <c r="Y498" s="84"/>
      <c r="Z498" s="84"/>
      <c r="AA498" s="84"/>
      <c r="AB498" s="36"/>
      <c r="AC498" s="36">
        <f>IF(ISNA(VLOOKUP(Table1[[#This Row],[Part Number]],'Multi-level BOM'!V$4:V$449,1,FALSE)),0,Table1[[#This Row],[Remaining Extended cost]])</f>
        <v>0</v>
      </c>
    </row>
    <row r="499" spans="1:29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80" t="str">
        <f>IF(Table1[[#This Row],[Buy-now costs]]&gt;0,"X","")</f>
        <v/>
      </c>
      <c r="M499" s="80"/>
      <c r="N499" s="80"/>
      <c r="O499" s="40">
        <v>0</v>
      </c>
      <c r="P499" s="94">
        <f>Table1[[#This Row],[quantity on-hand]]*(Table1[[#This Row],[Cost ]]+Table1[[#This Row],[shipping]]+Table1[[#This Row],[Tax]])</f>
        <v>0</v>
      </c>
      <c r="Q499" s="40">
        <v>0</v>
      </c>
      <c r="R499" s="92">
        <f>Table1[[#This Row],[Quantity on order]]*(Table1[[#This Row],[Cost ]]+Table1[[#This Row],[shipping]]+Table1[[#This Row],[Tax]])</f>
        <v>0</v>
      </c>
      <c r="S4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9" s="49">
        <f>Table1[[#This Row],[Quantity  to  purchase]]+Table1[[#This Row],[Quantity purchased]]+Table1[[#This Row],[Quantity on order]]+Table1[[#This Row],[Quantity donated]]-Table1[[#This Row],[extended quantity]]</f>
        <v>0</v>
      </c>
      <c r="U4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9" s="51">
        <f>IFERROR(Table1[[#This Row],[Quantity  to  purchase]]*(Table1[[#This Row],[Cost ]]+Table1[[#This Row],[shipping]]+Table1[[#This Row],[Tax]]),0)</f>
        <v>0</v>
      </c>
      <c r="W499" s="36">
        <f>IFERROR(Table1[[#This Row],[leftover material]]*(Table1[[#This Row],[Cost ]]+Table1[[#This Row],[shipping]]+Table1[[#This Row],[Tax]]),0)</f>
        <v>0</v>
      </c>
      <c r="X499" s="36"/>
      <c r="Y499" s="84"/>
      <c r="Z499" s="84"/>
      <c r="AA499" s="84"/>
      <c r="AB499" s="36"/>
      <c r="AC499" s="36">
        <f>IF(ISNA(VLOOKUP(Table1[[#This Row],[Part Number]],'Multi-level BOM'!V$4:V$449,1,FALSE)),0,Table1[[#This Row],[Remaining Extended cost]])</f>
        <v>0</v>
      </c>
    </row>
    <row r="500" spans="1:29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80" t="str">
        <f>IF(Table1[[#This Row],[Buy-now costs]]&gt;0,"X","")</f>
        <v/>
      </c>
      <c r="M500" s="80"/>
      <c r="N500" s="80"/>
      <c r="O500" s="40">
        <v>0</v>
      </c>
      <c r="P500" s="94">
        <f>Table1[[#This Row],[quantity on-hand]]*(Table1[[#This Row],[Cost ]]+Table1[[#This Row],[shipping]]+Table1[[#This Row],[Tax]])</f>
        <v>0</v>
      </c>
      <c r="Q500" s="40">
        <v>0</v>
      </c>
      <c r="R500" s="92">
        <f>Table1[[#This Row],[Quantity on order]]*(Table1[[#This Row],[Cost ]]+Table1[[#This Row],[shipping]]+Table1[[#This Row],[Tax]])</f>
        <v>0</v>
      </c>
      <c r="S5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0" s="49">
        <f>Table1[[#This Row],[Quantity  to  purchase]]+Table1[[#This Row],[Quantity purchased]]+Table1[[#This Row],[Quantity on order]]+Table1[[#This Row],[Quantity donated]]-Table1[[#This Row],[extended quantity]]</f>
        <v>0</v>
      </c>
      <c r="U5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0" s="51">
        <f>IFERROR(Table1[[#This Row],[Quantity  to  purchase]]*(Table1[[#This Row],[Cost ]]+Table1[[#This Row],[shipping]]+Table1[[#This Row],[Tax]]),0)</f>
        <v>0</v>
      </c>
      <c r="W500" s="36">
        <f>IFERROR(Table1[[#This Row],[leftover material]]*(Table1[[#This Row],[Cost ]]+Table1[[#This Row],[shipping]]+Table1[[#This Row],[Tax]]),0)</f>
        <v>0</v>
      </c>
      <c r="X500" s="36"/>
      <c r="Y500" s="84"/>
      <c r="Z500" s="84"/>
      <c r="AA500" s="84"/>
      <c r="AB500" s="36"/>
      <c r="AC500" s="36">
        <f>IF(ISNA(VLOOKUP(Table1[[#This Row],[Part Number]],'Multi-level BOM'!V$4:V$449,1,FALSE)),0,Table1[[#This Row],[Remaining Extended cost]])</f>
        <v>0</v>
      </c>
    </row>
    <row r="501" spans="1:29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80" t="str">
        <f>IF(Table1[[#This Row],[Buy-now costs]]&gt;0,"X","")</f>
        <v/>
      </c>
      <c r="M501" s="80"/>
      <c r="N501" s="80"/>
      <c r="O501" s="40">
        <v>0</v>
      </c>
      <c r="P501" s="94">
        <f>Table1[[#This Row],[quantity on-hand]]*(Table1[[#This Row],[Cost ]]+Table1[[#This Row],[shipping]]+Table1[[#This Row],[Tax]])</f>
        <v>0</v>
      </c>
      <c r="Q501" s="40">
        <v>0</v>
      </c>
      <c r="R501" s="92">
        <f>Table1[[#This Row],[Quantity on order]]*(Table1[[#This Row],[Cost ]]+Table1[[#This Row],[shipping]]+Table1[[#This Row],[Tax]])</f>
        <v>0</v>
      </c>
      <c r="S5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1" s="49">
        <f>Table1[[#This Row],[Quantity  to  purchase]]+Table1[[#This Row],[Quantity purchased]]+Table1[[#This Row],[Quantity on order]]+Table1[[#This Row],[Quantity donated]]-Table1[[#This Row],[extended quantity]]</f>
        <v>0</v>
      </c>
      <c r="U5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1" s="51">
        <f>IFERROR(Table1[[#This Row],[Quantity  to  purchase]]*(Table1[[#This Row],[Cost ]]+Table1[[#This Row],[shipping]]+Table1[[#This Row],[Tax]]),0)</f>
        <v>0</v>
      </c>
      <c r="W501" s="36">
        <f>IFERROR(Table1[[#This Row],[leftover material]]*(Table1[[#This Row],[Cost ]]+Table1[[#This Row],[shipping]]+Table1[[#This Row],[Tax]]),0)</f>
        <v>0</v>
      </c>
      <c r="X501" s="36"/>
      <c r="Y501" s="84"/>
      <c r="Z501" s="84"/>
      <c r="AA501" s="84"/>
      <c r="AB501" s="36"/>
      <c r="AC501" s="36">
        <f>IF(ISNA(VLOOKUP(Table1[[#This Row],[Part Number]],'Multi-level BOM'!V$4:V$449,1,FALSE)),0,Table1[[#This Row],[Remaining Extended cost]])</f>
        <v>0</v>
      </c>
    </row>
    <row r="502" spans="1:29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80" t="str">
        <f>IF(Table1[[#This Row],[Buy-now costs]]&gt;0,"X","")</f>
        <v/>
      </c>
      <c r="M502" s="80"/>
      <c r="N502" s="80"/>
      <c r="O502" s="40">
        <v>0</v>
      </c>
      <c r="P502" s="94">
        <f>Table1[[#This Row],[quantity on-hand]]*(Table1[[#This Row],[Cost ]]+Table1[[#This Row],[shipping]]+Table1[[#This Row],[Tax]])</f>
        <v>0</v>
      </c>
      <c r="Q502" s="40">
        <v>0</v>
      </c>
      <c r="R502" s="92">
        <f>Table1[[#This Row],[Quantity on order]]*(Table1[[#This Row],[Cost ]]+Table1[[#This Row],[shipping]]+Table1[[#This Row],[Tax]])</f>
        <v>0</v>
      </c>
      <c r="S5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2" s="49">
        <f>Table1[[#This Row],[Quantity  to  purchase]]+Table1[[#This Row],[Quantity purchased]]+Table1[[#This Row],[Quantity on order]]+Table1[[#This Row],[Quantity donated]]-Table1[[#This Row],[extended quantity]]</f>
        <v>0</v>
      </c>
      <c r="U5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2" s="51">
        <f>IFERROR(Table1[[#This Row],[Quantity  to  purchase]]*(Table1[[#This Row],[Cost ]]+Table1[[#This Row],[shipping]]+Table1[[#This Row],[Tax]]),0)</f>
        <v>0</v>
      </c>
      <c r="W502" s="36">
        <f>IFERROR(Table1[[#This Row],[leftover material]]*(Table1[[#This Row],[Cost ]]+Table1[[#This Row],[shipping]]+Table1[[#This Row],[Tax]]),0)</f>
        <v>0</v>
      </c>
      <c r="X502" s="36"/>
      <c r="Y502" s="84"/>
      <c r="Z502" s="84"/>
      <c r="AA502" s="84"/>
      <c r="AB502" s="36"/>
      <c r="AC502" s="36">
        <f>IF(ISNA(VLOOKUP(Table1[[#This Row],[Part Number]],'Multi-level BOM'!V$4:V$449,1,FALSE)),0,Table1[[#This Row],[Remaining Extended cost]])</f>
        <v>0</v>
      </c>
    </row>
    <row r="503" spans="1:29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80" t="str">
        <f>IF(Table1[[#This Row],[Buy-now costs]]&gt;0,"X","")</f>
        <v/>
      </c>
      <c r="M503" s="80"/>
      <c r="N503" s="80"/>
      <c r="O503" s="40">
        <v>0</v>
      </c>
      <c r="P503" s="94">
        <f>Table1[[#This Row],[quantity on-hand]]*(Table1[[#This Row],[Cost ]]+Table1[[#This Row],[shipping]]+Table1[[#This Row],[Tax]])</f>
        <v>0</v>
      </c>
      <c r="Q503" s="40">
        <v>0</v>
      </c>
      <c r="R503" s="92">
        <f>Table1[[#This Row],[Quantity on order]]*(Table1[[#This Row],[Cost ]]+Table1[[#This Row],[shipping]]+Table1[[#This Row],[Tax]])</f>
        <v>0</v>
      </c>
      <c r="S5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3" s="49">
        <f>Table1[[#This Row],[Quantity  to  purchase]]+Table1[[#This Row],[Quantity purchased]]+Table1[[#This Row],[Quantity on order]]+Table1[[#This Row],[Quantity donated]]-Table1[[#This Row],[extended quantity]]</f>
        <v>0</v>
      </c>
      <c r="U5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3" s="51">
        <f>IFERROR(Table1[[#This Row],[Quantity  to  purchase]]*(Table1[[#This Row],[Cost ]]+Table1[[#This Row],[shipping]]+Table1[[#This Row],[Tax]]),0)</f>
        <v>0</v>
      </c>
      <c r="W503" s="36">
        <f>IFERROR(Table1[[#This Row],[leftover material]]*(Table1[[#This Row],[Cost ]]+Table1[[#This Row],[shipping]]+Table1[[#This Row],[Tax]]),0)</f>
        <v>0</v>
      </c>
      <c r="X503" s="36"/>
      <c r="Y503" s="84"/>
      <c r="Z503" s="84"/>
      <c r="AA503" s="84"/>
      <c r="AB503" s="36"/>
      <c r="AC503" s="36">
        <f>IF(ISNA(VLOOKUP(Table1[[#This Row],[Part Number]],'Multi-level BOM'!V$4:V$449,1,FALSE)),0,Table1[[#This Row],[Remaining Extended cost]])</f>
        <v>0</v>
      </c>
    </row>
    <row r="504" spans="1:29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80" t="str">
        <f>IF(Table1[[#This Row],[Buy-now costs]]&gt;0,"X","")</f>
        <v/>
      </c>
      <c r="M504" s="80"/>
      <c r="N504" s="80"/>
      <c r="O504" s="40">
        <v>0</v>
      </c>
      <c r="P504" s="94">
        <f>Table1[[#This Row],[quantity on-hand]]*(Table1[[#This Row],[Cost ]]+Table1[[#This Row],[shipping]]+Table1[[#This Row],[Tax]])</f>
        <v>0</v>
      </c>
      <c r="Q504" s="40">
        <v>0</v>
      </c>
      <c r="R504" s="92">
        <f>Table1[[#This Row],[Quantity on order]]*(Table1[[#This Row],[Cost ]]+Table1[[#This Row],[shipping]]+Table1[[#This Row],[Tax]])</f>
        <v>0</v>
      </c>
      <c r="S5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4" s="49">
        <f>Table1[[#This Row],[Quantity  to  purchase]]+Table1[[#This Row],[Quantity purchased]]+Table1[[#This Row],[Quantity on order]]+Table1[[#This Row],[Quantity donated]]-Table1[[#This Row],[extended quantity]]</f>
        <v>0</v>
      </c>
      <c r="U5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4" s="51">
        <f>IFERROR(Table1[[#This Row],[Quantity  to  purchase]]*(Table1[[#This Row],[Cost ]]+Table1[[#This Row],[shipping]]+Table1[[#This Row],[Tax]]),0)</f>
        <v>0</v>
      </c>
      <c r="W504" s="36">
        <f>IFERROR(Table1[[#This Row],[leftover material]]*(Table1[[#This Row],[Cost ]]+Table1[[#This Row],[shipping]]+Table1[[#This Row],[Tax]]),0)</f>
        <v>0</v>
      </c>
      <c r="X504" s="36"/>
      <c r="Y504" s="84"/>
      <c r="Z504" s="84"/>
      <c r="AA504" s="84"/>
      <c r="AB504" s="36"/>
      <c r="AC504" s="36">
        <f>IF(ISNA(VLOOKUP(Table1[[#This Row],[Part Number]],'Multi-level BOM'!V$4:V$449,1,FALSE)),0,Table1[[#This Row],[Remaining Extended cost]])</f>
        <v>0</v>
      </c>
    </row>
    <row r="505" spans="1:29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80" t="str">
        <f>IF(Table1[[#This Row],[Buy-now costs]]&gt;0,"X","")</f>
        <v/>
      </c>
      <c r="M505" s="80"/>
      <c r="N505" s="80"/>
      <c r="O505" s="40">
        <v>0</v>
      </c>
      <c r="P505" s="94">
        <f>Table1[[#This Row],[quantity on-hand]]*(Table1[[#This Row],[Cost ]]+Table1[[#This Row],[shipping]]+Table1[[#This Row],[Tax]])</f>
        <v>0</v>
      </c>
      <c r="Q505" s="40">
        <v>0</v>
      </c>
      <c r="R505" s="92">
        <f>Table1[[#This Row],[Quantity on order]]*(Table1[[#This Row],[Cost ]]+Table1[[#This Row],[shipping]]+Table1[[#This Row],[Tax]])</f>
        <v>0</v>
      </c>
      <c r="S5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5" s="49">
        <f>Table1[[#This Row],[Quantity  to  purchase]]+Table1[[#This Row],[Quantity purchased]]+Table1[[#This Row],[Quantity on order]]+Table1[[#This Row],[Quantity donated]]-Table1[[#This Row],[extended quantity]]</f>
        <v>0</v>
      </c>
      <c r="U5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5" s="51">
        <f>IFERROR(Table1[[#This Row],[Quantity  to  purchase]]*(Table1[[#This Row],[Cost ]]+Table1[[#This Row],[shipping]]+Table1[[#This Row],[Tax]]),0)</f>
        <v>0</v>
      </c>
      <c r="W505" s="36">
        <f>IFERROR(Table1[[#This Row],[leftover material]]*(Table1[[#This Row],[Cost ]]+Table1[[#This Row],[shipping]]+Table1[[#This Row],[Tax]]),0)</f>
        <v>0</v>
      </c>
      <c r="X505" s="36"/>
      <c r="Y505" s="84"/>
      <c r="Z505" s="84"/>
      <c r="AA505" s="84"/>
      <c r="AB505" s="36"/>
      <c r="AC505" s="36">
        <f>IF(ISNA(VLOOKUP(Table1[[#This Row],[Part Number]],'Multi-level BOM'!V$4:V$449,1,FALSE)),0,Table1[[#This Row],[Remaining Extended cost]])</f>
        <v>0</v>
      </c>
    </row>
    <row r="506" spans="1:29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80" t="str">
        <f>IF(Table1[[#This Row],[Buy-now costs]]&gt;0,"X","")</f>
        <v/>
      </c>
      <c r="M506" s="80"/>
      <c r="N506" s="80"/>
      <c r="O506" s="40">
        <v>0</v>
      </c>
      <c r="P506" s="94">
        <f>Table1[[#This Row],[quantity on-hand]]*(Table1[[#This Row],[Cost ]]+Table1[[#This Row],[shipping]]+Table1[[#This Row],[Tax]])</f>
        <v>0</v>
      </c>
      <c r="Q506" s="40">
        <v>0</v>
      </c>
      <c r="R506" s="92">
        <f>Table1[[#This Row],[Quantity on order]]*(Table1[[#This Row],[Cost ]]+Table1[[#This Row],[shipping]]+Table1[[#This Row],[Tax]])</f>
        <v>0</v>
      </c>
      <c r="S5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6" s="49">
        <f>Table1[[#This Row],[Quantity  to  purchase]]+Table1[[#This Row],[Quantity purchased]]+Table1[[#This Row],[Quantity on order]]+Table1[[#This Row],[Quantity donated]]-Table1[[#This Row],[extended quantity]]</f>
        <v>0</v>
      </c>
      <c r="U5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6" s="51">
        <f>IFERROR(Table1[[#This Row],[Quantity  to  purchase]]*(Table1[[#This Row],[Cost ]]+Table1[[#This Row],[shipping]]+Table1[[#This Row],[Tax]]),0)</f>
        <v>0</v>
      </c>
      <c r="W506" s="36">
        <f>IFERROR(Table1[[#This Row],[leftover material]]*(Table1[[#This Row],[Cost ]]+Table1[[#This Row],[shipping]]+Table1[[#This Row],[Tax]]),0)</f>
        <v>0</v>
      </c>
      <c r="X506" s="36"/>
      <c r="Y506" s="84"/>
      <c r="Z506" s="84"/>
      <c r="AA506" s="84"/>
      <c r="AB506" s="36"/>
      <c r="AC506" s="36">
        <f>IF(ISNA(VLOOKUP(Table1[[#This Row],[Part Number]],'Multi-level BOM'!V$4:V$449,1,FALSE)),0,Table1[[#This Row],[Remaining Extended cost]])</f>
        <v>0</v>
      </c>
    </row>
    <row r="507" spans="1:29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80" t="str">
        <f>IF(Table1[[#This Row],[Buy-now costs]]&gt;0,"X","")</f>
        <v/>
      </c>
      <c r="M507" s="80"/>
      <c r="N507" s="80"/>
      <c r="O507" s="40">
        <v>0</v>
      </c>
      <c r="P507" s="94">
        <f>Table1[[#This Row],[quantity on-hand]]*(Table1[[#This Row],[Cost ]]+Table1[[#This Row],[shipping]]+Table1[[#This Row],[Tax]])</f>
        <v>0</v>
      </c>
      <c r="Q507" s="40">
        <v>0</v>
      </c>
      <c r="R507" s="92">
        <f>Table1[[#This Row],[Quantity on order]]*(Table1[[#This Row],[Cost ]]+Table1[[#This Row],[shipping]]+Table1[[#This Row],[Tax]])</f>
        <v>0</v>
      </c>
      <c r="S5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7" s="49">
        <f>Table1[[#This Row],[Quantity  to  purchase]]+Table1[[#This Row],[Quantity purchased]]+Table1[[#This Row],[Quantity on order]]+Table1[[#This Row],[Quantity donated]]-Table1[[#This Row],[extended quantity]]</f>
        <v>0</v>
      </c>
      <c r="U5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7" s="51">
        <f>IFERROR(Table1[[#This Row],[Quantity  to  purchase]]*(Table1[[#This Row],[Cost ]]+Table1[[#This Row],[shipping]]+Table1[[#This Row],[Tax]]),0)</f>
        <v>0</v>
      </c>
      <c r="W507" s="36">
        <f>IFERROR(Table1[[#This Row],[leftover material]]*(Table1[[#This Row],[Cost ]]+Table1[[#This Row],[shipping]]+Table1[[#This Row],[Tax]]),0)</f>
        <v>0</v>
      </c>
      <c r="X507" s="36"/>
      <c r="Y507" s="84"/>
      <c r="Z507" s="84"/>
      <c r="AA507" s="84"/>
      <c r="AB507" s="36"/>
      <c r="AC507" s="36">
        <f>IF(ISNA(VLOOKUP(Table1[[#This Row],[Part Number]],'Multi-level BOM'!V$4:V$449,1,FALSE)),0,Table1[[#This Row],[Remaining Extended cost]])</f>
        <v>0</v>
      </c>
    </row>
    <row r="508" spans="1:29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80" t="str">
        <f>IF(Table1[[#This Row],[Buy-now costs]]&gt;0,"X","")</f>
        <v/>
      </c>
      <c r="M508" s="80"/>
      <c r="N508" s="80"/>
      <c r="O508" s="40">
        <v>0</v>
      </c>
      <c r="P508" s="94">
        <f>Table1[[#This Row],[quantity on-hand]]*(Table1[[#This Row],[Cost ]]+Table1[[#This Row],[shipping]]+Table1[[#This Row],[Tax]])</f>
        <v>0</v>
      </c>
      <c r="Q508" s="40">
        <v>0</v>
      </c>
      <c r="R508" s="92">
        <f>Table1[[#This Row],[Quantity on order]]*(Table1[[#This Row],[Cost ]]+Table1[[#This Row],[shipping]]+Table1[[#This Row],[Tax]])</f>
        <v>0</v>
      </c>
      <c r="S5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8" s="49">
        <f>Table1[[#This Row],[Quantity  to  purchase]]+Table1[[#This Row],[Quantity purchased]]+Table1[[#This Row],[Quantity on order]]+Table1[[#This Row],[Quantity donated]]-Table1[[#This Row],[extended quantity]]</f>
        <v>0</v>
      </c>
      <c r="U5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8" s="51">
        <f>IFERROR(Table1[[#This Row],[Quantity  to  purchase]]*(Table1[[#This Row],[Cost ]]+Table1[[#This Row],[shipping]]+Table1[[#This Row],[Tax]]),0)</f>
        <v>0</v>
      </c>
      <c r="W508" s="36">
        <f>IFERROR(Table1[[#This Row],[leftover material]]*(Table1[[#This Row],[Cost ]]+Table1[[#This Row],[shipping]]+Table1[[#This Row],[Tax]]),0)</f>
        <v>0</v>
      </c>
      <c r="X508" s="36"/>
      <c r="Y508" s="84"/>
      <c r="Z508" s="84"/>
      <c r="AA508" s="84"/>
      <c r="AB508" s="36"/>
      <c r="AC508" s="36">
        <f>IF(ISNA(VLOOKUP(Table1[[#This Row],[Part Number]],'Multi-level BOM'!V$4:V$449,1,FALSE)),0,Table1[[#This Row],[Remaining Extended cost]])</f>
        <v>0</v>
      </c>
    </row>
    <row r="509" spans="1:29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80" t="str">
        <f>IF(Table1[[#This Row],[Buy-now costs]]&gt;0,"X","")</f>
        <v/>
      </c>
      <c r="M509" s="80"/>
      <c r="N509" s="80"/>
      <c r="O509" s="40">
        <v>0</v>
      </c>
      <c r="P509" s="94">
        <f>Table1[[#This Row],[quantity on-hand]]*(Table1[[#This Row],[Cost ]]+Table1[[#This Row],[shipping]]+Table1[[#This Row],[Tax]])</f>
        <v>0</v>
      </c>
      <c r="Q509" s="40">
        <v>0</v>
      </c>
      <c r="R509" s="92">
        <f>Table1[[#This Row],[Quantity on order]]*(Table1[[#This Row],[Cost ]]+Table1[[#This Row],[shipping]]+Table1[[#This Row],[Tax]])</f>
        <v>0</v>
      </c>
      <c r="S5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9" s="49">
        <f>Table1[[#This Row],[Quantity  to  purchase]]+Table1[[#This Row],[Quantity purchased]]+Table1[[#This Row],[Quantity on order]]+Table1[[#This Row],[Quantity donated]]-Table1[[#This Row],[extended quantity]]</f>
        <v>0</v>
      </c>
      <c r="U5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9" s="51">
        <f>IFERROR(Table1[[#This Row],[Quantity  to  purchase]]*(Table1[[#This Row],[Cost ]]+Table1[[#This Row],[shipping]]+Table1[[#This Row],[Tax]]),0)</f>
        <v>0</v>
      </c>
      <c r="W509" s="36">
        <f>IFERROR(Table1[[#This Row],[leftover material]]*(Table1[[#This Row],[Cost ]]+Table1[[#This Row],[shipping]]+Table1[[#This Row],[Tax]]),0)</f>
        <v>0</v>
      </c>
      <c r="X509" s="36"/>
      <c r="Y509" s="84"/>
      <c r="Z509" s="84"/>
      <c r="AA509" s="84"/>
      <c r="AB509" s="36"/>
      <c r="AC509" s="36">
        <f>IF(ISNA(VLOOKUP(Table1[[#This Row],[Part Number]],'Multi-level BOM'!V$4:V$449,1,FALSE)),0,Table1[[#This Row],[Remaining Extended cost]])</f>
        <v>0</v>
      </c>
    </row>
    <row r="510" spans="1:29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80" t="str">
        <f>IF(Table1[[#This Row],[Buy-now costs]]&gt;0,"X","")</f>
        <v/>
      </c>
      <c r="M510" s="80"/>
      <c r="N510" s="80"/>
      <c r="O510" s="40">
        <v>0</v>
      </c>
      <c r="P510" s="94">
        <f>Table1[[#This Row],[quantity on-hand]]*(Table1[[#This Row],[Cost ]]+Table1[[#This Row],[shipping]]+Table1[[#This Row],[Tax]])</f>
        <v>0</v>
      </c>
      <c r="Q510" s="40">
        <v>0</v>
      </c>
      <c r="R510" s="92">
        <f>Table1[[#This Row],[Quantity on order]]*(Table1[[#This Row],[Cost ]]+Table1[[#This Row],[shipping]]+Table1[[#This Row],[Tax]])</f>
        <v>0</v>
      </c>
      <c r="S5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0" s="49">
        <f>Table1[[#This Row],[Quantity  to  purchase]]+Table1[[#This Row],[Quantity purchased]]+Table1[[#This Row],[Quantity on order]]+Table1[[#This Row],[Quantity donated]]-Table1[[#This Row],[extended quantity]]</f>
        <v>0</v>
      </c>
      <c r="U5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0" s="51">
        <f>IFERROR(Table1[[#This Row],[Quantity  to  purchase]]*(Table1[[#This Row],[Cost ]]+Table1[[#This Row],[shipping]]+Table1[[#This Row],[Tax]]),0)</f>
        <v>0</v>
      </c>
      <c r="W510" s="36">
        <f>IFERROR(Table1[[#This Row],[leftover material]]*(Table1[[#This Row],[Cost ]]+Table1[[#This Row],[shipping]]+Table1[[#This Row],[Tax]]),0)</f>
        <v>0</v>
      </c>
      <c r="X510" s="36"/>
      <c r="Y510" s="84"/>
      <c r="Z510" s="84"/>
      <c r="AA510" s="84"/>
      <c r="AB510" s="36"/>
      <c r="AC510" s="36">
        <f>IF(ISNA(VLOOKUP(Table1[[#This Row],[Part Number]],'Multi-level BOM'!V$4:V$449,1,FALSE)),0,Table1[[#This Row],[Remaining Extended cost]])</f>
        <v>0</v>
      </c>
    </row>
    <row r="511" spans="1:29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80" t="str">
        <f>IF(Table1[[#This Row],[Buy-now costs]]&gt;0,"X","")</f>
        <v/>
      </c>
      <c r="M511" s="80"/>
      <c r="N511" s="80"/>
      <c r="O511" s="40">
        <v>0</v>
      </c>
      <c r="P511" s="94">
        <f>Table1[[#This Row],[quantity on-hand]]*(Table1[[#This Row],[Cost ]]+Table1[[#This Row],[shipping]]+Table1[[#This Row],[Tax]])</f>
        <v>0</v>
      </c>
      <c r="Q511" s="40">
        <v>0</v>
      </c>
      <c r="R511" s="92">
        <f>Table1[[#This Row],[Quantity on order]]*(Table1[[#This Row],[Cost ]]+Table1[[#This Row],[shipping]]+Table1[[#This Row],[Tax]])</f>
        <v>0</v>
      </c>
      <c r="S5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1" s="49">
        <f>Table1[[#This Row],[Quantity  to  purchase]]+Table1[[#This Row],[Quantity purchased]]+Table1[[#This Row],[Quantity on order]]+Table1[[#This Row],[Quantity donated]]-Table1[[#This Row],[extended quantity]]</f>
        <v>0</v>
      </c>
      <c r="U5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1" s="51">
        <f>IFERROR(Table1[[#This Row],[Quantity  to  purchase]]*(Table1[[#This Row],[Cost ]]+Table1[[#This Row],[shipping]]+Table1[[#This Row],[Tax]]),0)</f>
        <v>0</v>
      </c>
      <c r="W511" s="36">
        <f>IFERROR(Table1[[#This Row],[leftover material]]*(Table1[[#This Row],[Cost ]]+Table1[[#This Row],[shipping]]+Table1[[#This Row],[Tax]]),0)</f>
        <v>0</v>
      </c>
      <c r="X511" s="36"/>
      <c r="Y511" s="84"/>
      <c r="Z511" s="84"/>
      <c r="AA511" s="84"/>
      <c r="AB511" s="36"/>
      <c r="AC511" s="36">
        <f>IF(ISNA(VLOOKUP(Table1[[#This Row],[Part Number]],'Multi-level BOM'!V$4:V$449,1,FALSE)),0,Table1[[#This Row],[Remaining Extended cost]])</f>
        <v>0</v>
      </c>
    </row>
    <row r="512" spans="1:29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80" t="str">
        <f>IF(Table1[[#This Row],[Buy-now costs]]&gt;0,"X","")</f>
        <v/>
      </c>
      <c r="M512" s="80"/>
      <c r="N512" s="80"/>
      <c r="O512" s="40">
        <v>0</v>
      </c>
      <c r="P512" s="94">
        <f>Table1[[#This Row],[quantity on-hand]]*(Table1[[#This Row],[Cost ]]+Table1[[#This Row],[shipping]]+Table1[[#This Row],[Tax]])</f>
        <v>0</v>
      </c>
      <c r="Q512" s="40">
        <v>0</v>
      </c>
      <c r="R512" s="92">
        <f>Table1[[#This Row],[Quantity on order]]*(Table1[[#This Row],[Cost ]]+Table1[[#This Row],[shipping]]+Table1[[#This Row],[Tax]])</f>
        <v>0</v>
      </c>
      <c r="S5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2" s="49">
        <f>Table1[[#This Row],[Quantity  to  purchase]]+Table1[[#This Row],[Quantity purchased]]+Table1[[#This Row],[Quantity on order]]+Table1[[#This Row],[Quantity donated]]-Table1[[#This Row],[extended quantity]]</f>
        <v>0</v>
      </c>
      <c r="U5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2" s="51">
        <f>IFERROR(Table1[[#This Row],[Quantity  to  purchase]]*(Table1[[#This Row],[Cost ]]+Table1[[#This Row],[shipping]]+Table1[[#This Row],[Tax]]),0)</f>
        <v>0</v>
      </c>
      <c r="W512" s="36">
        <f>IFERROR(Table1[[#This Row],[leftover material]]*(Table1[[#This Row],[Cost ]]+Table1[[#This Row],[shipping]]+Table1[[#This Row],[Tax]]),0)</f>
        <v>0</v>
      </c>
      <c r="X512" s="36"/>
      <c r="Y512" s="84"/>
      <c r="Z512" s="84"/>
      <c r="AA512" s="84"/>
      <c r="AB512" s="36"/>
      <c r="AC512" s="36">
        <f>IF(ISNA(VLOOKUP(Table1[[#This Row],[Part Number]],'Multi-level BOM'!V$4:V$449,1,FALSE)),0,Table1[[#This Row],[Remaining Extended cost]])</f>
        <v>0</v>
      </c>
    </row>
    <row r="513" spans="1:29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80" t="str">
        <f>IF(Table1[[#This Row],[Buy-now costs]]&gt;0,"X","")</f>
        <v/>
      </c>
      <c r="M513" s="80"/>
      <c r="N513" s="80"/>
      <c r="O513" s="40">
        <v>0</v>
      </c>
      <c r="P513" s="94">
        <f>Table1[[#This Row],[quantity on-hand]]*(Table1[[#This Row],[Cost ]]+Table1[[#This Row],[shipping]]+Table1[[#This Row],[Tax]])</f>
        <v>0</v>
      </c>
      <c r="Q513" s="40">
        <v>0</v>
      </c>
      <c r="R513" s="92">
        <f>Table1[[#This Row],[Quantity on order]]*(Table1[[#This Row],[Cost ]]+Table1[[#This Row],[shipping]]+Table1[[#This Row],[Tax]])</f>
        <v>0</v>
      </c>
      <c r="S5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3" s="49">
        <f>Table1[[#This Row],[Quantity  to  purchase]]+Table1[[#This Row],[Quantity purchased]]+Table1[[#This Row],[Quantity on order]]+Table1[[#This Row],[Quantity donated]]-Table1[[#This Row],[extended quantity]]</f>
        <v>0</v>
      </c>
      <c r="U5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3" s="51">
        <f>IFERROR(Table1[[#This Row],[Quantity  to  purchase]]*(Table1[[#This Row],[Cost ]]+Table1[[#This Row],[shipping]]+Table1[[#This Row],[Tax]]),0)</f>
        <v>0</v>
      </c>
      <c r="W513" s="36">
        <f>IFERROR(Table1[[#This Row],[leftover material]]*(Table1[[#This Row],[Cost ]]+Table1[[#This Row],[shipping]]+Table1[[#This Row],[Tax]]),0)</f>
        <v>0</v>
      </c>
      <c r="X513" s="36"/>
      <c r="Y513" s="84"/>
      <c r="Z513" s="84"/>
      <c r="AA513" s="84"/>
      <c r="AB513" s="36"/>
      <c r="AC513" s="36">
        <f>IF(ISNA(VLOOKUP(Table1[[#This Row],[Part Number]],'Multi-level BOM'!V$4:V$449,1,FALSE)),0,Table1[[#This Row],[Remaining Extended cost]])</f>
        <v>0</v>
      </c>
    </row>
    <row r="514" spans="1:29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80" t="str">
        <f>IF(Table1[[#This Row],[Buy-now costs]]&gt;0,"X","")</f>
        <v/>
      </c>
      <c r="M514" s="80"/>
      <c r="N514" s="80"/>
      <c r="O514" s="40">
        <v>0</v>
      </c>
      <c r="P514" s="94">
        <f>Table1[[#This Row],[quantity on-hand]]*(Table1[[#This Row],[Cost ]]+Table1[[#This Row],[shipping]]+Table1[[#This Row],[Tax]])</f>
        <v>0</v>
      </c>
      <c r="Q514" s="40">
        <v>0</v>
      </c>
      <c r="R514" s="92">
        <f>Table1[[#This Row],[Quantity on order]]*(Table1[[#This Row],[Cost ]]+Table1[[#This Row],[shipping]]+Table1[[#This Row],[Tax]])</f>
        <v>0</v>
      </c>
      <c r="S5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4" s="49">
        <f>Table1[[#This Row],[Quantity  to  purchase]]+Table1[[#This Row],[Quantity purchased]]+Table1[[#This Row],[Quantity on order]]+Table1[[#This Row],[Quantity donated]]-Table1[[#This Row],[extended quantity]]</f>
        <v>0</v>
      </c>
      <c r="U5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4" s="51">
        <f>IFERROR(Table1[[#This Row],[Quantity  to  purchase]]*(Table1[[#This Row],[Cost ]]+Table1[[#This Row],[shipping]]+Table1[[#This Row],[Tax]]),0)</f>
        <v>0</v>
      </c>
      <c r="W514" s="36">
        <f>IFERROR(Table1[[#This Row],[leftover material]]*(Table1[[#This Row],[Cost ]]+Table1[[#This Row],[shipping]]+Table1[[#This Row],[Tax]]),0)</f>
        <v>0</v>
      </c>
      <c r="X514" s="36"/>
      <c r="Y514" s="84"/>
      <c r="Z514" s="84"/>
      <c r="AA514" s="84"/>
      <c r="AB514" s="36"/>
      <c r="AC514" s="36">
        <f>IF(ISNA(VLOOKUP(Table1[[#This Row],[Part Number]],'Multi-level BOM'!V$4:V$449,1,FALSE)),0,Table1[[#This Row],[Remaining Extended cost]])</f>
        <v>0</v>
      </c>
    </row>
    <row r="515" spans="1:29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80" t="str">
        <f>IF(Table1[[#This Row],[Buy-now costs]]&gt;0,"X","")</f>
        <v/>
      </c>
      <c r="M515" s="80"/>
      <c r="N515" s="80"/>
      <c r="O515" s="40">
        <v>0</v>
      </c>
      <c r="P515" s="94">
        <f>Table1[[#This Row],[quantity on-hand]]*(Table1[[#This Row],[Cost ]]+Table1[[#This Row],[shipping]]+Table1[[#This Row],[Tax]])</f>
        <v>0</v>
      </c>
      <c r="Q515" s="40">
        <v>0</v>
      </c>
      <c r="R515" s="92">
        <f>Table1[[#This Row],[Quantity on order]]*(Table1[[#This Row],[Cost ]]+Table1[[#This Row],[shipping]]+Table1[[#This Row],[Tax]])</f>
        <v>0</v>
      </c>
      <c r="S5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5" s="49">
        <f>Table1[[#This Row],[Quantity  to  purchase]]+Table1[[#This Row],[Quantity purchased]]+Table1[[#This Row],[Quantity on order]]+Table1[[#This Row],[Quantity donated]]-Table1[[#This Row],[extended quantity]]</f>
        <v>0</v>
      </c>
      <c r="U5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5" s="51">
        <f>IFERROR(Table1[[#This Row],[Quantity  to  purchase]]*(Table1[[#This Row],[Cost ]]+Table1[[#This Row],[shipping]]+Table1[[#This Row],[Tax]]),0)</f>
        <v>0</v>
      </c>
      <c r="W515" s="36">
        <f>IFERROR(Table1[[#This Row],[leftover material]]*(Table1[[#This Row],[Cost ]]+Table1[[#This Row],[shipping]]+Table1[[#This Row],[Tax]]),0)</f>
        <v>0</v>
      </c>
      <c r="X515" s="36"/>
      <c r="Y515" s="84"/>
      <c r="Z515" s="84"/>
      <c r="AA515" s="84"/>
      <c r="AB515" s="36"/>
      <c r="AC515" s="36">
        <f>IF(ISNA(VLOOKUP(Table1[[#This Row],[Part Number]],'Multi-level BOM'!V$4:V$449,1,FALSE)),0,Table1[[#This Row],[Remaining Extended cost]])</f>
        <v>0</v>
      </c>
    </row>
    <row r="516" spans="1:29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80" t="str">
        <f>IF(Table1[[#This Row],[Buy-now costs]]&gt;0,"X","")</f>
        <v/>
      </c>
      <c r="M516" s="80"/>
      <c r="N516" s="80"/>
      <c r="O516" s="40">
        <v>0</v>
      </c>
      <c r="P516" s="94">
        <f>Table1[[#This Row],[quantity on-hand]]*(Table1[[#This Row],[Cost ]]+Table1[[#This Row],[shipping]]+Table1[[#This Row],[Tax]])</f>
        <v>0</v>
      </c>
      <c r="Q516" s="40">
        <v>0</v>
      </c>
      <c r="R516" s="92">
        <f>Table1[[#This Row],[Quantity on order]]*(Table1[[#This Row],[Cost ]]+Table1[[#This Row],[shipping]]+Table1[[#This Row],[Tax]])</f>
        <v>0</v>
      </c>
      <c r="S5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6" s="49">
        <f>Table1[[#This Row],[Quantity  to  purchase]]+Table1[[#This Row],[Quantity purchased]]+Table1[[#This Row],[Quantity on order]]+Table1[[#This Row],[Quantity donated]]-Table1[[#This Row],[extended quantity]]</f>
        <v>0</v>
      </c>
      <c r="U5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6" s="51">
        <f>IFERROR(Table1[[#This Row],[Quantity  to  purchase]]*(Table1[[#This Row],[Cost ]]+Table1[[#This Row],[shipping]]+Table1[[#This Row],[Tax]]),0)</f>
        <v>0</v>
      </c>
      <c r="W516" s="36">
        <f>IFERROR(Table1[[#This Row],[leftover material]]*(Table1[[#This Row],[Cost ]]+Table1[[#This Row],[shipping]]+Table1[[#This Row],[Tax]]),0)</f>
        <v>0</v>
      </c>
      <c r="X516" s="36"/>
      <c r="Y516" s="84"/>
      <c r="Z516" s="84"/>
      <c r="AA516" s="84"/>
      <c r="AB516" s="36"/>
      <c r="AC516" s="36">
        <f>IF(ISNA(VLOOKUP(Table1[[#This Row],[Part Number]],'Multi-level BOM'!V$4:V$449,1,FALSE)),0,Table1[[#This Row],[Remaining Extended cost]])</f>
        <v>0</v>
      </c>
    </row>
    <row r="517" spans="1:29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80" t="str">
        <f>IF(Table1[[#This Row],[Buy-now costs]]&gt;0,"X","")</f>
        <v/>
      </c>
      <c r="M517" s="80"/>
      <c r="N517" s="80"/>
      <c r="O517" s="40">
        <v>0</v>
      </c>
      <c r="P517" s="94">
        <f>Table1[[#This Row],[quantity on-hand]]*(Table1[[#This Row],[Cost ]]+Table1[[#This Row],[shipping]]+Table1[[#This Row],[Tax]])</f>
        <v>0</v>
      </c>
      <c r="Q517" s="40">
        <v>0</v>
      </c>
      <c r="R517" s="92">
        <f>Table1[[#This Row],[Quantity on order]]*(Table1[[#This Row],[Cost ]]+Table1[[#This Row],[shipping]]+Table1[[#This Row],[Tax]])</f>
        <v>0</v>
      </c>
      <c r="S5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7" s="49">
        <f>Table1[[#This Row],[Quantity  to  purchase]]+Table1[[#This Row],[Quantity purchased]]+Table1[[#This Row],[Quantity on order]]+Table1[[#This Row],[Quantity donated]]-Table1[[#This Row],[extended quantity]]</f>
        <v>0</v>
      </c>
      <c r="U5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7" s="51">
        <f>IFERROR(Table1[[#This Row],[Quantity  to  purchase]]*(Table1[[#This Row],[Cost ]]+Table1[[#This Row],[shipping]]+Table1[[#This Row],[Tax]]),0)</f>
        <v>0</v>
      </c>
      <c r="W517" s="36">
        <f>IFERROR(Table1[[#This Row],[leftover material]]*(Table1[[#This Row],[Cost ]]+Table1[[#This Row],[shipping]]+Table1[[#This Row],[Tax]]),0)</f>
        <v>0</v>
      </c>
      <c r="X517" s="36"/>
      <c r="Y517" s="84"/>
      <c r="Z517" s="84"/>
      <c r="AA517" s="84"/>
      <c r="AB517" s="36"/>
      <c r="AC517" s="36">
        <f>IF(ISNA(VLOOKUP(Table1[[#This Row],[Part Number]],'Multi-level BOM'!V$4:V$449,1,FALSE)),0,Table1[[#This Row],[Remaining Extended cost]])</f>
        <v>0</v>
      </c>
    </row>
    <row r="518" spans="1:29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80" t="str">
        <f>IF(Table1[[#This Row],[Buy-now costs]]&gt;0,"X","")</f>
        <v/>
      </c>
      <c r="M518" s="80"/>
      <c r="N518" s="80"/>
      <c r="O518" s="40">
        <v>0</v>
      </c>
      <c r="P518" s="94">
        <f>Table1[[#This Row],[quantity on-hand]]*(Table1[[#This Row],[Cost ]]+Table1[[#This Row],[shipping]]+Table1[[#This Row],[Tax]])</f>
        <v>0</v>
      </c>
      <c r="Q518" s="40">
        <v>0</v>
      </c>
      <c r="R518" s="92">
        <f>Table1[[#This Row],[Quantity on order]]*(Table1[[#This Row],[Cost ]]+Table1[[#This Row],[shipping]]+Table1[[#This Row],[Tax]])</f>
        <v>0</v>
      </c>
      <c r="S5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8" s="49">
        <f>Table1[[#This Row],[Quantity  to  purchase]]+Table1[[#This Row],[Quantity purchased]]+Table1[[#This Row],[Quantity on order]]+Table1[[#This Row],[Quantity donated]]-Table1[[#This Row],[extended quantity]]</f>
        <v>0</v>
      </c>
      <c r="U5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8" s="51">
        <f>IFERROR(Table1[[#This Row],[Quantity  to  purchase]]*(Table1[[#This Row],[Cost ]]+Table1[[#This Row],[shipping]]+Table1[[#This Row],[Tax]]),0)</f>
        <v>0</v>
      </c>
      <c r="W518" s="36">
        <f>IFERROR(Table1[[#This Row],[leftover material]]*(Table1[[#This Row],[Cost ]]+Table1[[#This Row],[shipping]]+Table1[[#This Row],[Tax]]),0)</f>
        <v>0</v>
      </c>
      <c r="X518" s="36"/>
      <c r="Y518" s="84"/>
      <c r="Z518" s="84"/>
      <c r="AA518" s="84"/>
      <c r="AB518" s="36"/>
      <c r="AC518" s="36">
        <f>IF(ISNA(VLOOKUP(Table1[[#This Row],[Part Number]],'Multi-level BOM'!V$4:V$449,1,FALSE)),0,Table1[[#This Row],[Remaining Extended cost]])</f>
        <v>0</v>
      </c>
    </row>
    <row r="519" spans="1:29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80" t="str">
        <f>IF(Table1[[#This Row],[Buy-now costs]]&gt;0,"X","")</f>
        <v/>
      </c>
      <c r="M519" s="80"/>
      <c r="N519" s="80"/>
      <c r="O519" s="40">
        <v>0</v>
      </c>
      <c r="P519" s="94">
        <f>Table1[[#This Row],[quantity on-hand]]*(Table1[[#This Row],[Cost ]]+Table1[[#This Row],[shipping]]+Table1[[#This Row],[Tax]])</f>
        <v>0</v>
      </c>
      <c r="Q519" s="40">
        <v>0</v>
      </c>
      <c r="R519" s="92">
        <f>Table1[[#This Row],[Quantity on order]]*(Table1[[#This Row],[Cost ]]+Table1[[#This Row],[shipping]]+Table1[[#This Row],[Tax]])</f>
        <v>0</v>
      </c>
      <c r="S5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9" s="49">
        <f>Table1[[#This Row],[Quantity  to  purchase]]+Table1[[#This Row],[Quantity purchased]]+Table1[[#This Row],[Quantity on order]]+Table1[[#This Row],[Quantity donated]]-Table1[[#This Row],[extended quantity]]</f>
        <v>0</v>
      </c>
      <c r="U5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9" s="51">
        <f>IFERROR(Table1[[#This Row],[Quantity  to  purchase]]*(Table1[[#This Row],[Cost ]]+Table1[[#This Row],[shipping]]+Table1[[#This Row],[Tax]]),0)</f>
        <v>0</v>
      </c>
      <c r="W519" s="36">
        <f>IFERROR(Table1[[#This Row],[leftover material]]*(Table1[[#This Row],[Cost ]]+Table1[[#This Row],[shipping]]+Table1[[#This Row],[Tax]]),0)</f>
        <v>0</v>
      </c>
      <c r="X519" s="36"/>
      <c r="Y519" s="84"/>
      <c r="Z519" s="84"/>
      <c r="AA519" s="84"/>
      <c r="AB519" s="36"/>
      <c r="AC519" s="36">
        <f>IF(ISNA(VLOOKUP(Table1[[#This Row],[Part Number]],'Multi-level BOM'!V$4:V$449,1,FALSE)),0,Table1[[#This Row],[Remaining Extended cost]])</f>
        <v>0</v>
      </c>
    </row>
    <row r="520" spans="1:29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80" t="str">
        <f>IF(Table1[[#This Row],[Buy-now costs]]&gt;0,"X","")</f>
        <v/>
      </c>
      <c r="M520" s="80"/>
      <c r="N520" s="80"/>
      <c r="O520" s="40">
        <v>0</v>
      </c>
      <c r="P520" s="94">
        <f>Table1[[#This Row],[quantity on-hand]]*(Table1[[#This Row],[Cost ]]+Table1[[#This Row],[shipping]]+Table1[[#This Row],[Tax]])</f>
        <v>0</v>
      </c>
      <c r="Q520" s="40">
        <v>0</v>
      </c>
      <c r="R520" s="92">
        <f>Table1[[#This Row],[Quantity on order]]*(Table1[[#This Row],[Cost ]]+Table1[[#This Row],[shipping]]+Table1[[#This Row],[Tax]])</f>
        <v>0</v>
      </c>
      <c r="S5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0" s="49">
        <f>Table1[[#This Row],[Quantity  to  purchase]]+Table1[[#This Row],[Quantity purchased]]+Table1[[#This Row],[Quantity on order]]+Table1[[#This Row],[Quantity donated]]-Table1[[#This Row],[extended quantity]]</f>
        <v>0</v>
      </c>
      <c r="U5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0" s="51">
        <f>IFERROR(Table1[[#This Row],[Quantity  to  purchase]]*(Table1[[#This Row],[Cost ]]+Table1[[#This Row],[shipping]]+Table1[[#This Row],[Tax]]),0)</f>
        <v>0</v>
      </c>
      <c r="W520" s="36">
        <f>IFERROR(Table1[[#This Row],[leftover material]]*(Table1[[#This Row],[Cost ]]+Table1[[#This Row],[shipping]]+Table1[[#This Row],[Tax]]),0)</f>
        <v>0</v>
      </c>
      <c r="X520" s="36"/>
      <c r="Y520" s="84"/>
      <c r="Z520" s="84"/>
      <c r="AA520" s="84"/>
      <c r="AB520" s="36"/>
      <c r="AC520" s="36">
        <f>IF(ISNA(VLOOKUP(Table1[[#This Row],[Part Number]],'Multi-level BOM'!V$4:V$449,1,FALSE)),0,Table1[[#This Row],[Remaining Extended cost]])</f>
        <v>0</v>
      </c>
    </row>
    <row r="521" spans="1:29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80" t="str">
        <f>IF(Table1[[#This Row],[Buy-now costs]]&gt;0,"X","")</f>
        <v/>
      </c>
      <c r="M521" s="80"/>
      <c r="N521" s="80"/>
      <c r="O521" s="40">
        <v>0</v>
      </c>
      <c r="P521" s="94">
        <f>Table1[[#This Row],[quantity on-hand]]*(Table1[[#This Row],[Cost ]]+Table1[[#This Row],[shipping]]+Table1[[#This Row],[Tax]])</f>
        <v>0</v>
      </c>
      <c r="Q521" s="40">
        <v>0</v>
      </c>
      <c r="R521" s="92">
        <f>Table1[[#This Row],[Quantity on order]]*(Table1[[#This Row],[Cost ]]+Table1[[#This Row],[shipping]]+Table1[[#This Row],[Tax]])</f>
        <v>0</v>
      </c>
      <c r="S5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1" s="49">
        <f>Table1[[#This Row],[Quantity  to  purchase]]+Table1[[#This Row],[Quantity purchased]]+Table1[[#This Row],[Quantity on order]]+Table1[[#This Row],[Quantity donated]]-Table1[[#This Row],[extended quantity]]</f>
        <v>0</v>
      </c>
      <c r="U5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1" s="51">
        <f>IFERROR(Table1[[#This Row],[Quantity  to  purchase]]*(Table1[[#This Row],[Cost ]]+Table1[[#This Row],[shipping]]+Table1[[#This Row],[Tax]]),0)</f>
        <v>0</v>
      </c>
      <c r="W521" s="36">
        <f>IFERROR(Table1[[#This Row],[leftover material]]*(Table1[[#This Row],[Cost ]]+Table1[[#This Row],[shipping]]+Table1[[#This Row],[Tax]]),0)</f>
        <v>0</v>
      </c>
      <c r="X521" s="36"/>
      <c r="Y521" s="84"/>
      <c r="Z521" s="84"/>
      <c r="AA521" s="84"/>
      <c r="AB521" s="36"/>
      <c r="AC521" s="36">
        <f>IF(ISNA(VLOOKUP(Table1[[#This Row],[Part Number]],'Multi-level BOM'!V$4:V$449,1,FALSE)),0,Table1[[#This Row],[Remaining Extended cost]])</f>
        <v>0</v>
      </c>
    </row>
    <row r="522" spans="1:29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80" t="str">
        <f>IF(Table1[[#This Row],[Buy-now costs]]&gt;0,"X","")</f>
        <v/>
      </c>
      <c r="M522" s="80"/>
      <c r="N522" s="80"/>
      <c r="O522" s="40">
        <v>0</v>
      </c>
      <c r="P522" s="94">
        <f>Table1[[#This Row],[quantity on-hand]]*(Table1[[#This Row],[Cost ]]+Table1[[#This Row],[shipping]]+Table1[[#This Row],[Tax]])</f>
        <v>0</v>
      </c>
      <c r="Q522" s="40">
        <v>0</v>
      </c>
      <c r="R522" s="92">
        <f>Table1[[#This Row],[Quantity on order]]*(Table1[[#This Row],[Cost ]]+Table1[[#This Row],[shipping]]+Table1[[#This Row],[Tax]])</f>
        <v>0</v>
      </c>
      <c r="S5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2" s="49">
        <f>Table1[[#This Row],[Quantity  to  purchase]]+Table1[[#This Row],[Quantity purchased]]+Table1[[#This Row],[Quantity on order]]+Table1[[#This Row],[Quantity donated]]-Table1[[#This Row],[extended quantity]]</f>
        <v>0</v>
      </c>
      <c r="U5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2" s="51">
        <f>IFERROR(Table1[[#This Row],[Quantity  to  purchase]]*(Table1[[#This Row],[Cost ]]+Table1[[#This Row],[shipping]]+Table1[[#This Row],[Tax]]),0)</f>
        <v>0</v>
      </c>
      <c r="W522" s="36">
        <f>IFERROR(Table1[[#This Row],[leftover material]]*(Table1[[#This Row],[Cost ]]+Table1[[#This Row],[shipping]]+Table1[[#This Row],[Tax]]),0)</f>
        <v>0</v>
      </c>
      <c r="X522" s="36"/>
      <c r="Y522" s="84"/>
      <c r="Z522" s="84"/>
      <c r="AA522" s="84"/>
      <c r="AB522" s="36"/>
      <c r="AC522" s="36">
        <f>IF(ISNA(VLOOKUP(Table1[[#This Row],[Part Number]],'Multi-level BOM'!V$4:V$449,1,FALSE)),0,Table1[[#This Row],[Remaining Extended cost]])</f>
        <v>0</v>
      </c>
    </row>
    <row r="523" spans="1:29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80" t="str">
        <f>IF(Table1[[#This Row],[Buy-now costs]]&gt;0,"X","")</f>
        <v/>
      </c>
      <c r="M523" s="80"/>
      <c r="N523" s="80"/>
      <c r="O523" s="40">
        <v>0</v>
      </c>
      <c r="P523" s="94">
        <f>Table1[[#This Row],[quantity on-hand]]*(Table1[[#This Row],[Cost ]]+Table1[[#This Row],[shipping]]+Table1[[#This Row],[Tax]])</f>
        <v>0</v>
      </c>
      <c r="Q523" s="40">
        <v>0</v>
      </c>
      <c r="R523" s="92">
        <f>Table1[[#This Row],[Quantity on order]]*(Table1[[#This Row],[Cost ]]+Table1[[#This Row],[shipping]]+Table1[[#This Row],[Tax]])</f>
        <v>0</v>
      </c>
      <c r="S5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3" s="49">
        <f>Table1[[#This Row],[Quantity  to  purchase]]+Table1[[#This Row],[Quantity purchased]]+Table1[[#This Row],[Quantity on order]]+Table1[[#This Row],[Quantity donated]]-Table1[[#This Row],[extended quantity]]</f>
        <v>0</v>
      </c>
      <c r="U5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3" s="51">
        <f>IFERROR(Table1[[#This Row],[Quantity  to  purchase]]*(Table1[[#This Row],[Cost ]]+Table1[[#This Row],[shipping]]+Table1[[#This Row],[Tax]]),0)</f>
        <v>0</v>
      </c>
      <c r="W523" s="36">
        <f>IFERROR(Table1[[#This Row],[leftover material]]*(Table1[[#This Row],[Cost ]]+Table1[[#This Row],[shipping]]+Table1[[#This Row],[Tax]]),0)</f>
        <v>0</v>
      </c>
      <c r="X523" s="36"/>
      <c r="Y523" s="84"/>
      <c r="Z523" s="84"/>
      <c r="AA523" s="84"/>
      <c r="AB523" s="36"/>
      <c r="AC523" s="36">
        <f>IF(ISNA(VLOOKUP(Table1[[#This Row],[Part Number]],'Multi-level BOM'!V$4:V$449,1,FALSE)),0,Table1[[#This Row],[Remaining Extended cost]])</f>
        <v>0</v>
      </c>
    </row>
    <row r="524" spans="1:29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80" t="str">
        <f>IF(Table1[[#This Row],[Buy-now costs]]&gt;0,"X","")</f>
        <v/>
      </c>
      <c r="M524" s="80"/>
      <c r="N524" s="80"/>
      <c r="O524" s="40">
        <v>0</v>
      </c>
      <c r="P524" s="94">
        <f>Table1[[#This Row],[quantity on-hand]]*(Table1[[#This Row],[Cost ]]+Table1[[#This Row],[shipping]]+Table1[[#This Row],[Tax]])</f>
        <v>0</v>
      </c>
      <c r="Q524" s="40">
        <v>0</v>
      </c>
      <c r="R524" s="92">
        <f>Table1[[#This Row],[Quantity on order]]*(Table1[[#This Row],[Cost ]]+Table1[[#This Row],[shipping]]+Table1[[#This Row],[Tax]])</f>
        <v>0</v>
      </c>
      <c r="S5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4" s="49">
        <f>Table1[[#This Row],[Quantity  to  purchase]]+Table1[[#This Row],[Quantity purchased]]+Table1[[#This Row],[Quantity on order]]+Table1[[#This Row],[Quantity donated]]-Table1[[#This Row],[extended quantity]]</f>
        <v>0</v>
      </c>
      <c r="U5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4" s="51">
        <f>IFERROR(Table1[[#This Row],[Quantity  to  purchase]]*(Table1[[#This Row],[Cost ]]+Table1[[#This Row],[shipping]]+Table1[[#This Row],[Tax]]),0)</f>
        <v>0</v>
      </c>
      <c r="W524" s="36">
        <f>IFERROR(Table1[[#This Row],[leftover material]]*(Table1[[#This Row],[Cost ]]+Table1[[#This Row],[shipping]]+Table1[[#This Row],[Tax]]),0)</f>
        <v>0</v>
      </c>
      <c r="X524" s="36"/>
      <c r="Y524" s="84"/>
      <c r="Z524" s="84"/>
      <c r="AA524" s="84"/>
      <c r="AB524" s="36"/>
      <c r="AC524" s="36">
        <f>IF(ISNA(VLOOKUP(Table1[[#This Row],[Part Number]],'Multi-level BOM'!V$4:V$449,1,FALSE)),0,Table1[[#This Row],[Remaining Extended cost]])</f>
        <v>0</v>
      </c>
    </row>
    <row r="525" spans="1:29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80" t="str">
        <f>IF(Table1[[#This Row],[Buy-now costs]]&gt;0,"X","")</f>
        <v/>
      </c>
      <c r="M525" s="80"/>
      <c r="N525" s="80"/>
      <c r="O525" s="40">
        <v>0</v>
      </c>
      <c r="P525" s="94">
        <f>Table1[[#This Row],[quantity on-hand]]*(Table1[[#This Row],[Cost ]]+Table1[[#This Row],[shipping]]+Table1[[#This Row],[Tax]])</f>
        <v>0</v>
      </c>
      <c r="Q525" s="40">
        <v>0</v>
      </c>
      <c r="R525" s="92">
        <f>Table1[[#This Row],[Quantity on order]]*(Table1[[#This Row],[Cost ]]+Table1[[#This Row],[shipping]]+Table1[[#This Row],[Tax]])</f>
        <v>0</v>
      </c>
      <c r="S5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5" s="49">
        <f>Table1[[#This Row],[Quantity  to  purchase]]+Table1[[#This Row],[Quantity purchased]]+Table1[[#This Row],[Quantity on order]]+Table1[[#This Row],[Quantity donated]]-Table1[[#This Row],[extended quantity]]</f>
        <v>0</v>
      </c>
      <c r="U5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5" s="51">
        <f>IFERROR(Table1[[#This Row],[Quantity  to  purchase]]*(Table1[[#This Row],[Cost ]]+Table1[[#This Row],[shipping]]+Table1[[#This Row],[Tax]]),0)</f>
        <v>0</v>
      </c>
      <c r="W525" s="36">
        <f>IFERROR(Table1[[#This Row],[leftover material]]*(Table1[[#This Row],[Cost ]]+Table1[[#This Row],[shipping]]+Table1[[#This Row],[Tax]]),0)</f>
        <v>0</v>
      </c>
      <c r="X525" s="36"/>
      <c r="Y525" s="84"/>
      <c r="Z525" s="84"/>
      <c r="AA525" s="84"/>
      <c r="AB525" s="36"/>
      <c r="AC525" s="36">
        <f>IF(ISNA(VLOOKUP(Table1[[#This Row],[Part Number]],'Multi-level BOM'!V$4:V$449,1,FALSE)),0,Table1[[#This Row],[Remaining Extended cost]])</f>
        <v>0</v>
      </c>
    </row>
    <row r="526" spans="1:29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80" t="str">
        <f>IF(Table1[[#This Row],[Buy-now costs]]&gt;0,"X","")</f>
        <v/>
      </c>
      <c r="M526" s="80"/>
      <c r="N526" s="80"/>
      <c r="O526" s="40">
        <v>0</v>
      </c>
      <c r="P526" s="94">
        <f>Table1[[#This Row],[quantity on-hand]]*(Table1[[#This Row],[Cost ]]+Table1[[#This Row],[shipping]]+Table1[[#This Row],[Tax]])</f>
        <v>0</v>
      </c>
      <c r="Q526" s="40">
        <v>0</v>
      </c>
      <c r="R526" s="92">
        <f>Table1[[#This Row],[Quantity on order]]*(Table1[[#This Row],[Cost ]]+Table1[[#This Row],[shipping]]+Table1[[#This Row],[Tax]])</f>
        <v>0</v>
      </c>
      <c r="S5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6" s="49">
        <f>Table1[[#This Row],[Quantity  to  purchase]]+Table1[[#This Row],[Quantity purchased]]+Table1[[#This Row],[Quantity on order]]+Table1[[#This Row],[Quantity donated]]-Table1[[#This Row],[extended quantity]]</f>
        <v>0</v>
      </c>
      <c r="U5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6" s="51">
        <f>IFERROR(Table1[[#This Row],[Quantity  to  purchase]]*(Table1[[#This Row],[Cost ]]+Table1[[#This Row],[shipping]]+Table1[[#This Row],[Tax]]),0)</f>
        <v>0</v>
      </c>
      <c r="W526" s="36">
        <f>IFERROR(Table1[[#This Row],[leftover material]]*(Table1[[#This Row],[Cost ]]+Table1[[#This Row],[shipping]]+Table1[[#This Row],[Tax]]),0)</f>
        <v>0</v>
      </c>
      <c r="X526" s="36"/>
      <c r="Y526" s="84"/>
      <c r="Z526" s="84"/>
      <c r="AA526" s="84"/>
      <c r="AB526" s="36"/>
      <c r="AC526" s="36">
        <f>IF(ISNA(VLOOKUP(Table1[[#This Row],[Part Number]],'Multi-level BOM'!V$4:V$449,1,FALSE)),0,Table1[[#This Row],[Remaining Extended cost]])</f>
        <v>0</v>
      </c>
    </row>
    <row r="527" spans="1:29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80" t="str">
        <f>IF(Table1[[#This Row],[Buy-now costs]]&gt;0,"X","")</f>
        <v/>
      </c>
      <c r="M527" s="80"/>
      <c r="N527" s="80"/>
      <c r="O527" s="40">
        <v>0</v>
      </c>
      <c r="P527" s="94">
        <f>Table1[[#This Row],[quantity on-hand]]*(Table1[[#This Row],[Cost ]]+Table1[[#This Row],[shipping]]+Table1[[#This Row],[Tax]])</f>
        <v>0</v>
      </c>
      <c r="Q527" s="40">
        <v>0</v>
      </c>
      <c r="R527" s="92">
        <f>Table1[[#This Row],[Quantity on order]]*(Table1[[#This Row],[Cost ]]+Table1[[#This Row],[shipping]]+Table1[[#This Row],[Tax]])</f>
        <v>0</v>
      </c>
      <c r="S5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7" s="49">
        <f>Table1[[#This Row],[Quantity  to  purchase]]+Table1[[#This Row],[Quantity purchased]]+Table1[[#This Row],[Quantity on order]]+Table1[[#This Row],[Quantity donated]]-Table1[[#This Row],[extended quantity]]</f>
        <v>0</v>
      </c>
      <c r="U5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7" s="51">
        <f>IFERROR(Table1[[#This Row],[Quantity  to  purchase]]*(Table1[[#This Row],[Cost ]]+Table1[[#This Row],[shipping]]+Table1[[#This Row],[Tax]]),0)</f>
        <v>0</v>
      </c>
      <c r="W527" s="36">
        <f>IFERROR(Table1[[#This Row],[leftover material]]*(Table1[[#This Row],[Cost ]]+Table1[[#This Row],[shipping]]+Table1[[#This Row],[Tax]]),0)</f>
        <v>0</v>
      </c>
      <c r="X527" s="36"/>
      <c r="Y527" s="84"/>
      <c r="Z527" s="84"/>
      <c r="AA527" s="84"/>
      <c r="AB527" s="36"/>
      <c r="AC527" s="36">
        <f>IF(ISNA(VLOOKUP(Table1[[#This Row],[Part Number]],'Multi-level BOM'!V$4:V$449,1,FALSE)),0,Table1[[#This Row],[Remaining Extended cost]])</f>
        <v>0</v>
      </c>
    </row>
    <row r="528" spans="1:29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80" t="str">
        <f>IF(Table1[[#This Row],[Buy-now costs]]&gt;0,"X","")</f>
        <v/>
      </c>
      <c r="M528" s="80"/>
      <c r="N528" s="80"/>
      <c r="O528" s="40">
        <v>0</v>
      </c>
      <c r="P528" s="94">
        <f>Table1[[#This Row],[quantity on-hand]]*(Table1[[#This Row],[Cost ]]+Table1[[#This Row],[shipping]]+Table1[[#This Row],[Tax]])</f>
        <v>0</v>
      </c>
      <c r="Q528" s="40">
        <v>0</v>
      </c>
      <c r="R528" s="92">
        <f>Table1[[#This Row],[Quantity on order]]*(Table1[[#This Row],[Cost ]]+Table1[[#This Row],[shipping]]+Table1[[#This Row],[Tax]])</f>
        <v>0</v>
      </c>
      <c r="S5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8" s="49">
        <f>Table1[[#This Row],[Quantity  to  purchase]]+Table1[[#This Row],[Quantity purchased]]+Table1[[#This Row],[Quantity on order]]+Table1[[#This Row],[Quantity donated]]-Table1[[#This Row],[extended quantity]]</f>
        <v>0</v>
      </c>
      <c r="U5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8" s="51">
        <f>IFERROR(Table1[[#This Row],[Quantity  to  purchase]]*(Table1[[#This Row],[Cost ]]+Table1[[#This Row],[shipping]]+Table1[[#This Row],[Tax]]),0)</f>
        <v>0</v>
      </c>
      <c r="W528" s="36">
        <f>IFERROR(Table1[[#This Row],[leftover material]]*(Table1[[#This Row],[Cost ]]+Table1[[#This Row],[shipping]]+Table1[[#This Row],[Tax]]),0)</f>
        <v>0</v>
      </c>
      <c r="X528" s="36"/>
      <c r="Y528" s="84"/>
      <c r="Z528" s="84"/>
      <c r="AA528" s="84"/>
      <c r="AB528" s="36"/>
      <c r="AC528" s="36">
        <f>IF(ISNA(VLOOKUP(Table1[[#This Row],[Part Number]],'Multi-level BOM'!V$4:V$449,1,FALSE)),0,Table1[[#This Row],[Remaining Extended cost]])</f>
        <v>0</v>
      </c>
    </row>
    <row r="529" spans="1:29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80" t="str">
        <f>IF(Table1[[#This Row],[Buy-now costs]]&gt;0,"X","")</f>
        <v/>
      </c>
      <c r="M529" s="80"/>
      <c r="N529" s="80"/>
      <c r="O529" s="40">
        <v>0</v>
      </c>
      <c r="P529" s="94">
        <f>Table1[[#This Row],[quantity on-hand]]*(Table1[[#This Row],[Cost ]]+Table1[[#This Row],[shipping]]+Table1[[#This Row],[Tax]])</f>
        <v>0</v>
      </c>
      <c r="Q529" s="40">
        <v>0</v>
      </c>
      <c r="R529" s="92">
        <f>Table1[[#This Row],[Quantity on order]]*(Table1[[#This Row],[Cost ]]+Table1[[#This Row],[shipping]]+Table1[[#This Row],[Tax]])</f>
        <v>0</v>
      </c>
      <c r="S5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9" s="49">
        <f>Table1[[#This Row],[Quantity  to  purchase]]+Table1[[#This Row],[Quantity purchased]]+Table1[[#This Row],[Quantity on order]]+Table1[[#This Row],[Quantity donated]]-Table1[[#This Row],[extended quantity]]</f>
        <v>0</v>
      </c>
      <c r="U5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9" s="51">
        <f>IFERROR(Table1[[#This Row],[Quantity  to  purchase]]*(Table1[[#This Row],[Cost ]]+Table1[[#This Row],[shipping]]+Table1[[#This Row],[Tax]]),0)</f>
        <v>0</v>
      </c>
      <c r="W529" s="36">
        <f>IFERROR(Table1[[#This Row],[leftover material]]*(Table1[[#This Row],[Cost ]]+Table1[[#This Row],[shipping]]+Table1[[#This Row],[Tax]]),0)</f>
        <v>0</v>
      </c>
      <c r="X529" s="36"/>
      <c r="Y529" s="84"/>
      <c r="Z529" s="84"/>
      <c r="AA529" s="84"/>
      <c r="AB529" s="36"/>
      <c r="AC529" s="36">
        <f>IF(ISNA(VLOOKUP(Table1[[#This Row],[Part Number]],'Multi-level BOM'!V$4:V$449,1,FALSE)),0,Table1[[#This Row],[Remaining Extended cost]])</f>
        <v>0</v>
      </c>
    </row>
    <row r="530" spans="1:29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80" t="str">
        <f>IF(Table1[[#This Row],[Buy-now costs]]&gt;0,"X","")</f>
        <v/>
      </c>
      <c r="M530" s="80"/>
      <c r="N530" s="80"/>
      <c r="O530" s="40">
        <v>0</v>
      </c>
      <c r="P530" s="94">
        <f>Table1[[#This Row],[quantity on-hand]]*(Table1[[#This Row],[Cost ]]+Table1[[#This Row],[shipping]]+Table1[[#This Row],[Tax]])</f>
        <v>0</v>
      </c>
      <c r="Q530" s="40">
        <v>0</v>
      </c>
      <c r="R530" s="92">
        <f>Table1[[#This Row],[Quantity on order]]*(Table1[[#This Row],[Cost ]]+Table1[[#This Row],[shipping]]+Table1[[#This Row],[Tax]])</f>
        <v>0</v>
      </c>
      <c r="S5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0" s="49">
        <f>Table1[[#This Row],[Quantity  to  purchase]]+Table1[[#This Row],[Quantity purchased]]+Table1[[#This Row],[Quantity on order]]+Table1[[#This Row],[Quantity donated]]-Table1[[#This Row],[extended quantity]]</f>
        <v>0</v>
      </c>
      <c r="U5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0" s="51">
        <f>IFERROR(Table1[[#This Row],[Quantity  to  purchase]]*(Table1[[#This Row],[Cost ]]+Table1[[#This Row],[shipping]]+Table1[[#This Row],[Tax]]),0)</f>
        <v>0</v>
      </c>
      <c r="W530" s="36">
        <f>IFERROR(Table1[[#This Row],[leftover material]]*(Table1[[#This Row],[Cost ]]+Table1[[#This Row],[shipping]]+Table1[[#This Row],[Tax]]),0)</f>
        <v>0</v>
      </c>
      <c r="X530" s="36"/>
      <c r="Y530" s="84"/>
      <c r="Z530" s="84"/>
      <c r="AA530" s="84"/>
      <c r="AB530" s="36"/>
      <c r="AC530" s="36">
        <f>IF(ISNA(VLOOKUP(Table1[[#This Row],[Part Number]],'Multi-level BOM'!V$4:V$449,1,FALSE)),0,Table1[[#This Row],[Remaining Extended cost]])</f>
        <v>0</v>
      </c>
    </row>
    <row r="531" spans="1:29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80" t="str">
        <f>IF(Table1[[#This Row],[Buy-now costs]]&gt;0,"X","")</f>
        <v/>
      </c>
      <c r="M531" s="80"/>
      <c r="N531" s="80"/>
      <c r="O531" s="40">
        <v>0</v>
      </c>
      <c r="P531" s="94">
        <f>Table1[[#This Row],[quantity on-hand]]*(Table1[[#This Row],[Cost ]]+Table1[[#This Row],[shipping]]+Table1[[#This Row],[Tax]])</f>
        <v>0</v>
      </c>
      <c r="Q531" s="40">
        <v>0</v>
      </c>
      <c r="R531" s="92">
        <f>Table1[[#This Row],[Quantity on order]]*(Table1[[#This Row],[Cost ]]+Table1[[#This Row],[shipping]]+Table1[[#This Row],[Tax]])</f>
        <v>0</v>
      </c>
      <c r="S5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1" s="49">
        <f>Table1[[#This Row],[Quantity  to  purchase]]+Table1[[#This Row],[Quantity purchased]]+Table1[[#This Row],[Quantity on order]]+Table1[[#This Row],[Quantity donated]]-Table1[[#This Row],[extended quantity]]</f>
        <v>0</v>
      </c>
      <c r="U5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1" s="51">
        <f>IFERROR(Table1[[#This Row],[Quantity  to  purchase]]*(Table1[[#This Row],[Cost ]]+Table1[[#This Row],[shipping]]+Table1[[#This Row],[Tax]]),0)</f>
        <v>0</v>
      </c>
      <c r="W531" s="36">
        <f>IFERROR(Table1[[#This Row],[leftover material]]*(Table1[[#This Row],[Cost ]]+Table1[[#This Row],[shipping]]+Table1[[#This Row],[Tax]]),0)</f>
        <v>0</v>
      </c>
      <c r="X531" s="36"/>
      <c r="Y531" s="84"/>
      <c r="Z531" s="84"/>
      <c r="AA531" s="84"/>
      <c r="AB531" s="36"/>
      <c r="AC531" s="36">
        <f>IF(ISNA(VLOOKUP(Table1[[#This Row],[Part Number]],'Multi-level BOM'!V$4:V$449,1,FALSE)),0,Table1[[#This Row],[Remaining Extended cost]])</f>
        <v>0</v>
      </c>
    </row>
    <row r="532" spans="1:29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80" t="str">
        <f>IF(Table1[[#This Row],[Buy-now costs]]&gt;0,"X","")</f>
        <v/>
      </c>
      <c r="M532" s="80"/>
      <c r="N532" s="80"/>
      <c r="O532" s="40">
        <v>0</v>
      </c>
      <c r="P532" s="94">
        <f>Table1[[#This Row],[quantity on-hand]]*(Table1[[#This Row],[Cost ]]+Table1[[#This Row],[shipping]]+Table1[[#This Row],[Tax]])</f>
        <v>0</v>
      </c>
      <c r="Q532" s="40">
        <v>0</v>
      </c>
      <c r="R532" s="92">
        <f>Table1[[#This Row],[Quantity on order]]*(Table1[[#This Row],[Cost ]]+Table1[[#This Row],[shipping]]+Table1[[#This Row],[Tax]])</f>
        <v>0</v>
      </c>
      <c r="S5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2" s="49">
        <f>Table1[[#This Row],[Quantity  to  purchase]]+Table1[[#This Row],[Quantity purchased]]+Table1[[#This Row],[Quantity on order]]+Table1[[#This Row],[Quantity donated]]-Table1[[#This Row],[extended quantity]]</f>
        <v>0</v>
      </c>
      <c r="U5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2" s="51">
        <f>IFERROR(Table1[[#This Row],[Quantity  to  purchase]]*(Table1[[#This Row],[Cost ]]+Table1[[#This Row],[shipping]]+Table1[[#This Row],[Tax]]),0)</f>
        <v>0</v>
      </c>
      <c r="W532" s="36">
        <f>IFERROR(Table1[[#This Row],[leftover material]]*(Table1[[#This Row],[Cost ]]+Table1[[#This Row],[shipping]]+Table1[[#This Row],[Tax]]),0)</f>
        <v>0</v>
      </c>
      <c r="X532" s="36"/>
      <c r="Y532" s="84"/>
      <c r="Z532" s="84"/>
      <c r="AA532" s="84"/>
      <c r="AB532" s="36"/>
      <c r="AC532" s="36">
        <f>IF(ISNA(VLOOKUP(Table1[[#This Row],[Part Number]],'Multi-level BOM'!V$4:V$449,1,FALSE)),0,Table1[[#This Row],[Remaining Extended cost]])</f>
        <v>0</v>
      </c>
    </row>
    <row r="533" spans="1:29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80" t="str">
        <f>IF(Table1[[#This Row],[Buy-now costs]]&gt;0,"X","")</f>
        <v/>
      </c>
      <c r="M533" s="80"/>
      <c r="N533" s="80"/>
      <c r="O533" s="40">
        <v>0</v>
      </c>
      <c r="P533" s="94">
        <f>Table1[[#This Row],[quantity on-hand]]*(Table1[[#This Row],[Cost ]]+Table1[[#This Row],[shipping]]+Table1[[#This Row],[Tax]])</f>
        <v>0</v>
      </c>
      <c r="Q533" s="40">
        <v>0</v>
      </c>
      <c r="R533" s="92">
        <f>Table1[[#This Row],[Quantity on order]]*(Table1[[#This Row],[Cost ]]+Table1[[#This Row],[shipping]]+Table1[[#This Row],[Tax]])</f>
        <v>0</v>
      </c>
      <c r="S5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3" s="49">
        <f>Table1[[#This Row],[Quantity  to  purchase]]+Table1[[#This Row],[Quantity purchased]]+Table1[[#This Row],[Quantity on order]]+Table1[[#This Row],[Quantity donated]]-Table1[[#This Row],[extended quantity]]</f>
        <v>0</v>
      </c>
      <c r="U5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3" s="51">
        <f>IFERROR(Table1[[#This Row],[Quantity  to  purchase]]*(Table1[[#This Row],[Cost ]]+Table1[[#This Row],[shipping]]+Table1[[#This Row],[Tax]]),0)</f>
        <v>0</v>
      </c>
      <c r="W533" s="36">
        <f>IFERROR(Table1[[#This Row],[leftover material]]*(Table1[[#This Row],[Cost ]]+Table1[[#This Row],[shipping]]+Table1[[#This Row],[Tax]]),0)</f>
        <v>0</v>
      </c>
      <c r="X533" s="36"/>
      <c r="Y533" s="84"/>
      <c r="Z533" s="84"/>
      <c r="AA533" s="84"/>
      <c r="AB533" s="36"/>
      <c r="AC533" s="36">
        <f>IF(ISNA(VLOOKUP(Table1[[#This Row],[Part Number]],'Multi-level BOM'!V$4:V$449,1,FALSE)),0,Table1[[#This Row],[Remaining Extended cost]])</f>
        <v>0</v>
      </c>
    </row>
    <row r="534" spans="1:29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80" t="str">
        <f>IF(Table1[[#This Row],[Buy-now costs]]&gt;0,"X","")</f>
        <v/>
      </c>
      <c r="M534" s="80"/>
      <c r="N534" s="80"/>
      <c r="O534" s="40">
        <v>0</v>
      </c>
      <c r="P534" s="94">
        <f>Table1[[#This Row],[quantity on-hand]]*(Table1[[#This Row],[Cost ]]+Table1[[#This Row],[shipping]]+Table1[[#This Row],[Tax]])</f>
        <v>0</v>
      </c>
      <c r="Q534" s="40">
        <v>0</v>
      </c>
      <c r="R534" s="92">
        <f>Table1[[#This Row],[Quantity on order]]*(Table1[[#This Row],[Cost ]]+Table1[[#This Row],[shipping]]+Table1[[#This Row],[Tax]])</f>
        <v>0</v>
      </c>
      <c r="S5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4" s="49">
        <f>Table1[[#This Row],[Quantity  to  purchase]]+Table1[[#This Row],[Quantity purchased]]+Table1[[#This Row],[Quantity on order]]+Table1[[#This Row],[Quantity donated]]-Table1[[#This Row],[extended quantity]]</f>
        <v>0</v>
      </c>
      <c r="U5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4" s="51">
        <f>IFERROR(Table1[[#This Row],[Quantity  to  purchase]]*(Table1[[#This Row],[Cost ]]+Table1[[#This Row],[shipping]]+Table1[[#This Row],[Tax]]),0)</f>
        <v>0</v>
      </c>
      <c r="W534" s="36">
        <f>IFERROR(Table1[[#This Row],[leftover material]]*(Table1[[#This Row],[Cost ]]+Table1[[#This Row],[shipping]]+Table1[[#This Row],[Tax]]),0)</f>
        <v>0</v>
      </c>
      <c r="X534" s="36"/>
      <c r="Y534" s="84"/>
      <c r="Z534" s="84"/>
      <c r="AA534" s="84"/>
      <c r="AB534" s="36"/>
      <c r="AC534" s="36">
        <f>IF(ISNA(VLOOKUP(Table1[[#This Row],[Part Number]],'Multi-level BOM'!V$4:V$449,1,FALSE)),0,Table1[[#This Row],[Remaining Extended cost]])</f>
        <v>0</v>
      </c>
    </row>
    <row r="535" spans="1:29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80" t="str">
        <f>IF(Table1[[#This Row],[Buy-now costs]]&gt;0,"X","")</f>
        <v/>
      </c>
      <c r="M535" s="80"/>
      <c r="N535" s="80"/>
      <c r="O535" s="40">
        <v>0</v>
      </c>
      <c r="P535" s="94">
        <f>Table1[[#This Row],[quantity on-hand]]*(Table1[[#This Row],[Cost ]]+Table1[[#This Row],[shipping]]+Table1[[#This Row],[Tax]])</f>
        <v>0</v>
      </c>
      <c r="Q535" s="40">
        <v>0</v>
      </c>
      <c r="R535" s="92">
        <f>Table1[[#This Row],[Quantity on order]]*(Table1[[#This Row],[Cost ]]+Table1[[#This Row],[shipping]]+Table1[[#This Row],[Tax]])</f>
        <v>0</v>
      </c>
      <c r="S5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5" s="49">
        <f>Table1[[#This Row],[Quantity  to  purchase]]+Table1[[#This Row],[Quantity purchased]]+Table1[[#This Row],[Quantity on order]]+Table1[[#This Row],[Quantity donated]]-Table1[[#This Row],[extended quantity]]</f>
        <v>0</v>
      </c>
      <c r="U5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5" s="51">
        <f>IFERROR(Table1[[#This Row],[Quantity  to  purchase]]*(Table1[[#This Row],[Cost ]]+Table1[[#This Row],[shipping]]+Table1[[#This Row],[Tax]]),0)</f>
        <v>0</v>
      </c>
      <c r="W535" s="36">
        <f>IFERROR(Table1[[#This Row],[leftover material]]*(Table1[[#This Row],[Cost ]]+Table1[[#This Row],[shipping]]+Table1[[#This Row],[Tax]]),0)</f>
        <v>0</v>
      </c>
      <c r="X535" s="36"/>
      <c r="Y535" s="84"/>
      <c r="Z535" s="84"/>
      <c r="AA535" s="84"/>
      <c r="AB535" s="36"/>
      <c r="AC535" s="36">
        <f>IF(ISNA(VLOOKUP(Table1[[#This Row],[Part Number]],'Multi-level BOM'!V$4:V$449,1,FALSE)),0,Table1[[#This Row],[Remaining Extended cost]])</f>
        <v>0</v>
      </c>
    </row>
    <row r="536" spans="1:29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80" t="str">
        <f>IF(Table1[[#This Row],[Buy-now costs]]&gt;0,"X","")</f>
        <v/>
      </c>
      <c r="M536" s="80"/>
      <c r="N536" s="80"/>
      <c r="O536" s="40">
        <v>0</v>
      </c>
      <c r="P536" s="94">
        <f>Table1[[#This Row],[quantity on-hand]]*(Table1[[#This Row],[Cost ]]+Table1[[#This Row],[shipping]]+Table1[[#This Row],[Tax]])</f>
        <v>0</v>
      </c>
      <c r="Q536" s="40">
        <v>0</v>
      </c>
      <c r="R536" s="92">
        <f>Table1[[#This Row],[Quantity on order]]*(Table1[[#This Row],[Cost ]]+Table1[[#This Row],[shipping]]+Table1[[#This Row],[Tax]])</f>
        <v>0</v>
      </c>
      <c r="S5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6" s="49">
        <f>Table1[[#This Row],[Quantity  to  purchase]]+Table1[[#This Row],[Quantity purchased]]+Table1[[#This Row],[Quantity on order]]+Table1[[#This Row],[Quantity donated]]-Table1[[#This Row],[extended quantity]]</f>
        <v>0</v>
      </c>
      <c r="U5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6" s="51">
        <f>IFERROR(Table1[[#This Row],[Quantity  to  purchase]]*(Table1[[#This Row],[Cost ]]+Table1[[#This Row],[shipping]]+Table1[[#This Row],[Tax]]),0)</f>
        <v>0</v>
      </c>
      <c r="W536" s="36">
        <f>IFERROR(Table1[[#This Row],[leftover material]]*(Table1[[#This Row],[Cost ]]+Table1[[#This Row],[shipping]]+Table1[[#This Row],[Tax]]),0)</f>
        <v>0</v>
      </c>
      <c r="X536" s="36"/>
      <c r="Y536" s="84"/>
      <c r="Z536" s="84"/>
      <c r="AA536" s="84"/>
      <c r="AB536" s="36"/>
      <c r="AC536" s="36">
        <f>IF(ISNA(VLOOKUP(Table1[[#This Row],[Part Number]],'Multi-level BOM'!V$4:V$449,1,FALSE)),0,Table1[[#This Row],[Remaining Extended cost]])</f>
        <v>0</v>
      </c>
    </row>
    <row r="537" spans="1:29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80" t="str">
        <f>IF(Table1[[#This Row],[Buy-now costs]]&gt;0,"X","")</f>
        <v/>
      </c>
      <c r="M537" s="80"/>
      <c r="N537" s="80"/>
      <c r="O537" s="40">
        <v>0</v>
      </c>
      <c r="P537" s="94">
        <f>Table1[[#This Row],[quantity on-hand]]*(Table1[[#This Row],[Cost ]]+Table1[[#This Row],[shipping]]+Table1[[#This Row],[Tax]])</f>
        <v>0</v>
      </c>
      <c r="Q537" s="40">
        <v>0</v>
      </c>
      <c r="R537" s="92">
        <f>Table1[[#This Row],[Quantity on order]]*(Table1[[#This Row],[Cost ]]+Table1[[#This Row],[shipping]]+Table1[[#This Row],[Tax]])</f>
        <v>0</v>
      </c>
      <c r="S5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7" s="49">
        <f>Table1[[#This Row],[Quantity  to  purchase]]+Table1[[#This Row],[Quantity purchased]]+Table1[[#This Row],[Quantity on order]]+Table1[[#This Row],[Quantity donated]]-Table1[[#This Row],[extended quantity]]</f>
        <v>0</v>
      </c>
      <c r="U5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7" s="51">
        <f>IFERROR(Table1[[#This Row],[Quantity  to  purchase]]*(Table1[[#This Row],[Cost ]]+Table1[[#This Row],[shipping]]+Table1[[#This Row],[Tax]]),0)</f>
        <v>0</v>
      </c>
      <c r="W537" s="36">
        <f>IFERROR(Table1[[#This Row],[leftover material]]*(Table1[[#This Row],[Cost ]]+Table1[[#This Row],[shipping]]+Table1[[#This Row],[Tax]]),0)</f>
        <v>0</v>
      </c>
      <c r="X537" s="36"/>
      <c r="Y537" s="84"/>
      <c r="Z537" s="84"/>
      <c r="AA537" s="84"/>
      <c r="AB537" s="36"/>
      <c r="AC537" s="36">
        <f>IF(ISNA(VLOOKUP(Table1[[#This Row],[Part Number]],'Multi-level BOM'!V$4:V$449,1,FALSE)),0,Table1[[#This Row],[Remaining Extended cost]])</f>
        <v>0</v>
      </c>
    </row>
    <row r="538" spans="1:29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80" t="str">
        <f>IF(Table1[[#This Row],[Buy-now costs]]&gt;0,"X","")</f>
        <v/>
      </c>
      <c r="M538" s="80"/>
      <c r="N538" s="80"/>
      <c r="O538" s="40">
        <v>0</v>
      </c>
      <c r="P538" s="94">
        <f>Table1[[#This Row],[quantity on-hand]]*(Table1[[#This Row],[Cost ]]+Table1[[#This Row],[shipping]]+Table1[[#This Row],[Tax]])</f>
        <v>0</v>
      </c>
      <c r="Q538" s="40">
        <v>0</v>
      </c>
      <c r="R538" s="92">
        <f>Table1[[#This Row],[Quantity on order]]*(Table1[[#This Row],[Cost ]]+Table1[[#This Row],[shipping]]+Table1[[#This Row],[Tax]])</f>
        <v>0</v>
      </c>
      <c r="S5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8" s="49">
        <f>Table1[[#This Row],[Quantity  to  purchase]]+Table1[[#This Row],[Quantity purchased]]+Table1[[#This Row],[Quantity on order]]+Table1[[#This Row],[Quantity donated]]-Table1[[#This Row],[extended quantity]]</f>
        <v>0</v>
      </c>
      <c r="U5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8" s="51">
        <f>IFERROR(Table1[[#This Row],[Quantity  to  purchase]]*(Table1[[#This Row],[Cost ]]+Table1[[#This Row],[shipping]]+Table1[[#This Row],[Tax]]),0)</f>
        <v>0</v>
      </c>
      <c r="W538" s="36">
        <f>IFERROR(Table1[[#This Row],[leftover material]]*(Table1[[#This Row],[Cost ]]+Table1[[#This Row],[shipping]]+Table1[[#This Row],[Tax]]),0)</f>
        <v>0</v>
      </c>
      <c r="X538" s="36"/>
      <c r="Y538" s="84"/>
      <c r="Z538" s="84"/>
      <c r="AA538" s="84"/>
      <c r="AB538" s="36"/>
      <c r="AC538" s="36">
        <f>IF(ISNA(VLOOKUP(Table1[[#This Row],[Part Number]],'Multi-level BOM'!V$4:V$449,1,FALSE)),0,Table1[[#This Row],[Remaining Extended cost]])</f>
        <v>0</v>
      </c>
    </row>
    <row r="539" spans="1:29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80" t="str">
        <f>IF(Table1[[#This Row],[Buy-now costs]]&gt;0,"X","")</f>
        <v/>
      </c>
      <c r="M539" s="80"/>
      <c r="N539" s="80"/>
      <c r="O539" s="40">
        <v>0</v>
      </c>
      <c r="P539" s="94">
        <f>Table1[[#This Row],[quantity on-hand]]*(Table1[[#This Row],[Cost ]]+Table1[[#This Row],[shipping]]+Table1[[#This Row],[Tax]])</f>
        <v>0</v>
      </c>
      <c r="Q539" s="40">
        <v>0</v>
      </c>
      <c r="R539" s="92">
        <f>Table1[[#This Row],[Quantity on order]]*(Table1[[#This Row],[Cost ]]+Table1[[#This Row],[shipping]]+Table1[[#This Row],[Tax]])</f>
        <v>0</v>
      </c>
      <c r="S5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9" s="49">
        <f>Table1[[#This Row],[Quantity  to  purchase]]+Table1[[#This Row],[Quantity purchased]]+Table1[[#This Row],[Quantity on order]]+Table1[[#This Row],[Quantity donated]]-Table1[[#This Row],[extended quantity]]</f>
        <v>0</v>
      </c>
      <c r="U5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9" s="51">
        <f>IFERROR(Table1[[#This Row],[Quantity  to  purchase]]*(Table1[[#This Row],[Cost ]]+Table1[[#This Row],[shipping]]+Table1[[#This Row],[Tax]]),0)</f>
        <v>0</v>
      </c>
      <c r="W539" s="36">
        <f>IFERROR(Table1[[#This Row],[leftover material]]*(Table1[[#This Row],[Cost ]]+Table1[[#This Row],[shipping]]+Table1[[#This Row],[Tax]]),0)</f>
        <v>0</v>
      </c>
      <c r="X539" s="36"/>
      <c r="Y539" s="84"/>
      <c r="Z539" s="84"/>
      <c r="AA539" s="84"/>
      <c r="AB539" s="36"/>
      <c r="AC539" s="36">
        <f>IF(ISNA(VLOOKUP(Table1[[#This Row],[Part Number]],'Multi-level BOM'!V$4:V$449,1,FALSE)),0,Table1[[#This Row],[Remaining Extended cost]])</f>
        <v>0</v>
      </c>
    </row>
    <row r="540" spans="1:29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80" t="str">
        <f>IF(Table1[[#This Row],[Buy-now costs]]&gt;0,"X","")</f>
        <v/>
      </c>
      <c r="M540" s="80"/>
      <c r="N540" s="80"/>
      <c r="O540" s="40">
        <v>0</v>
      </c>
      <c r="P540" s="94">
        <f>Table1[[#This Row],[quantity on-hand]]*(Table1[[#This Row],[Cost ]]+Table1[[#This Row],[shipping]]+Table1[[#This Row],[Tax]])</f>
        <v>0</v>
      </c>
      <c r="Q540" s="40">
        <v>0</v>
      </c>
      <c r="R540" s="92">
        <f>Table1[[#This Row],[Quantity on order]]*(Table1[[#This Row],[Cost ]]+Table1[[#This Row],[shipping]]+Table1[[#This Row],[Tax]])</f>
        <v>0</v>
      </c>
      <c r="S5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0" s="49">
        <f>Table1[[#This Row],[Quantity  to  purchase]]+Table1[[#This Row],[Quantity purchased]]+Table1[[#This Row],[Quantity on order]]+Table1[[#This Row],[Quantity donated]]-Table1[[#This Row],[extended quantity]]</f>
        <v>0</v>
      </c>
      <c r="U5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0" s="51">
        <f>IFERROR(Table1[[#This Row],[Quantity  to  purchase]]*(Table1[[#This Row],[Cost ]]+Table1[[#This Row],[shipping]]+Table1[[#This Row],[Tax]]),0)</f>
        <v>0</v>
      </c>
      <c r="W540" s="36">
        <f>IFERROR(Table1[[#This Row],[leftover material]]*(Table1[[#This Row],[Cost ]]+Table1[[#This Row],[shipping]]+Table1[[#This Row],[Tax]]),0)</f>
        <v>0</v>
      </c>
      <c r="X540" s="36"/>
      <c r="Y540" s="84"/>
      <c r="Z540" s="84"/>
      <c r="AA540" s="84"/>
      <c r="AB540" s="36"/>
      <c r="AC540" s="36">
        <f>IF(ISNA(VLOOKUP(Table1[[#This Row],[Part Number]],'Multi-level BOM'!V$4:V$449,1,FALSE)),0,Table1[[#This Row],[Remaining Extended cost]])</f>
        <v>0</v>
      </c>
    </row>
    <row r="541" spans="1:29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80" t="str">
        <f>IF(Table1[[#This Row],[Buy-now costs]]&gt;0,"X","")</f>
        <v/>
      </c>
      <c r="M541" s="80"/>
      <c r="N541" s="80"/>
      <c r="O541" s="40">
        <v>0</v>
      </c>
      <c r="P541" s="94">
        <f>Table1[[#This Row],[quantity on-hand]]*(Table1[[#This Row],[Cost ]]+Table1[[#This Row],[shipping]]+Table1[[#This Row],[Tax]])</f>
        <v>0</v>
      </c>
      <c r="Q541" s="40">
        <v>0</v>
      </c>
      <c r="R541" s="92">
        <f>Table1[[#This Row],[Quantity on order]]*(Table1[[#This Row],[Cost ]]+Table1[[#This Row],[shipping]]+Table1[[#This Row],[Tax]])</f>
        <v>0</v>
      </c>
      <c r="S5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1" s="49">
        <f>Table1[[#This Row],[Quantity  to  purchase]]+Table1[[#This Row],[Quantity purchased]]+Table1[[#This Row],[Quantity on order]]+Table1[[#This Row],[Quantity donated]]-Table1[[#This Row],[extended quantity]]</f>
        <v>0</v>
      </c>
      <c r="U5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1" s="51">
        <f>IFERROR(Table1[[#This Row],[Quantity  to  purchase]]*(Table1[[#This Row],[Cost ]]+Table1[[#This Row],[shipping]]+Table1[[#This Row],[Tax]]),0)</f>
        <v>0</v>
      </c>
      <c r="W541" s="36">
        <f>IFERROR(Table1[[#This Row],[leftover material]]*(Table1[[#This Row],[Cost ]]+Table1[[#This Row],[shipping]]+Table1[[#This Row],[Tax]]),0)</f>
        <v>0</v>
      </c>
      <c r="X541" s="36"/>
      <c r="Y541" s="84"/>
      <c r="Z541" s="84"/>
      <c r="AA541" s="84"/>
      <c r="AB541" s="36"/>
      <c r="AC541" s="36">
        <f>IF(ISNA(VLOOKUP(Table1[[#This Row],[Part Number]],'Multi-level BOM'!V$4:V$449,1,FALSE)),0,Table1[[#This Row],[Remaining Extended cost]])</f>
        <v>0</v>
      </c>
    </row>
    <row r="542" spans="1:29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80" t="str">
        <f>IF(Table1[[#This Row],[Buy-now costs]]&gt;0,"X","")</f>
        <v/>
      </c>
      <c r="M542" s="80"/>
      <c r="N542" s="80"/>
      <c r="O542" s="40">
        <v>0</v>
      </c>
      <c r="P542" s="94">
        <f>Table1[[#This Row],[quantity on-hand]]*(Table1[[#This Row],[Cost ]]+Table1[[#This Row],[shipping]]+Table1[[#This Row],[Tax]])</f>
        <v>0</v>
      </c>
      <c r="Q542" s="40">
        <v>0</v>
      </c>
      <c r="R542" s="92">
        <f>Table1[[#This Row],[Quantity on order]]*(Table1[[#This Row],[Cost ]]+Table1[[#This Row],[shipping]]+Table1[[#This Row],[Tax]])</f>
        <v>0</v>
      </c>
      <c r="S5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2" s="49">
        <f>Table1[[#This Row],[Quantity  to  purchase]]+Table1[[#This Row],[Quantity purchased]]+Table1[[#This Row],[Quantity on order]]+Table1[[#This Row],[Quantity donated]]-Table1[[#This Row],[extended quantity]]</f>
        <v>0</v>
      </c>
      <c r="U5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2" s="51">
        <f>IFERROR(Table1[[#This Row],[Quantity  to  purchase]]*(Table1[[#This Row],[Cost ]]+Table1[[#This Row],[shipping]]+Table1[[#This Row],[Tax]]),0)</f>
        <v>0</v>
      </c>
      <c r="W542" s="36">
        <f>IFERROR(Table1[[#This Row],[leftover material]]*(Table1[[#This Row],[Cost ]]+Table1[[#This Row],[shipping]]+Table1[[#This Row],[Tax]]),0)</f>
        <v>0</v>
      </c>
      <c r="X542" s="36"/>
      <c r="Y542" s="84"/>
      <c r="Z542" s="84"/>
      <c r="AA542" s="84"/>
      <c r="AB542" s="36"/>
      <c r="AC542" s="36">
        <f>IF(ISNA(VLOOKUP(Table1[[#This Row],[Part Number]],'Multi-level BOM'!V$4:V$449,1,FALSE)),0,Table1[[#This Row],[Remaining Extended cost]])</f>
        <v>0</v>
      </c>
    </row>
    <row r="543" spans="1:29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80" t="str">
        <f>IF(Table1[[#This Row],[Buy-now costs]]&gt;0,"X","")</f>
        <v/>
      </c>
      <c r="M543" s="80"/>
      <c r="N543" s="80"/>
      <c r="O543" s="40">
        <v>0</v>
      </c>
      <c r="P543" s="94">
        <f>Table1[[#This Row],[quantity on-hand]]*(Table1[[#This Row],[Cost ]]+Table1[[#This Row],[shipping]]+Table1[[#This Row],[Tax]])</f>
        <v>0</v>
      </c>
      <c r="Q543" s="40">
        <v>0</v>
      </c>
      <c r="R543" s="92">
        <f>Table1[[#This Row],[Quantity on order]]*(Table1[[#This Row],[Cost ]]+Table1[[#This Row],[shipping]]+Table1[[#This Row],[Tax]])</f>
        <v>0</v>
      </c>
      <c r="S5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3" s="49">
        <f>Table1[[#This Row],[Quantity  to  purchase]]+Table1[[#This Row],[Quantity purchased]]+Table1[[#This Row],[Quantity on order]]+Table1[[#This Row],[Quantity donated]]-Table1[[#This Row],[extended quantity]]</f>
        <v>0</v>
      </c>
      <c r="U5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3" s="51">
        <f>IFERROR(Table1[[#This Row],[Quantity  to  purchase]]*(Table1[[#This Row],[Cost ]]+Table1[[#This Row],[shipping]]+Table1[[#This Row],[Tax]]),0)</f>
        <v>0</v>
      </c>
      <c r="W543" s="36">
        <f>IFERROR(Table1[[#This Row],[leftover material]]*(Table1[[#This Row],[Cost ]]+Table1[[#This Row],[shipping]]+Table1[[#This Row],[Tax]]),0)</f>
        <v>0</v>
      </c>
      <c r="X543" s="36"/>
      <c r="Y543" s="84"/>
      <c r="Z543" s="84"/>
      <c r="AA543" s="84"/>
      <c r="AB543" s="36"/>
      <c r="AC543" s="36">
        <f>IF(ISNA(VLOOKUP(Table1[[#This Row],[Part Number]],'Multi-level BOM'!V$4:V$449,1,FALSE)),0,Table1[[#This Row],[Remaining Extended cost]])</f>
        <v>0</v>
      </c>
    </row>
    <row r="544" spans="1:29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80" t="str">
        <f>IF(Table1[[#This Row],[Buy-now costs]]&gt;0,"X","")</f>
        <v/>
      </c>
      <c r="M544" s="80"/>
      <c r="N544" s="80"/>
      <c r="O544" s="40">
        <v>0</v>
      </c>
      <c r="P544" s="94">
        <f>Table1[[#This Row],[quantity on-hand]]*(Table1[[#This Row],[Cost ]]+Table1[[#This Row],[shipping]]+Table1[[#This Row],[Tax]])</f>
        <v>0</v>
      </c>
      <c r="Q544" s="40">
        <v>0</v>
      </c>
      <c r="R544" s="92">
        <f>Table1[[#This Row],[Quantity on order]]*(Table1[[#This Row],[Cost ]]+Table1[[#This Row],[shipping]]+Table1[[#This Row],[Tax]])</f>
        <v>0</v>
      </c>
      <c r="S5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4" s="49">
        <f>Table1[[#This Row],[Quantity  to  purchase]]+Table1[[#This Row],[Quantity purchased]]+Table1[[#This Row],[Quantity on order]]+Table1[[#This Row],[Quantity donated]]-Table1[[#This Row],[extended quantity]]</f>
        <v>0</v>
      </c>
      <c r="U5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4" s="51">
        <f>IFERROR(Table1[[#This Row],[Quantity  to  purchase]]*(Table1[[#This Row],[Cost ]]+Table1[[#This Row],[shipping]]+Table1[[#This Row],[Tax]]),0)</f>
        <v>0</v>
      </c>
      <c r="W544" s="36">
        <f>IFERROR(Table1[[#This Row],[leftover material]]*(Table1[[#This Row],[Cost ]]+Table1[[#This Row],[shipping]]+Table1[[#This Row],[Tax]]),0)</f>
        <v>0</v>
      </c>
      <c r="X544" s="36"/>
      <c r="Y544" s="84"/>
      <c r="Z544" s="84"/>
      <c r="AA544" s="84"/>
      <c r="AB544" s="36"/>
      <c r="AC544" s="36">
        <f>IF(ISNA(VLOOKUP(Table1[[#This Row],[Part Number]],'Multi-level BOM'!V$4:V$449,1,FALSE)),0,Table1[[#This Row],[Remaining Extended cost]])</f>
        <v>0</v>
      </c>
    </row>
    <row r="545" spans="1:29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80" t="str">
        <f>IF(Table1[[#This Row],[Buy-now costs]]&gt;0,"X","")</f>
        <v/>
      </c>
      <c r="M545" s="80"/>
      <c r="N545" s="80"/>
      <c r="O545" s="40">
        <v>0</v>
      </c>
      <c r="P545" s="94">
        <f>Table1[[#This Row],[quantity on-hand]]*(Table1[[#This Row],[Cost ]]+Table1[[#This Row],[shipping]]+Table1[[#This Row],[Tax]])</f>
        <v>0</v>
      </c>
      <c r="Q545" s="40">
        <v>0</v>
      </c>
      <c r="R545" s="92">
        <f>Table1[[#This Row],[Quantity on order]]*(Table1[[#This Row],[Cost ]]+Table1[[#This Row],[shipping]]+Table1[[#This Row],[Tax]])</f>
        <v>0</v>
      </c>
      <c r="S5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5" s="49">
        <f>Table1[[#This Row],[Quantity  to  purchase]]+Table1[[#This Row],[Quantity purchased]]+Table1[[#This Row],[Quantity on order]]+Table1[[#This Row],[Quantity donated]]-Table1[[#This Row],[extended quantity]]</f>
        <v>0</v>
      </c>
      <c r="U5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5" s="51">
        <f>IFERROR(Table1[[#This Row],[Quantity  to  purchase]]*(Table1[[#This Row],[Cost ]]+Table1[[#This Row],[shipping]]+Table1[[#This Row],[Tax]]),0)</f>
        <v>0</v>
      </c>
      <c r="W545" s="36">
        <f>IFERROR(Table1[[#This Row],[leftover material]]*(Table1[[#This Row],[Cost ]]+Table1[[#This Row],[shipping]]+Table1[[#This Row],[Tax]]),0)</f>
        <v>0</v>
      </c>
      <c r="X545" s="36"/>
      <c r="Y545" s="84"/>
      <c r="Z545" s="84"/>
      <c r="AA545" s="84"/>
      <c r="AB545" s="36"/>
      <c r="AC545" s="36">
        <f>IF(ISNA(VLOOKUP(Table1[[#This Row],[Part Number]],'Multi-level BOM'!V$4:V$449,1,FALSE)),0,Table1[[#This Row],[Remaining Extended cost]])</f>
        <v>0</v>
      </c>
    </row>
    <row r="546" spans="1:29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80" t="str">
        <f>IF(Table1[[#This Row],[Buy-now costs]]&gt;0,"X","")</f>
        <v/>
      </c>
      <c r="M546" s="80"/>
      <c r="N546" s="80"/>
      <c r="O546" s="40">
        <v>0</v>
      </c>
      <c r="P546" s="94">
        <f>Table1[[#This Row],[quantity on-hand]]*(Table1[[#This Row],[Cost ]]+Table1[[#This Row],[shipping]]+Table1[[#This Row],[Tax]])</f>
        <v>0</v>
      </c>
      <c r="Q546" s="40">
        <v>0</v>
      </c>
      <c r="R546" s="92">
        <f>Table1[[#This Row],[Quantity on order]]*(Table1[[#This Row],[Cost ]]+Table1[[#This Row],[shipping]]+Table1[[#This Row],[Tax]])</f>
        <v>0</v>
      </c>
      <c r="S5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6" s="49">
        <f>Table1[[#This Row],[Quantity  to  purchase]]+Table1[[#This Row],[Quantity purchased]]+Table1[[#This Row],[Quantity on order]]+Table1[[#This Row],[Quantity donated]]-Table1[[#This Row],[extended quantity]]</f>
        <v>0</v>
      </c>
      <c r="U5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6" s="51">
        <f>IFERROR(Table1[[#This Row],[Quantity  to  purchase]]*(Table1[[#This Row],[Cost ]]+Table1[[#This Row],[shipping]]+Table1[[#This Row],[Tax]]),0)</f>
        <v>0</v>
      </c>
      <c r="W546" s="36">
        <f>IFERROR(Table1[[#This Row],[leftover material]]*(Table1[[#This Row],[Cost ]]+Table1[[#This Row],[shipping]]+Table1[[#This Row],[Tax]]),0)</f>
        <v>0</v>
      </c>
      <c r="X546" s="36"/>
      <c r="Y546" s="84"/>
      <c r="Z546" s="84"/>
      <c r="AA546" s="84"/>
      <c r="AB546" s="36"/>
      <c r="AC546" s="36">
        <f>IF(ISNA(VLOOKUP(Table1[[#This Row],[Part Number]],'Multi-level BOM'!V$4:V$449,1,FALSE)),0,Table1[[#This Row],[Remaining Extended cost]])</f>
        <v>0</v>
      </c>
    </row>
    <row r="547" spans="1:29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80" t="str">
        <f>IF(Table1[[#This Row],[Buy-now costs]]&gt;0,"X","")</f>
        <v/>
      </c>
      <c r="M547" s="80"/>
      <c r="N547" s="80"/>
      <c r="O547" s="40">
        <v>0</v>
      </c>
      <c r="P547" s="94">
        <f>Table1[[#This Row],[quantity on-hand]]*(Table1[[#This Row],[Cost ]]+Table1[[#This Row],[shipping]]+Table1[[#This Row],[Tax]])</f>
        <v>0</v>
      </c>
      <c r="Q547" s="40">
        <v>0</v>
      </c>
      <c r="R547" s="92">
        <f>Table1[[#This Row],[Quantity on order]]*(Table1[[#This Row],[Cost ]]+Table1[[#This Row],[shipping]]+Table1[[#This Row],[Tax]])</f>
        <v>0</v>
      </c>
      <c r="S5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7" s="49">
        <f>Table1[[#This Row],[Quantity  to  purchase]]+Table1[[#This Row],[Quantity purchased]]+Table1[[#This Row],[Quantity on order]]+Table1[[#This Row],[Quantity donated]]-Table1[[#This Row],[extended quantity]]</f>
        <v>0</v>
      </c>
      <c r="U5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7" s="51">
        <f>IFERROR(Table1[[#This Row],[Quantity  to  purchase]]*(Table1[[#This Row],[Cost ]]+Table1[[#This Row],[shipping]]+Table1[[#This Row],[Tax]]),0)</f>
        <v>0</v>
      </c>
      <c r="W547" s="36">
        <f>IFERROR(Table1[[#This Row],[leftover material]]*(Table1[[#This Row],[Cost ]]+Table1[[#This Row],[shipping]]+Table1[[#This Row],[Tax]]),0)</f>
        <v>0</v>
      </c>
      <c r="X547" s="36"/>
      <c r="Y547" s="84"/>
      <c r="Z547" s="84"/>
      <c r="AA547" s="84"/>
      <c r="AB547" s="36"/>
      <c r="AC547" s="36">
        <f>IF(ISNA(VLOOKUP(Table1[[#This Row],[Part Number]],'Multi-level BOM'!V$4:V$449,1,FALSE)),0,Table1[[#This Row],[Remaining Extended cost]])</f>
        <v>0</v>
      </c>
    </row>
    <row r="548" spans="1:29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80" t="str">
        <f>IF(Table1[[#This Row],[Buy-now costs]]&gt;0,"X","")</f>
        <v/>
      </c>
      <c r="M548" s="80"/>
      <c r="N548" s="80"/>
      <c r="O548" s="40">
        <v>0</v>
      </c>
      <c r="P548" s="94">
        <f>Table1[[#This Row],[quantity on-hand]]*(Table1[[#This Row],[Cost ]]+Table1[[#This Row],[shipping]]+Table1[[#This Row],[Tax]])</f>
        <v>0</v>
      </c>
      <c r="Q548" s="40">
        <v>0</v>
      </c>
      <c r="R548" s="92">
        <f>Table1[[#This Row],[Quantity on order]]*(Table1[[#This Row],[Cost ]]+Table1[[#This Row],[shipping]]+Table1[[#This Row],[Tax]])</f>
        <v>0</v>
      </c>
      <c r="S5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8" s="49">
        <f>Table1[[#This Row],[Quantity  to  purchase]]+Table1[[#This Row],[Quantity purchased]]+Table1[[#This Row],[Quantity on order]]+Table1[[#This Row],[Quantity donated]]-Table1[[#This Row],[extended quantity]]</f>
        <v>0</v>
      </c>
      <c r="U5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8" s="51">
        <f>IFERROR(Table1[[#This Row],[Quantity  to  purchase]]*(Table1[[#This Row],[Cost ]]+Table1[[#This Row],[shipping]]+Table1[[#This Row],[Tax]]),0)</f>
        <v>0</v>
      </c>
      <c r="W548" s="36">
        <f>IFERROR(Table1[[#This Row],[leftover material]]*(Table1[[#This Row],[Cost ]]+Table1[[#This Row],[shipping]]+Table1[[#This Row],[Tax]]),0)</f>
        <v>0</v>
      </c>
      <c r="X548" s="36"/>
      <c r="Y548" s="84"/>
      <c r="Z548" s="84"/>
      <c r="AA548" s="84"/>
      <c r="AB548" s="36"/>
      <c r="AC548" s="36">
        <f>IF(ISNA(VLOOKUP(Table1[[#This Row],[Part Number]],'Multi-level BOM'!V$4:V$449,1,FALSE)),0,Table1[[#This Row],[Remaining Extended cost]])</f>
        <v>0</v>
      </c>
    </row>
    <row r="549" spans="1:29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80" t="str">
        <f>IF(Table1[[#This Row],[Buy-now costs]]&gt;0,"X","")</f>
        <v/>
      </c>
      <c r="M549" s="80"/>
      <c r="N549" s="80"/>
      <c r="O549" s="40">
        <v>0</v>
      </c>
      <c r="P549" s="94">
        <f>Table1[[#This Row],[quantity on-hand]]*(Table1[[#This Row],[Cost ]]+Table1[[#This Row],[shipping]]+Table1[[#This Row],[Tax]])</f>
        <v>0</v>
      </c>
      <c r="Q549" s="40">
        <v>0</v>
      </c>
      <c r="R549" s="92">
        <f>Table1[[#This Row],[Quantity on order]]*(Table1[[#This Row],[Cost ]]+Table1[[#This Row],[shipping]]+Table1[[#This Row],[Tax]])</f>
        <v>0</v>
      </c>
      <c r="S5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9" s="49">
        <f>Table1[[#This Row],[Quantity  to  purchase]]+Table1[[#This Row],[Quantity purchased]]+Table1[[#This Row],[Quantity on order]]+Table1[[#This Row],[Quantity donated]]-Table1[[#This Row],[extended quantity]]</f>
        <v>0</v>
      </c>
      <c r="U5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9" s="51">
        <f>IFERROR(Table1[[#This Row],[Quantity  to  purchase]]*(Table1[[#This Row],[Cost ]]+Table1[[#This Row],[shipping]]+Table1[[#This Row],[Tax]]),0)</f>
        <v>0</v>
      </c>
      <c r="W549" s="36">
        <f>IFERROR(Table1[[#This Row],[leftover material]]*(Table1[[#This Row],[Cost ]]+Table1[[#This Row],[shipping]]+Table1[[#This Row],[Tax]]),0)</f>
        <v>0</v>
      </c>
      <c r="X549" s="36"/>
      <c r="Y549" s="84"/>
      <c r="Z549" s="84"/>
      <c r="AA549" s="84"/>
      <c r="AB549" s="36"/>
      <c r="AC549" s="36">
        <f>IF(ISNA(VLOOKUP(Table1[[#This Row],[Part Number]],'Multi-level BOM'!V$4:V$449,1,FALSE)),0,Table1[[#This Row],[Remaining Extended cost]])</f>
        <v>0</v>
      </c>
    </row>
    <row r="550" spans="1:29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80" t="str">
        <f>IF(Table1[[#This Row],[Buy-now costs]]&gt;0,"X","")</f>
        <v/>
      </c>
      <c r="M550" s="80"/>
      <c r="N550" s="80"/>
      <c r="O550" s="40">
        <v>0</v>
      </c>
      <c r="P550" s="94">
        <f>Table1[[#This Row],[quantity on-hand]]*(Table1[[#This Row],[Cost ]]+Table1[[#This Row],[shipping]]+Table1[[#This Row],[Tax]])</f>
        <v>0</v>
      </c>
      <c r="Q550" s="40">
        <v>0</v>
      </c>
      <c r="R550" s="92">
        <f>Table1[[#This Row],[Quantity on order]]*(Table1[[#This Row],[Cost ]]+Table1[[#This Row],[shipping]]+Table1[[#This Row],[Tax]])</f>
        <v>0</v>
      </c>
      <c r="S5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0" s="49">
        <f>Table1[[#This Row],[Quantity  to  purchase]]+Table1[[#This Row],[Quantity purchased]]+Table1[[#This Row],[Quantity on order]]+Table1[[#This Row],[Quantity donated]]-Table1[[#This Row],[extended quantity]]</f>
        <v>0</v>
      </c>
      <c r="U5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0" s="51">
        <f>IFERROR(Table1[[#This Row],[Quantity  to  purchase]]*(Table1[[#This Row],[Cost ]]+Table1[[#This Row],[shipping]]+Table1[[#This Row],[Tax]]),0)</f>
        <v>0</v>
      </c>
      <c r="W550" s="36">
        <f>IFERROR(Table1[[#This Row],[leftover material]]*(Table1[[#This Row],[Cost ]]+Table1[[#This Row],[shipping]]+Table1[[#This Row],[Tax]]),0)</f>
        <v>0</v>
      </c>
      <c r="X550" s="36"/>
      <c r="Y550" s="84"/>
      <c r="Z550" s="84"/>
      <c r="AA550" s="84"/>
      <c r="AB550" s="36"/>
      <c r="AC550" s="36">
        <f>IF(ISNA(VLOOKUP(Table1[[#This Row],[Part Number]],'Multi-level BOM'!V$4:V$449,1,FALSE)),0,Table1[[#This Row],[Remaining Extended cost]])</f>
        <v>0</v>
      </c>
    </row>
    <row r="551" spans="1:29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80" t="str">
        <f>IF(Table1[[#This Row],[Buy-now costs]]&gt;0,"X","")</f>
        <v/>
      </c>
      <c r="M551" s="80"/>
      <c r="N551" s="80"/>
      <c r="O551" s="40">
        <v>0</v>
      </c>
      <c r="P551" s="94">
        <f>Table1[[#This Row],[quantity on-hand]]*(Table1[[#This Row],[Cost ]]+Table1[[#This Row],[shipping]]+Table1[[#This Row],[Tax]])</f>
        <v>0</v>
      </c>
      <c r="Q551" s="40">
        <v>0</v>
      </c>
      <c r="R551" s="92">
        <f>Table1[[#This Row],[Quantity on order]]*(Table1[[#This Row],[Cost ]]+Table1[[#This Row],[shipping]]+Table1[[#This Row],[Tax]])</f>
        <v>0</v>
      </c>
      <c r="S5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1" s="49">
        <f>Table1[[#This Row],[Quantity  to  purchase]]+Table1[[#This Row],[Quantity purchased]]+Table1[[#This Row],[Quantity on order]]+Table1[[#This Row],[Quantity donated]]-Table1[[#This Row],[extended quantity]]</f>
        <v>0</v>
      </c>
      <c r="U5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1" s="51">
        <f>IFERROR(Table1[[#This Row],[Quantity  to  purchase]]*(Table1[[#This Row],[Cost ]]+Table1[[#This Row],[shipping]]+Table1[[#This Row],[Tax]]),0)</f>
        <v>0</v>
      </c>
      <c r="W551" s="36">
        <f>IFERROR(Table1[[#This Row],[leftover material]]*(Table1[[#This Row],[Cost ]]+Table1[[#This Row],[shipping]]+Table1[[#This Row],[Tax]]),0)</f>
        <v>0</v>
      </c>
      <c r="X551" s="36"/>
      <c r="Y551" s="84"/>
      <c r="Z551" s="84"/>
      <c r="AA551" s="84"/>
      <c r="AB551" s="36"/>
      <c r="AC551" s="36">
        <f>IF(ISNA(VLOOKUP(Table1[[#This Row],[Part Number]],'Multi-level BOM'!V$4:V$449,1,FALSE)),0,Table1[[#This Row],[Remaining Extended cost]])</f>
        <v>0</v>
      </c>
    </row>
    <row r="552" spans="1:29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80" t="str">
        <f>IF(Table1[[#This Row],[Buy-now costs]]&gt;0,"X","")</f>
        <v/>
      </c>
      <c r="M552" s="80"/>
      <c r="N552" s="80"/>
      <c r="O552" s="40">
        <v>0</v>
      </c>
      <c r="P552" s="94">
        <f>Table1[[#This Row],[quantity on-hand]]*(Table1[[#This Row],[Cost ]]+Table1[[#This Row],[shipping]]+Table1[[#This Row],[Tax]])</f>
        <v>0</v>
      </c>
      <c r="Q552" s="40">
        <v>0</v>
      </c>
      <c r="R552" s="92">
        <f>Table1[[#This Row],[Quantity on order]]*(Table1[[#This Row],[Cost ]]+Table1[[#This Row],[shipping]]+Table1[[#This Row],[Tax]])</f>
        <v>0</v>
      </c>
      <c r="S5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2" s="49">
        <f>Table1[[#This Row],[Quantity  to  purchase]]+Table1[[#This Row],[Quantity purchased]]+Table1[[#This Row],[Quantity on order]]+Table1[[#This Row],[Quantity donated]]-Table1[[#This Row],[extended quantity]]</f>
        <v>0</v>
      </c>
      <c r="U5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2" s="51">
        <f>IFERROR(Table1[[#This Row],[Quantity  to  purchase]]*(Table1[[#This Row],[Cost ]]+Table1[[#This Row],[shipping]]+Table1[[#This Row],[Tax]]),0)</f>
        <v>0</v>
      </c>
      <c r="W552" s="36">
        <f>IFERROR(Table1[[#This Row],[leftover material]]*(Table1[[#This Row],[Cost ]]+Table1[[#This Row],[shipping]]+Table1[[#This Row],[Tax]]),0)</f>
        <v>0</v>
      </c>
      <c r="X552" s="36"/>
      <c r="Y552" s="84"/>
      <c r="Z552" s="84"/>
      <c r="AA552" s="84"/>
      <c r="AB552" s="36"/>
      <c r="AC552" s="36">
        <f>IF(ISNA(VLOOKUP(Table1[[#This Row],[Part Number]],'Multi-level BOM'!V$4:V$449,1,FALSE)),0,Table1[[#This Row],[Remaining Extended cost]])</f>
        <v>0</v>
      </c>
    </row>
    <row r="553" spans="1:29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80" t="str">
        <f>IF(Table1[[#This Row],[Buy-now costs]]&gt;0,"X","")</f>
        <v/>
      </c>
      <c r="M553" s="80"/>
      <c r="N553" s="80"/>
      <c r="O553" s="40">
        <v>0</v>
      </c>
      <c r="P553" s="94">
        <f>Table1[[#This Row],[quantity on-hand]]*(Table1[[#This Row],[Cost ]]+Table1[[#This Row],[shipping]]+Table1[[#This Row],[Tax]])</f>
        <v>0</v>
      </c>
      <c r="Q553" s="40">
        <v>0</v>
      </c>
      <c r="R553" s="92">
        <f>Table1[[#This Row],[Quantity on order]]*(Table1[[#This Row],[Cost ]]+Table1[[#This Row],[shipping]]+Table1[[#This Row],[Tax]])</f>
        <v>0</v>
      </c>
      <c r="S5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3" s="49">
        <f>Table1[[#This Row],[Quantity  to  purchase]]+Table1[[#This Row],[Quantity purchased]]+Table1[[#This Row],[Quantity on order]]+Table1[[#This Row],[Quantity donated]]-Table1[[#This Row],[extended quantity]]</f>
        <v>0</v>
      </c>
      <c r="U5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3" s="51">
        <f>IFERROR(Table1[[#This Row],[Quantity  to  purchase]]*(Table1[[#This Row],[Cost ]]+Table1[[#This Row],[shipping]]+Table1[[#This Row],[Tax]]),0)</f>
        <v>0</v>
      </c>
      <c r="W553" s="36">
        <f>IFERROR(Table1[[#This Row],[leftover material]]*(Table1[[#This Row],[Cost ]]+Table1[[#This Row],[shipping]]+Table1[[#This Row],[Tax]]),0)</f>
        <v>0</v>
      </c>
      <c r="X553" s="36"/>
      <c r="Y553" s="84"/>
      <c r="Z553" s="84"/>
      <c r="AA553" s="84"/>
      <c r="AB553" s="36"/>
      <c r="AC553" s="36">
        <f>IF(ISNA(VLOOKUP(Table1[[#This Row],[Part Number]],'Multi-level BOM'!V$4:V$449,1,FALSE)),0,Table1[[#This Row],[Remaining Extended cost]])</f>
        <v>0</v>
      </c>
    </row>
    <row r="554" spans="1:29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80" t="str">
        <f>IF(Table1[[#This Row],[Buy-now costs]]&gt;0,"X","")</f>
        <v/>
      </c>
      <c r="M554" s="80"/>
      <c r="N554" s="80"/>
      <c r="O554" s="40">
        <v>0</v>
      </c>
      <c r="P554" s="94">
        <f>Table1[[#This Row],[quantity on-hand]]*(Table1[[#This Row],[Cost ]]+Table1[[#This Row],[shipping]]+Table1[[#This Row],[Tax]])</f>
        <v>0</v>
      </c>
      <c r="Q554" s="40">
        <v>0</v>
      </c>
      <c r="R554" s="92">
        <f>Table1[[#This Row],[Quantity on order]]*(Table1[[#This Row],[Cost ]]+Table1[[#This Row],[shipping]]+Table1[[#This Row],[Tax]])</f>
        <v>0</v>
      </c>
      <c r="S5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4" s="49">
        <f>Table1[[#This Row],[Quantity  to  purchase]]+Table1[[#This Row],[Quantity purchased]]+Table1[[#This Row],[Quantity on order]]+Table1[[#This Row],[Quantity donated]]-Table1[[#This Row],[extended quantity]]</f>
        <v>0</v>
      </c>
      <c r="U5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4" s="51">
        <f>IFERROR(Table1[[#This Row],[Quantity  to  purchase]]*(Table1[[#This Row],[Cost ]]+Table1[[#This Row],[shipping]]+Table1[[#This Row],[Tax]]),0)</f>
        <v>0</v>
      </c>
      <c r="W554" s="36">
        <f>IFERROR(Table1[[#This Row],[leftover material]]*(Table1[[#This Row],[Cost ]]+Table1[[#This Row],[shipping]]+Table1[[#This Row],[Tax]]),0)</f>
        <v>0</v>
      </c>
      <c r="X554" s="36"/>
      <c r="Y554" s="84"/>
      <c r="Z554" s="84"/>
      <c r="AA554" s="84"/>
      <c r="AB554" s="36"/>
      <c r="AC554" s="36">
        <f>IF(ISNA(VLOOKUP(Table1[[#This Row],[Part Number]],'Multi-level BOM'!V$4:V$449,1,FALSE)),0,Table1[[#This Row],[Remaining Extended cost]])</f>
        <v>0</v>
      </c>
    </row>
    <row r="555" spans="1:29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80" t="str">
        <f>IF(Table1[[#This Row],[Buy-now costs]]&gt;0,"X","")</f>
        <v/>
      </c>
      <c r="M555" s="80"/>
      <c r="N555" s="80"/>
      <c r="O555" s="40">
        <v>0</v>
      </c>
      <c r="P555" s="94">
        <f>Table1[[#This Row],[quantity on-hand]]*(Table1[[#This Row],[Cost ]]+Table1[[#This Row],[shipping]]+Table1[[#This Row],[Tax]])</f>
        <v>0</v>
      </c>
      <c r="Q555" s="40">
        <v>0</v>
      </c>
      <c r="R555" s="92">
        <f>Table1[[#This Row],[Quantity on order]]*(Table1[[#This Row],[Cost ]]+Table1[[#This Row],[shipping]]+Table1[[#This Row],[Tax]])</f>
        <v>0</v>
      </c>
      <c r="S5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5" s="49">
        <f>Table1[[#This Row],[Quantity  to  purchase]]+Table1[[#This Row],[Quantity purchased]]+Table1[[#This Row],[Quantity on order]]+Table1[[#This Row],[Quantity donated]]-Table1[[#This Row],[extended quantity]]</f>
        <v>0</v>
      </c>
      <c r="U5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5" s="51">
        <f>IFERROR(Table1[[#This Row],[Quantity  to  purchase]]*(Table1[[#This Row],[Cost ]]+Table1[[#This Row],[shipping]]+Table1[[#This Row],[Tax]]),0)</f>
        <v>0</v>
      </c>
      <c r="W555" s="36">
        <f>IFERROR(Table1[[#This Row],[leftover material]]*(Table1[[#This Row],[Cost ]]+Table1[[#This Row],[shipping]]+Table1[[#This Row],[Tax]]),0)</f>
        <v>0</v>
      </c>
      <c r="X555" s="36"/>
      <c r="Y555" s="84"/>
      <c r="Z555" s="84"/>
      <c r="AA555" s="84"/>
      <c r="AB555" s="36"/>
      <c r="AC555" s="36">
        <f>IF(ISNA(VLOOKUP(Table1[[#This Row],[Part Number]],'Multi-level BOM'!V$4:V$449,1,FALSE)),0,Table1[[#This Row],[Remaining Extended cost]])</f>
        <v>0</v>
      </c>
    </row>
    <row r="556" spans="1:29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80" t="str">
        <f>IF(Table1[[#This Row],[Buy-now costs]]&gt;0,"X","")</f>
        <v/>
      </c>
      <c r="M556" s="80"/>
      <c r="N556" s="80"/>
      <c r="O556" s="40">
        <v>0</v>
      </c>
      <c r="P556" s="94">
        <f>Table1[[#This Row],[quantity on-hand]]*(Table1[[#This Row],[Cost ]]+Table1[[#This Row],[shipping]]+Table1[[#This Row],[Tax]])</f>
        <v>0</v>
      </c>
      <c r="Q556" s="40">
        <v>0</v>
      </c>
      <c r="R556" s="92">
        <f>Table1[[#This Row],[Quantity on order]]*(Table1[[#This Row],[Cost ]]+Table1[[#This Row],[shipping]]+Table1[[#This Row],[Tax]])</f>
        <v>0</v>
      </c>
      <c r="S5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6" s="49">
        <f>Table1[[#This Row],[Quantity  to  purchase]]+Table1[[#This Row],[Quantity purchased]]+Table1[[#This Row],[Quantity on order]]+Table1[[#This Row],[Quantity donated]]-Table1[[#This Row],[extended quantity]]</f>
        <v>0</v>
      </c>
      <c r="U5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6" s="51">
        <f>IFERROR(Table1[[#This Row],[Quantity  to  purchase]]*(Table1[[#This Row],[Cost ]]+Table1[[#This Row],[shipping]]+Table1[[#This Row],[Tax]]),0)</f>
        <v>0</v>
      </c>
      <c r="W556" s="36">
        <f>IFERROR(Table1[[#This Row],[leftover material]]*(Table1[[#This Row],[Cost ]]+Table1[[#This Row],[shipping]]+Table1[[#This Row],[Tax]]),0)</f>
        <v>0</v>
      </c>
      <c r="X556" s="36"/>
      <c r="Y556" s="84"/>
      <c r="Z556" s="84"/>
      <c r="AA556" s="84"/>
      <c r="AB556" s="36"/>
      <c r="AC556" s="36">
        <f>IF(ISNA(VLOOKUP(Table1[[#This Row],[Part Number]],'Multi-level BOM'!V$4:V$449,1,FALSE)),0,Table1[[#This Row],[Remaining Extended cost]])</f>
        <v>0</v>
      </c>
    </row>
    <row r="557" spans="1:29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80" t="str">
        <f>IF(Table1[[#This Row],[Buy-now costs]]&gt;0,"X","")</f>
        <v/>
      </c>
      <c r="M557" s="80"/>
      <c r="N557" s="80"/>
      <c r="O557" s="40">
        <v>0</v>
      </c>
      <c r="P557" s="94">
        <f>Table1[[#This Row],[quantity on-hand]]*(Table1[[#This Row],[Cost ]]+Table1[[#This Row],[shipping]]+Table1[[#This Row],[Tax]])</f>
        <v>0</v>
      </c>
      <c r="Q557" s="40">
        <v>0</v>
      </c>
      <c r="R557" s="92">
        <f>Table1[[#This Row],[Quantity on order]]*(Table1[[#This Row],[Cost ]]+Table1[[#This Row],[shipping]]+Table1[[#This Row],[Tax]])</f>
        <v>0</v>
      </c>
      <c r="S5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7" s="49">
        <f>Table1[[#This Row],[Quantity  to  purchase]]+Table1[[#This Row],[Quantity purchased]]+Table1[[#This Row],[Quantity on order]]+Table1[[#This Row],[Quantity donated]]-Table1[[#This Row],[extended quantity]]</f>
        <v>0</v>
      </c>
      <c r="U5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7" s="51">
        <f>IFERROR(Table1[[#This Row],[Quantity  to  purchase]]*(Table1[[#This Row],[Cost ]]+Table1[[#This Row],[shipping]]+Table1[[#This Row],[Tax]]),0)</f>
        <v>0</v>
      </c>
      <c r="W557" s="36">
        <f>IFERROR(Table1[[#This Row],[leftover material]]*(Table1[[#This Row],[Cost ]]+Table1[[#This Row],[shipping]]+Table1[[#This Row],[Tax]]),0)</f>
        <v>0</v>
      </c>
      <c r="X557" s="36"/>
      <c r="Y557" s="84"/>
      <c r="Z557" s="84"/>
      <c r="AA557" s="84"/>
      <c r="AB557" s="36"/>
      <c r="AC557" s="36">
        <f>IF(ISNA(VLOOKUP(Table1[[#This Row],[Part Number]],'Multi-level BOM'!V$4:V$449,1,FALSE)),0,Table1[[#This Row],[Remaining Extended cost]])</f>
        <v>0</v>
      </c>
    </row>
    <row r="558" spans="1:29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80" t="str">
        <f>IF(Table1[[#This Row],[Buy-now costs]]&gt;0,"X","")</f>
        <v/>
      </c>
      <c r="M558" s="80"/>
      <c r="N558" s="80"/>
      <c r="O558" s="40">
        <v>0</v>
      </c>
      <c r="P558" s="94">
        <f>Table1[[#This Row],[quantity on-hand]]*(Table1[[#This Row],[Cost ]]+Table1[[#This Row],[shipping]]+Table1[[#This Row],[Tax]])</f>
        <v>0</v>
      </c>
      <c r="Q558" s="40">
        <v>0</v>
      </c>
      <c r="R558" s="92">
        <f>Table1[[#This Row],[Quantity on order]]*(Table1[[#This Row],[Cost ]]+Table1[[#This Row],[shipping]]+Table1[[#This Row],[Tax]])</f>
        <v>0</v>
      </c>
      <c r="S5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8" s="49">
        <f>Table1[[#This Row],[Quantity  to  purchase]]+Table1[[#This Row],[Quantity purchased]]+Table1[[#This Row],[Quantity on order]]+Table1[[#This Row],[Quantity donated]]-Table1[[#This Row],[extended quantity]]</f>
        <v>0</v>
      </c>
      <c r="U5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8" s="51">
        <f>IFERROR(Table1[[#This Row],[Quantity  to  purchase]]*(Table1[[#This Row],[Cost ]]+Table1[[#This Row],[shipping]]+Table1[[#This Row],[Tax]]),0)</f>
        <v>0</v>
      </c>
      <c r="W558" s="36">
        <f>IFERROR(Table1[[#This Row],[leftover material]]*(Table1[[#This Row],[Cost ]]+Table1[[#This Row],[shipping]]+Table1[[#This Row],[Tax]]),0)</f>
        <v>0</v>
      </c>
      <c r="X558" s="36"/>
      <c r="Y558" s="84"/>
      <c r="Z558" s="84"/>
      <c r="AA558" s="84"/>
      <c r="AB558" s="36"/>
      <c r="AC558" s="36">
        <f>IF(ISNA(VLOOKUP(Table1[[#This Row],[Part Number]],'Multi-level BOM'!V$4:V$449,1,FALSE)),0,Table1[[#This Row],[Remaining Extended cost]])</f>
        <v>0</v>
      </c>
    </row>
    <row r="559" spans="1:29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80" t="str">
        <f>IF(Table1[[#This Row],[Buy-now costs]]&gt;0,"X","")</f>
        <v/>
      </c>
      <c r="M559" s="80"/>
      <c r="N559" s="80"/>
      <c r="O559" s="40">
        <v>0</v>
      </c>
      <c r="P559" s="94">
        <f>Table1[[#This Row],[quantity on-hand]]*(Table1[[#This Row],[Cost ]]+Table1[[#This Row],[shipping]]+Table1[[#This Row],[Tax]])</f>
        <v>0</v>
      </c>
      <c r="Q559" s="40">
        <v>0</v>
      </c>
      <c r="R559" s="92">
        <f>Table1[[#This Row],[Quantity on order]]*(Table1[[#This Row],[Cost ]]+Table1[[#This Row],[shipping]]+Table1[[#This Row],[Tax]])</f>
        <v>0</v>
      </c>
      <c r="S5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9" s="49">
        <f>Table1[[#This Row],[Quantity  to  purchase]]+Table1[[#This Row],[Quantity purchased]]+Table1[[#This Row],[Quantity on order]]+Table1[[#This Row],[Quantity donated]]-Table1[[#This Row],[extended quantity]]</f>
        <v>0</v>
      </c>
      <c r="U5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9" s="51">
        <f>IFERROR(Table1[[#This Row],[Quantity  to  purchase]]*(Table1[[#This Row],[Cost ]]+Table1[[#This Row],[shipping]]+Table1[[#This Row],[Tax]]),0)</f>
        <v>0</v>
      </c>
      <c r="W559" s="36">
        <f>IFERROR(Table1[[#This Row],[leftover material]]*(Table1[[#This Row],[Cost ]]+Table1[[#This Row],[shipping]]+Table1[[#This Row],[Tax]]),0)</f>
        <v>0</v>
      </c>
      <c r="X559" s="36"/>
      <c r="Y559" s="84"/>
      <c r="Z559" s="84"/>
      <c r="AA559" s="84"/>
      <c r="AB559" s="36"/>
      <c r="AC559" s="36">
        <f>IF(ISNA(VLOOKUP(Table1[[#This Row],[Part Number]],'Multi-level BOM'!V$4:V$449,1,FALSE)),0,Table1[[#This Row],[Remaining Extended cost]])</f>
        <v>0</v>
      </c>
    </row>
    <row r="560" spans="1:29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80" t="str">
        <f>IF(Table1[[#This Row],[Buy-now costs]]&gt;0,"X","")</f>
        <v/>
      </c>
      <c r="M560" s="80"/>
      <c r="N560" s="80"/>
      <c r="O560" s="40">
        <v>0</v>
      </c>
      <c r="P560" s="94">
        <f>Table1[[#This Row],[quantity on-hand]]*(Table1[[#This Row],[Cost ]]+Table1[[#This Row],[shipping]]+Table1[[#This Row],[Tax]])</f>
        <v>0</v>
      </c>
      <c r="Q560" s="40">
        <v>0</v>
      </c>
      <c r="R560" s="92">
        <f>Table1[[#This Row],[Quantity on order]]*(Table1[[#This Row],[Cost ]]+Table1[[#This Row],[shipping]]+Table1[[#This Row],[Tax]])</f>
        <v>0</v>
      </c>
      <c r="S5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0" s="49">
        <f>Table1[[#This Row],[Quantity  to  purchase]]+Table1[[#This Row],[Quantity purchased]]+Table1[[#This Row],[Quantity on order]]+Table1[[#This Row],[Quantity donated]]-Table1[[#This Row],[extended quantity]]</f>
        <v>0</v>
      </c>
      <c r="U5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0" s="51">
        <f>IFERROR(Table1[[#This Row],[Quantity  to  purchase]]*(Table1[[#This Row],[Cost ]]+Table1[[#This Row],[shipping]]+Table1[[#This Row],[Tax]]),0)</f>
        <v>0</v>
      </c>
      <c r="W560" s="36">
        <f>IFERROR(Table1[[#This Row],[leftover material]]*(Table1[[#This Row],[Cost ]]+Table1[[#This Row],[shipping]]+Table1[[#This Row],[Tax]]),0)</f>
        <v>0</v>
      </c>
      <c r="X560" s="36"/>
      <c r="Y560" s="84"/>
      <c r="Z560" s="84"/>
      <c r="AA560" s="84"/>
      <c r="AB560" s="36"/>
      <c r="AC560" s="36">
        <f>IF(ISNA(VLOOKUP(Table1[[#This Row],[Part Number]],'Multi-level BOM'!V$4:V$449,1,FALSE)),0,Table1[[#This Row],[Remaining Extended cost]])</f>
        <v>0</v>
      </c>
    </row>
    <row r="561" spans="1:29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80" t="str">
        <f>IF(Table1[[#This Row],[Buy-now costs]]&gt;0,"X","")</f>
        <v/>
      </c>
      <c r="M561" s="80"/>
      <c r="N561" s="80"/>
      <c r="O561" s="40">
        <v>0</v>
      </c>
      <c r="P561" s="94">
        <f>Table1[[#This Row],[quantity on-hand]]*(Table1[[#This Row],[Cost ]]+Table1[[#This Row],[shipping]]+Table1[[#This Row],[Tax]])</f>
        <v>0</v>
      </c>
      <c r="Q561" s="40">
        <v>0</v>
      </c>
      <c r="R561" s="92">
        <f>Table1[[#This Row],[Quantity on order]]*(Table1[[#This Row],[Cost ]]+Table1[[#This Row],[shipping]]+Table1[[#This Row],[Tax]])</f>
        <v>0</v>
      </c>
      <c r="S5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1" s="49">
        <f>Table1[[#This Row],[Quantity  to  purchase]]+Table1[[#This Row],[Quantity purchased]]+Table1[[#This Row],[Quantity on order]]+Table1[[#This Row],[Quantity donated]]-Table1[[#This Row],[extended quantity]]</f>
        <v>0</v>
      </c>
      <c r="U5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1" s="51">
        <f>IFERROR(Table1[[#This Row],[Quantity  to  purchase]]*(Table1[[#This Row],[Cost ]]+Table1[[#This Row],[shipping]]+Table1[[#This Row],[Tax]]),0)</f>
        <v>0</v>
      </c>
      <c r="W561" s="36">
        <f>IFERROR(Table1[[#This Row],[leftover material]]*(Table1[[#This Row],[Cost ]]+Table1[[#This Row],[shipping]]+Table1[[#This Row],[Tax]]),0)</f>
        <v>0</v>
      </c>
      <c r="X561" s="36"/>
      <c r="Y561" s="84"/>
      <c r="Z561" s="84"/>
      <c r="AA561" s="84"/>
      <c r="AB561" s="36"/>
      <c r="AC561" s="36">
        <f>IF(ISNA(VLOOKUP(Table1[[#This Row],[Part Number]],'Multi-level BOM'!V$4:V$449,1,FALSE)),0,Table1[[#This Row],[Remaining Extended cost]])</f>
        <v>0</v>
      </c>
    </row>
    <row r="562" spans="1:29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80" t="str">
        <f>IF(Table1[[#This Row],[Buy-now costs]]&gt;0,"X","")</f>
        <v/>
      </c>
      <c r="M562" s="80"/>
      <c r="N562" s="80"/>
      <c r="O562" s="40">
        <v>0</v>
      </c>
      <c r="P562" s="94">
        <f>Table1[[#This Row],[quantity on-hand]]*(Table1[[#This Row],[Cost ]]+Table1[[#This Row],[shipping]]+Table1[[#This Row],[Tax]])</f>
        <v>0</v>
      </c>
      <c r="Q562" s="40">
        <v>0</v>
      </c>
      <c r="R562" s="92">
        <f>Table1[[#This Row],[Quantity on order]]*(Table1[[#This Row],[Cost ]]+Table1[[#This Row],[shipping]]+Table1[[#This Row],[Tax]])</f>
        <v>0</v>
      </c>
      <c r="S5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2" s="49">
        <f>Table1[[#This Row],[Quantity  to  purchase]]+Table1[[#This Row],[Quantity purchased]]+Table1[[#This Row],[Quantity on order]]+Table1[[#This Row],[Quantity donated]]-Table1[[#This Row],[extended quantity]]</f>
        <v>0</v>
      </c>
      <c r="U5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2" s="51">
        <f>IFERROR(Table1[[#This Row],[Quantity  to  purchase]]*(Table1[[#This Row],[Cost ]]+Table1[[#This Row],[shipping]]+Table1[[#This Row],[Tax]]),0)</f>
        <v>0</v>
      </c>
      <c r="W562" s="36">
        <f>IFERROR(Table1[[#This Row],[leftover material]]*(Table1[[#This Row],[Cost ]]+Table1[[#This Row],[shipping]]+Table1[[#This Row],[Tax]]),0)</f>
        <v>0</v>
      </c>
      <c r="X562" s="36"/>
      <c r="Y562" s="84"/>
      <c r="Z562" s="84"/>
      <c r="AA562" s="84"/>
      <c r="AB562" s="36"/>
      <c r="AC562" s="36">
        <f>IF(ISNA(VLOOKUP(Table1[[#This Row],[Part Number]],'Multi-level BOM'!V$4:V$449,1,FALSE)),0,Table1[[#This Row],[Remaining Extended cost]])</f>
        <v>0</v>
      </c>
    </row>
    <row r="563" spans="1:29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80" t="str">
        <f>IF(Table1[[#This Row],[Buy-now costs]]&gt;0,"X","")</f>
        <v/>
      </c>
      <c r="M563" s="80"/>
      <c r="N563" s="80"/>
      <c r="O563" s="40">
        <v>0</v>
      </c>
      <c r="P563" s="94">
        <f>Table1[[#This Row],[quantity on-hand]]*(Table1[[#This Row],[Cost ]]+Table1[[#This Row],[shipping]]+Table1[[#This Row],[Tax]])</f>
        <v>0</v>
      </c>
      <c r="Q563" s="40">
        <v>0</v>
      </c>
      <c r="R563" s="92">
        <f>Table1[[#This Row],[Quantity on order]]*(Table1[[#This Row],[Cost ]]+Table1[[#This Row],[shipping]]+Table1[[#This Row],[Tax]])</f>
        <v>0</v>
      </c>
      <c r="S5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3" s="49">
        <f>Table1[[#This Row],[Quantity  to  purchase]]+Table1[[#This Row],[Quantity purchased]]+Table1[[#This Row],[Quantity on order]]+Table1[[#This Row],[Quantity donated]]-Table1[[#This Row],[extended quantity]]</f>
        <v>0</v>
      </c>
      <c r="U5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3" s="51">
        <f>IFERROR(Table1[[#This Row],[Quantity  to  purchase]]*(Table1[[#This Row],[Cost ]]+Table1[[#This Row],[shipping]]+Table1[[#This Row],[Tax]]),0)</f>
        <v>0</v>
      </c>
      <c r="W563" s="36">
        <f>IFERROR(Table1[[#This Row],[leftover material]]*(Table1[[#This Row],[Cost ]]+Table1[[#This Row],[shipping]]+Table1[[#This Row],[Tax]]),0)</f>
        <v>0</v>
      </c>
      <c r="X563" s="36"/>
      <c r="Y563" s="84"/>
      <c r="Z563" s="84"/>
      <c r="AA563" s="84"/>
      <c r="AB563" s="36"/>
      <c r="AC563" s="36">
        <f>IF(ISNA(VLOOKUP(Table1[[#This Row],[Part Number]],'Multi-level BOM'!V$4:V$449,1,FALSE)),0,Table1[[#This Row],[Remaining Extended cost]])</f>
        <v>0</v>
      </c>
    </row>
    <row r="564" spans="1:29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80" t="str">
        <f>IF(Table1[[#This Row],[Buy-now costs]]&gt;0,"X","")</f>
        <v/>
      </c>
      <c r="M564" s="80"/>
      <c r="N564" s="80"/>
      <c r="O564" s="40">
        <v>0</v>
      </c>
      <c r="P564" s="94">
        <f>Table1[[#This Row],[quantity on-hand]]*(Table1[[#This Row],[Cost ]]+Table1[[#This Row],[shipping]]+Table1[[#This Row],[Tax]])</f>
        <v>0</v>
      </c>
      <c r="Q564" s="40">
        <v>0</v>
      </c>
      <c r="R564" s="92">
        <f>Table1[[#This Row],[Quantity on order]]*(Table1[[#This Row],[Cost ]]+Table1[[#This Row],[shipping]]+Table1[[#This Row],[Tax]])</f>
        <v>0</v>
      </c>
      <c r="S5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4" s="49">
        <f>Table1[[#This Row],[Quantity  to  purchase]]+Table1[[#This Row],[Quantity purchased]]+Table1[[#This Row],[Quantity on order]]+Table1[[#This Row],[Quantity donated]]-Table1[[#This Row],[extended quantity]]</f>
        <v>0</v>
      </c>
      <c r="U5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4" s="51">
        <f>IFERROR(Table1[[#This Row],[Quantity  to  purchase]]*(Table1[[#This Row],[Cost ]]+Table1[[#This Row],[shipping]]+Table1[[#This Row],[Tax]]),0)</f>
        <v>0</v>
      </c>
      <c r="W564" s="36">
        <f>IFERROR(Table1[[#This Row],[leftover material]]*(Table1[[#This Row],[Cost ]]+Table1[[#This Row],[shipping]]+Table1[[#This Row],[Tax]]),0)</f>
        <v>0</v>
      </c>
      <c r="X564" s="36"/>
      <c r="Y564" s="84"/>
      <c r="Z564" s="84"/>
      <c r="AA564" s="84"/>
      <c r="AB564" s="36"/>
      <c r="AC564" s="36">
        <f>IF(ISNA(VLOOKUP(Table1[[#This Row],[Part Number]],'Multi-level BOM'!V$4:V$449,1,FALSE)),0,Table1[[#This Row],[Remaining Extended cost]])</f>
        <v>0</v>
      </c>
    </row>
    <row r="565" spans="1:29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80" t="str">
        <f>IF(Table1[[#This Row],[Buy-now costs]]&gt;0,"X","")</f>
        <v/>
      </c>
      <c r="M565" s="80"/>
      <c r="N565" s="80"/>
      <c r="O565" s="40">
        <v>0</v>
      </c>
      <c r="P565" s="94">
        <f>Table1[[#This Row],[quantity on-hand]]*(Table1[[#This Row],[Cost ]]+Table1[[#This Row],[shipping]]+Table1[[#This Row],[Tax]])</f>
        <v>0</v>
      </c>
      <c r="Q565" s="40">
        <v>0</v>
      </c>
      <c r="R565" s="92">
        <f>Table1[[#This Row],[Quantity on order]]*(Table1[[#This Row],[Cost ]]+Table1[[#This Row],[shipping]]+Table1[[#This Row],[Tax]])</f>
        <v>0</v>
      </c>
      <c r="S5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5" s="49">
        <f>Table1[[#This Row],[Quantity  to  purchase]]+Table1[[#This Row],[Quantity purchased]]+Table1[[#This Row],[Quantity on order]]+Table1[[#This Row],[Quantity donated]]-Table1[[#This Row],[extended quantity]]</f>
        <v>0</v>
      </c>
      <c r="U5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5" s="51">
        <f>IFERROR(Table1[[#This Row],[Quantity  to  purchase]]*(Table1[[#This Row],[Cost ]]+Table1[[#This Row],[shipping]]+Table1[[#This Row],[Tax]]),0)</f>
        <v>0</v>
      </c>
      <c r="W565" s="36">
        <f>IFERROR(Table1[[#This Row],[leftover material]]*(Table1[[#This Row],[Cost ]]+Table1[[#This Row],[shipping]]+Table1[[#This Row],[Tax]]),0)</f>
        <v>0</v>
      </c>
      <c r="X565" s="36"/>
      <c r="Y565" s="84"/>
      <c r="Z565" s="84"/>
      <c r="AA565" s="84"/>
      <c r="AB565" s="36"/>
      <c r="AC565" s="36">
        <f>IF(ISNA(VLOOKUP(Table1[[#This Row],[Part Number]],'Multi-level BOM'!V$4:V$449,1,FALSE)),0,Table1[[#This Row],[Remaining Extended cost]])</f>
        <v>0</v>
      </c>
    </row>
    <row r="566" spans="1:29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80" t="str">
        <f>IF(Table1[[#This Row],[Buy-now costs]]&gt;0,"X","")</f>
        <v/>
      </c>
      <c r="M566" s="80"/>
      <c r="N566" s="80"/>
      <c r="O566" s="40">
        <v>0</v>
      </c>
      <c r="P566" s="94">
        <f>Table1[[#This Row],[quantity on-hand]]*(Table1[[#This Row],[Cost ]]+Table1[[#This Row],[shipping]]+Table1[[#This Row],[Tax]])</f>
        <v>0</v>
      </c>
      <c r="Q566" s="40">
        <v>0</v>
      </c>
      <c r="R566" s="92">
        <f>Table1[[#This Row],[Quantity on order]]*(Table1[[#This Row],[Cost ]]+Table1[[#This Row],[shipping]]+Table1[[#This Row],[Tax]])</f>
        <v>0</v>
      </c>
      <c r="S5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6" s="49">
        <f>Table1[[#This Row],[Quantity  to  purchase]]+Table1[[#This Row],[Quantity purchased]]+Table1[[#This Row],[Quantity on order]]+Table1[[#This Row],[Quantity donated]]-Table1[[#This Row],[extended quantity]]</f>
        <v>0</v>
      </c>
      <c r="U5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6" s="51">
        <f>IFERROR(Table1[[#This Row],[Quantity  to  purchase]]*(Table1[[#This Row],[Cost ]]+Table1[[#This Row],[shipping]]+Table1[[#This Row],[Tax]]),0)</f>
        <v>0</v>
      </c>
      <c r="W566" s="36">
        <f>IFERROR(Table1[[#This Row],[leftover material]]*(Table1[[#This Row],[Cost ]]+Table1[[#This Row],[shipping]]+Table1[[#This Row],[Tax]]),0)</f>
        <v>0</v>
      </c>
      <c r="X566" s="36"/>
      <c r="Y566" s="84"/>
      <c r="Z566" s="84"/>
      <c r="AA566" s="84"/>
      <c r="AB566" s="36"/>
      <c r="AC566" s="36">
        <f>IF(ISNA(VLOOKUP(Table1[[#This Row],[Part Number]],'Multi-level BOM'!V$4:V$449,1,FALSE)),0,Table1[[#This Row],[Remaining Extended cost]])</f>
        <v>0</v>
      </c>
    </row>
    <row r="567" spans="1:29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80" t="str">
        <f>IF(Table1[[#This Row],[Buy-now costs]]&gt;0,"X","")</f>
        <v/>
      </c>
      <c r="M567" s="80"/>
      <c r="N567" s="80"/>
      <c r="O567" s="40">
        <v>0</v>
      </c>
      <c r="P567" s="94">
        <f>Table1[[#This Row],[quantity on-hand]]*(Table1[[#This Row],[Cost ]]+Table1[[#This Row],[shipping]]+Table1[[#This Row],[Tax]])</f>
        <v>0</v>
      </c>
      <c r="Q567" s="40">
        <v>0</v>
      </c>
      <c r="R567" s="92">
        <f>Table1[[#This Row],[Quantity on order]]*(Table1[[#This Row],[Cost ]]+Table1[[#This Row],[shipping]]+Table1[[#This Row],[Tax]])</f>
        <v>0</v>
      </c>
      <c r="S5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7" s="49">
        <f>Table1[[#This Row],[Quantity  to  purchase]]+Table1[[#This Row],[Quantity purchased]]+Table1[[#This Row],[Quantity on order]]+Table1[[#This Row],[Quantity donated]]-Table1[[#This Row],[extended quantity]]</f>
        <v>0</v>
      </c>
      <c r="U5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7" s="51">
        <f>IFERROR(Table1[[#This Row],[Quantity  to  purchase]]*(Table1[[#This Row],[Cost ]]+Table1[[#This Row],[shipping]]+Table1[[#This Row],[Tax]]),0)</f>
        <v>0</v>
      </c>
      <c r="W567" s="36">
        <f>IFERROR(Table1[[#This Row],[leftover material]]*(Table1[[#This Row],[Cost ]]+Table1[[#This Row],[shipping]]+Table1[[#This Row],[Tax]]),0)</f>
        <v>0</v>
      </c>
      <c r="X567" s="36"/>
      <c r="Y567" s="84"/>
      <c r="Z567" s="84"/>
      <c r="AA567" s="84"/>
      <c r="AB567" s="36"/>
      <c r="AC567" s="36">
        <f>IF(ISNA(VLOOKUP(Table1[[#This Row],[Part Number]],'Multi-level BOM'!V$4:V$449,1,FALSE)),0,Table1[[#This Row],[Remaining Extended cost]])</f>
        <v>0</v>
      </c>
    </row>
    <row r="568" spans="1:29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80" t="str">
        <f>IF(Table1[[#This Row],[Buy-now costs]]&gt;0,"X","")</f>
        <v/>
      </c>
      <c r="M568" s="80"/>
      <c r="N568" s="80"/>
      <c r="O568" s="40">
        <v>0</v>
      </c>
      <c r="P568" s="94">
        <f>Table1[[#This Row],[quantity on-hand]]*(Table1[[#This Row],[Cost ]]+Table1[[#This Row],[shipping]]+Table1[[#This Row],[Tax]])</f>
        <v>0</v>
      </c>
      <c r="Q568" s="40">
        <v>0</v>
      </c>
      <c r="R568" s="92">
        <f>Table1[[#This Row],[Quantity on order]]*(Table1[[#This Row],[Cost ]]+Table1[[#This Row],[shipping]]+Table1[[#This Row],[Tax]])</f>
        <v>0</v>
      </c>
      <c r="S5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8" s="49">
        <f>Table1[[#This Row],[Quantity  to  purchase]]+Table1[[#This Row],[Quantity purchased]]+Table1[[#This Row],[Quantity on order]]+Table1[[#This Row],[Quantity donated]]-Table1[[#This Row],[extended quantity]]</f>
        <v>0</v>
      </c>
      <c r="U5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8" s="51">
        <f>IFERROR(Table1[[#This Row],[Quantity  to  purchase]]*(Table1[[#This Row],[Cost ]]+Table1[[#This Row],[shipping]]+Table1[[#This Row],[Tax]]),0)</f>
        <v>0</v>
      </c>
      <c r="W568" s="36">
        <f>IFERROR(Table1[[#This Row],[leftover material]]*(Table1[[#This Row],[Cost ]]+Table1[[#This Row],[shipping]]+Table1[[#This Row],[Tax]]),0)</f>
        <v>0</v>
      </c>
      <c r="X568" s="36"/>
      <c r="Y568" s="84"/>
      <c r="Z568" s="84"/>
      <c r="AA568" s="84"/>
      <c r="AB568" s="36"/>
      <c r="AC568" s="36">
        <f>IF(ISNA(VLOOKUP(Table1[[#This Row],[Part Number]],'Multi-level BOM'!V$4:V$449,1,FALSE)),0,Table1[[#This Row],[Remaining Extended cost]])</f>
        <v>0</v>
      </c>
    </row>
    <row r="569" spans="1:29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80" t="str">
        <f>IF(Table1[[#This Row],[Buy-now costs]]&gt;0,"X","")</f>
        <v/>
      </c>
      <c r="M569" s="80"/>
      <c r="N569" s="80"/>
      <c r="O569" s="40">
        <v>0</v>
      </c>
      <c r="P569" s="94">
        <f>Table1[[#This Row],[quantity on-hand]]*(Table1[[#This Row],[Cost ]]+Table1[[#This Row],[shipping]]+Table1[[#This Row],[Tax]])</f>
        <v>0</v>
      </c>
      <c r="Q569" s="40">
        <v>0</v>
      </c>
      <c r="R569" s="92">
        <f>Table1[[#This Row],[Quantity on order]]*(Table1[[#This Row],[Cost ]]+Table1[[#This Row],[shipping]]+Table1[[#This Row],[Tax]])</f>
        <v>0</v>
      </c>
      <c r="S5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9" s="49">
        <f>Table1[[#This Row],[Quantity  to  purchase]]+Table1[[#This Row],[Quantity purchased]]+Table1[[#This Row],[Quantity on order]]+Table1[[#This Row],[Quantity donated]]-Table1[[#This Row],[extended quantity]]</f>
        <v>0</v>
      </c>
      <c r="U5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9" s="51">
        <f>IFERROR(Table1[[#This Row],[Quantity  to  purchase]]*(Table1[[#This Row],[Cost ]]+Table1[[#This Row],[shipping]]+Table1[[#This Row],[Tax]]),0)</f>
        <v>0</v>
      </c>
      <c r="W569" s="36">
        <f>IFERROR(Table1[[#This Row],[leftover material]]*(Table1[[#This Row],[Cost ]]+Table1[[#This Row],[shipping]]+Table1[[#This Row],[Tax]]),0)</f>
        <v>0</v>
      </c>
      <c r="X569" s="36"/>
      <c r="Y569" s="84"/>
      <c r="Z569" s="84"/>
      <c r="AA569" s="84"/>
      <c r="AB569" s="36"/>
      <c r="AC569" s="36">
        <f>IF(ISNA(VLOOKUP(Table1[[#This Row],[Part Number]],'Multi-level BOM'!V$4:V$449,1,FALSE)),0,Table1[[#This Row],[Remaining Extended cost]])</f>
        <v>0</v>
      </c>
    </row>
    <row r="570" spans="1:29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80" t="str">
        <f>IF(Table1[[#This Row],[Buy-now costs]]&gt;0,"X","")</f>
        <v/>
      </c>
      <c r="M570" s="80"/>
      <c r="N570" s="80"/>
      <c r="O570" s="40">
        <v>0</v>
      </c>
      <c r="P570" s="94">
        <f>Table1[[#This Row],[quantity on-hand]]*(Table1[[#This Row],[Cost ]]+Table1[[#This Row],[shipping]]+Table1[[#This Row],[Tax]])</f>
        <v>0</v>
      </c>
      <c r="Q570" s="40">
        <v>0</v>
      </c>
      <c r="R570" s="92">
        <f>Table1[[#This Row],[Quantity on order]]*(Table1[[#This Row],[Cost ]]+Table1[[#This Row],[shipping]]+Table1[[#This Row],[Tax]])</f>
        <v>0</v>
      </c>
      <c r="S5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0" s="49">
        <f>Table1[[#This Row],[Quantity  to  purchase]]+Table1[[#This Row],[Quantity purchased]]+Table1[[#This Row],[Quantity on order]]+Table1[[#This Row],[Quantity donated]]-Table1[[#This Row],[extended quantity]]</f>
        <v>0</v>
      </c>
      <c r="U5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0" s="51">
        <f>IFERROR(Table1[[#This Row],[Quantity  to  purchase]]*(Table1[[#This Row],[Cost ]]+Table1[[#This Row],[shipping]]+Table1[[#This Row],[Tax]]),0)</f>
        <v>0</v>
      </c>
      <c r="W570" s="36">
        <f>IFERROR(Table1[[#This Row],[leftover material]]*(Table1[[#This Row],[Cost ]]+Table1[[#This Row],[shipping]]+Table1[[#This Row],[Tax]]),0)</f>
        <v>0</v>
      </c>
      <c r="X570" s="36"/>
      <c r="Y570" s="84"/>
      <c r="Z570" s="84"/>
      <c r="AA570" s="84"/>
      <c r="AB570" s="36"/>
      <c r="AC570" s="36">
        <f>IF(ISNA(VLOOKUP(Table1[[#This Row],[Part Number]],'Multi-level BOM'!V$4:V$449,1,FALSE)),0,Table1[[#This Row],[Remaining Extended cost]])</f>
        <v>0</v>
      </c>
    </row>
    <row r="571" spans="1:29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80" t="str">
        <f>IF(Table1[[#This Row],[Buy-now costs]]&gt;0,"X","")</f>
        <v/>
      </c>
      <c r="M571" s="80"/>
      <c r="N571" s="80"/>
      <c r="O571" s="40">
        <v>0</v>
      </c>
      <c r="P571" s="94">
        <f>Table1[[#This Row],[quantity on-hand]]*(Table1[[#This Row],[Cost ]]+Table1[[#This Row],[shipping]]+Table1[[#This Row],[Tax]])</f>
        <v>0</v>
      </c>
      <c r="Q571" s="40">
        <v>0</v>
      </c>
      <c r="R571" s="92">
        <f>Table1[[#This Row],[Quantity on order]]*(Table1[[#This Row],[Cost ]]+Table1[[#This Row],[shipping]]+Table1[[#This Row],[Tax]])</f>
        <v>0</v>
      </c>
      <c r="S5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1" s="49">
        <f>Table1[[#This Row],[Quantity  to  purchase]]+Table1[[#This Row],[Quantity purchased]]+Table1[[#This Row],[Quantity on order]]+Table1[[#This Row],[Quantity donated]]-Table1[[#This Row],[extended quantity]]</f>
        <v>0</v>
      </c>
      <c r="U5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1" s="51">
        <f>IFERROR(Table1[[#This Row],[Quantity  to  purchase]]*(Table1[[#This Row],[Cost ]]+Table1[[#This Row],[shipping]]+Table1[[#This Row],[Tax]]),0)</f>
        <v>0</v>
      </c>
      <c r="W571" s="36">
        <f>IFERROR(Table1[[#This Row],[leftover material]]*(Table1[[#This Row],[Cost ]]+Table1[[#This Row],[shipping]]+Table1[[#This Row],[Tax]]),0)</f>
        <v>0</v>
      </c>
      <c r="X571" s="36"/>
      <c r="Y571" s="84"/>
      <c r="Z571" s="84"/>
      <c r="AA571" s="84"/>
      <c r="AB571" s="36"/>
      <c r="AC571" s="36">
        <f>IF(ISNA(VLOOKUP(Table1[[#This Row],[Part Number]],'Multi-level BOM'!V$4:V$449,1,FALSE)),0,Table1[[#This Row],[Remaining Extended cost]])</f>
        <v>0</v>
      </c>
    </row>
    <row r="572" spans="1:29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80" t="str">
        <f>IF(Table1[[#This Row],[Buy-now costs]]&gt;0,"X","")</f>
        <v/>
      </c>
      <c r="M572" s="80"/>
      <c r="N572" s="80"/>
      <c r="O572" s="40">
        <v>0</v>
      </c>
      <c r="P572" s="94">
        <f>Table1[[#This Row],[quantity on-hand]]*(Table1[[#This Row],[Cost ]]+Table1[[#This Row],[shipping]]+Table1[[#This Row],[Tax]])</f>
        <v>0</v>
      </c>
      <c r="Q572" s="40">
        <v>0</v>
      </c>
      <c r="R572" s="92">
        <f>Table1[[#This Row],[Quantity on order]]*(Table1[[#This Row],[Cost ]]+Table1[[#This Row],[shipping]]+Table1[[#This Row],[Tax]])</f>
        <v>0</v>
      </c>
      <c r="S5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2" s="49">
        <f>Table1[[#This Row],[Quantity  to  purchase]]+Table1[[#This Row],[Quantity purchased]]+Table1[[#This Row],[Quantity on order]]+Table1[[#This Row],[Quantity donated]]-Table1[[#This Row],[extended quantity]]</f>
        <v>0</v>
      </c>
      <c r="U5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2" s="51">
        <f>IFERROR(Table1[[#This Row],[Quantity  to  purchase]]*(Table1[[#This Row],[Cost ]]+Table1[[#This Row],[shipping]]+Table1[[#This Row],[Tax]]),0)</f>
        <v>0</v>
      </c>
      <c r="W572" s="36">
        <f>IFERROR(Table1[[#This Row],[leftover material]]*(Table1[[#This Row],[Cost ]]+Table1[[#This Row],[shipping]]+Table1[[#This Row],[Tax]]),0)</f>
        <v>0</v>
      </c>
      <c r="X572" s="36"/>
      <c r="Y572" s="84"/>
      <c r="Z572" s="84"/>
      <c r="AA572" s="84"/>
      <c r="AB572" s="36"/>
      <c r="AC572" s="36">
        <f>IF(ISNA(VLOOKUP(Table1[[#This Row],[Part Number]],'Multi-level BOM'!V$4:V$449,1,FALSE)),0,Table1[[#This Row],[Remaining Extended cost]])</f>
        <v>0</v>
      </c>
    </row>
    <row r="573" spans="1:29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80" t="str">
        <f>IF(Table1[[#This Row],[Buy-now costs]]&gt;0,"X","")</f>
        <v/>
      </c>
      <c r="M573" s="80"/>
      <c r="N573" s="80"/>
      <c r="O573" s="40">
        <v>0</v>
      </c>
      <c r="P573" s="94">
        <f>Table1[[#This Row],[quantity on-hand]]*(Table1[[#This Row],[Cost ]]+Table1[[#This Row],[shipping]]+Table1[[#This Row],[Tax]])</f>
        <v>0</v>
      </c>
      <c r="Q573" s="40">
        <v>0</v>
      </c>
      <c r="R573" s="92">
        <f>Table1[[#This Row],[Quantity on order]]*(Table1[[#This Row],[Cost ]]+Table1[[#This Row],[shipping]]+Table1[[#This Row],[Tax]])</f>
        <v>0</v>
      </c>
      <c r="S5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3" s="49">
        <f>Table1[[#This Row],[Quantity  to  purchase]]+Table1[[#This Row],[Quantity purchased]]+Table1[[#This Row],[Quantity on order]]+Table1[[#This Row],[Quantity donated]]-Table1[[#This Row],[extended quantity]]</f>
        <v>0</v>
      </c>
      <c r="U5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3" s="51">
        <f>IFERROR(Table1[[#This Row],[Quantity  to  purchase]]*(Table1[[#This Row],[Cost ]]+Table1[[#This Row],[shipping]]+Table1[[#This Row],[Tax]]),0)</f>
        <v>0</v>
      </c>
      <c r="W573" s="36">
        <f>IFERROR(Table1[[#This Row],[leftover material]]*(Table1[[#This Row],[Cost ]]+Table1[[#This Row],[shipping]]+Table1[[#This Row],[Tax]]),0)</f>
        <v>0</v>
      </c>
      <c r="X573" s="36"/>
      <c r="Y573" s="84"/>
      <c r="Z573" s="84"/>
      <c r="AA573" s="84"/>
      <c r="AB573" s="36"/>
      <c r="AC573" s="36">
        <f>IF(ISNA(VLOOKUP(Table1[[#This Row],[Part Number]],'Multi-level BOM'!V$4:V$449,1,FALSE)),0,Table1[[#This Row],[Remaining Extended cost]])</f>
        <v>0</v>
      </c>
    </row>
    <row r="574" spans="1:29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80" t="str">
        <f>IF(Table1[[#This Row],[Buy-now costs]]&gt;0,"X","")</f>
        <v/>
      </c>
      <c r="M574" s="80"/>
      <c r="N574" s="80"/>
      <c r="O574" s="40">
        <v>0</v>
      </c>
      <c r="P574" s="94">
        <f>Table1[[#This Row],[quantity on-hand]]*(Table1[[#This Row],[Cost ]]+Table1[[#This Row],[shipping]]+Table1[[#This Row],[Tax]])</f>
        <v>0</v>
      </c>
      <c r="Q574" s="40">
        <v>0</v>
      </c>
      <c r="R574" s="92">
        <f>Table1[[#This Row],[Quantity on order]]*(Table1[[#This Row],[Cost ]]+Table1[[#This Row],[shipping]]+Table1[[#This Row],[Tax]])</f>
        <v>0</v>
      </c>
      <c r="S5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4" s="49">
        <f>Table1[[#This Row],[Quantity  to  purchase]]+Table1[[#This Row],[Quantity purchased]]+Table1[[#This Row],[Quantity on order]]+Table1[[#This Row],[Quantity donated]]-Table1[[#This Row],[extended quantity]]</f>
        <v>0</v>
      </c>
      <c r="U5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4" s="51">
        <f>IFERROR(Table1[[#This Row],[Quantity  to  purchase]]*(Table1[[#This Row],[Cost ]]+Table1[[#This Row],[shipping]]+Table1[[#This Row],[Tax]]),0)</f>
        <v>0</v>
      </c>
      <c r="W574" s="36">
        <f>IFERROR(Table1[[#This Row],[leftover material]]*(Table1[[#This Row],[Cost ]]+Table1[[#This Row],[shipping]]+Table1[[#This Row],[Tax]]),0)</f>
        <v>0</v>
      </c>
      <c r="X574" s="36"/>
      <c r="Y574" s="84"/>
      <c r="Z574" s="84"/>
      <c r="AA574" s="84"/>
      <c r="AB574" s="36"/>
      <c r="AC574" s="36">
        <f>IF(ISNA(VLOOKUP(Table1[[#This Row],[Part Number]],'Multi-level BOM'!V$4:V$449,1,FALSE)),0,Table1[[#This Row],[Remaining Extended cost]])</f>
        <v>0</v>
      </c>
    </row>
    <row r="575" spans="1:29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80" t="str">
        <f>IF(Table1[[#This Row],[Buy-now costs]]&gt;0,"X","")</f>
        <v/>
      </c>
      <c r="M575" s="80"/>
      <c r="N575" s="80"/>
      <c r="O575" s="40">
        <v>0</v>
      </c>
      <c r="P575" s="94">
        <f>Table1[[#This Row],[quantity on-hand]]*(Table1[[#This Row],[Cost ]]+Table1[[#This Row],[shipping]]+Table1[[#This Row],[Tax]])</f>
        <v>0</v>
      </c>
      <c r="Q575" s="40">
        <v>0</v>
      </c>
      <c r="R575" s="92">
        <f>Table1[[#This Row],[Quantity on order]]*(Table1[[#This Row],[Cost ]]+Table1[[#This Row],[shipping]]+Table1[[#This Row],[Tax]])</f>
        <v>0</v>
      </c>
      <c r="S5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5" s="49">
        <f>Table1[[#This Row],[Quantity  to  purchase]]+Table1[[#This Row],[Quantity purchased]]+Table1[[#This Row],[Quantity on order]]+Table1[[#This Row],[Quantity donated]]-Table1[[#This Row],[extended quantity]]</f>
        <v>0</v>
      </c>
      <c r="U5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5" s="51">
        <f>IFERROR(Table1[[#This Row],[Quantity  to  purchase]]*(Table1[[#This Row],[Cost ]]+Table1[[#This Row],[shipping]]+Table1[[#This Row],[Tax]]),0)</f>
        <v>0</v>
      </c>
      <c r="W575" s="36">
        <f>IFERROR(Table1[[#This Row],[leftover material]]*(Table1[[#This Row],[Cost ]]+Table1[[#This Row],[shipping]]+Table1[[#This Row],[Tax]]),0)</f>
        <v>0</v>
      </c>
      <c r="X575" s="36"/>
      <c r="Y575" s="84"/>
      <c r="Z575" s="84"/>
      <c r="AA575" s="84"/>
      <c r="AB575" s="36"/>
      <c r="AC575" s="36">
        <f>IF(ISNA(VLOOKUP(Table1[[#This Row],[Part Number]],'Multi-level BOM'!V$4:V$449,1,FALSE)),0,Table1[[#This Row],[Remaining Extended cost]])</f>
        <v>0</v>
      </c>
    </row>
    <row r="576" spans="1:29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80" t="str">
        <f>IF(Table1[[#This Row],[Buy-now costs]]&gt;0,"X","")</f>
        <v/>
      </c>
      <c r="M576" s="80"/>
      <c r="N576" s="80"/>
      <c r="O576" s="40">
        <v>0</v>
      </c>
      <c r="P576" s="94">
        <f>Table1[[#This Row],[quantity on-hand]]*(Table1[[#This Row],[Cost ]]+Table1[[#This Row],[shipping]]+Table1[[#This Row],[Tax]])</f>
        <v>0</v>
      </c>
      <c r="Q576" s="40">
        <v>0</v>
      </c>
      <c r="R576" s="92">
        <f>Table1[[#This Row],[Quantity on order]]*(Table1[[#This Row],[Cost ]]+Table1[[#This Row],[shipping]]+Table1[[#This Row],[Tax]])</f>
        <v>0</v>
      </c>
      <c r="S5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6" s="49">
        <f>Table1[[#This Row],[Quantity  to  purchase]]+Table1[[#This Row],[Quantity purchased]]+Table1[[#This Row],[Quantity on order]]+Table1[[#This Row],[Quantity donated]]-Table1[[#This Row],[extended quantity]]</f>
        <v>0</v>
      </c>
      <c r="U5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6" s="51">
        <f>IFERROR(Table1[[#This Row],[Quantity  to  purchase]]*(Table1[[#This Row],[Cost ]]+Table1[[#This Row],[shipping]]+Table1[[#This Row],[Tax]]),0)</f>
        <v>0</v>
      </c>
      <c r="W576" s="36">
        <f>IFERROR(Table1[[#This Row],[leftover material]]*(Table1[[#This Row],[Cost ]]+Table1[[#This Row],[shipping]]+Table1[[#This Row],[Tax]]),0)</f>
        <v>0</v>
      </c>
      <c r="X576" s="36"/>
      <c r="Y576" s="84"/>
      <c r="Z576" s="84"/>
      <c r="AA576" s="84"/>
      <c r="AB576" s="36"/>
      <c r="AC576" s="36">
        <f>IF(ISNA(VLOOKUP(Table1[[#This Row],[Part Number]],'Multi-level BOM'!V$4:V$449,1,FALSE)),0,Table1[[#This Row],[Remaining Extended cost]])</f>
        <v>0</v>
      </c>
    </row>
    <row r="577" spans="1:29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80" t="str">
        <f>IF(Table1[[#This Row],[Buy-now costs]]&gt;0,"X","")</f>
        <v/>
      </c>
      <c r="M577" s="80"/>
      <c r="N577" s="80"/>
      <c r="O577" s="40">
        <v>0</v>
      </c>
      <c r="P577" s="94">
        <f>Table1[[#This Row],[quantity on-hand]]*(Table1[[#This Row],[Cost ]]+Table1[[#This Row],[shipping]]+Table1[[#This Row],[Tax]])</f>
        <v>0</v>
      </c>
      <c r="Q577" s="40">
        <v>0</v>
      </c>
      <c r="R577" s="92">
        <f>Table1[[#This Row],[Quantity on order]]*(Table1[[#This Row],[Cost ]]+Table1[[#This Row],[shipping]]+Table1[[#This Row],[Tax]])</f>
        <v>0</v>
      </c>
      <c r="S5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7" s="49">
        <f>Table1[[#This Row],[Quantity  to  purchase]]+Table1[[#This Row],[Quantity purchased]]+Table1[[#This Row],[Quantity on order]]+Table1[[#This Row],[Quantity donated]]-Table1[[#This Row],[extended quantity]]</f>
        <v>0</v>
      </c>
      <c r="U5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7" s="51">
        <f>IFERROR(Table1[[#This Row],[Quantity  to  purchase]]*(Table1[[#This Row],[Cost ]]+Table1[[#This Row],[shipping]]+Table1[[#This Row],[Tax]]),0)</f>
        <v>0</v>
      </c>
      <c r="W577" s="36">
        <f>IFERROR(Table1[[#This Row],[leftover material]]*(Table1[[#This Row],[Cost ]]+Table1[[#This Row],[shipping]]+Table1[[#This Row],[Tax]]),0)</f>
        <v>0</v>
      </c>
      <c r="X577" s="36"/>
      <c r="Y577" s="84"/>
      <c r="Z577" s="84"/>
      <c r="AA577" s="84"/>
      <c r="AB577" s="36"/>
      <c r="AC577" s="36">
        <f>IF(ISNA(VLOOKUP(Table1[[#This Row],[Part Number]],'Multi-level BOM'!V$4:V$449,1,FALSE)),0,Table1[[#This Row],[Remaining Extended cost]])</f>
        <v>0</v>
      </c>
    </row>
    <row r="578" spans="1:29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80" t="str">
        <f>IF(Table1[[#This Row],[Buy-now costs]]&gt;0,"X","")</f>
        <v/>
      </c>
      <c r="M578" s="80"/>
      <c r="N578" s="80"/>
      <c r="O578" s="40">
        <v>0</v>
      </c>
      <c r="P578" s="94">
        <f>Table1[[#This Row],[quantity on-hand]]*(Table1[[#This Row],[Cost ]]+Table1[[#This Row],[shipping]]+Table1[[#This Row],[Tax]])</f>
        <v>0</v>
      </c>
      <c r="Q578" s="40">
        <v>0</v>
      </c>
      <c r="R578" s="92">
        <f>Table1[[#This Row],[Quantity on order]]*(Table1[[#This Row],[Cost ]]+Table1[[#This Row],[shipping]]+Table1[[#This Row],[Tax]])</f>
        <v>0</v>
      </c>
      <c r="S5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8" s="49">
        <f>Table1[[#This Row],[Quantity  to  purchase]]+Table1[[#This Row],[Quantity purchased]]+Table1[[#This Row],[Quantity on order]]+Table1[[#This Row],[Quantity donated]]-Table1[[#This Row],[extended quantity]]</f>
        <v>0</v>
      </c>
      <c r="U5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8" s="51">
        <f>IFERROR(Table1[[#This Row],[Quantity  to  purchase]]*(Table1[[#This Row],[Cost ]]+Table1[[#This Row],[shipping]]+Table1[[#This Row],[Tax]]),0)</f>
        <v>0</v>
      </c>
      <c r="W578" s="36">
        <f>IFERROR(Table1[[#This Row],[leftover material]]*(Table1[[#This Row],[Cost ]]+Table1[[#This Row],[shipping]]+Table1[[#This Row],[Tax]]),0)</f>
        <v>0</v>
      </c>
      <c r="X578" s="36"/>
      <c r="Y578" s="84"/>
      <c r="Z578" s="84"/>
      <c r="AA578" s="84"/>
      <c r="AB578" s="36"/>
      <c r="AC578" s="36">
        <f>IF(ISNA(VLOOKUP(Table1[[#This Row],[Part Number]],'Multi-level BOM'!V$4:V$449,1,FALSE)),0,Table1[[#This Row],[Remaining Extended cost]])</f>
        <v>0</v>
      </c>
    </row>
    <row r="579" spans="1:29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80" t="str">
        <f>IF(Table1[[#This Row],[Buy-now costs]]&gt;0,"X","")</f>
        <v/>
      </c>
      <c r="M579" s="80"/>
      <c r="N579" s="80"/>
      <c r="O579" s="40">
        <v>0</v>
      </c>
      <c r="P579" s="94">
        <f>Table1[[#This Row],[quantity on-hand]]*(Table1[[#This Row],[Cost ]]+Table1[[#This Row],[shipping]]+Table1[[#This Row],[Tax]])</f>
        <v>0</v>
      </c>
      <c r="Q579" s="40">
        <v>0</v>
      </c>
      <c r="R579" s="92">
        <f>Table1[[#This Row],[Quantity on order]]*(Table1[[#This Row],[Cost ]]+Table1[[#This Row],[shipping]]+Table1[[#This Row],[Tax]])</f>
        <v>0</v>
      </c>
      <c r="S5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9" s="49">
        <f>Table1[[#This Row],[Quantity  to  purchase]]+Table1[[#This Row],[Quantity purchased]]+Table1[[#This Row],[Quantity on order]]+Table1[[#This Row],[Quantity donated]]-Table1[[#This Row],[extended quantity]]</f>
        <v>0</v>
      </c>
      <c r="U5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9" s="51">
        <f>IFERROR(Table1[[#This Row],[Quantity  to  purchase]]*(Table1[[#This Row],[Cost ]]+Table1[[#This Row],[shipping]]+Table1[[#This Row],[Tax]]),0)</f>
        <v>0</v>
      </c>
      <c r="W579" s="36">
        <f>IFERROR(Table1[[#This Row],[leftover material]]*(Table1[[#This Row],[Cost ]]+Table1[[#This Row],[shipping]]+Table1[[#This Row],[Tax]]),0)</f>
        <v>0</v>
      </c>
      <c r="X579" s="36"/>
      <c r="Y579" s="84"/>
      <c r="Z579" s="84"/>
      <c r="AA579" s="84"/>
      <c r="AB579" s="36"/>
      <c r="AC579" s="36">
        <f>IF(ISNA(VLOOKUP(Table1[[#This Row],[Part Number]],'Multi-level BOM'!V$4:V$449,1,FALSE)),0,Table1[[#This Row],[Remaining Extended cost]])</f>
        <v>0</v>
      </c>
    </row>
    <row r="580" spans="1:29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80" t="str">
        <f>IF(Table1[[#This Row],[Buy-now costs]]&gt;0,"X","")</f>
        <v/>
      </c>
      <c r="M580" s="80"/>
      <c r="N580" s="80"/>
      <c r="O580" s="40">
        <v>0</v>
      </c>
      <c r="P580" s="94">
        <f>Table1[[#This Row],[quantity on-hand]]*(Table1[[#This Row],[Cost ]]+Table1[[#This Row],[shipping]]+Table1[[#This Row],[Tax]])</f>
        <v>0</v>
      </c>
      <c r="Q580" s="40">
        <v>0</v>
      </c>
      <c r="R580" s="92">
        <f>Table1[[#This Row],[Quantity on order]]*(Table1[[#This Row],[Cost ]]+Table1[[#This Row],[shipping]]+Table1[[#This Row],[Tax]])</f>
        <v>0</v>
      </c>
      <c r="S5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0" s="49">
        <f>Table1[[#This Row],[Quantity  to  purchase]]+Table1[[#This Row],[Quantity purchased]]+Table1[[#This Row],[Quantity on order]]+Table1[[#This Row],[Quantity donated]]-Table1[[#This Row],[extended quantity]]</f>
        <v>0</v>
      </c>
      <c r="U5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0" s="51">
        <f>IFERROR(Table1[[#This Row],[Quantity  to  purchase]]*(Table1[[#This Row],[Cost ]]+Table1[[#This Row],[shipping]]+Table1[[#This Row],[Tax]]),0)</f>
        <v>0</v>
      </c>
      <c r="W580" s="36">
        <f>IFERROR(Table1[[#This Row],[leftover material]]*(Table1[[#This Row],[Cost ]]+Table1[[#This Row],[shipping]]+Table1[[#This Row],[Tax]]),0)</f>
        <v>0</v>
      </c>
      <c r="X580" s="36"/>
      <c r="Y580" s="84"/>
      <c r="Z580" s="84"/>
      <c r="AA580" s="84"/>
      <c r="AB580" s="36"/>
      <c r="AC580" s="36">
        <f>IF(ISNA(VLOOKUP(Table1[[#This Row],[Part Number]],'Multi-level BOM'!V$4:V$449,1,FALSE)),0,Table1[[#This Row],[Remaining Extended cost]])</f>
        <v>0</v>
      </c>
    </row>
    <row r="581" spans="1:29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80" t="str">
        <f>IF(Table1[[#This Row],[Buy-now costs]]&gt;0,"X","")</f>
        <v/>
      </c>
      <c r="M581" s="80"/>
      <c r="N581" s="80"/>
      <c r="O581" s="40">
        <v>0</v>
      </c>
      <c r="P581" s="94">
        <f>Table1[[#This Row],[quantity on-hand]]*(Table1[[#This Row],[Cost ]]+Table1[[#This Row],[shipping]]+Table1[[#This Row],[Tax]])</f>
        <v>0</v>
      </c>
      <c r="Q581" s="40">
        <v>0</v>
      </c>
      <c r="R581" s="92">
        <f>Table1[[#This Row],[Quantity on order]]*(Table1[[#This Row],[Cost ]]+Table1[[#This Row],[shipping]]+Table1[[#This Row],[Tax]])</f>
        <v>0</v>
      </c>
      <c r="S5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1" s="49">
        <f>Table1[[#This Row],[Quantity  to  purchase]]+Table1[[#This Row],[Quantity purchased]]+Table1[[#This Row],[Quantity on order]]+Table1[[#This Row],[Quantity donated]]-Table1[[#This Row],[extended quantity]]</f>
        <v>0</v>
      </c>
      <c r="U5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1" s="51">
        <f>IFERROR(Table1[[#This Row],[Quantity  to  purchase]]*(Table1[[#This Row],[Cost ]]+Table1[[#This Row],[shipping]]+Table1[[#This Row],[Tax]]),0)</f>
        <v>0</v>
      </c>
      <c r="W581" s="36">
        <f>IFERROR(Table1[[#This Row],[leftover material]]*(Table1[[#This Row],[Cost ]]+Table1[[#This Row],[shipping]]+Table1[[#This Row],[Tax]]),0)</f>
        <v>0</v>
      </c>
      <c r="X581" s="36"/>
      <c r="Y581" s="84"/>
      <c r="Z581" s="84"/>
      <c r="AA581" s="84"/>
      <c r="AB581" s="36"/>
      <c r="AC581" s="36">
        <f>IF(ISNA(VLOOKUP(Table1[[#This Row],[Part Number]],'Multi-level BOM'!V$4:V$449,1,FALSE)),0,Table1[[#This Row],[Remaining Extended cost]])</f>
        <v>0</v>
      </c>
    </row>
    <row r="582" spans="1:29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80" t="str">
        <f>IF(Table1[[#This Row],[Buy-now costs]]&gt;0,"X","")</f>
        <v/>
      </c>
      <c r="M582" s="80"/>
      <c r="N582" s="80"/>
      <c r="O582" s="40">
        <v>0</v>
      </c>
      <c r="P582" s="94">
        <f>Table1[[#This Row],[quantity on-hand]]*(Table1[[#This Row],[Cost ]]+Table1[[#This Row],[shipping]]+Table1[[#This Row],[Tax]])</f>
        <v>0</v>
      </c>
      <c r="Q582" s="40">
        <v>0</v>
      </c>
      <c r="R582" s="92">
        <f>Table1[[#This Row],[Quantity on order]]*(Table1[[#This Row],[Cost ]]+Table1[[#This Row],[shipping]]+Table1[[#This Row],[Tax]])</f>
        <v>0</v>
      </c>
      <c r="S5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2" s="49">
        <f>Table1[[#This Row],[Quantity  to  purchase]]+Table1[[#This Row],[Quantity purchased]]+Table1[[#This Row],[Quantity on order]]+Table1[[#This Row],[Quantity donated]]-Table1[[#This Row],[extended quantity]]</f>
        <v>0</v>
      </c>
      <c r="U5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2" s="51">
        <f>IFERROR(Table1[[#This Row],[Quantity  to  purchase]]*(Table1[[#This Row],[Cost ]]+Table1[[#This Row],[shipping]]+Table1[[#This Row],[Tax]]),0)</f>
        <v>0</v>
      </c>
      <c r="W582" s="36">
        <f>IFERROR(Table1[[#This Row],[leftover material]]*(Table1[[#This Row],[Cost ]]+Table1[[#This Row],[shipping]]+Table1[[#This Row],[Tax]]),0)</f>
        <v>0</v>
      </c>
      <c r="X582" s="36"/>
      <c r="Y582" s="84"/>
      <c r="Z582" s="84"/>
      <c r="AA582" s="84"/>
      <c r="AB582" s="36"/>
      <c r="AC582" s="36">
        <f>IF(ISNA(VLOOKUP(Table1[[#This Row],[Part Number]],'Multi-level BOM'!V$4:V$449,1,FALSE)),0,Table1[[#This Row],[Remaining Extended cost]])</f>
        <v>0</v>
      </c>
    </row>
    <row r="583" spans="1:29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80" t="str">
        <f>IF(Table1[[#This Row],[Buy-now costs]]&gt;0,"X","")</f>
        <v/>
      </c>
      <c r="M583" s="80"/>
      <c r="N583" s="80"/>
      <c r="O583" s="40">
        <v>0</v>
      </c>
      <c r="P583" s="94">
        <f>Table1[[#This Row],[quantity on-hand]]*(Table1[[#This Row],[Cost ]]+Table1[[#This Row],[shipping]]+Table1[[#This Row],[Tax]])</f>
        <v>0</v>
      </c>
      <c r="Q583" s="40">
        <v>0</v>
      </c>
      <c r="R583" s="92">
        <f>Table1[[#This Row],[Quantity on order]]*(Table1[[#This Row],[Cost ]]+Table1[[#This Row],[shipping]]+Table1[[#This Row],[Tax]])</f>
        <v>0</v>
      </c>
      <c r="S5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3" s="49">
        <f>Table1[[#This Row],[Quantity  to  purchase]]+Table1[[#This Row],[Quantity purchased]]+Table1[[#This Row],[Quantity on order]]+Table1[[#This Row],[Quantity donated]]-Table1[[#This Row],[extended quantity]]</f>
        <v>0</v>
      </c>
      <c r="U5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3" s="51">
        <f>IFERROR(Table1[[#This Row],[Quantity  to  purchase]]*(Table1[[#This Row],[Cost ]]+Table1[[#This Row],[shipping]]+Table1[[#This Row],[Tax]]),0)</f>
        <v>0</v>
      </c>
      <c r="W583" s="36">
        <f>IFERROR(Table1[[#This Row],[leftover material]]*(Table1[[#This Row],[Cost ]]+Table1[[#This Row],[shipping]]+Table1[[#This Row],[Tax]]),0)</f>
        <v>0</v>
      </c>
      <c r="X583" s="36"/>
      <c r="Y583" s="84"/>
      <c r="Z583" s="84"/>
      <c r="AA583" s="84"/>
      <c r="AB583" s="36"/>
      <c r="AC583" s="36">
        <f>IF(ISNA(VLOOKUP(Table1[[#This Row],[Part Number]],'Multi-level BOM'!V$4:V$449,1,FALSE)),0,Table1[[#This Row],[Remaining Extended cost]])</f>
        <v>0</v>
      </c>
    </row>
    <row r="584" spans="1:29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80" t="str">
        <f>IF(Table1[[#This Row],[Buy-now costs]]&gt;0,"X","")</f>
        <v/>
      </c>
      <c r="M584" s="80"/>
      <c r="N584" s="80"/>
      <c r="O584" s="40">
        <v>0</v>
      </c>
      <c r="P584" s="94">
        <f>Table1[[#This Row],[quantity on-hand]]*(Table1[[#This Row],[Cost ]]+Table1[[#This Row],[shipping]]+Table1[[#This Row],[Tax]])</f>
        <v>0</v>
      </c>
      <c r="Q584" s="40">
        <v>0</v>
      </c>
      <c r="R584" s="92">
        <f>Table1[[#This Row],[Quantity on order]]*(Table1[[#This Row],[Cost ]]+Table1[[#This Row],[shipping]]+Table1[[#This Row],[Tax]])</f>
        <v>0</v>
      </c>
      <c r="S5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4" s="49">
        <f>Table1[[#This Row],[Quantity  to  purchase]]+Table1[[#This Row],[Quantity purchased]]+Table1[[#This Row],[Quantity on order]]+Table1[[#This Row],[Quantity donated]]-Table1[[#This Row],[extended quantity]]</f>
        <v>0</v>
      </c>
      <c r="U5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4" s="51">
        <f>IFERROR(Table1[[#This Row],[Quantity  to  purchase]]*(Table1[[#This Row],[Cost ]]+Table1[[#This Row],[shipping]]+Table1[[#This Row],[Tax]]),0)</f>
        <v>0</v>
      </c>
      <c r="W584" s="36">
        <f>IFERROR(Table1[[#This Row],[leftover material]]*(Table1[[#This Row],[Cost ]]+Table1[[#This Row],[shipping]]+Table1[[#This Row],[Tax]]),0)</f>
        <v>0</v>
      </c>
      <c r="X584" s="36"/>
      <c r="Y584" s="84"/>
      <c r="Z584" s="84"/>
      <c r="AA584" s="84"/>
      <c r="AB584" s="36"/>
      <c r="AC584" s="36">
        <f>IF(ISNA(VLOOKUP(Table1[[#This Row],[Part Number]],'Multi-level BOM'!V$4:V$449,1,FALSE)),0,Table1[[#This Row],[Remaining Extended cost]])</f>
        <v>0</v>
      </c>
    </row>
    <row r="585" spans="1:29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80" t="str">
        <f>IF(Table1[[#This Row],[Buy-now costs]]&gt;0,"X","")</f>
        <v/>
      </c>
      <c r="M585" s="80"/>
      <c r="N585" s="80"/>
      <c r="O585" s="40">
        <v>0</v>
      </c>
      <c r="P585" s="94">
        <f>Table1[[#This Row],[quantity on-hand]]*(Table1[[#This Row],[Cost ]]+Table1[[#This Row],[shipping]]+Table1[[#This Row],[Tax]])</f>
        <v>0</v>
      </c>
      <c r="Q585" s="40">
        <v>0</v>
      </c>
      <c r="R585" s="92">
        <f>Table1[[#This Row],[Quantity on order]]*(Table1[[#This Row],[Cost ]]+Table1[[#This Row],[shipping]]+Table1[[#This Row],[Tax]])</f>
        <v>0</v>
      </c>
      <c r="S5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5" s="49">
        <f>Table1[[#This Row],[Quantity  to  purchase]]+Table1[[#This Row],[Quantity purchased]]+Table1[[#This Row],[Quantity on order]]+Table1[[#This Row],[Quantity donated]]-Table1[[#This Row],[extended quantity]]</f>
        <v>0</v>
      </c>
      <c r="U5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5" s="51">
        <f>IFERROR(Table1[[#This Row],[Quantity  to  purchase]]*(Table1[[#This Row],[Cost ]]+Table1[[#This Row],[shipping]]+Table1[[#This Row],[Tax]]),0)</f>
        <v>0</v>
      </c>
      <c r="W585" s="36">
        <f>IFERROR(Table1[[#This Row],[leftover material]]*(Table1[[#This Row],[Cost ]]+Table1[[#This Row],[shipping]]+Table1[[#This Row],[Tax]]),0)</f>
        <v>0</v>
      </c>
      <c r="X585" s="36"/>
      <c r="Y585" s="84"/>
      <c r="Z585" s="84"/>
      <c r="AA585" s="84"/>
      <c r="AB585" s="36"/>
      <c r="AC585" s="36">
        <f>IF(ISNA(VLOOKUP(Table1[[#This Row],[Part Number]],'Multi-level BOM'!V$4:V$449,1,FALSE)),0,Table1[[#This Row],[Remaining Extended cost]])</f>
        <v>0</v>
      </c>
    </row>
    <row r="586" spans="1:29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80" t="str">
        <f>IF(Table1[[#This Row],[Buy-now costs]]&gt;0,"X","")</f>
        <v/>
      </c>
      <c r="M586" s="80"/>
      <c r="N586" s="80"/>
      <c r="O586" s="40">
        <v>0</v>
      </c>
      <c r="P586" s="94">
        <f>Table1[[#This Row],[quantity on-hand]]*(Table1[[#This Row],[Cost ]]+Table1[[#This Row],[shipping]]+Table1[[#This Row],[Tax]])</f>
        <v>0</v>
      </c>
      <c r="Q586" s="40">
        <v>0</v>
      </c>
      <c r="R586" s="92">
        <f>Table1[[#This Row],[Quantity on order]]*(Table1[[#This Row],[Cost ]]+Table1[[#This Row],[shipping]]+Table1[[#This Row],[Tax]])</f>
        <v>0</v>
      </c>
      <c r="S5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6" s="49">
        <f>Table1[[#This Row],[Quantity  to  purchase]]+Table1[[#This Row],[Quantity purchased]]+Table1[[#This Row],[Quantity on order]]+Table1[[#This Row],[Quantity donated]]-Table1[[#This Row],[extended quantity]]</f>
        <v>0</v>
      </c>
      <c r="U5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6" s="51">
        <f>IFERROR(Table1[[#This Row],[Quantity  to  purchase]]*(Table1[[#This Row],[Cost ]]+Table1[[#This Row],[shipping]]+Table1[[#This Row],[Tax]]),0)</f>
        <v>0</v>
      </c>
      <c r="W586" s="36">
        <f>IFERROR(Table1[[#This Row],[leftover material]]*(Table1[[#This Row],[Cost ]]+Table1[[#This Row],[shipping]]+Table1[[#This Row],[Tax]]),0)</f>
        <v>0</v>
      </c>
      <c r="X586" s="36"/>
      <c r="Y586" s="84"/>
      <c r="Z586" s="84"/>
      <c r="AA586" s="84"/>
      <c r="AB586" s="36"/>
      <c r="AC586" s="36">
        <f>IF(ISNA(VLOOKUP(Table1[[#This Row],[Part Number]],'Multi-level BOM'!V$4:V$449,1,FALSE)),0,Table1[[#This Row],[Remaining Extended cost]])</f>
        <v>0</v>
      </c>
    </row>
    <row r="587" spans="1:29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80" t="str">
        <f>IF(Table1[[#This Row],[Buy-now costs]]&gt;0,"X","")</f>
        <v/>
      </c>
      <c r="M587" s="80"/>
      <c r="N587" s="80"/>
      <c r="O587" s="40">
        <v>0</v>
      </c>
      <c r="P587" s="94">
        <f>Table1[[#This Row],[quantity on-hand]]*(Table1[[#This Row],[Cost ]]+Table1[[#This Row],[shipping]]+Table1[[#This Row],[Tax]])</f>
        <v>0</v>
      </c>
      <c r="Q587" s="40">
        <v>0</v>
      </c>
      <c r="R587" s="92">
        <f>Table1[[#This Row],[Quantity on order]]*(Table1[[#This Row],[Cost ]]+Table1[[#This Row],[shipping]]+Table1[[#This Row],[Tax]])</f>
        <v>0</v>
      </c>
      <c r="S5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7" s="49">
        <f>Table1[[#This Row],[Quantity  to  purchase]]+Table1[[#This Row],[Quantity purchased]]+Table1[[#This Row],[Quantity on order]]+Table1[[#This Row],[Quantity donated]]-Table1[[#This Row],[extended quantity]]</f>
        <v>0</v>
      </c>
      <c r="U5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7" s="51">
        <f>IFERROR(Table1[[#This Row],[Quantity  to  purchase]]*(Table1[[#This Row],[Cost ]]+Table1[[#This Row],[shipping]]+Table1[[#This Row],[Tax]]),0)</f>
        <v>0</v>
      </c>
      <c r="W587" s="36">
        <f>IFERROR(Table1[[#This Row],[leftover material]]*(Table1[[#This Row],[Cost ]]+Table1[[#This Row],[shipping]]+Table1[[#This Row],[Tax]]),0)</f>
        <v>0</v>
      </c>
      <c r="X587" s="36"/>
      <c r="Y587" s="84"/>
      <c r="Z587" s="84"/>
      <c r="AA587" s="84"/>
      <c r="AB587" s="36"/>
      <c r="AC587" s="36">
        <f>IF(ISNA(VLOOKUP(Table1[[#This Row],[Part Number]],'Multi-level BOM'!V$4:V$449,1,FALSE)),0,Table1[[#This Row],[Remaining Extended cost]])</f>
        <v>0</v>
      </c>
    </row>
    <row r="588" spans="1:29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80" t="str">
        <f>IF(Table1[[#This Row],[Buy-now costs]]&gt;0,"X","")</f>
        <v/>
      </c>
      <c r="M588" s="80"/>
      <c r="N588" s="80"/>
      <c r="O588" s="40">
        <v>0</v>
      </c>
      <c r="P588" s="94">
        <f>Table1[[#This Row],[quantity on-hand]]*(Table1[[#This Row],[Cost ]]+Table1[[#This Row],[shipping]]+Table1[[#This Row],[Tax]])</f>
        <v>0</v>
      </c>
      <c r="Q588" s="40">
        <v>0</v>
      </c>
      <c r="R588" s="92">
        <f>Table1[[#This Row],[Quantity on order]]*(Table1[[#This Row],[Cost ]]+Table1[[#This Row],[shipping]]+Table1[[#This Row],[Tax]])</f>
        <v>0</v>
      </c>
      <c r="S5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8" s="49">
        <f>Table1[[#This Row],[Quantity  to  purchase]]+Table1[[#This Row],[Quantity purchased]]+Table1[[#This Row],[Quantity on order]]+Table1[[#This Row],[Quantity donated]]-Table1[[#This Row],[extended quantity]]</f>
        <v>0</v>
      </c>
      <c r="U5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8" s="51">
        <f>IFERROR(Table1[[#This Row],[Quantity  to  purchase]]*(Table1[[#This Row],[Cost ]]+Table1[[#This Row],[shipping]]+Table1[[#This Row],[Tax]]),0)</f>
        <v>0</v>
      </c>
      <c r="W588" s="36">
        <f>IFERROR(Table1[[#This Row],[leftover material]]*(Table1[[#This Row],[Cost ]]+Table1[[#This Row],[shipping]]+Table1[[#This Row],[Tax]]),0)</f>
        <v>0</v>
      </c>
      <c r="X588" s="36"/>
      <c r="Y588" s="84"/>
      <c r="Z588" s="84"/>
      <c r="AA588" s="84"/>
      <c r="AB588" s="36"/>
      <c r="AC588" s="36">
        <f>IF(ISNA(VLOOKUP(Table1[[#This Row],[Part Number]],'Multi-level BOM'!V$4:V$449,1,FALSE)),0,Table1[[#This Row],[Remaining Extended cost]])</f>
        <v>0</v>
      </c>
    </row>
    <row r="589" spans="1:29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80" t="str">
        <f>IF(Table1[[#This Row],[Buy-now costs]]&gt;0,"X","")</f>
        <v/>
      </c>
      <c r="M589" s="80"/>
      <c r="N589" s="80"/>
      <c r="O589" s="40">
        <v>0</v>
      </c>
      <c r="P589" s="94">
        <f>Table1[[#This Row],[quantity on-hand]]*(Table1[[#This Row],[Cost ]]+Table1[[#This Row],[shipping]]+Table1[[#This Row],[Tax]])</f>
        <v>0</v>
      </c>
      <c r="Q589" s="40">
        <v>0</v>
      </c>
      <c r="R589" s="92">
        <f>Table1[[#This Row],[Quantity on order]]*(Table1[[#This Row],[Cost ]]+Table1[[#This Row],[shipping]]+Table1[[#This Row],[Tax]])</f>
        <v>0</v>
      </c>
      <c r="S5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9" s="49">
        <f>Table1[[#This Row],[Quantity  to  purchase]]+Table1[[#This Row],[Quantity purchased]]+Table1[[#This Row],[Quantity on order]]+Table1[[#This Row],[Quantity donated]]-Table1[[#This Row],[extended quantity]]</f>
        <v>0</v>
      </c>
      <c r="U5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9" s="51">
        <f>IFERROR(Table1[[#This Row],[Quantity  to  purchase]]*(Table1[[#This Row],[Cost ]]+Table1[[#This Row],[shipping]]+Table1[[#This Row],[Tax]]),0)</f>
        <v>0</v>
      </c>
      <c r="W589" s="36">
        <f>IFERROR(Table1[[#This Row],[leftover material]]*(Table1[[#This Row],[Cost ]]+Table1[[#This Row],[shipping]]+Table1[[#This Row],[Tax]]),0)</f>
        <v>0</v>
      </c>
      <c r="X589" s="36"/>
      <c r="Y589" s="84"/>
      <c r="Z589" s="84"/>
      <c r="AA589" s="84"/>
      <c r="AB589" s="36"/>
      <c r="AC589" s="36">
        <f>IF(ISNA(VLOOKUP(Table1[[#This Row],[Part Number]],'Multi-level BOM'!V$4:V$449,1,FALSE)),0,Table1[[#This Row],[Remaining Extended cost]])</f>
        <v>0</v>
      </c>
    </row>
    <row r="590" spans="1:29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80" t="str">
        <f>IF(Table1[[#This Row],[Buy-now costs]]&gt;0,"X","")</f>
        <v/>
      </c>
      <c r="M590" s="80"/>
      <c r="N590" s="80"/>
      <c r="O590" s="40">
        <v>0</v>
      </c>
      <c r="P590" s="94">
        <f>Table1[[#This Row],[quantity on-hand]]*(Table1[[#This Row],[Cost ]]+Table1[[#This Row],[shipping]]+Table1[[#This Row],[Tax]])</f>
        <v>0</v>
      </c>
      <c r="Q590" s="40">
        <v>0</v>
      </c>
      <c r="R590" s="92">
        <f>Table1[[#This Row],[Quantity on order]]*(Table1[[#This Row],[Cost ]]+Table1[[#This Row],[shipping]]+Table1[[#This Row],[Tax]])</f>
        <v>0</v>
      </c>
      <c r="S5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0" s="49">
        <f>Table1[[#This Row],[Quantity  to  purchase]]+Table1[[#This Row],[Quantity purchased]]+Table1[[#This Row],[Quantity on order]]+Table1[[#This Row],[Quantity donated]]-Table1[[#This Row],[extended quantity]]</f>
        <v>0</v>
      </c>
      <c r="U5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0" s="51">
        <f>IFERROR(Table1[[#This Row],[Quantity  to  purchase]]*(Table1[[#This Row],[Cost ]]+Table1[[#This Row],[shipping]]+Table1[[#This Row],[Tax]]),0)</f>
        <v>0</v>
      </c>
      <c r="W590" s="36">
        <f>IFERROR(Table1[[#This Row],[leftover material]]*(Table1[[#This Row],[Cost ]]+Table1[[#This Row],[shipping]]+Table1[[#This Row],[Tax]]),0)</f>
        <v>0</v>
      </c>
      <c r="X590" s="36"/>
      <c r="Y590" s="84"/>
      <c r="Z590" s="84"/>
      <c r="AA590" s="84"/>
      <c r="AB590" s="36"/>
      <c r="AC590" s="36">
        <f>IF(ISNA(VLOOKUP(Table1[[#This Row],[Part Number]],'Multi-level BOM'!V$4:V$449,1,FALSE)),0,Table1[[#This Row],[Remaining Extended cost]])</f>
        <v>0</v>
      </c>
    </row>
    <row r="591" spans="1:29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80" t="str">
        <f>IF(Table1[[#This Row],[Buy-now costs]]&gt;0,"X","")</f>
        <v/>
      </c>
      <c r="M591" s="80"/>
      <c r="N591" s="80"/>
      <c r="O591" s="40">
        <v>0</v>
      </c>
      <c r="P591" s="94">
        <f>Table1[[#This Row],[quantity on-hand]]*(Table1[[#This Row],[Cost ]]+Table1[[#This Row],[shipping]]+Table1[[#This Row],[Tax]])</f>
        <v>0</v>
      </c>
      <c r="Q591" s="40">
        <v>0</v>
      </c>
      <c r="R591" s="92">
        <f>Table1[[#This Row],[Quantity on order]]*(Table1[[#This Row],[Cost ]]+Table1[[#This Row],[shipping]]+Table1[[#This Row],[Tax]])</f>
        <v>0</v>
      </c>
      <c r="S5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1" s="49">
        <f>Table1[[#This Row],[Quantity  to  purchase]]+Table1[[#This Row],[Quantity purchased]]+Table1[[#This Row],[Quantity on order]]+Table1[[#This Row],[Quantity donated]]-Table1[[#This Row],[extended quantity]]</f>
        <v>0</v>
      </c>
      <c r="U5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1" s="51">
        <f>IFERROR(Table1[[#This Row],[Quantity  to  purchase]]*(Table1[[#This Row],[Cost ]]+Table1[[#This Row],[shipping]]+Table1[[#This Row],[Tax]]),0)</f>
        <v>0</v>
      </c>
      <c r="W591" s="36">
        <f>IFERROR(Table1[[#This Row],[leftover material]]*(Table1[[#This Row],[Cost ]]+Table1[[#This Row],[shipping]]+Table1[[#This Row],[Tax]]),0)</f>
        <v>0</v>
      </c>
      <c r="X591" s="36"/>
      <c r="Y591" s="84"/>
      <c r="Z591" s="84"/>
      <c r="AA591" s="84"/>
      <c r="AB591" s="36"/>
      <c r="AC591" s="36">
        <f>IF(ISNA(VLOOKUP(Table1[[#This Row],[Part Number]],'Multi-level BOM'!V$4:V$449,1,FALSE)),0,Table1[[#This Row],[Remaining Extended cost]])</f>
        <v>0</v>
      </c>
    </row>
    <row r="592" spans="1:29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80" t="str">
        <f>IF(Table1[[#This Row],[Buy-now costs]]&gt;0,"X","")</f>
        <v/>
      </c>
      <c r="M592" s="80"/>
      <c r="N592" s="80"/>
      <c r="O592" s="40">
        <v>0</v>
      </c>
      <c r="P592" s="94">
        <f>Table1[[#This Row],[quantity on-hand]]*(Table1[[#This Row],[Cost ]]+Table1[[#This Row],[shipping]]+Table1[[#This Row],[Tax]])</f>
        <v>0</v>
      </c>
      <c r="Q592" s="40">
        <v>0</v>
      </c>
      <c r="R592" s="92">
        <f>Table1[[#This Row],[Quantity on order]]*(Table1[[#This Row],[Cost ]]+Table1[[#This Row],[shipping]]+Table1[[#This Row],[Tax]])</f>
        <v>0</v>
      </c>
      <c r="S5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2" s="49">
        <f>Table1[[#This Row],[Quantity  to  purchase]]+Table1[[#This Row],[Quantity purchased]]+Table1[[#This Row],[Quantity on order]]+Table1[[#This Row],[Quantity donated]]-Table1[[#This Row],[extended quantity]]</f>
        <v>0</v>
      </c>
      <c r="U5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2" s="51">
        <f>IFERROR(Table1[[#This Row],[Quantity  to  purchase]]*(Table1[[#This Row],[Cost ]]+Table1[[#This Row],[shipping]]+Table1[[#This Row],[Tax]]),0)</f>
        <v>0</v>
      </c>
      <c r="W592" s="36">
        <f>IFERROR(Table1[[#This Row],[leftover material]]*(Table1[[#This Row],[Cost ]]+Table1[[#This Row],[shipping]]+Table1[[#This Row],[Tax]]),0)</f>
        <v>0</v>
      </c>
      <c r="X592" s="36"/>
      <c r="Y592" s="84"/>
      <c r="Z592" s="84"/>
      <c r="AA592" s="84"/>
      <c r="AB592" s="36"/>
      <c r="AC592" s="36">
        <f>IF(ISNA(VLOOKUP(Table1[[#This Row],[Part Number]],'Multi-level BOM'!V$4:V$449,1,FALSE)),0,Table1[[#This Row],[Remaining Extended cost]])</f>
        <v>0</v>
      </c>
    </row>
    <row r="593" spans="1:29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80" t="str">
        <f>IF(Table1[[#This Row],[Buy-now costs]]&gt;0,"X","")</f>
        <v/>
      </c>
      <c r="M593" s="80"/>
      <c r="N593" s="80"/>
      <c r="O593" s="40">
        <v>0</v>
      </c>
      <c r="P593" s="94">
        <f>Table1[[#This Row],[quantity on-hand]]*(Table1[[#This Row],[Cost ]]+Table1[[#This Row],[shipping]]+Table1[[#This Row],[Tax]])</f>
        <v>0</v>
      </c>
      <c r="Q593" s="40">
        <v>0</v>
      </c>
      <c r="R593" s="92">
        <f>Table1[[#This Row],[Quantity on order]]*(Table1[[#This Row],[Cost ]]+Table1[[#This Row],[shipping]]+Table1[[#This Row],[Tax]])</f>
        <v>0</v>
      </c>
      <c r="S5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3" s="49">
        <f>Table1[[#This Row],[Quantity  to  purchase]]+Table1[[#This Row],[Quantity purchased]]+Table1[[#This Row],[Quantity on order]]+Table1[[#This Row],[Quantity donated]]-Table1[[#This Row],[extended quantity]]</f>
        <v>0</v>
      </c>
      <c r="U5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3" s="51">
        <f>IFERROR(Table1[[#This Row],[Quantity  to  purchase]]*(Table1[[#This Row],[Cost ]]+Table1[[#This Row],[shipping]]+Table1[[#This Row],[Tax]]),0)</f>
        <v>0</v>
      </c>
      <c r="W593" s="36">
        <f>IFERROR(Table1[[#This Row],[leftover material]]*(Table1[[#This Row],[Cost ]]+Table1[[#This Row],[shipping]]+Table1[[#This Row],[Tax]]),0)</f>
        <v>0</v>
      </c>
      <c r="X593" s="36"/>
      <c r="Y593" s="84"/>
      <c r="Z593" s="84"/>
      <c r="AA593" s="84"/>
      <c r="AB593" s="36"/>
      <c r="AC593" s="36">
        <f>IF(ISNA(VLOOKUP(Table1[[#This Row],[Part Number]],'Multi-level BOM'!V$4:V$449,1,FALSE)),0,Table1[[#This Row],[Remaining Extended cost]])</f>
        <v>0</v>
      </c>
    </row>
    <row r="594" spans="1:29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80" t="str">
        <f>IF(Table1[[#This Row],[Buy-now costs]]&gt;0,"X","")</f>
        <v/>
      </c>
      <c r="M594" s="80"/>
      <c r="N594" s="80"/>
      <c r="O594" s="40">
        <v>0</v>
      </c>
      <c r="P594" s="94">
        <f>Table1[[#This Row],[quantity on-hand]]*(Table1[[#This Row],[Cost ]]+Table1[[#This Row],[shipping]]+Table1[[#This Row],[Tax]])</f>
        <v>0</v>
      </c>
      <c r="Q594" s="40">
        <v>0</v>
      </c>
      <c r="R594" s="92">
        <f>Table1[[#This Row],[Quantity on order]]*(Table1[[#This Row],[Cost ]]+Table1[[#This Row],[shipping]]+Table1[[#This Row],[Tax]])</f>
        <v>0</v>
      </c>
      <c r="S5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4" s="49">
        <f>Table1[[#This Row],[Quantity  to  purchase]]+Table1[[#This Row],[Quantity purchased]]+Table1[[#This Row],[Quantity on order]]+Table1[[#This Row],[Quantity donated]]-Table1[[#This Row],[extended quantity]]</f>
        <v>0</v>
      </c>
      <c r="U5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4" s="51">
        <f>IFERROR(Table1[[#This Row],[Quantity  to  purchase]]*(Table1[[#This Row],[Cost ]]+Table1[[#This Row],[shipping]]+Table1[[#This Row],[Tax]]),0)</f>
        <v>0</v>
      </c>
      <c r="W594" s="36">
        <f>IFERROR(Table1[[#This Row],[leftover material]]*(Table1[[#This Row],[Cost ]]+Table1[[#This Row],[shipping]]+Table1[[#This Row],[Tax]]),0)</f>
        <v>0</v>
      </c>
      <c r="X594" s="36"/>
      <c r="Y594" s="84"/>
      <c r="Z594" s="84"/>
      <c r="AA594" s="84"/>
      <c r="AB594" s="36"/>
      <c r="AC594" s="36">
        <f>IF(ISNA(VLOOKUP(Table1[[#This Row],[Part Number]],'Multi-level BOM'!V$4:V$449,1,FALSE)),0,Table1[[#This Row],[Remaining Extended cost]])</f>
        <v>0</v>
      </c>
    </row>
    <row r="595" spans="1:29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80" t="str">
        <f>IF(Table1[[#This Row],[Buy-now costs]]&gt;0,"X","")</f>
        <v/>
      </c>
      <c r="M595" s="80"/>
      <c r="N595" s="80"/>
      <c r="O595" s="40">
        <v>0</v>
      </c>
      <c r="P595" s="94">
        <f>Table1[[#This Row],[quantity on-hand]]*(Table1[[#This Row],[Cost ]]+Table1[[#This Row],[shipping]]+Table1[[#This Row],[Tax]])</f>
        <v>0</v>
      </c>
      <c r="Q595" s="40">
        <v>0</v>
      </c>
      <c r="R595" s="92">
        <f>Table1[[#This Row],[Quantity on order]]*(Table1[[#This Row],[Cost ]]+Table1[[#This Row],[shipping]]+Table1[[#This Row],[Tax]])</f>
        <v>0</v>
      </c>
      <c r="S5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5" s="49">
        <f>Table1[[#This Row],[Quantity  to  purchase]]+Table1[[#This Row],[Quantity purchased]]+Table1[[#This Row],[Quantity on order]]+Table1[[#This Row],[Quantity donated]]-Table1[[#This Row],[extended quantity]]</f>
        <v>0</v>
      </c>
      <c r="U5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5" s="51">
        <f>IFERROR(Table1[[#This Row],[Quantity  to  purchase]]*(Table1[[#This Row],[Cost ]]+Table1[[#This Row],[shipping]]+Table1[[#This Row],[Tax]]),0)</f>
        <v>0</v>
      </c>
      <c r="W595" s="36">
        <f>IFERROR(Table1[[#This Row],[leftover material]]*(Table1[[#This Row],[Cost ]]+Table1[[#This Row],[shipping]]+Table1[[#This Row],[Tax]]),0)</f>
        <v>0</v>
      </c>
      <c r="X595" s="36"/>
      <c r="Y595" s="84"/>
      <c r="Z595" s="84"/>
      <c r="AA595" s="84"/>
      <c r="AB595" s="36"/>
      <c r="AC595" s="36">
        <f>IF(ISNA(VLOOKUP(Table1[[#This Row],[Part Number]],'Multi-level BOM'!V$4:V$449,1,FALSE)),0,Table1[[#This Row],[Remaining Extended cost]])</f>
        <v>0</v>
      </c>
    </row>
    <row r="596" spans="1:29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80" t="str">
        <f>IF(Table1[[#This Row],[Buy-now costs]]&gt;0,"X","")</f>
        <v/>
      </c>
      <c r="M596" s="80"/>
      <c r="N596" s="80"/>
      <c r="O596" s="40">
        <v>0</v>
      </c>
      <c r="P596" s="94">
        <f>Table1[[#This Row],[quantity on-hand]]*(Table1[[#This Row],[Cost ]]+Table1[[#This Row],[shipping]]+Table1[[#This Row],[Tax]])</f>
        <v>0</v>
      </c>
      <c r="Q596" s="40">
        <v>0</v>
      </c>
      <c r="R596" s="92">
        <f>Table1[[#This Row],[Quantity on order]]*(Table1[[#This Row],[Cost ]]+Table1[[#This Row],[shipping]]+Table1[[#This Row],[Tax]])</f>
        <v>0</v>
      </c>
      <c r="S5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6" s="49">
        <f>Table1[[#This Row],[Quantity  to  purchase]]+Table1[[#This Row],[Quantity purchased]]+Table1[[#This Row],[Quantity on order]]+Table1[[#This Row],[Quantity donated]]-Table1[[#This Row],[extended quantity]]</f>
        <v>0</v>
      </c>
      <c r="U5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6" s="51">
        <f>IFERROR(Table1[[#This Row],[Quantity  to  purchase]]*(Table1[[#This Row],[Cost ]]+Table1[[#This Row],[shipping]]+Table1[[#This Row],[Tax]]),0)</f>
        <v>0</v>
      </c>
      <c r="W596" s="36">
        <f>IFERROR(Table1[[#This Row],[leftover material]]*(Table1[[#This Row],[Cost ]]+Table1[[#This Row],[shipping]]+Table1[[#This Row],[Tax]]),0)</f>
        <v>0</v>
      </c>
      <c r="X596" s="36"/>
      <c r="Y596" s="84"/>
      <c r="Z596" s="84"/>
      <c r="AA596" s="84"/>
      <c r="AB596" s="36"/>
      <c r="AC596" s="36">
        <f>IF(ISNA(VLOOKUP(Table1[[#This Row],[Part Number]],'Multi-level BOM'!V$4:V$449,1,FALSE)),0,Table1[[#This Row],[Remaining Extended cost]])</f>
        <v>0</v>
      </c>
    </row>
    <row r="597" spans="1:29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80" t="str">
        <f>IF(Table1[[#This Row],[Buy-now costs]]&gt;0,"X","")</f>
        <v/>
      </c>
      <c r="M597" s="80"/>
      <c r="N597" s="80"/>
      <c r="O597" s="40">
        <v>0</v>
      </c>
      <c r="P597" s="94">
        <f>Table1[[#This Row],[quantity on-hand]]*(Table1[[#This Row],[Cost ]]+Table1[[#This Row],[shipping]]+Table1[[#This Row],[Tax]])</f>
        <v>0</v>
      </c>
      <c r="Q597" s="40">
        <v>0</v>
      </c>
      <c r="R597" s="92">
        <f>Table1[[#This Row],[Quantity on order]]*(Table1[[#This Row],[Cost ]]+Table1[[#This Row],[shipping]]+Table1[[#This Row],[Tax]])</f>
        <v>0</v>
      </c>
      <c r="S5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7" s="49">
        <f>Table1[[#This Row],[Quantity  to  purchase]]+Table1[[#This Row],[Quantity purchased]]+Table1[[#This Row],[Quantity on order]]+Table1[[#This Row],[Quantity donated]]-Table1[[#This Row],[extended quantity]]</f>
        <v>0</v>
      </c>
      <c r="U5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7" s="51">
        <f>IFERROR(Table1[[#This Row],[Quantity  to  purchase]]*(Table1[[#This Row],[Cost ]]+Table1[[#This Row],[shipping]]+Table1[[#This Row],[Tax]]),0)</f>
        <v>0</v>
      </c>
      <c r="W597" s="36">
        <f>IFERROR(Table1[[#This Row],[leftover material]]*(Table1[[#This Row],[Cost ]]+Table1[[#This Row],[shipping]]+Table1[[#This Row],[Tax]]),0)</f>
        <v>0</v>
      </c>
      <c r="X597" s="36"/>
      <c r="Y597" s="84"/>
      <c r="Z597" s="84"/>
      <c r="AA597" s="84"/>
      <c r="AB597" s="36"/>
      <c r="AC597" s="36">
        <f>IF(ISNA(VLOOKUP(Table1[[#This Row],[Part Number]],'Multi-level BOM'!V$4:V$449,1,FALSE)),0,Table1[[#This Row],[Remaining Extended cost]])</f>
        <v>0</v>
      </c>
    </row>
    <row r="598" spans="1:29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80" t="str">
        <f>IF(Table1[[#This Row],[Buy-now costs]]&gt;0,"X","")</f>
        <v/>
      </c>
      <c r="M598" s="80"/>
      <c r="N598" s="80"/>
      <c r="O598" s="40">
        <v>0</v>
      </c>
      <c r="P598" s="94">
        <f>Table1[[#This Row],[quantity on-hand]]*(Table1[[#This Row],[Cost ]]+Table1[[#This Row],[shipping]]+Table1[[#This Row],[Tax]])</f>
        <v>0</v>
      </c>
      <c r="Q598" s="40">
        <v>0</v>
      </c>
      <c r="R598" s="92">
        <f>Table1[[#This Row],[Quantity on order]]*(Table1[[#This Row],[Cost ]]+Table1[[#This Row],[shipping]]+Table1[[#This Row],[Tax]])</f>
        <v>0</v>
      </c>
      <c r="S5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8" s="49">
        <f>Table1[[#This Row],[Quantity  to  purchase]]+Table1[[#This Row],[Quantity purchased]]+Table1[[#This Row],[Quantity on order]]+Table1[[#This Row],[Quantity donated]]-Table1[[#This Row],[extended quantity]]</f>
        <v>0</v>
      </c>
      <c r="U5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8" s="51">
        <f>IFERROR(Table1[[#This Row],[Quantity  to  purchase]]*(Table1[[#This Row],[Cost ]]+Table1[[#This Row],[shipping]]+Table1[[#This Row],[Tax]]),0)</f>
        <v>0</v>
      </c>
      <c r="W598" s="36">
        <f>IFERROR(Table1[[#This Row],[leftover material]]*(Table1[[#This Row],[Cost ]]+Table1[[#This Row],[shipping]]+Table1[[#This Row],[Tax]]),0)</f>
        <v>0</v>
      </c>
      <c r="X598" s="36"/>
      <c r="Y598" s="84"/>
      <c r="Z598" s="84"/>
      <c r="AA598" s="84"/>
      <c r="AB598" s="36"/>
      <c r="AC598" s="36">
        <f>IF(ISNA(VLOOKUP(Table1[[#This Row],[Part Number]],'Multi-level BOM'!V$4:V$449,1,FALSE)),0,Table1[[#This Row],[Remaining Extended cost]])</f>
        <v>0</v>
      </c>
    </row>
    <row r="599" spans="1:29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80" t="str">
        <f>IF(Table1[[#This Row],[Buy-now costs]]&gt;0,"X","")</f>
        <v/>
      </c>
      <c r="M599" s="80"/>
      <c r="N599" s="80"/>
      <c r="O599" s="40">
        <v>0</v>
      </c>
      <c r="P599" s="94">
        <f>Table1[[#This Row],[quantity on-hand]]*(Table1[[#This Row],[Cost ]]+Table1[[#This Row],[shipping]]+Table1[[#This Row],[Tax]])</f>
        <v>0</v>
      </c>
      <c r="Q599" s="40">
        <v>0</v>
      </c>
      <c r="R599" s="92">
        <f>Table1[[#This Row],[Quantity on order]]*(Table1[[#This Row],[Cost ]]+Table1[[#This Row],[shipping]]+Table1[[#This Row],[Tax]])</f>
        <v>0</v>
      </c>
      <c r="S5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9" s="49">
        <f>Table1[[#This Row],[Quantity  to  purchase]]+Table1[[#This Row],[Quantity purchased]]+Table1[[#This Row],[Quantity on order]]+Table1[[#This Row],[Quantity donated]]-Table1[[#This Row],[extended quantity]]</f>
        <v>0</v>
      </c>
      <c r="U5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9" s="51">
        <f>IFERROR(Table1[[#This Row],[Quantity  to  purchase]]*(Table1[[#This Row],[Cost ]]+Table1[[#This Row],[shipping]]+Table1[[#This Row],[Tax]]),0)</f>
        <v>0</v>
      </c>
      <c r="W599" s="36">
        <f>IFERROR(Table1[[#This Row],[leftover material]]*(Table1[[#This Row],[Cost ]]+Table1[[#This Row],[shipping]]+Table1[[#This Row],[Tax]]),0)</f>
        <v>0</v>
      </c>
      <c r="X599" s="36"/>
      <c r="Y599" s="84"/>
      <c r="Z599" s="84"/>
      <c r="AA599" s="84"/>
      <c r="AB599" s="36"/>
      <c r="AC599" s="36">
        <f>IF(ISNA(VLOOKUP(Table1[[#This Row],[Part Number]],'Multi-level BOM'!V$4:V$449,1,FALSE)),0,Table1[[#This Row],[Remaining Extended cost]])</f>
        <v>0</v>
      </c>
    </row>
    <row r="600" spans="1:29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80" t="str">
        <f>IF(Table1[[#This Row],[Buy-now costs]]&gt;0,"X","")</f>
        <v/>
      </c>
      <c r="M600" s="80"/>
      <c r="N600" s="80"/>
      <c r="O600" s="40">
        <v>0</v>
      </c>
      <c r="P600" s="94">
        <f>Table1[[#This Row],[quantity on-hand]]*(Table1[[#This Row],[Cost ]]+Table1[[#This Row],[shipping]]+Table1[[#This Row],[Tax]])</f>
        <v>0</v>
      </c>
      <c r="Q600" s="40">
        <v>0</v>
      </c>
      <c r="R600" s="92">
        <f>Table1[[#This Row],[Quantity on order]]*(Table1[[#This Row],[Cost ]]+Table1[[#This Row],[shipping]]+Table1[[#This Row],[Tax]])</f>
        <v>0</v>
      </c>
      <c r="S6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0" s="49">
        <f>Table1[[#This Row],[Quantity  to  purchase]]+Table1[[#This Row],[Quantity purchased]]+Table1[[#This Row],[Quantity on order]]+Table1[[#This Row],[Quantity donated]]-Table1[[#This Row],[extended quantity]]</f>
        <v>0</v>
      </c>
      <c r="U6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0" s="51">
        <f>IFERROR(Table1[[#This Row],[Quantity  to  purchase]]*(Table1[[#This Row],[Cost ]]+Table1[[#This Row],[shipping]]+Table1[[#This Row],[Tax]]),0)</f>
        <v>0</v>
      </c>
      <c r="W600" s="36">
        <f>IFERROR(Table1[[#This Row],[leftover material]]*(Table1[[#This Row],[Cost ]]+Table1[[#This Row],[shipping]]+Table1[[#This Row],[Tax]]),0)</f>
        <v>0</v>
      </c>
      <c r="X600" s="36"/>
      <c r="Y600" s="84"/>
      <c r="Z600" s="84"/>
      <c r="AA600" s="84"/>
      <c r="AB600" s="36"/>
      <c r="AC600" s="36">
        <f>IF(ISNA(VLOOKUP(Table1[[#This Row],[Part Number]],'Multi-level BOM'!V$4:V$449,1,FALSE)),0,Table1[[#This Row],[Remaining Extended cost]])</f>
        <v>0</v>
      </c>
    </row>
    <row r="601" spans="1:29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80" t="str">
        <f>IF(Table1[[#This Row],[Buy-now costs]]&gt;0,"X","")</f>
        <v/>
      </c>
      <c r="M601" s="80"/>
      <c r="N601" s="80"/>
      <c r="O601" s="40">
        <v>0</v>
      </c>
      <c r="P601" s="94">
        <f>Table1[[#This Row],[quantity on-hand]]*(Table1[[#This Row],[Cost ]]+Table1[[#This Row],[shipping]]+Table1[[#This Row],[Tax]])</f>
        <v>0</v>
      </c>
      <c r="Q601" s="40">
        <v>0</v>
      </c>
      <c r="R601" s="92">
        <f>Table1[[#This Row],[Quantity on order]]*(Table1[[#This Row],[Cost ]]+Table1[[#This Row],[shipping]]+Table1[[#This Row],[Tax]])</f>
        <v>0</v>
      </c>
      <c r="S6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1" s="49">
        <f>Table1[[#This Row],[Quantity  to  purchase]]+Table1[[#This Row],[Quantity purchased]]+Table1[[#This Row],[Quantity on order]]+Table1[[#This Row],[Quantity donated]]-Table1[[#This Row],[extended quantity]]</f>
        <v>0</v>
      </c>
      <c r="U6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1" s="51">
        <f>IFERROR(Table1[[#This Row],[Quantity  to  purchase]]*(Table1[[#This Row],[Cost ]]+Table1[[#This Row],[shipping]]+Table1[[#This Row],[Tax]]),0)</f>
        <v>0</v>
      </c>
      <c r="W601" s="36">
        <f>IFERROR(Table1[[#This Row],[leftover material]]*(Table1[[#This Row],[Cost ]]+Table1[[#This Row],[shipping]]+Table1[[#This Row],[Tax]]),0)</f>
        <v>0</v>
      </c>
      <c r="X601" s="36"/>
      <c r="Y601" s="84"/>
      <c r="Z601" s="84"/>
      <c r="AA601" s="84"/>
      <c r="AB601" s="36"/>
      <c r="AC601" s="36">
        <f>IF(ISNA(VLOOKUP(Table1[[#This Row],[Part Number]],'Multi-level BOM'!V$4:V$449,1,FALSE)),0,Table1[[#This Row],[Remaining Extended cost]])</f>
        <v>0</v>
      </c>
    </row>
    <row r="602" spans="1:29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80" t="str">
        <f>IF(Table1[[#This Row],[Buy-now costs]]&gt;0,"X","")</f>
        <v/>
      </c>
      <c r="M602" s="80"/>
      <c r="N602" s="80"/>
      <c r="O602" s="40">
        <v>0</v>
      </c>
      <c r="P602" s="94">
        <f>Table1[[#This Row],[quantity on-hand]]*(Table1[[#This Row],[Cost ]]+Table1[[#This Row],[shipping]]+Table1[[#This Row],[Tax]])</f>
        <v>0</v>
      </c>
      <c r="Q602" s="40">
        <v>0</v>
      </c>
      <c r="R602" s="92">
        <f>Table1[[#This Row],[Quantity on order]]*(Table1[[#This Row],[Cost ]]+Table1[[#This Row],[shipping]]+Table1[[#This Row],[Tax]])</f>
        <v>0</v>
      </c>
      <c r="S6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2" s="49">
        <f>Table1[[#This Row],[Quantity  to  purchase]]+Table1[[#This Row],[Quantity purchased]]+Table1[[#This Row],[Quantity on order]]+Table1[[#This Row],[Quantity donated]]-Table1[[#This Row],[extended quantity]]</f>
        <v>0</v>
      </c>
      <c r="U6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2" s="51">
        <f>IFERROR(Table1[[#This Row],[Quantity  to  purchase]]*(Table1[[#This Row],[Cost ]]+Table1[[#This Row],[shipping]]+Table1[[#This Row],[Tax]]),0)</f>
        <v>0</v>
      </c>
      <c r="W602" s="36">
        <f>IFERROR(Table1[[#This Row],[leftover material]]*(Table1[[#This Row],[Cost ]]+Table1[[#This Row],[shipping]]+Table1[[#This Row],[Tax]]),0)</f>
        <v>0</v>
      </c>
      <c r="X602" s="36"/>
      <c r="Y602" s="84"/>
      <c r="Z602" s="84"/>
      <c r="AA602" s="84"/>
      <c r="AB602" s="36"/>
      <c r="AC602" s="36">
        <f>IF(ISNA(VLOOKUP(Table1[[#This Row],[Part Number]],'Multi-level BOM'!V$4:V$449,1,FALSE)),0,Table1[[#This Row],[Remaining Extended cost]])</f>
        <v>0</v>
      </c>
    </row>
    <row r="603" spans="1:29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80" t="str">
        <f>IF(Table1[[#This Row],[Buy-now costs]]&gt;0,"X","")</f>
        <v/>
      </c>
      <c r="M603" s="80"/>
      <c r="N603" s="80"/>
      <c r="O603" s="40">
        <v>0</v>
      </c>
      <c r="P603" s="94">
        <f>Table1[[#This Row],[quantity on-hand]]*(Table1[[#This Row],[Cost ]]+Table1[[#This Row],[shipping]]+Table1[[#This Row],[Tax]])</f>
        <v>0</v>
      </c>
      <c r="Q603" s="40">
        <v>0</v>
      </c>
      <c r="R603" s="92">
        <f>Table1[[#This Row],[Quantity on order]]*(Table1[[#This Row],[Cost ]]+Table1[[#This Row],[shipping]]+Table1[[#This Row],[Tax]])</f>
        <v>0</v>
      </c>
      <c r="S6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3" s="49">
        <f>Table1[[#This Row],[Quantity  to  purchase]]+Table1[[#This Row],[Quantity purchased]]+Table1[[#This Row],[Quantity on order]]+Table1[[#This Row],[Quantity donated]]-Table1[[#This Row],[extended quantity]]</f>
        <v>0</v>
      </c>
      <c r="U6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3" s="51">
        <f>IFERROR(Table1[[#This Row],[Quantity  to  purchase]]*(Table1[[#This Row],[Cost ]]+Table1[[#This Row],[shipping]]+Table1[[#This Row],[Tax]]),0)</f>
        <v>0</v>
      </c>
      <c r="W603" s="36">
        <f>IFERROR(Table1[[#This Row],[leftover material]]*(Table1[[#This Row],[Cost ]]+Table1[[#This Row],[shipping]]+Table1[[#This Row],[Tax]]),0)</f>
        <v>0</v>
      </c>
      <c r="X603" s="36"/>
      <c r="Y603" s="84"/>
      <c r="Z603" s="84"/>
      <c r="AA603" s="84"/>
      <c r="AB603" s="36"/>
      <c r="AC603" s="36">
        <f>IF(ISNA(VLOOKUP(Table1[[#This Row],[Part Number]],'Multi-level BOM'!V$4:V$449,1,FALSE)),0,Table1[[#This Row],[Remaining Extended cost]])</f>
        <v>0</v>
      </c>
    </row>
    <row r="604" spans="1:29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80" t="str">
        <f>IF(Table1[[#This Row],[Buy-now costs]]&gt;0,"X","")</f>
        <v/>
      </c>
      <c r="M604" s="80"/>
      <c r="N604" s="80"/>
      <c r="O604" s="40">
        <v>0</v>
      </c>
      <c r="P604" s="94">
        <f>Table1[[#This Row],[quantity on-hand]]*(Table1[[#This Row],[Cost ]]+Table1[[#This Row],[shipping]]+Table1[[#This Row],[Tax]])</f>
        <v>0</v>
      </c>
      <c r="Q604" s="40">
        <v>0</v>
      </c>
      <c r="R604" s="92">
        <f>Table1[[#This Row],[Quantity on order]]*(Table1[[#This Row],[Cost ]]+Table1[[#This Row],[shipping]]+Table1[[#This Row],[Tax]])</f>
        <v>0</v>
      </c>
      <c r="S6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4" s="49">
        <f>Table1[[#This Row],[Quantity  to  purchase]]+Table1[[#This Row],[Quantity purchased]]+Table1[[#This Row],[Quantity on order]]+Table1[[#This Row],[Quantity donated]]-Table1[[#This Row],[extended quantity]]</f>
        <v>0</v>
      </c>
      <c r="U6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4" s="51">
        <f>IFERROR(Table1[[#This Row],[Quantity  to  purchase]]*(Table1[[#This Row],[Cost ]]+Table1[[#This Row],[shipping]]+Table1[[#This Row],[Tax]]),0)</f>
        <v>0</v>
      </c>
      <c r="W604" s="36">
        <f>IFERROR(Table1[[#This Row],[leftover material]]*(Table1[[#This Row],[Cost ]]+Table1[[#This Row],[shipping]]+Table1[[#This Row],[Tax]]),0)</f>
        <v>0</v>
      </c>
      <c r="X604" s="36"/>
      <c r="Y604" s="84"/>
      <c r="Z604" s="84"/>
      <c r="AA604" s="84"/>
      <c r="AB604" s="36"/>
      <c r="AC604" s="36">
        <f>IF(ISNA(VLOOKUP(Table1[[#This Row],[Part Number]],'Multi-level BOM'!V$4:V$449,1,FALSE)),0,Table1[[#This Row],[Remaining Extended cost]])</f>
        <v>0</v>
      </c>
    </row>
    <row r="605" spans="1:29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80" t="str">
        <f>IF(Table1[[#This Row],[Buy-now costs]]&gt;0,"X","")</f>
        <v/>
      </c>
      <c r="M605" s="80"/>
      <c r="N605" s="80"/>
      <c r="O605" s="40">
        <v>0</v>
      </c>
      <c r="P605" s="94">
        <f>Table1[[#This Row],[quantity on-hand]]*(Table1[[#This Row],[Cost ]]+Table1[[#This Row],[shipping]]+Table1[[#This Row],[Tax]])</f>
        <v>0</v>
      </c>
      <c r="Q605" s="40">
        <v>0</v>
      </c>
      <c r="R605" s="92">
        <f>Table1[[#This Row],[Quantity on order]]*(Table1[[#This Row],[Cost ]]+Table1[[#This Row],[shipping]]+Table1[[#This Row],[Tax]])</f>
        <v>0</v>
      </c>
      <c r="S6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5" s="49">
        <f>Table1[[#This Row],[Quantity  to  purchase]]+Table1[[#This Row],[Quantity purchased]]+Table1[[#This Row],[Quantity on order]]+Table1[[#This Row],[Quantity donated]]-Table1[[#This Row],[extended quantity]]</f>
        <v>0</v>
      </c>
      <c r="U6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5" s="51">
        <f>IFERROR(Table1[[#This Row],[Quantity  to  purchase]]*(Table1[[#This Row],[Cost ]]+Table1[[#This Row],[shipping]]+Table1[[#This Row],[Tax]]),0)</f>
        <v>0</v>
      </c>
      <c r="W605" s="36">
        <f>IFERROR(Table1[[#This Row],[leftover material]]*(Table1[[#This Row],[Cost ]]+Table1[[#This Row],[shipping]]+Table1[[#This Row],[Tax]]),0)</f>
        <v>0</v>
      </c>
      <c r="X605" s="36"/>
      <c r="Y605" s="84"/>
      <c r="Z605" s="84"/>
      <c r="AA605" s="84"/>
      <c r="AB605" s="36"/>
      <c r="AC605" s="36">
        <f>IF(ISNA(VLOOKUP(Table1[[#This Row],[Part Number]],'Multi-level BOM'!V$4:V$449,1,FALSE)),0,Table1[[#This Row],[Remaining Extended cost]])</f>
        <v>0</v>
      </c>
    </row>
    <row r="606" spans="1:29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80" t="str">
        <f>IF(Table1[[#This Row],[Buy-now costs]]&gt;0,"X","")</f>
        <v/>
      </c>
      <c r="M606" s="80"/>
      <c r="N606" s="80"/>
      <c r="O606" s="40">
        <v>0</v>
      </c>
      <c r="P606" s="94">
        <f>Table1[[#This Row],[quantity on-hand]]*(Table1[[#This Row],[Cost ]]+Table1[[#This Row],[shipping]]+Table1[[#This Row],[Tax]])</f>
        <v>0</v>
      </c>
      <c r="Q606" s="40">
        <v>0</v>
      </c>
      <c r="R606" s="92">
        <f>Table1[[#This Row],[Quantity on order]]*(Table1[[#This Row],[Cost ]]+Table1[[#This Row],[shipping]]+Table1[[#This Row],[Tax]])</f>
        <v>0</v>
      </c>
      <c r="S6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6" s="49">
        <f>Table1[[#This Row],[Quantity  to  purchase]]+Table1[[#This Row],[Quantity purchased]]+Table1[[#This Row],[Quantity on order]]+Table1[[#This Row],[Quantity donated]]-Table1[[#This Row],[extended quantity]]</f>
        <v>0</v>
      </c>
      <c r="U6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6" s="51">
        <f>IFERROR(Table1[[#This Row],[Quantity  to  purchase]]*(Table1[[#This Row],[Cost ]]+Table1[[#This Row],[shipping]]+Table1[[#This Row],[Tax]]),0)</f>
        <v>0</v>
      </c>
      <c r="W606" s="36">
        <f>IFERROR(Table1[[#This Row],[leftover material]]*(Table1[[#This Row],[Cost ]]+Table1[[#This Row],[shipping]]+Table1[[#This Row],[Tax]]),0)</f>
        <v>0</v>
      </c>
      <c r="X606" s="36"/>
      <c r="Y606" s="84"/>
      <c r="Z606" s="84"/>
      <c r="AA606" s="84"/>
      <c r="AB606" s="36"/>
      <c r="AC606" s="36">
        <f>IF(ISNA(VLOOKUP(Table1[[#This Row],[Part Number]],'Multi-level BOM'!V$4:V$449,1,FALSE)),0,Table1[[#This Row],[Remaining Extended cost]])</f>
        <v>0</v>
      </c>
    </row>
    <row r="607" spans="1:29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80" t="str">
        <f>IF(Table1[[#This Row],[Buy-now costs]]&gt;0,"X","")</f>
        <v/>
      </c>
      <c r="M607" s="80"/>
      <c r="N607" s="80"/>
      <c r="O607" s="40">
        <v>0</v>
      </c>
      <c r="P607" s="94">
        <f>Table1[[#This Row],[quantity on-hand]]*(Table1[[#This Row],[Cost ]]+Table1[[#This Row],[shipping]]+Table1[[#This Row],[Tax]])</f>
        <v>0</v>
      </c>
      <c r="Q607" s="40">
        <v>0</v>
      </c>
      <c r="R607" s="92">
        <f>Table1[[#This Row],[Quantity on order]]*(Table1[[#This Row],[Cost ]]+Table1[[#This Row],[shipping]]+Table1[[#This Row],[Tax]])</f>
        <v>0</v>
      </c>
      <c r="S6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7" s="49">
        <f>Table1[[#This Row],[Quantity  to  purchase]]+Table1[[#This Row],[Quantity purchased]]+Table1[[#This Row],[Quantity on order]]+Table1[[#This Row],[Quantity donated]]-Table1[[#This Row],[extended quantity]]</f>
        <v>0</v>
      </c>
      <c r="U6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7" s="51">
        <f>IFERROR(Table1[[#This Row],[Quantity  to  purchase]]*(Table1[[#This Row],[Cost ]]+Table1[[#This Row],[shipping]]+Table1[[#This Row],[Tax]]),0)</f>
        <v>0</v>
      </c>
      <c r="W607" s="36">
        <f>IFERROR(Table1[[#This Row],[leftover material]]*(Table1[[#This Row],[Cost ]]+Table1[[#This Row],[shipping]]+Table1[[#This Row],[Tax]]),0)</f>
        <v>0</v>
      </c>
      <c r="X607" s="36"/>
      <c r="Y607" s="84"/>
      <c r="Z607" s="84"/>
      <c r="AA607" s="84"/>
      <c r="AB607" s="36"/>
      <c r="AC607" s="36">
        <f>IF(ISNA(VLOOKUP(Table1[[#This Row],[Part Number]],'Multi-level BOM'!V$4:V$449,1,FALSE)),0,Table1[[#This Row],[Remaining Extended cost]])</f>
        <v>0</v>
      </c>
    </row>
    <row r="608" spans="1:29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80" t="str">
        <f>IF(Table1[[#This Row],[Buy-now costs]]&gt;0,"X","")</f>
        <v/>
      </c>
      <c r="M608" s="80"/>
      <c r="N608" s="80"/>
      <c r="O608" s="40">
        <v>0</v>
      </c>
      <c r="P608" s="94">
        <f>Table1[[#This Row],[quantity on-hand]]*(Table1[[#This Row],[Cost ]]+Table1[[#This Row],[shipping]]+Table1[[#This Row],[Tax]])</f>
        <v>0</v>
      </c>
      <c r="Q608" s="40">
        <v>0</v>
      </c>
      <c r="R608" s="92">
        <f>Table1[[#This Row],[Quantity on order]]*(Table1[[#This Row],[Cost ]]+Table1[[#This Row],[shipping]]+Table1[[#This Row],[Tax]])</f>
        <v>0</v>
      </c>
      <c r="S6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8" s="49">
        <f>Table1[[#This Row],[Quantity  to  purchase]]+Table1[[#This Row],[Quantity purchased]]+Table1[[#This Row],[Quantity on order]]+Table1[[#This Row],[Quantity donated]]-Table1[[#This Row],[extended quantity]]</f>
        <v>0</v>
      </c>
      <c r="U6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8" s="51">
        <f>IFERROR(Table1[[#This Row],[Quantity  to  purchase]]*(Table1[[#This Row],[Cost ]]+Table1[[#This Row],[shipping]]+Table1[[#This Row],[Tax]]),0)</f>
        <v>0</v>
      </c>
      <c r="W608" s="36">
        <f>IFERROR(Table1[[#This Row],[leftover material]]*(Table1[[#This Row],[Cost ]]+Table1[[#This Row],[shipping]]+Table1[[#This Row],[Tax]]),0)</f>
        <v>0</v>
      </c>
      <c r="X608" s="36"/>
      <c r="Y608" s="84"/>
      <c r="Z608" s="84"/>
      <c r="AA608" s="84"/>
      <c r="AB608" s="36"/>
      <c r="AC608" s="36">
        <f>IF(ISNA(VLOOKUP(Table1[[#This Row],[Part Number]],'Multi-level BOM'!V$4:V$449,1,FALSE)),0,Table1[[#This Row],[Remaining Extended cost]])</f>
        <v>0</v>
      </c>
    </row>
    <row r="609" spans="1:29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80" t="str">
        <f>IF(Table1[[#This Row],[Buy-now costs]]&gt;0,"X","")</f>
        <v/>
      </c>
      <c r="M609" s="80"/>
      <c r="N609" s="80"/>
      <c r="O609" s="40">
        <v>0</v>
      </c>
      <c r="P609" s="94">
        <f>Table1[[#This Row],[quantity on-hand]]*(Table1[[#This Row],[Cost ]]+Table1[[#This Row],[shipping]]+Table1[[#This Row],[Tax]])</f>
        <v>0</v>
      </c>
      <c r="Q609" s="40">
        <v>0</v>
      </c>
      <c r="R609" s="92">
        <f>Table1[[#This Row],[Quantity on order]]*(Table1[[#This Row],[Cost ]]+Table1[[#This Row],[shipping]]+Table1[[#This Row],[Tax]])</f>
        <v>0</v>
      </c>
      <c r="S6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9" s="49">
        <f>Table1[[#This Row],[Quantity  to  purchase]]+Table1[[#This Row],[Quantity purchased]]+Table1[[#This Row],[Quantity on order]]+Table1[[#This Row],[Quantity donated]]-Table1[[#This Row],[extended quantity]]</f>
        <v>0</v>
      </c>
      <c r="U6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9" s="51">
        <f>IFERROR(Table1[[#This Row],[Quantity  to  purchase]]*(Table1[[#This Row],[Cost ]]+Table1[[#This Row],[shipping]]+Table1[[#This Row],[Tax]]),0)</f>
        <v>0</v>
      </c>
      <c r="W609" s="36">
        <f>IFERROR(Table1[[#This Row],[leftover material]]*(Table1[[#This Row],[Cost ]]+Table1[[#This Row],[shipping]]+Table1[[#This Row],[Tax]]),0)</f>
        <v>0</v>
      </c>
      <c r="X609" s="36"/>
      <c r="Y609" s="84"/>
      <c r="Z609" s="84"/>
      <c r="AA609" s="84"/>
      <c r="AB609" s="36"/>
      <c r="AC609" s="36">
        <f>IF(ISNA(VLOOKUP(Table1[[#This Row],[Part Number]],'Multi-level BOM'!V$4:V$449,1,FALSE)),0,Table1[[#This Row],[Remaining Extended cost]])</f>
        <v>0</v>
      </c>
    </row>
    <row r="610" spans="1:29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80" t="str">
        <f>IF(Table1[[#This Row],[Buy-now costs]]&gt;0,"X","")</f>
        <v/>
      </c>
      <c r="M610" s="80"/>
      <c r="N610" s="80"/>
      <c r="O610" s="40">
        <v>0</v>
      </c>
      <c r="P610" s="94">
        <f>Table1[[#This Row],[quantity on-hand]]*(Table1[[#This Row],[Cost ]]+Table1[[#This Row],[shipping]]+Table1[[#This Row],[Tax]])</f>
        <v>0</v>
      </c>
      <c r="Q610" s="40">
        <v>0</v>
      </c>
      <c r="R610" s="92">
        <f>Table1[[#This Row],[Quantity on order]]*(Table1[[#This Row],[Cost ]]+Table1[[#This Row],[shipping]]+Table1[[#This Row],[Tax]])</f>
        <v>0</v>
      </c>
      <c r="S6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0" s="49">
        <f>Table1[[#This Row],[Quantity  to  purchase]]+Table1[[#This Row],[Quantity purchased]]+Table1[[#This Row],[Quantity on order]]+Table1[[#This Row],[Quantity donated]]-Table1[[#This Row],[extended quantity]]</f>
        <v>0</v>
      </c>
      <c r="U6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0" s="51">
        <f>IFERROR(Table1[[#This Row],[Quantity  to  purchase]]*(Table1[[#This Row],[Cost ]]+Table1[[#This Row],[shipping]]+Table1[[#This Row],[Tax]]),0)</f>
        <v>0</v>
      </c>
      <c r="W610" s="36">
        <f>IFERROR(Table1[[#This Row],[leftover material]]*(Table1[[#This Row],[Cost ]]+Table1[[#This Row],[shipping]]+Table1[[#This Row],[Tax]]),0)</f>
        <v>0</v>
      </c>
      <c r="X610" s="36"/>
      <c r="Y610" s="84"/>
      <c r="Z610" s="84"/>
      <c r="AA610" s="84"/>
      <c r="AB610" s="36"/>
      <c r="AC610" s="36">
        <f>IF(ISNA(VLOOKUP(Table1[[#This Row],[Part Number]],'Multi-level BOM'!V$4:V$449,1,FALSE)),0,Table1[[#This Row],[Remaining Extended cost]])</f>
        <v>0</v>
      </c>
    </row>
    <row r="611" spans="1:29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80" t="str">
        <f>IF(Table1[[#This Row],[Buy-now costs]]&gt;0,"X","")</f>
        <v/>
      </c>
      <c r="M611" s="80"/>
      <c r="N611" s="80"/>
      <c r="O611" s="40">
        <v>0</v>
      </c>
      <c r="P611" s="94">
        <f>Table1[[#This Row],[quantity on-hand]]*(Table1[[#This Row],[Cost ]]+Table1[[#This Row],[shipping]]+Table1[[#This Row],[Tax]])</f>
        <v>0</v>
      </c>
      <c r="Q611" s="40">
        <v>0</v>
      </c>
      <c r="R611" s="92">
        <f>Table1[[#This Row],[Quantity on order]]*(Table1[[#This Row],[Cost ]]+Table1[[#This Row],[shipping]]+Table1[[#This Row],[Tax]])</f>
        <v>0</v>
      </c>
      <c r="S6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1" s="49">
        <f>Table1[[#This Row],[Quantity  to  purchase]]+Table1[[#This Row],[Quantity purchased]]+Table1[[#This Row],[Quantity on order]]+Table1[[#This Row],[Quantity donated]]-Table1[[#This Row],[extended quantity]]</f>
        <v>0</v>
      </c>
      <c r="U6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1" s="51">
        <f>IFERROR(Table1[[#This Row],[Quantity  to  purchase]]*(Table1[[#This Row],[Cost ]]+Table1[[#This Row],[shipping]]+Table1[[#This Row],[Tax]]),0)</f>
        <v>0</v>
      </c>
      <c r="W611" s="36">
        <f>IFERROR(Table1[[#This Row],[leftover material]]*(Table1[[#This Row],[Cost ]]+Table1[[#This Row],[shipping]]+Table1[[#This Row],[Tax]]),0)</f>
        <v>0</v>
      </c>
      <c r="X611" s="36"/>
      <c r="Y611" s="84"/>
      <c r="Z611" s="84"/>
      <c r="AA611" s="84"/>
      <c r="AB611" s="36"/>
      <c r="AC611" s="36">
        <f>IF(ISNA(VLOOKUP(Table1[[#This Row],[Part Number]],'Multi-level BOM'!V$4:V$449,1,FALSE)),0,Table1[[#This Row],[Remaining Extended cost]])</f>
        <v>0</v>
      </c>
    </row>
    <row r="612" spans="1:29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80" t="str">
        <f>IF(Table1[[#This Row],[Buy-now costs]]&gt;0,"X","")</f>
        <v/>
      </c>
      <c r="M612" s="80"/>
      <c r="N612" s="80"/>
      <c r="O612" s="40">
        <v>0</v>
      </c>
      <c r="P612" s="94">
        <f>Table1[[#This Row],[quantity on-hand]]*(Table1[[#This Row],[Cost ]]+Table1[[#This Row],[shipping]]+Table1[[#This Row],[Tax]])</f>
        <v>0</v>
      </c>
      <c r="Q612" s="40">
        <v>0</v>
      </c>
      <c r="R612" s="92">
        <f>Table1[[#This Row],[Quantity on order]]*(Table1[[#This Row],[Cost ]]+Table1[[#This Row],[shipping]]+Table1[[#This Row],[Tax]])</f>
        <v>0</v>
      </c>
      <c r="S6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2" s="49">
        <f>Table1[[#This Row],[Quantity  to  purchase]]+Table1[[#This Row],[Quantity purchased]]+Table1[[#This Row],[Quantity on order]]+Table1[[#This Row],[Quantity donated]]-Table1[[#This Row],[extended quantity]]</f>
        <v>0</v>
      </c>
      <c r="U6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2" s="51">
        <f>IFERROR(Table1[[#This Row],[Quantity  to  purchase]]*(Table1[[#This Row],[Cost ]]+Table1[[#This Row],[shipping]]+Table1[[#This Row],[Tax]]),0)</f>
        <v>0</v>
      </c>
      <c r="W612" s="36">
        <f>IFERROR(Table1[[#This Row],[leftover material]]*(Table1[[#This Row],[Cost ]]+Table1[[#This Row],[shipping]]+Table1[[#This Row],[Tax]]),0)</f>
        <v>0</v>
      </c>
      <c r="X612" s="36"/>
      <c r="Y612" s="84"/>
      <c r="Z612" s="84"/>
      <c r="AA612" s="84"/>
      <c r="AB612" s="36"/>
      <c r="AC612" s="36">
        <f>IF(ISNA(VLOOKUP(Table1[[#This Row],[Part Number]],'Multi-level BOM'!V$4:V$449,1,FALSE)),0,Table1[[#This Row],[Remaining Extended cost]])</f>
        <v>0</v>
      </c>
    </row>
    <row r="613" spans="1:29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80" t="str">
        <f>IF(Table1[[#This Row],[Buy-now costs]]&gt;0,"X","")</f>
        <v/>
      </c>
      <c r="M613" s="80"/>
      <c r="N613" s="80"/>
      <c r="O613" s="40">
        <v>0</v>
      </c>
      <c r="P613" s="94">
        <f>Table1[[#This Row],[quantity on-hand]]*(Table1[[#This Row],[Cost ]]+Table1[[#This Row],[shipping]]+Table1[[#This Row],[Tax]])</f>
        <v>0</v>
      </c>
      <c r="Q613" s="40">
        <v>0</v>
      </c>
      <c r="R613" s="92">
        <f>Table1[[#This Row],[Quantity on order]]*(Table1[[#This Row],[Cost ]]+Table1[[#This Row],[shipping]]+Table1[[#This Row],[Tax]])</f>
        <v>0</v>
      </c>
      <c r="S6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3" s="49">
        <f>Table1[[#This Row],[Quantity  to  purchase]]+Table1[[#This Row],[Quantity purchased]]+Table1[[#This Row],[Quantity on order]]+Table1[[#This Row],[Quantity donated]]-Table1[[#This Row],[extended quantity]]</f>
        <v>0</v>
      </c>
      <c r="U6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3" s="51">
        <f>IFERROR(Table1[[#This Row],[Quantity  to  purchase]]*(Table1[[#This Row],[Cost ]]+Table1[[#This Row],[shipping]]+Table1[[#This Row],[Tax]]),0)</f>
        <v>0</v>
      </c>
      <c r="W613" s="36">
        <f>IFERROR(Table1[[#This Row],[leftover material]]*(Table1[[#This Row],[Cost ]]+Table1[[#This Row],[shipping]]+Table1[[#This Row],[Tax]]),0)</f>
        <v>0</v>
      </c>
      <c r="X613" s="36"/>
      <c r="Y613" s="84"/>
      <c r="Z613" s="84"/>
      <c r="AA613" s="84"/>
      <c r="AB613" s="36"/>
      <c r="AC613" s="36">
        <f>IF(ISNA(VLOOKUP(Table1[[#This Row],[Part Number]],'Multi-level BOM'!V$4:V$449,1,FALSE)),0,Table1[[#This Row],[Remaining Extended cost]])</f>
        <v>0</v>
      </c>
    </row>
    <row r="614" spans="1:29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80" t="str">
        <f>IF(Table1[[#This Row],[Buy-now costs]]&gt;0,"X","")</f>
        <v/>
      </c>
      <c r="M614" s="80"/>
      <c r="N614" s="80"/>
      <c r="O614" s="40">
        <v>0</v>
      </c>
      <c r="P614" s="94">
        <f>Table1[[#This Row],[quantity on-hand]]*(Table1[[#This Row],[Cost ]]+Table1[[#This Row],[shipping]]+Table1[[#This Row],[Tax]])</f>
        <v>0</v>
      </c>
      <c r="Q614" s="40">
        <v>0</v>
      </c>
      <c r="R614" s="92">
        <f>Table1[[#This Row],[Quantity on order]]*(Table1[[#This Row],[Cost ]]+Table1[[#This Row],[shipping]]+Table1[[#This Row],[Tax]])</f>
        <v>0</v>
      </c>
      <c r="S6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4" s="49">
        <f>Table1[[#This Row],[Quantity  to  purchase]]+Table1[[#This Row],[Quantity purchased]]+Table1[[#This Row],[Quantity on order]]+Table1[[#This Row],[Quantity donated]]-Table1[[#This Row],[extended quantity]]</f>
        <v>0</v>
      </c>
      <c r="U6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4" s="51">
        <f>IFERROR(Table1[[#This Row],[Quantity  to  purchase]]*(Table1[[#This Row],[Cost ]]+Table1[[#This Row],[shipping]]+Table1[[#This Row],[Tax]]),0)</f>
        <v>0</v>
      </c>
      <c r="W614" s="36">
        <f>IFERROR(Table1[[#This Row],[leftover material]]*(Table1[[#This Row],[Cost ]]+Table1[[#This Row],[shipping]]+Table1[[#This Row],[Tax]]),0)</f>
        <v>0</v>
      </c>
      <c r="X614" s="36"/>
      <c r="Y614" s="84"/>
      <c r="Z614" s="84"/>
      <c r="AA614" s="84"/>
      <c r="AB614" s="36"/>
      <c r="AC614" s="36">
        <f>IF(ISNA(VLOOKUP(Table1[[#This Row],[Part Number]],'Multi-level BOM'!V$4:V$449,1,FALSE)),0,Table1[[#This Row],[Remaining Extended cost]])</f>
        <v>0</v>
      </c>
    </row>
    <row r="615" spans="1:29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80" t="str">
        <f>IF(Table1[[#This Row],[Buy-now costs]]&gt;0,"X","")</f>
        <v/>
      </c>
      <c r="M615" s="80"/>
      <c r="N615" s="80"/>
      <c r="O615" s="40">
        <v>0</v>
      </c>
      <c r="P615" s="94">
        <f>Table1[[#This Row],[quantity on-hand]]*(Table1[[#This Row],[Cost ]]+Table1[[#This Row],[shipping]]+Table1[[#This Row],[Tax]])</f>
        <v>0</v>
      </c>
      <c r="Q615" s="40">
        <v>0</v>
      </c>
      <c r="R615" s="92">
        <f>Table1[[#This Row],[Quantity on order]]*(Table1[[#This Row],[Cost ]]+Table1[[#This Row],[shipping]]+Table1[[#This Row],[Tax]])</f>
        <v>0</v>
      </c>
      <c r="S6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5" s="49">
        <f>Table1[[#This Row],[Quantity  to  purchase]]+Table1[[#This Row],[Quantity purchased]]+Table1[[#This Row],[Quantity on order]]+Table1[[#This Row],[Quantity donated]]-Table1[[#This Row],[extended quantity]]</f>
        <v>0</v>
      </c>
      <c r="U6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5" s="51">
        <f>IFERROR(Table1[[#This Row],[Quantity  to  purchase]]*(Table1[[#This Row],[Cost ]]+Table1[[#This Row],[shipping]]+Table1[[#This Row],[Tax]]),0)</f>
        <v>0</v>
      </c>
      <c r="W615" s="36">
        <f>IFERROR(Table1[[#This Row],[leftover material]]*(Table1[[#This Row],[Cost ]]+Table1[[#This Row],[shipping]]+Table1[[#This Row],[Tax]]),0)</f>
        <v>0</v>
      </c>
      <c r="X615" s="36"/>
      <c r="Y615" s="84"/>
      <c r="Z615" s="84"/>
      <c r="AA615" s="84"/>
      <c r="AB615" s="36"/>
      <c r="AC615" s="36">
        <f>IF(ISNA(VLOOKUP(Table1[[#This Row],[Part Number]],'Multi-level BOM'!V$4:V$449,1,FALSE)),0,Table1[[#This Row],[Remaining Extended cost]])</f>
        <v>0</v>
      </c>
    </row>
    <row r="616" spans="1:29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80" t="str">
        <f>IF(Table1[[#This Row],[Buy-now costs]]&gt;0,"X","")</f>
        <v/>
      </c>
      <c r="M616" s="80"/>
      <c r="N616" s="80"/>
      <c r="O616" s="40">
        <v>0</v>
      </c>
      <c r="P616" s="94">
        <f>Table1[[#This Row],[quantity on-hand]]*(Table1[[#This Row],[Cost ]]+Table1[[#This Row],[shipping]]+Table1[[#This Row],[Tax]])</f>
        <v>0</v>
      </c>
      <c r="Q616" s="40">
        <v>0</v>
      </c>
      <c r="R616" s="92">
        <f>Table1[[#This Row],[Quantity on order]]*(Table1[[#This Row],[Cost ]]+Table1[[#This Row],[shipping]]+Table1[[#This Row],[Tax]])</f>
        <v>0</v>
      </c>
      <c r="S6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6" s="49">
        <f>Table1[[#This Row],[Quantity  to  purchase]]+Table1[[#This Row],[Quantity purchased]]+Table1[[#This Row],[Quantity on order]]+Table1[[#This Row],[Quantity donated]]-Table1[[#This Row],[extended quantity]]</f>
        <v>0</v>
      </c>
      <c r="U6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6" s="51">
        <f>IFERROR(Table1[[#This Row],[Quantity  to  purchase]]*(Table1[[#This Row],[Cost ]]+Table1[[#This Row],[shipping]]+Table1[[#This Row],[Tax]]),0)</f>
        <v>0</v>
      </c>
      <c r="W616" s="36">
        <f>IFERROR(Table1[[#This Row],[leftover material]]*(Table1[[#This Row],[Cost ]]+Table1[[#This Row],[shipping]]+Table1[[#This Row],[Tax]]),0)</f>
        <v>0</v>
      </c>
      <c r="X616" s="36"/>
      <c r="Y616" s="84"/>
      <c r="Z616" s="84"/>
      <c r="AA616" s="84"/>
      <c r="AB616" s="36"/>
      <c r="AC616" s="36">
        <f>IF(ISNA(VLOOKUP(Table1[[#This Row],[Part Number]],'Multi-level BOM'!V$4:V$449,1,FALSE)),0,Table1[[#This Row],[Remaining Extended cost]])</f>
        <v>0</v>
      </c>
    </row>
    <row r="617" spans="1:29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80" t="str">
        <f>IF(Table1[[#This Row],[Buy-now costs]]&gt;0,"X","")</f>
        <v/>
      </c>
      <c r="M617" s="80"/>
      <c r="N617" s="80"/>
      <c r="O617" s="40">
        <v>0</v>
      </c>
      <c r="P617" s="94">
        <f>Table1[[#This Row],[quantity on-hand]]*(Table1[[#This Row],[Cost ]]+Table1[[#This Row],[shipping]]+Table1[[#This Row],[Tax]])</f>
        <v>0</v>
      </c>
      <c r="Q617" s="40">
        <v>0</v>
      </c>
      <c r="R617" s="92">
        <f>Table1[[#This Row],[Quantity on order]]*(Table1[[#This Row],[Cost ]]+Table1[[#This Row],[shipping]]+Table1[[#This Row],[Tax]])</f>
        <v>0</v>
      </c>
      <c r="S6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7" s="49">
        <f>Table1[[#This Row],[Quantity  to  purchase]]+Table1[[#This Row],[Quantity purchased]]+Table1[[#This Row],[Quantity on order]]+Table1[[#This Row],[Quantity donated]]-Table1[[#This Row],[extended quantity]]</f>
        <v>0</v>
      </c>
      <c r="U6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7" s="51">
        <f>IFERROR(Table1[[#This Row],[Quantity  to  purchase]]*(Table1[[#This Row],[Cost ]]+Table1[[#This Row],[shipping]]+Table1[[#This Row],[Tax]]),0)</f>
        <v>0</v>
      </c>
      <c r="W617" s="36">
        <f>IFERROR(Table1[[#This Row],[leftover material]]*(Table1[[#This Row],[Cost ]]+Table1[[#This Row],[shipping]]+Table1[[#This Row],[Tax]]),0)</f>
        <v>0</v>
      </c>
      <c r="X617" s="36"/>
      <c r="Y617" s="84"/>
      <c r="Z617" s="84"/>
      <c r="AA617" s="84"/>
      <c r="AB617" s="36"/>
      <c r="AC617" s="36">
        <f>IF(ISNA(VLOOKUP(Table1[[#This Row],[Part Number]],'Multi-level BOM'!V$4:V$449,1,FALSE)),0,Table1[[#This Row],[Remaining Extended cost]])</f>
        <v>0</v>
      </c>
    </row>
    <row r="618" spans="1:29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80" t="str">
        <f>IF(Table1[[#This Row],[Buy-now costs]]&gt;0,"X","")</f>
        <v/>
      </c>
      <c r="M618" s="80"/>
      <c r="N618" s="80"/>
      <c r="O618" s="40">
        <v>0</v>
      </c>
      <c r="P618" s="94">
        <f>Table1[[#This Row],[quantity on-hand]]*(Table1[[#This Row],[Cost ]]+Table1[[#This Row],[shipping]]+Table1[[#This Row],[Tax]])</f>
        <v>0</v>
      </c>
      <c r="Q618" s="40">
        <v>0</v>
      </c>
      <c r="R618" s="92">
        <f>Table1[[#This Row],[Quantity on order]]*(Table1[[#This Row],[Cost ]]+Table1[[#This Row],[shipping]]+Table1[[#This Row],[Tax]])</f>
        <v>0</v>
      </c>
      <c r="S6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8" s="49">
        <f>Table1[[#This Row],[Quantity  to  purchase]]+Table1[[#This Row],[Quantity purchased]]+Table1[[#This Row],[Quantity on order]]+Table1[[#This Row],[Quantity donated]]-Table1[[#This Row],[extended quantity]]</f>
        <v>0</v>
      </c>
      <c r="U6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8" s="51">
        <f>IFERROR(Table1[[#This Row],[Quantity  to  purchase]]*(Table1[[#This Row],[Cost ]]+Table1[[#This Row],[shipping]]+Table1[[#This Row],[Tax]]),0)</f>
        <v>0</v>
      </c>
      <c r="W618" s="36">
        <f>IFERROR(Table1[[#This Row],[leftover material]]*(Table1[[#This Row],[Cost ]]+Table1[[#This Row],[shipping]]+Table1[[#This Row],[Tax]]),0)</f>
        <v>0</v>
      </c>
      <c r="X618" s="36"/>
      <c r="Y618" s="84"/>
      <c r="Z618" s="84"/>
      <c r="AA618" s="84"/>
      <c r="AB618" s="36"/>
      <c r="AC618" s="36">
        <f>IF(ISNA(VLOOKUP(Table1[[#This Row],[Part Number]],'Multi-level BOM'!V$4:V$449,1,FALSE)),0,Table1[[#This Row],[Remaining Extended cost]])</f>
        <v>0</v>
      </c>
    </row>
    <row r="619" spans="1:29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80" t="str">
        <f>IF(Table1[[#This Row],[Buy-now costs]]&gt;0,"X","")</f>
        <v/>
      </c>
      <c r="M619" s="80"/>
      <c r="N619" s="80"/>
      <c r="O619" s="40">
        <v>0</v>
      </c>
      <c r="P619" s="94">
        <f>Table1[[#This Row],[quantity on-hand]]*(Table1[[#This Row],[Cost ]]+Table1[[#This Row],[shipping]]+Table1[[#This Row],[Tax]])</f>
        <v>0</v>
      </c>
      <c r="Q619" s="40">
        <v>0</v>
      </c>
      <c r="R619" s="92">
        <f>Table1[[#This Row],[Quantity on order]]*(Table1[[#This Row],[Cost ]]+Table1[[#This Row],[shipping]]+Table1[[#This Row],[Tax]])</f>
        <v>0</v>
      </c>
      <c r="S6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9" s="49">
        <f>Table1[[#This Row],[Quantity  to  purchase]]+Table1[[#This Row],[Quantity purchased]]+Table1[[#This Row],[Quantity on order]]+Table1[[#This Row],[Quantity donated]]-Table1[[#This Row],[extended quantity]]</f>
        <v>0</v>
      </c>
      <c r="U6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9" s="51">
        <f>IFERROR(Table1[[#This Row],[Quantity  to  purchase]]*(Table1[[#This Row],[Cost ]]+Table1[[#This Row],[shipping]]+Table1[[#This Row],[Tax]]),0)</f>
        <v>0</v>
      </c>
      <c r="W619" s="36">
        <f>IFERROR(Table1[[#This Row],[leftover material]]*(Table1[[#This Row],[Cost ]]+Table1[[#This Row],[shipping]]+Table1[[#This Row],[Tax]]),0)</f>
        <v>0</v>
      </c>
      <c r="X619" s="36"/>
      <c r="Y619" s="84"/>
      <c r="Z619" s="84"/>
      <c r="AA619" s="84"/>
      <c r="AB619" s="36"/>
      <c r="AC619" s="36">
        <f>IF(ISNA(VLOOKUP(Table1[[#This Row],[Part Number]],'Multi-level BOM'!V$4:V$449,1,FALSE)),0,Table1[[#This Row],[Remaining Extended cost]])</f>
        <v>0</v>
      </c>
    </row>
    <row r="620" spans="1:29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80" t="str">
        <f>IF(Table1[[#This Row],[Buy-now costs]]&gt;0,"X","")</f>
        <v/>
      </c>
      <c r="M620" s="80"/>
      <c r="N620" s="80"/>
      <c r="O620" s="40">
        <v>0</v>
      </c>
      <c r="P620" s="94">
        <f>Table1[[#This Row],[quantity on-hand]]*(Table1[[#This Row],[Cost ]]+Table1[[#This Row],[shipping]]+Table1[[#This Row],[Tax]])</f>
        <v>0</v>
      </c>
      <c r="Q620" s="40">
        <v>0</v>
      </c>
      <c r="R620" s="92">
        <f>Table1[[#This Row],[Quantity on order]]*(Table1[[#This Row],[Cost ]]+Table1[[#This Row],[shipping]]+Table1[[#This Row],[Tax]])</f>
        <v>0</v>
      </c>
      <c r="S6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0" s="49">
        <f>Table1[[#This Row],[Quantity  to  purchase]]+Table1[[#This Row],[Quantity purchased]]+Table1[[#This Row],[Quantity on order]]+Table1[[#This Row],[Quantity donated]]-Table1[[#This Row],[extended quantity]]</f>
        <v>0</v>
      </c>
      <c r="U6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0" s="51">
        <f>IFERROR(Table1[[#This Row],[Quantity  to  purchase]]*(Table1[[#This Row],[Cost ]]+Table1[[#This Row],[shipping]]+Table1[[#This Row],[Tax]]),0)</f>
        <v>0</v>
      </c>
      <c r="W620" s="36">
        <f>IFERROR(Table1[[#This Row],[leftover material]]*(Table1[[#This Row],[Cost ]]+Table1[[#This Row],[shipping]]+Table1[[#This Row],[Tax]]),0)</f>
        <v>0</v>
      </c>
      <c r="X620" s="36"/>
      <c r="Y620" s="84"/>
      <c r="Z620" s="84"/>
      <c r="AA620" s="84"/>
      <c r="AB620" s="36"/>
      <c r="AC620" s="36">
        <f>IF(ISNA(VLOOKUP(Table1[[#This Row],[Part Number]],'Multi-level BOM'!V$4:V$449,1,FALSE)),0,Table1[[#This Row],[Remaining Extended cost]])</f>
        <v>0</v>
      </c>
    </row>
    <row r="621" spans="1:29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80" t="str">
        <f>IF(Table1[[#This Row],[Buy-now costs]]&gt;0,"X","")</f>
        <v/>
      </c>
      <c r="M621" s="80"/>
      <c r="N621" s="80"/>
      <c r="O621" s="40">
        <v>0</v>
      </c>
      <c r="P621" s="94">
        <f>Table1[[#This Row],[quantity on-hand]]*(Table1[[#This Row],[Cost ]]+Table1[[#This Row],[shipping]]+Table1[[#This Row],[Tax]])</f>
        <v>0</v>
      </c>
      <c r="Q621" s="40">
        <v>0</v>
      </c>
      <c r="R621" s="92">
        <f>Table1[[#This Row],[Quantity on order]]*(Table1[[#This Row],[Cost ]]+Table1[[#This Row],[shipping]]+Table1[[#This Row],[Tax]])</f>
        <v>0</v>
      </c>
      <c r="S6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1" s="49">
        <f>Table1[[#This Row],[Quantity  to  purchase]]+Table1[[#This Row],[Quantity purchased]]+Table1[[#This Row],[Quantity on order]]+Table1[[#This Row],[Quantity donated]]-Table1[[#This Row],[extended quantity]]</f>
        <v>0</v>
      </c>
      <c r="U6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1" s="51">
        <f>IFERROR(Table1[[#This Row],[Quantity  to  purchase]]*(Table1[[#This Row],[Cost ]]+Table1[[#This Row],[shipping]]+Table1[[#This Row],[Tax]]),0)</f>
        <v>0</v>
      </c>
      <c r="W621" s="36">
        <f>IFERROR(Table1[[#This Row],[leftover material]]*(Table1[[#This Row],[Cost ]]+Table1[[#This Row],[shipping]]+Table1[[#This Row],[Tax]]),0)</f>
        <v>0</v>
      </c>
      <c r="X621" s="36"/>
      <c r="Y621" s="84"/>
      <c r="Z621" s="84"/>
      <c r="AA621" s="84"/>
      <c r="AB621" s="36"/>
      <c r="AC621" s="36">
        <f>IF(ISNA(VLOOKUP(Table1[[#This Row],[Part Number]],'Multi-level BOM'!V$4:V$449,1,FALSE)),0,Table1[[#This Row],[Remaining Extended cost]])</f>
        <v>0</v>
      </c>
    </row>
    <row r="622" spans="1:29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80" t="str">
        <f>IF(Table1[[#This Row],[Buy-now costs]]&gt;0,"X","")</f>
        <v/>
      </c>
      <c r="M622" s="80"/>
      <c r="N622" s="80"/>
      <c r="O622" s="40">
        <v>0</v>
      </c>
      <c r="P622" s="94">
        <f>Table1[[#This Row],[quantity on-hand]]*(Table1[[#This Row],[Cost ]]+Table1[[#This Row],[shipping]]+Table1[[#This Row],[Tax]])</f>
        <v>0</v>
      </c>
      <c r="Q622" s="40">
        <v>0</v>
      </c>
      <c r="R622" s="92">
        <f>Table1[[#This Row],[Quantity on order]]*(Table1[[#This Row],[Cost ]]+Table1[[#This Row],[shipping]]+Table1[[#This Row],[Tax]])</f>
        <v>0</v>
      </c>
      <c r="S6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2" s="49">
        <f>Table1[[#This Row],[Quantity  to  purchase]]+Table1[[#This Row],[Quantity purchased]]+Table1[[#This Row],[Quantity on order]]+Table1[[#This Row],[Quantity donated]]-Table1[[#This Row],[extended quantity]]</f>
        <v>0</v>
      </c>
      <c r="U6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2" s="51">
        <f>IFERROR(Table1[[#This Row],[Quantity  to  purchase]]*(Table1[[#This Row],[Cost ]]+Table1[[#This Row],[shipping]]+Table1[[#This Row],[Tax]]),0)</f>
        <v>0</v>
      </c>
      <c r="W622" s="36">
        <f>IFERROR(Table1[[#This Row],[leftover material]]*(Table1[[#This Row],[Cost ]]+Table1[[#This Row],[shipping]]+Table1[[#This Row],[Tax]]),0)</f>
        <v>0</v>
      </c>
      <c r="X622" s="36"/>
      <c r="Y622" s="84"/>
      <c r="Z622" s="84"/>
      <c r="AA622" s="84"/>
      <c r="AB622" s="36"/>
      <c r="AC622" s="36">
        <f>IF(ISNA(VLOOKUP(Table1[[#This Row],[Part Number]],'Multi-level BOM'!V$4:V$449,1,FALSE)),0,Table1[[#This Row],[Remaining Extended cost]])</f>
        <v>0</v>
      </c>
    </row>
    <row r="623" spans="1:29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80" t="str">
        <f>IF(Table1[[#This Row],[Buy-now costs]]&gt;0,"X","")</f>
        <v/>
      </c>
      <c r="M623" s="80"/>
      <c r="N623" s="80"/>
      <c r="O623" s="40">
        <v>0</v>
      </c>
      <c r="P623" s="94">
        <f>Table1[[#This Row],[quantity on-hand]]*(Table1[[#This Row],[Cost ]]+Table1[[#This Row],[shipping]]+Table1[[#This Row],[Tax]])</f>
        <v>0</v>
      </c>
      <c r="Q623" s="40">
        <v>0</v>
      </c>
      <c r="R623" s="92">
        <f>Table1[[#This Row],[Quantity on order]]*(Table1[[#This Row],[Cost ]]+Table1[[#This Row],[shipping]]+Table1[[#This Row],[Tax]])</f>
        <v>0</v>
      </c>
      <c r="S6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3" s="49">
        <f>Table1[[#This Row],[Quantity  to  purchase]]+Table1[[#This Row],[Quantity purchased]]+Table1[[#This Row],[Quantity on order]]+Table1[[#This Row],[Quantity donated]]-Table1[[#This Row],[extended quantity]]</f>
        <v>0</v>
      </c>
      <c r="U6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3" s="51">
        <f>IFERROR(Table1[[#This Row],[Quantity  to  purchase]]*(Table1[[#This Row],[Cost ]]+Table1[[#This Row],[shipping]]+Table1[[#This Row],[Tax]]),0)</f>
        <v>0</v>
      </c>
      <c r="W623" s="36">
        <f>IFERROR(Table1[[#This Row],[leftover material]]*(Table1[[#This Row],[Cost ]]+Table1[[#This Row],[shipping]]+Table1[[#This Row],[Tax]]),0)</f>
        <v>0</v>
      </c>
      <c r="X623" s="36"/>
      <c r="Y623" s="84"/>
      <c r="Z623" s="84"/>
      <c r="AA623" s="84"/>
      <c r="AB623" s="36"/>
      <c r="AC623" s="36">
        <f>IF(ISNA(VLOOKUP(Table1[[#This Row],[Part Number]],'Multi-level BOM'!V$4:V$449,1,FALSE)),0,Table1[[#This Row],[Remaining Extended cost]])</f>
        <v>0</v>
      </c>
    </row>
    <row r="624" spans="1:29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80" t="str">
        <f>IF(Table1[[#This Row],[Buy-now costs]]&gt;0,"X","")</f>
        <v/>
      </c>
      <c r="M624" s="80"/>
      <c r="N624" s="80"/>
      <c r="O624" s="40">
        <v>0</v>
      </c>
      <c r="P624" s="94">
        <f>Table1[[#This Row],[quantity on-hand]]*(Table1[[#This Row],[Cost ]]+Table1[[#This Row],[shipping]]+Table1[[#This Row],[Tax]])</f>
        <v>0</v>
      </c>
      <c r="Q624" s="40">
        <v>0</v>
      </c>
      <c r="R624" s="92">
        <f>Table1[[#This Row],[Quantity on order]]*(Table1[[#This Row],[Cost ]]+Table1[[#This Row],[shipping]]+Table1[[#This Row],[Tax]])</f>
        <v>0</v>
      </c>
      <c r="S6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4" s="49">
        <f>Table1[[#This Row],[Quantity  to  purchase]]+Table1[[#This Row],[Quantity purchased]]+Table1[[#This Row],[Quantity on order]]+Table1[[#This Row],[Quantity donated]]-Table1[[#This Row],[extended quantity]]</f>
        <v>0</v>
      </c>
      <c r="U6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4" s="51">
        <f>IFERROR(Table1[[#This Row],[Quantity  to  purchase]]*(Table1[[#This Row],[Cost ]]+Table1[[#This Row],[shipping]]+Table1[[#This Row],[Tax]]),0)</f>
        <v>0</v>
      </c>
      <c r="W624" s="36">
        <f>IFERROR(Table1[[#This Row],[leftover material]]*(Table1[[#This Row],[Cost ]]+Table1[[#This Row],[shipping]]+Table1[[#This Row],[Tax]]),0)</f>
        <v>0</v>
      </c>
      <c r="X624" s="36"/>
      <c r="Y624" s="84"/>
      <c r="Z624" s="84"/>
      <c r="AA624" s="84"/>
      <c r="AB624" s="36"/>
      <c r="AC624" s="36">
        <f>IF(ISNA(VLOOKUP(Table1[[#This Row],[Part Number]],'Multi-level BOM'!V$4:V$449,1,FALSE)),0,Table1[[#This Row],[Remaining Extended cost]])</f>
        <v>0</v>
      </c>
    </row>
    <row r="625" spans="1:29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80" t="str">
        <f>IF(Table1[[#This Row],[Buy-now costs]]&gt;0,"X","")</f>
        <v/>
      </c>
      <c r="M625" s="80"/>
      <c r="N625" s="80"/>
      <c r="O625" s="40">
        <v>0</v>
      </c>
      <c r="P625" s="94">
        <f>Table1[[#This Row],[quantity on-hand]]*(Table1[[#This Row],[Cost ]]+Table1[[#This Row],[shipping]]+Table1[[#This Row],[Tax]])</f>
        <v>0</v>
      </c>
      <c r="Q625" s="40">
        <v>0</v>
      </c>
      <c r="R625" s="92">
        <f>Table1[[#This Row],[Quantity on order]]*(Table1[[#This Row],[Cost ]]+Table1[[#This Row],[shipping]]+Table1[[#This Row],[Tax]])</f>
        <v>0</v>
      </c>
      <c r="S6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5" s="49">
        <f>Table1[[#This Row],[Quantity  to  purchase]]+Table1[[#This Row],[Quantity purchased]]+Table1[[#This Row],[Quantity on order]]+Table1[[#This Row],[Quantity donated]]-Table1[[#This Row],[extended quantity]]</f>
        <v>0</v>
      </c>
      <c r="U6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5" s="51">
        <f>IFERROR(Table1[[#This Row],[Quantity  to  purchase]]*(Table1[[#This Row],[Cost ]]+Table1[[#This Row],[shipping]]+Table1[[#This Row],[Tax]]),0)</f>
        <v>0</v>
      </c>
      <c r="W625" s="36">
        <f>IFERROR(Table1[[#This Row],[leftover material]]*(Table1[[#This Row],[Cost ]]+Table1[[#This Row],[shipping]]+Table1[[#This Row],[Tax]]),0)</f>
        <v>0</v>
      </c>
      <c r="X625" s="36"/>
      <c r="Y625" s="84"/>
      <c r="Z625" s="84"/>
      <c r="AA625" s="84"/>
      <c r="AB625" s="36"/>
      <c r="AC625" s="36">
        <f>IF(ISNA(VLOOKUP(Table1[[#This Row],[Part Number]],'Multi-level BOM'!V$4:V$449,1,FALSE)),0,Table1[[#This Row],[Remaining Extended cost]])</f>
        <v>0</v>
      </c>
    </row>
    <row r="626" spans="1:29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80" t="str">
        <f>IF(Table1[[#This Row],[Buy-now costs]]&gt;0,"X","")</f>
        <v/>
      </c>
      <c r="M626" s="80"/>
      <c r="N626" s="80"/>
      <c r="O626" s="40">
        <v>0</v>
      </c>
      <c r="P626" s="94">
        <f>Table1[[#This Row],[quantity on-hand]]*(Table1[[#This Row],[Cost ]]+Table1[[#This Row],[shipping]]+Table1[[#This Row],[Tax]])</f>
        <v>0</v>
      </c>
      <c r="Q626" s="40">
        <v>0</v>
      </c>
      <c r="R626" s="92">
        <f>Table1[[#This Row],[Quantity on order]]*(Table1[[#This Row],[Cost ]]+Table1[[#This Row],[shipping]]+Table1[[#This Row],[Tax]])</f>
        <v>0</v>
      </c>
      <c r="S6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6" s="49">
        <f>Table1[[#This Row],[Quantity  to  purchase]]+Table1[[#This Row],[Quantity purchased]]+Table1[[#This Row],[Quantity on order]]+Table1[[#This Row],[Quantity donated]]-Table1[[#This Row],[extended quantity]]</f>
        <v>0</v>
      </c>
      <c r="U6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6" s="51">
        <f>IFERROR(Table1[[#This Row],[Quantity  to  purchase]]*(Table1[[#This Row],[Cost ]]+Table1[[#This Row],[shipping]]+Table1[[#This Row],[Tax]]),0)</f>
        <v>0</v>
      </c>
      <c r="W626" s="36">
        <f>IFERROR(Table1[[#This Row],[leftover material]]*(Table1[[#This Row],[Cost ]]+Table1[[#This Row],[shipping]]+Table1[[#This Row],[Tax]]),0)</f>
        <v>0</v>
      </c>
      <c r="X626" s="36"/>
      <c r="Y626" s="84"/>
      <c r="Z626" s="84"/>
      <c r="AA626" s="84"/>
      <c r="AB626" s="36"/>
      <c r="AC626" s="36">
        <f>IF(ISNA(VLOOKUP(Table1[[#This Row],[Part Number]],'Multi-level BOM'!V$4:V$449,1,FALSE)),0,Table1[[#This Row],[Remaining Extended cost]])</f>
        <v>0</v>
      </c>
    </row>
    <row r="627" spans="1:29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80" t="str">
        <f>IF(Table1[[#This Row],[Buy-now costs]]&gt;0,"X","")</f>
        <v/>
      </c>
      <c r="M627" s="80"/>
      <c r="N627" s="80"/>
      <c r="O627" s="40">
        <v>0</v>
      </c>
      <c r="P627" s="94">
        <f>Table1[[#This Row],[quantity on-hand]]*(Table1[[#This Row],[Cost ]]+Table1[[#This Row],[shipping]]+Table1[[#This Row],[Tax]])</f>
        <v>0</v>
      </c>
      <c r="Q627" s="40">
        <v>0</v>
      </c>
      <c r="R627" s="92">
        <f>Table1[[#This Row],[Quantity on order]]*(Table1[[#This Row],[Cost ]]+Table1[[#This Row],[shipping]]+Table1[[#This Row],[Tax]])</f>
        <v>0</v>
      </c>
      <c r="S6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7" s="49">
        <f>Table1[[#This Row],[Quantity  to  purchase]]+Table1[[#This Row],[Quantity purchased]]+Table1[[#This Row],[Quantity on order]]+Table1[[#This Row],[Quantity donated]]-Table1[[#This Row],[extended quantity]]</f>
        <v>0</v>
      </c>
      <c r="U6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7" s="51">
        <f>IFERROR(Table1[[#This Row],[Quantity  to  purchase]]*(Table1[[#This Row],[Cost ]]+Table1[[#This Row],[shipping]]+Table1[[#This Row],[Tax]]),0)</f>
        <v>0</v>
      </c>
      <c r="W627" s="36">
        <f>IFERROR(Table1[[#This Row],[leftover material]]*(Table1[[#This Row],[Cost ]]+Table1[[#This Row],[shipping]]+Table1[[#This Row],[Tax]]),0)</f>
        <v>0</v>
      </c>
      <c r="X627" s="36"/>
      <c r="Y627" s="84"/>
      <c r="Z627" s="84"/>
      <c r="AA627" s="84"/>
      <c r="AB627" s="36"/>
      <c r="AC627" s="36">
        <f>IF(ISNA(VLOOKUP(Table1[[#This Row],[Part Number]],'Multi-level BOM'!V$4:V$449,1,FALSE)),0,Table1[[#This Row],[Remaining Extended cost]])</f>
        <v>0</v>
      </c>
    </row>
    <row r="628" spans="1:29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80" t="str">
        <f>IF(Table1[[#This Row],[Buy-now costs]]&gt;0,"X","")</f>
        <v/>
      </c>
      <c r="M628" s="80"/>
      <c r="N628" s="80"/>
      <c r="O628" s="40">
        <v>0</v>
      </c>
      <c r="P628" s="94">
        <f>Table1[[#This Row],[quantity on-hand]]*(Table1[[#This Row],[Cost ]]+Table1[[#This Row],[shipping]]+Table1[[#This Row],[Tax]])</f>
        <v>0</v>
      </c>
      <c r="Q628" s="40">
        <v>0</v>
      </c>
      <c r="R628" s="92">
        <f>Table1[[#This Row],[Quantity on order]]*(Table1[[#This Row],[Cost ]]+Table1[[#This Row],[shipping]]+Table1[[#This Row],[Tax]])</f>
        <v>0</v>
      </c>
      <c r="S6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8" s="49">
        <f>Table1[[#This Row],[Quantity  to  purchase]]+Table1[[#This Row],[Quantity purchased]]+Table1[[#This Row],[Quantity on order]]+Table1[[#This Row],[Quantity donated]]-Table1[[#This Row],[extended quantity]]</f>
        <v>0</v>
      </c>
      <c r="U6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8" s="51">
        <f>IFERROR(Table1[[#This Row],[Quantity  to  purchase]]*(Table1[[#This Row],[Cost ]]+Table1[[#This Row],[shipping]]+Table1[[#This Row],[Tax]]),0)</f>
        <v>0</v>
      </c>
      <c r="W628" s="36">
        <f>IFERROR(Table1[[#This Row],[leftover material]]*(Table1[[#This Row],[Cost ]]+Table1[[#This Row],[shipping]]+Table1[[#This Row],[Tax]]),0)</f>
        <v>0</v>
      </c>
      <c r="X628" s="36"/>
      <c r="Y628" s="84"/>
      <c r="Z628" s="84"/>
      <c r="AA628" s="84"/>
      <c r="AB628" s="36"/>
      <c r="AC628" s="36">
        <f>IF(ISNA(VLOOKUP(Table1[[#This Row],[Part Number]],'Multi-level BOM'!V$4:V$449,1,FALSE)),0,Table1[[#This Row],[Remaining Extended cost]])</f>
        <v>0</v>
      </c>
    </row>
    <row r="629" spans="1:29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80" t="str">
        <f>IF(Table1[[#This Row],[Buy-now costs]]&gt;0,"X","")</f>
        <v/>
      </c>
      <c r="M629" s="80"/>
      <c r="N629" s="80"/>
      <c r="O629" s="40">
        <v>0</v>
      </c>
      <c r="P629" s="94">
        <f>Table1[[#This Row],[quantity on-hand]]*(Table1[[#This Row],[Cost ]]+Table1[[#This Row],[shipping]]+Table1[[#This Row],[Tax]])</f>
        <v>0</v>
      </c>
      <c r="Q629" s="40">
        <v>0</v>
      </c>
      <c r="R629" s="92">
        <f>Table1[[#This Row],[Quantity on order]]*(Table1[[#This Row],[Cost ]]+Table1[[#This Row],[shipping]]+Table1[[#This Row],[Tax]])</f>
        <v>0</v>
      </c>
      <c r="S6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9" s="49">
        <f>Table1[[#This Row],[Quantity  to  purchase]]+Table1[[#This Row],[Quantity purchased]]+Table1[[#This Row],[Quantity on order]]+Table1[[#This Row],[Quantity donated]]-Table1[[#This Row],[extended quantity]]</f>
        <v>0</v>
      </c>
      <c r="U6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9" s="51">
        <f>IFERROR(Table1[[#This Row],[Quantity  to  purchase]]*(Table1[[#This Row],[Cost ]]+Table1[[#This Row],[shipping]]+Table1[[#This Row],[Tax]]),0)</f>
        <v>0</v>
      </c>
      <c r="W629" s="36">
        <f>IFERROR(Table1[[#This Row],[leftover material]]*(Table1[[#This Row],[Cost ]]+Table1[[#This Row],[shipping]]+Table1[[#This Row],[Tax]]),0)</f>
        <v>0</v>
      </c>
      <c r="X629" s="36"/>
      <c r="Y629" s="84"/>
      <c r="Z629" s="84"/>
      <c r="AA629" s="84"/>
      <c r="AB629" s="36"/>
      <c r="AC629" s="36">
        <f>IF(ISNA(VLOOKUP(Table1[[#This Row],[Part Number]],'Multi-level BOM'!V$4:V$449,1,FALSE)),0,Table1[[#This Row],[Remaining Extended cost]])</f>
        <v>0</v>
      </c>
    </row>
    <row r="630" spans="1:29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80" t="str">
        <f>IF(Table1[[#This Row],[Buy-now costs]]&gt;0,"X","")</f>
        <v/>
      </c>
      <c r="M630" s="80"/>
      <c r="N630" s="80"/>
      <c r="O630" s="40">
        <v>0</v>
      </c>
      <c r="P630" s="94">
        <f>Table1[[#This Row],[quantity on-hand]]*(Table1[[#This Row],[Cost ]]+Table1[[#This Row],[shipping]]+Table1[[#This Row],[Tax]])</f>
        <v>0</v>
      </c>
      <c r="Q630" s="40">
        <v>0</v>
      </c>
      <c r="R630" s="92">
        <f>Table1[[#This Row],[Quantity on order]]*(Table1[[#This Row],[Cost ]]+Table1[[#This Row],[shipping]]+Table1[[#This Row],[Tax]])</f>
        <v>0</v>
      </c>
      <c r="S6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0" s="49">
        <f>Table1[[#This Row],[Quantity  to  purchase]]+Table1[[#This Row],[Quantity purchased]]+Table1[[#This Row],[Quantity on order]]+Table1[[#This Row],[Quantity donated]]-Table1[[#This Row],[extended quantity]]</f>
        <v>0</v>
      </c>
      <c r="U6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0" s="51">
        <f>IFERROR(Table1[[#This Row],[Quantity  to  purchase]]*(Table1[[#This Row],[Cost ]]+Table1[[#This Row],[shipping]]+Table1[[#This Row],[Tax]]),0)</f>
        <v>0</v>
      </c>
      <c r="W630" s="36">
        <f>IFERROR(Table1[[#This Row],[leftover material]]*(Table1[[#This Row],[Cost ]]+Table1[[#This Row],[shipping]]+Table1[[#This Row],[Tax]]),0)</f>
        <v>0</v>
      </c>
      <c r="X630" s="36"/>
      <c r="Y630" s="84"/>
      <c r="Z630" s="84"/>
      <c r="AA630" s="84"/>
      <c r="AB630" s="36"/>
      <c r="AC630" s="36">
        <f>IF(ISNA(VLOOKUP(Table1[[#This Row],[Part Number]],'Multi-level BOM'!V$4:V$449,1,FALSE)),0,Table1[[#This Row],[Remaining Extended cost]])</f>
        <v>0</v>
      </c>
    </row>
    <row r="631" spans="1:29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80" t="str">
        <f>IF(Table1[[#This Row],[Buy-now costs]]&gt;0,"X","")</f>
        <v/>
      </c>
      <c r="M631" s="80"/>
      <c r="N631" s="80"/>
      <c r="O631" s="40">
        <v>0</v>
      </c>
      <c r="P631" s="94">
        <f>Table1[[#This Row],[quantity on-hand]]*(Table1[[#This Row],[Cost ]]+Table1[[#This Row],[shipping]]+Table1[[#This Row],[Tax]])</f>
        <v>0</v>
      </c>
      <c r="Q631" s="40">
        <v>0</v>
      </c>
      <c r="R631" s="92">
        <f>Table1[[#This Row],[Quantity on order]]*(Table1[[#This Row],[Cost ]]+Table1[[#This Row],[shipping]]+Table1[[#This Row],[Tax]])</f>
        <v>0</v>
      </c>
      <c r="S6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1" s="49">
        <f>Table1[[#This Row],[Quantity  to  purchase]]+Table1[[#This Row],[Quantity purchased]]+Table1[[#This Row],[Quantity on order]]+Table1[[#This Row],[Quantity donated]]-Table1[[#This Row],[extended quantity]]</f>
        <v>0</v>
      </c>
      <c r="U6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1" s="51">
        <f>IFERROR(Table1[[#This Row],[Quantity  to  purchase]]*(Table1[[#This Row],[Cost ]]+Table1[[#This Row],[shipping]]+Table1[[#This Row],[Tax]]),0)</f>
        <v>0</v>
      </c>
      <c r="W631" s="36">
        <f>IFERROR(Table1[[#This Row],[leftover material]]*(Table1[[#This Row],[Cost ]]+Table1[[#This Row],[shipping]]+Table1[[#This Row],[Tax]]),0)</f>
        <v>0</v>
      </c>
      <c r="X631" s="36"/>
      <c r="Y631" s="84"/>
      <c r="Z631" s="84"/>
      <c r="AA631" s="84"/>
      <c r="AB631" s="36"/>
      <c r="AC631" s="36">
        <f>IF(ISNA(VLOOKUP(Table1[[#This Row],[Part Number]],'Multi-level BOM'!V$4:V$449,1,FALSE)),0,Table1[[#This Row],[Remaining Extended cost]])</f>
        <v>0</v>
      </c>
    </row>
    <row r="632" spans="1:29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80" t="str">
        <f>IF(Table1[[#This Row],[Buy-now costs]]&gt;0,"X","")</f>
        <v/>
      </c>
      <c r="M632" s="80"/>
      <c r="N632" s="80"/>
      <c r="O632" s="40">
        <v>0</v>
      </c>
      <c r="P632" s="94">
        <f>Table1[[#This Row],[quantity on-hand]]*(Table1[[#This Row],[Cost ]]+Table1[[#This Row],[shipping]]+Table1[[#This Row],[Tax]])</f>
        <v>0</v>
      </c>
      <c r="Q632" s="40">
        <v>0</v>
      </c>
      <c r="R632" s="92">
        <f>Table1[[#This Row],[Quantity on order]]*(Table1[[#This Row],[Cost ]]+Table1[[#This Row],[shipping]]+Table1[[#This Row],[Tax]])</f>
        <v>0</v>
      </c>
      <c r="S6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2" s="49">
        <f>Table1[[#This Row],[Quantity  to  purchase]]+Table1[[#This Row],[Quantity purchased]]+Table1[[#This Row],[Quantity on order]]+Table1[[#This Row],[Quantity donated]]-Table1[[#This Row],[extended quantity]]</f>
        <v>0</v>
      </c>
      <c r="U6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2" s="51">
        <f>IFERROR(Table1[[#This Row],[Quantity  to  purchase]]*(Table1[[#This Row],[Cost ]]+Table1[[#This Row],[shipping]]+Table1[[#This Row],[Tax]]),0)</f>
        <v>0</v>
      </c>
      <c r="W632" s="36">
        <f>IFERROR(Table1[[#This Row],[leftover material]]*(Table1[[#This Row],[Cost ]]+Table1[[#This Row],[shipping]]+Table1[[#This Row],[Tax]]),0)</f>
        <v>0</v>
      </c>
      <c r="X632" s="36"/>
      <c r="Y632" s="84"/>
      <c r="Z632" s="84"/>
      <c r="AA632" s="84"/>
      <c r="AB632" s="36"/>
      <c r="AC632" s="36">
        <f>IF(ISNA(VLOOKUP(Table1[[#This Row],[Part Number]],'Multi-level BOM'!V$4:V$449,1,FALSE)),0,Table1[[#This Row],[Remaining Extended cost]])</f>
        <v>0</v>
      </c>
    </row>
    <row r="633" spans="1:29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80" t="str">
        <f>IF(Table1[[#This Row],[Buy-now costs]]&gt;0,"X","")</f>
        <v/>
      </c>
      <c r="M633" s="80"/>
      <c r="N633" s="80"/>
      <c r="O633" s="40">
        <v>0</v>
      </c>
      <c r="P633" s="94">
        <f>Table1[[#This Row],[quantity on-hand]]*(Table1[[#This Row],[Cost ]]+Table1[[#This Row],[shipping]]+Table1[[#This Row],[Tax]])</f>
        <v>0</v>
      </c>
      <c r="Q633" s="40">
        <v>0</v>
      </c>
      <c r="R633" s="92">
        <f>Table1[[#This Row],[Quantity on order]]*(Table1[[#This Row],[Cost ]]+Table1[[#This Row],[shipping]]+Table1[[#This Row],[Tax]])</f>
        <v>0</v>
      </c>
      <c r="S6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3" s="49">
        <f>Table1[[#This Row],[Quantity  to  purchase]]+Table1[[#This Row],[Quantity purchased]]+Table1[[#This Row],[Quantity on order]]+Table1[[#This Row],[Quantity donated]]-Table1[[#This Row],[extended quantity]]</f>
        <v>0</v>
      </c>
      <c r="U6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3" s="51">
        <f>IFERROR(Table1[[#This Row],[Quantity  to  purchase]]*(Table1[[#This Row],[Cost ]]+Table1[[#This Row],[shipping]]+Table1[[#This Row],[Tax]]),0)</f>
        <v>0</v>
      </c>
      <c r="W633" s="36">
        <f>IFERROR(Table1[[#This Row],[leftover material]]*(Table1[[#This Row],[Cost ]]+Table1[[#This Row],[shipping]]+Table1[[#This Row],[Tax]]),0)</f>
        <v>0</v>
      </c>
      <c r="X633" s="36"/>
      <c r="Y633" s="84"/>
      <c r="Z633" s="84"/>
      <c r="AA633" s="84"/>
      <c r="AB633" s="36"/>
      <c r="AC633" s="36">
        <f>IF(ISNA(VLOOKUP(Table1[[#This Row],[Part Number]],'Multi-level BOM'!V$4:V$449,1,FALSE)),0,Table1[[#This Row],[Remaining Extended cost]])</f>
        <v>0</v>
      </c>
    </row>
    <row r="634" spans="1:29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80" t="str">
        <f>IF(Table1[[#This Row],[Buy-now costs]]&gt;0,"X","")</f>
        <v/>
      </c>
      <c r="M634" s="80"/>
      <c r="N634" s="80"/>
      <c r="O634" s="40">
        <v>0</v>
      </c>
      <c r="P634" s="94">
        <f>Table1[[#This Row],[quantity on-hand]]*(Table1[[#This Row],[Cost ]]+Table1[[#This Row],[shipping]]+Table1[[#This Row],[Tax]])</f>
        <v>0</v>
      </c>
      <c r="Q634" s="40">
        <v>0</v>
      </c>
      <c r="R634" s="92">
        <f>Table1[[#This Row],[Quantity on order]]*(Table1[[#This Row],[Cost ]]+Table1[[#This Row],[shipping]]+Table1[[#This Row],[Tax]])</f>
        <v>0</v>
      </c>
      <c r="S6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4" s="49">
        <f>Table1[[#This Row],[Quantity  to  purchase]]+Table1[[#This Row],[Quantity purchased]]+Table1[[#This Row],[Quantity on order]]+Table1[[#This Row],[Quantity donated]]-Table1[[#This Row],[extended quantity]]</f>
        <v>0</v>
      </c>
      <c r="U6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4" s="51">
        <f>IFERROR(Table1[[#This Row],[Quantity  to  purchase]]*(Table1[[#This Row],[Cost ]]+Table1[[#This Row],[shipping]]+Table1[[#This Row],[Tax]]),0)</f>
        <v>0</v>
      </c>
      <c r="W634" s="36">
        <f>IFERROR(Table1[[#This Row],[leftover material]]*(Table1[[#This Row],[Cost ]]+Table1[[#This Row],[shipping]]+Table1[[#This Row],[Tax]]),0)</f>
        <v>0</v>
      </c>
      <c r="X634" s="36"/>
      <c r="Y634" s="84"/>
      <c r="Z634" s="84"/>
      <c r="AA634" s="84"/>
      <c r="AB634" s="36"/>
      <c r="AC634" s="36">
        <f>IF(ISNA(VLOOKUP(Table1[[#This Row],[Part Number]],'Multi-level BOM'!V$4:V$449,1,FALSE)),0,Table1[[#This Row],[Remaining Extended cost]])</f>
        <v>0</v>
      </c>
    </row>
    <row r="635" spans="1:29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80" t="str">
        <f>IF(Table1[[#This Row],[Buy-now costs]]&gt;0,"X","")</f>
        <v/>
      </c>
      <c r="M635" s="80"/>
      <c r="N635" s="80"/>
      <c r="O635" s="40">
        <v>0</v>
      </c>
      <c r="P635" s="94">
        <f>Table1[[#This Row],[quantity on-hand]]*(Table1[[#This Row],[Cost ]]+Table1[[#This Row],[shipping]]+Table1[[#This Row],[Tax]])</f>
        <v>0</v>
      </c>
      <c r="Q635" s="40">
        <v>0</v>
      </c>
      <c r="R635" s="92">
        <f>Table1[[#This Row],[Quantity on order]]*(Table1[[#This Row],[Cost ]]+Table1[[#This Row],[shipping]]+Table1[[#This Row],[Tax]])</f>
        <v>0</v>
      </c>
      <c r="S6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5" s="49">
        <f>Table1[[#This Row],[Quantity  to  purchase]]+Table1[[#This Row],[Quantity purchased]]+Table1[[#This Row],[Quantity on order]]+Table1[[#This Row],[Quantity donated]]-Table1[[#This Row],[extended quantity]]</f>
        <v>0</v>
      </c>
      <c r="U6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5" s="51">
        <f>IFERROR(Table1[[#This Row],[Quantity  to  purchase]]*(Table1[[#This Row],[Cost ]]+Table1[[#This Row],[shipping]]+Table1[[#This Row],[Tax]]),0)</f>
        <v>0</v>
      </c>
      <c r="W635" s="36">
        <f>IFERROR(Table1[[#This Row],[leftover material]]*(Table1[[#This Row],[Cost ]]+Table1[[#This Row],[shipping]]+Table1[[#This Row],[Tax]]),0)</f>
        <v>0</v>
      </c>
      <c r="X635" s="36"/>
      <c r="Y635" s="84"/>
      <c r="Z635" s="84"/>
      <c r="AA635" s="84"/>
      <c r="AB635" s="36"/>
      <c r="AC635" s="36">
        <f>IF(ISNA(VLOOKUP(Table1[[#This Row],[Part Number]],'Multi-level BOM'!V$4:V$449,1,FALSE)),0,Table1[[#This Row],[Remaining Extended cost]])</f>
        <v>0</v>
      </c>
    </row>
    <row r="637" spans="1:29" x14ac:dyDescent="0.25">
      <c r="O637" s="38" t="s">
        <v>697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 display="https://smile.amazon.com/approx-thermistor-KEENOVO-Silicone-Printer/dp/B011U919UO"/>
    <hyperlink ref="G63" r:id="rId15"/>
    <hyperlink ref="G13" r:id="rId16"/>
    <hyperlink ref="G36" r:id="rId17"/>
    <hyperlink ref="G32" r:id="rId18"/>
    <hyperlink ref="G16" r:id="rId19"/>
    <hyperlink ref="G22" r:id="rId20"/>
    <hyperlink ref="G30" r:id="rId21"/>
    <hyperlink ref="G60" r:id="rId22"/>
    <hyperlink ref="G28" r:id="rId23"/>
    <hyperlink ref="G11" r:id="rId24"/>
    <hyperlink ref="G90" r:id="rId25"/>
    <hyperlink ref="G91" r:id="rId26"/>
    <hyperlink ref="G96" r:id="rId27"/>
    <hyperlink ref="G14" r:id="rId28"/>
    <hyperlink ref="G54" r:id="rId29"/>
  </hyperlinks>
  <pageMargins left="0.7" right="0.7" top="0.75" bottom="0.75" header="0.3" footer="0.3"/>
  <pageSetup orientation="portrait" r:id="rId30"/>
  <legacyDrawing r:id="rId31"/>
  <tableParts count="1">
    <tablePart r:id="rId3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3" sqref="A3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932</v>
      </c>
      <c r="D1" s="2" t="s">
        <v>933</v>
      </c>
      <c r="E1" t="s">
        <v>934</v>
      </c>
      <c r="G1" s="19"/>
      <c r="H1" s="20" t="s">
        <v>737</v>
      </c>
      <c r="I1" s="21"/>
      <c r="L1" s="19"/>
      <c r="M1" s="20" t="s">
        <v>750</v>
      </c>
      <c r="N1" s="21"/>
    </row>
    <row r="2" spans="1:14" x14ac:dyDescent="0.25">
      <c r="A2">
        <v>597</v>
      </c>
      <c r="B2">
        <f>A2/25.4</f>
        <v>23.503937007874018</v>
      </c>
      <c r="C2">
        <f>B2*16</f>
        <v>376.06299212598429</v>
      </c>
      <c r="D2">
        <f>B2*32</f>
        <v>752.12598425196859</v>
      </c>
      <c r="E2">
        <f>B2*64</f>
        <v>1504.2519685039372</v>
      </c>
      <c r="G2" s="22"/>
      <c r="H2" s="23">
        <v>0.9</v>
      </c>
      <c r="I2" s="24" t="s">
        <v>731</v>
      </c>
      <c r="L2" s="22"/>
      <c r="M2" s="29">
        <v>5.9</v>
      </c>
      <c r="N2" s="24" t="s">
        <v>727</v>
      </c>
    </row>
    <row r="3" spans="1:14" x14ac:dyDescent="0.25">
      <c r="A3">
        <v>690</v>
      </c>
      <c r="B3">
        <f>A3/25.4</f>
        <v>27.165354330708663</v>
      </c>
      <c r="G3" s="22"/>
      <c r="H3" s="23">
        <v>6</v>
      </c>
      <c r="I3" s="24" t="s">
        <v>732</v>
      </c>
      <c r="L3" s="22"/>
      <c r="M3" s="23">
        <v>0.9</v>
      </c>
      <c r="N3" s="24" t="s">
        <v>736</v>
      </c>
    </row>
    <row r="4" spans="1:14" x14ac:dyDescent="0.25">
      <c r="G4" s="22"/>
      <c r="H4" s="23">
        <v>0.25</v>
      </c>
      <c r="I4" s="24" t="s">
        <v>733</v>
      </c>
      <c r="L4" s="22"/>
      <c r="M4" s="23">
        <v>6</v>
      </c>
      <c r="N4" s="24" t="s">
        <v>732</v>
      </c>
    </row>
    <row r="5" spans="1:14" x14ac:dyDescent="0.25">
      <c r="G5" s="22"/>
      <c r="H5" s="23">
        <v>6</v>
      </c>
      <c r="I5" s="24" t="s">
        <v>732</v>
      </c>
      <c r="L5" s="22"/>
      <c r="M5" s="23">
        <v>0.25</v>
      </c>
      <c r="N5" s="24" t="s">
        <v>733</v>
      </c>
    </row>
    <row r="6" spans="1:14" x14ac:dyDescent="0.25">
      <c r="G6" s="22">
        <v>23.25</v>
      </c>
      <c r="H6" s="23">
        <f>G6</f>
        <v>23.25</v>
      </c>
      <c r="I6" s="24" t="s">
        <v>734</v>
      </c>
      <c r="L6" s="22"/>
      <c r="M6" s="23">
        <v>6</v>
      </c>
      <c r="N6" s="24" t="s">
        <v>732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735</v>
      </c>
      <c r="L7" s="22"/>
      <c r="M7" s="23">
        <v>11.9</v>
      </c>
      <c r="N7" s="24" t="s">
        <v>736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736</v>
      </c>
      <c r="L8" s="22"/>
      <c r="M8" s="18">
        <v>0.9</v>
      </c>
      <c r="N8" s="24" t="s">
        <v>751</v>
      </c>
    </row>
    <row r="9" spans="1:14" ht="16.5" thickTop="1" thickBot="1" x14ac:dyDescent="0.3">
      <c r="G9" s="22"/>
      <c r="H9" s="18">
        <v>5.9</v>
      </c>
      <c r="I9" s="24" t="s">
        <v>727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52.72</v>
      </c>
      <c r="I10" s="27"/>
    </row>
    <row r="11" spans="1:14" ht="15.75" thickBot="1" x14ac:dyDescent="0.3"/>
    <row r="12" spans="1:14" x14ac:dyDescent="0.25">
      <c r="G12" s="19"/>
      <c r="H12" s="20" t="s">
        <v>738</v>
      </c>
      <c r="I12" s="21"/>
      <c r="L12" s="19"/>
      <c r="M12" s="20" t="s">
        <v>960</v>
      </c>
      <c r="N12" s="21"/>
    </row>
    <row r="13" spans="1:14" x14ac:dyDescent="0.25">
      <c r="G13" s="22"/>
      <c r="H13" s="23">
        <v>0.9</v>
      </c>
      <c r="I13" s="24" t="s">
        <v>731</v>
      </c>
      <c r="L13" s="22"/>
      <c r="M13" s="23">
        <v>1.6</v>
      </c>
      <c r="N13" s="24" t="s">
        <v>731</v>
      </c>
    </row>
    <row r="14" spans="1:14" x14ac:dyDescent="0.25">
      <c r="G14" s="22"/>
      <c r="H14" s="23">
        <v>6</v>
      </c>
      <c r="I14" s="24" t="s">
        <v>739</v>
      </c>
      <c r="L14" s="22"/>
      <c r="M14" s="23">
        <v>9.52</v>
      </c>
      <c r="N14" s="24" t="s">
        <v>735</v>
      </c>
    </row>
    <row r="15" spans="1:14" ht="15.75" thickBot="1" x14ac:dyDescent="0.3">
      <c r="G15" s="22">
        <v>49.5</v>
      </c>
      <c r="H15" s="23">
        <f>G15</f>
        <v>49.5</v>
      </c>
      <c r="I15" s="24" t="s">
        <v>734</v>
      </c>
      <c r="L15" s="22"/>
      <c r="M15" s="18">
        <v>15</v>
      </c>
      <c r="N15" s="24" t="s">
        <v>961</v>
      </c>
    </row>
    <row r="16" spans="1:14" ht="16.5" thickTop="1" thickBot="1" x14ac:dyDescent="0.3">
      <c r="G16" s="22"/>
      <c r="H16" s="23">
        <v>9.52</v>
      </c>
      <c r="I16" s="24" t="s">
        <v>735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736</v>
      </c>
    </row>
    <row r="18" spans="7:14" ht="15.75" thickBot="1" x14ac:dyDescent="0.3">
      <c r="G18" s="22"/>
      <c r="H18" s="18">
        <v>5</v>
      </c>
      <c r="I18" s="24" t="s">
        <v>746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754</v>
      </c>
      <c r="N19" s="21"/>
    </row>
    <row r="20" spans="7:14" x14ac:dyDescent="0.25">
      <c r="L20" s="22"/>
      <c r="M20" s="23">
        <f>13-4.5</f>
        <v>8.5</v>
      </c>
      <c r="N20" s="24" t="s">
        <v>743</v>
      </c>
    </row>
    <row r="21" spans="7:14" ht="15.75" thickBot="1" x14ac:dyDescent="0.3">
      <c r="L21" s="22"/>
      <c r="M21" s="23">
        <v>6.35</v>
      </c>
      <c r="N21" s="24" t="s">
        <v>755</v>
      </c>
    </row>
    <row r="22" spans="7:14" x14ac:dyDescent="0.25">
      <c r="G22" s="19"/>
      <c r="H22" s="20" t="s">
        <v>744</v>
      </c>
      <c r="I22" s="21"/>
      <c r="L22" s="22"/>
      <c r="M22" s="23">
        <v>0.5</v>
      </c>
      <c r="N22" s="24" t="s">
        <v>736</v>
      </c>
    </row>
    <row r="23" spans="7:14" ht="15.75" thickBot="1" x14ac:dyDescent="0.3">
      <c r="G23" s="22"/>
      <c r="H23" s="23">
        <f>16-4.5</f>
        <v>11.5</v>
      </c>
      <c r="I23" s="24" t="s">
        <v>743</v>
      </c>
      <c r="L23" s="22"/>
      <c r="M23" s="18">
        <v>3.9</v>
      </c>
      <c r="N23" s="24" t="s">
        <v>745</v>
      </c>
    </row>
    <row r="24" spans="7:14" ht="16.5" thickTop="1" thickBot="1" x14ac:dyDescent="0.3">
      <c r="G24" s="22"/>
      <c r="H24" s="23">
        <v>9.52</v>
      </c>
      <c r="I24" s="24" t="s">
        <v>735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736</v>
      </c>
    </row>
    <row r="26" spans="7:14" ht="15.75" thickBot="1" x14ac:dyDescent="0.3">
      <c r="G26" s="22"/>
      <c r="H26" s="18">
        <v>3.9</v>
      </c>
      <c r="I26" s="24" t="s">
        <v>745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796</v>
      </c>
      <c r="I30" s="21"/>
    </row>
    <row r="31" spans="7:14" x14ac:dyDescent="0.25">
      <c r="G31" s="22"/>
      <c r="H31" s="23">
        <v>241.5</v>
      </c>
      <c r="I31" s="24" t="s">
        <v>792</v>
      </c>
    </row>
    <row r="32" spans="7:14" x14ac:dyDescent="0.25">
      <c r="G32" s="22"/>
      <c r="H32" s="23">
        <v>9.5</v>
      </c>
      <c r="I32" s="24" t="s">
        <v>782</v>
      </c>
    </row>
    <row r="33" spans="7:9" x14ac:dyDescent="0.25">
      <c r="G33" s="22"/>
      <c r="H33" s="23">
        <v>597.5</v>
      </c>
      <c r="I33" s="24" t="s">
        <v>783</v>
      </c>
    </row>
    <row r="34" spans="7:9" x14ac:dyDescent="0.25">
      <c r="G34" s="22"/>
      <c r="H34" s="31">
        <v>10.5</v>
      </c>
      <c r="I34" s="24" t="s">
        <v>784</v>
      </c>
    </row>
    <row r="35" spans="7:9" x14ac:dyDescent="0.25">
      <c r="G35" s="22"/>
      <c r="H35" s="31">
        <v>68.7</v>
      </c>
      <c r="I35" s="24" t="s">
        <v>786</v>
      </c>
    </row>
    <row r="36" spans="7:9" x14ac:dyDescent="0.25">
      <c r="G36" s="22"/>
      <c r="H36" s="31">
        <v>14.9</v>
      </c>
      <c r="I36" s="24" t="s">
        <v>785</v>
      </c>
    </row>
    <row r="37" spans="7:9" x14ac:dyDescent="0.25">
      <c r="G37" s="22"/>
      <c r="H37" s="31">
        <v>36.799999999999997</v>
      </c>
      <c r="I37" s="24" t="s">
        <v>787</v>
      </c>
    </row>
    <row r="38" spans="7:9" x14ac:dyDescent="0.25">
      <c r="G38" s="22"/>
      <c r="H38" s="31">
        <v>22.2</v>
      </c>
      <c r="I38" s="24" t="s">
        <v>788</v>
      </c>
    </row>
    <row r="39" spans="7:9" x14ac:dyDescent="0.25">
      <c r="G39" s="22"/>
      <c r="H39" s="31">
        <v>440</v>
      </c>
      <c r="I39" s="24" t="s">
        <v>789</v>
      </c>
    </row>
    <row r="40" spans="7:9" x14ac:dyDescent="0.25">
      <c r="G40" s="22"/>
      <c r="H40" s="31">
        <v>13.3</v>
      </c>
      <c r="I40" s="24" t="s">
        <v>790</v>
      </c>
    </row>
    <row r="41" spans="7:9" x14ac:dyDescent="0.25">
      <c r="G41" s="22"/>
      <c r="H41" s="31">
        <v>302</v>
      </c>
      <c r="I41" s="24" t="s">
        <v>791</v>
      </c>
    </row>
    <row r="42" spans="7:9" x14ac:dyDescent="0.25">
      <c r="G42" s="22"/>
      <c r="H42" s="31">
        <v>13.4</v>
      </c>
      <c r="I42" s="24" t="s">
        <v>793</v>
      </c>
    </row>
    <row r="43" spans="7:9" x14ac:dyDescent="0.25">
      <c r="G43" s="22"/>
      <c r="H43" s="31">
        <v>470</v>
      </c>
      <c r="I43" s="24" t="s">
        <v>794</v>
      </c>
    </row>
    <row r="44" spans="7:9" ht="15.75" thickBot="1" x14ac:dyDescent="0.3">
      <c r="G44" s="22"/>
      <c r="H44" s="33">
        <v>16.5</v>
      </c>
      <c r="I44" s="24" t="s">
        <v>795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797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913</v>
      </c>
    </row>
    <row r="3" spans="1:5" x14ac:dyDescent="0.25">
      <c r="A3" t="s">
        <v>915</v>
      </c>
    </row>
    <row r="4" spans="1:5" x14ac:dyDescent="0.25">
      <c r="B4" t="s">
        <v>914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916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917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918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Summary</vt:lpstr>
      <vt:lpstr>Propose to buy now</vt:lpstr>
      <vt:lpstr>Not yet ordered</vt:lpstr>
      <vt:lpstr>Parts on-order</vt:lpstr>
      <vt:lpstr>Parts on-hand</vt:lpstr>
      <vt:lpstr>Multi-level BOM</vt:lpstr>
      <vt:lpstr>Parts</vt:lpstr>
      <vt:lpstr>Sheet3</vt:lpstr>
      <vt:lpstr>2020 cost analysis</vt:lpstr>
      <vt:lpstr>'Propose to buy now'!asasas</vt:lpstr>
      <vt:lpstr>asasas</vt:lpstr>
      <vt:lpstr>'Not yet ordered'!asdasdasdasdasdasdasd</vt:lpstr>
      <vt:lpstr>'Propose to buy now'!asdasdasdasdasdasdasd</vt:lpstr>
      <vt:lpstr>asdasdasdasdasdasdasd</vt:lpstr>
      <vt:lpstr>'Not yet ordered'!part_details</vt:lpstr>
      <vt:lpstr>'Parts on-order'!part_details</vt:lpstr>
      <vt:lpstr>'Propose to buy now'!part_details</vt:lpstr>
      <vt:lpstr>part_details</vt:lpstr>
      <vt:lpstr>'Not yet ordered'!Part_number</vt:lpstr>
      <vt:lpstr>'Parts on-order'!Part_number</vt:lpstr>
      <vt:lpstr>'Propose to buy now'!Part_number</vt:lpstr>
      <vt:lpstr>Part_number</vt:lpstr>
      <vt:lpstr>'Not yet ordered'!zccXCZXCZXCZXC</vt:lpstr>
      <vt:lpstr>'Propose to buy now'!zccXCZXCZXCZXC</vt:lpstr>
      <vt:lpstr>zccXCZXCZXCZXC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cp:lastPrinted>2020-02-23T23:56:23Z</cp:lastPrinted>
  <dcterms:created xsi:type="dcterms:W3CDTF">2020-01-20T15:36:08Z</dcterms:created>
  <dcterms:modified xsi:type="dcterms:W3CDTF">2022-10-20T00:20:52Z</dcterms:modified>
</cp:coreProperties>
</file>