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1925" windowHeight="8175" tabRatio="682" activeTab="2"/>
  </bookViews>
  <sheets>
    <sheet name="Summary" sheetId="12" r:id="rId1"/>
    <sheet name="Propose to buy now" sheetId="11" r:id="rId2"/>
    <sheet name="Not yet ordered" sheetId="9" r:id="rId3"/>
    <sheet name="Parts on-order" sheetId="6" r:id="rId4"/>
    <sheet name="Parts on-hand" sheetId="5" r:id="rId5"/>
    <sheet name="Multi-level BOM" sheetId="2" r:id="rId6"/>
    <sheet name="Parts" sheetId="1" r:id="rId7"/>
    <sheet name="Sheet3" sheetId="3" r:id="rId8"/>
    <sheet name="2020 cost analysis" sheetId="4" r:id="rId9"/>
  </sheets>
  <definedNames>
    <definedName name="_xlnm._FilterDatabase" localSheetId="5" hidden="1">'Multi-level BOM'!$A$2:$F$377</definedName>
    <definedName name="asasas" localSheetId="1">Table1[]</definedName>
    <definedName name="asasas">Table1[]</definedName>
    <definedName name="asdasdasdasdasdasdasd" localSheetId="2">Table1[Part Number]</definedName>
    <definedName name="asdasdasdasdasdasdasd" localSheetId="1">Table1[Part Number]</definedName>
    <definedName name="asdasdasdasdasdasdasd">Table1[Part Number]</definedName>
    <definedName name="part_details" localSheetId="2">Table1[]</definedName>
    <definedName name="part_details" localSheetId="3">Table1[]</definedName>
    <definedName name="part_details" localSheetId="1">Table1[]</definedName>
    <definedName name="part_details">Table1[]</definedName>
    <definedName name="Part_number" localSheetId="2">Table1[Part Number]</definedName>
    <definedName name="Part_number" localSheetId="3">Table1[Part Number]</definedName>
    <definedName name="Part_number" localSheetId="1">Table1[Part Number]</definedName>
    <definedName name="Part_number">Table1[Part Number]</definedName>
    <definedName name="zccXCZXCZXCZXC" localSheetId="2">Table1[]</definedName>
    <definedName name="zccXCZXCZXCZXC" localSheetId="1">Table1[]</definedName>
    <definedName name="zccXCZXCZXCZXC">Table1[]</definedName>
  </definedNames>
  <calcPr calcId="145621" iterateDelta="1E-4"/>
  <pivotCaches>
    <pivotCache cacheId="36" r:id="rId10"/>
  </pivotCaches>
</workbook>
</file>

<file path=xl/calcChain.xml><?xml version="1.0" encoding="utf-8"?>
<calcChain xmlns="http://schemas.openxmlformats.org/spreadsheetml/2006/main">
  <c r="X96" i="1" l="1"/>
  <c r="R19" i="1" l="1"/>
  <c r="R20" i="1"/>
  <c r="R40" i="1"/>
  <c r="R57" i="1"/>
  <c r="R58" i="1"/>
  <c r="R59" i="1"/>
  <c r="R76" i="1"/>
  <c r="P19" i="1"/>
  <c r="P20" i="1"/>
  <c r="P40" i="1"/>
  <c r="P57" i="1"/>
  <c r="P58" i="1"/>
  <c r="P59" i="1"/>
  <c r="P76" i="1"/>
  <c r="C6" i="12"/>
  <c r="C4" i="12"/>
  <c r="B5" i="12"/>
  <c r="D4" i="12"/>
  <c r="B4" i="12"/>
  <c r="C5" i="12"/>
  <c r="B6" i="12"/>
  <c r="D5" i="12" l="1"/>
  <c r="D6" i="12"/>
  <c r="F88" i="1"/>
  <c r="E88" i="1"/>
  <c r="X88" i="1" s="1"/>
  <c r="F14" i="1"/>
  <c r="D2" i="12" l="1"/>
  <c r="P14" i="1"/>
  <c r="P88" i="1"/>
  <c r="R88" i="1"/>
  <c r="D21" i="1"/>
  <c r="G258" i="2" l="1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F101" i="1"/>
  <c r="D98" i="1"/>
  <c r="D97" i="1"/>
  <c r="D93" i="1"/>
  <c r="D94" i="1"/>
  <c r="D95" i="1"/>
  <c r="D92" i="1"/>
  <c r="D91" i="1"/>
  <c r="D90" i="1"/>
  <c r="D83" i="1"/>
  <c r="D82" i="1"/>
  <c r="E90" i="1" l="1"/>
  <c r="F90" i="1"/>
  <c r="E91" i="1"/>
  <c r="F91" i="1"/>
  <c r="P101" i="1"/>
  <c r="R101" i="1"/>
  <c r="E17" i="1"/>
  <c r="X91" i="1" l="1"/>
  <c r="X90" i="1"/>
  <c r="R90" i="1"/>
  <c r="P91" i="1"/>
  <c r="R91" i="1"/>
  <c r="P90" i="1"/>
  <c r="P17" i="1"/>
  <c r="R17" i="1"/>
  <c r="D28" i="1"/>
  <c r="E28" i="1" s="1"/>
  <c r="F21" i="1"/>
  <c r="X21" i="1" s="1"/>
  <c r="P21" i="1" l="1"/>
  <c r="R21" i="1"/>
  <c r="F28" i="1"/>
  <c r="R28" i="1" s="1"/>
  <c r="F74" i="1"/>
  <c r="F66" i="1"/>
  <c r="F64" i="1"/>
  <c r="F35" i="1"/>
  <c r="F34" i="1"/>
  <c r="F33" i="1"/>
  <c r="F32" i="1"/>
  <c r="F29" i="1"/>
  <c r="F18" i="1"/>
  <c r="F13" i="1"/>
  <c r="F9" i="1"/>
  <c r="E74" i="1"/>
  <c r="E66" i="1"/>
  <c r="E64" i="1"/>
  <c r="E35" i="1"/>
  <c r="E34" i="1"/>
  <c r="E33" i="1"/>
  <c r="E32" i="1"/>
  <c r="E29" i="1"/>
  <c r="E18" i="1"/>
  <c r="E13" i="1"/>
  <c r="E9" i="1"/>
  <c r="D25" i="1"/>
  <c r="E25" i="1" s="1"/>
  <c r="D43" i="1"/>
  <c r="F43" i="1" s="1"/>
  <c r="D36" i="1"/>
  <c r="E36" i="1" s="1"/>
  <c r="X13" i="1" l="1"/>
  <c r="X33" i="1"/>
  <c r="X66" i="1"/>
  <c r="X9" i="1"/>
  <c r="X32" i="1"/>
  <c r="X64" i="1"/>
  <c r="X18" i="1"/>
  <c r="X74" i="1"/>
  <c r="X29" i="1"/>
  <c r="X35" i="1"/>
  <c r="X34" i="1"/>
  <c r="R29" i="1"/>
  <c r="P29" i="1"/>
  <c r="R9" i="1"/>
  <c r="P9" i="1"/>
  <c r="R64" i="1"/>
  <c r="P64" i="1"/>
  <c r="R13" i="1"/>
  <c r="P13" i="1"/>
  <c r="R33" i="1"/>
  <c r="P33" i="1"/>
  <c r="R66" i="1"/>
  <c r="P66" i="1"/>
  <c r="R35" i="1"/>
  <c r="P35" i="1"/>
  <c r="R32" i="1"/>
  <c r="P32" i="1"/>
  <c r="R18" i="1"/>
  <c r="P18" i="1"/>
  <c r="R34" i="1"/>
  <c r="P34" i="1"/>
  <c r="R74" i="1"/>
  <c r="P74" i="1"/>
  <c r="P28" i="1"/>
  <c r="E43" i="1"/>
  <c r="X43" i="1" s="1"/>
  <c r="F25" i="1"/>
  <c r="P25" i="1" s="1"/>
  <c r="F36" i="1"/>
  <c r="R36" i="1" s="1"/>
  <c r="E63" i="1"/>
  <c r="D23" i="1"/>
  <c r="E23" i="1" s="1"/>
  <c r="X25" i="1" l="1"/>
  <c r="X36" i="1"/>
  <c r="P36" i="1"/>
  <c r="R25" i="1"/>
  <c r="R43" i="1"/>
  <c r="P43" i="1"/>
  <c r="G231" i="2"/>
  <c r="L243" i="2" l="1"/>
  <c r="M243" i="2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N243" i="2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O243" i="2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P243" i="2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Q243" i="2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R243" i="2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S243" i="2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U243" i="2"/>
  <c r="V243" i="2"/>
  <c r="I244" i="2"/>
  <c r="L244" i="2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U244" i="2"/>
  <c r="V244" i="2"/>
  <c r="U245" i="2"/>
  <c r="V245" i="2"/>
  <c r="U246" i="2"/>
  <c r="V246" i="2"/>
  <c r="U247" i="2"/>
  <c r="V247" i="2"/>
  <c r="U248" i="2"/>
  <c r="V248" i="2"/>
  <c r="U249" i="2"/>
  <c r="V249" i="2"/>
  <c r="U250" i="2"/>
  <c r="V250" i="2"/>
  <c r="U251" i="2"/>
  <c r="V251" i="2"/>
  <c r="U252" i="2"/>
  <c r="V252" i="2"/>
  <c r="U253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U265" i="2"/>
  <c r="V265" i="2"/>
  <c r="U266" i="2"/>
  <c r="V266" i="2"/>
  <c r="U267" i="2"/>
  <c r="V267" i="2"/>
  <c r="U268" i="2"/>
  <c r="V268" i="2"/>
  <c r="I269" i="2"/>
  <c r="U269" i="2"/>
  <c r="V269" i="2"/>
  <c r="I270" i="2"/>
  <c r="U270" i="2"/>
  <c r="V270" i="2"/>
  <c r="I271" i="2"/>
  <c r="U271" i="2"/>
  <c r="V271" i="2"/>
  <c r="I272" i="2"/>
  <c r="U272" i="2"/>
  <c r="V272" i="2"/>
  <c r="I273" i="2"/>
  <c r="U273" i="2"/>
  <c r="V273" i="2"/>
  <c r="I274" i="2"/>
  <c r="U274" i="2"/>
  <c r="V274" i="2"/>
  <c r="I275" i="2"/>
  <c r="U275" i="2"/>
  <c r="V275" i="2"/>
  <c r="I276" i="2"/>
  <c r="U276" i="2"/>
  <c r="V276" i="2"/>
  <c r="I277" i="2"/>
  <c r="U277" i="2"/>
  <c r="V277" i="2"/>
  <c r="I278" i="2"/>
  <c r="U278" i="2"/>
  <c r="V278" i="2"/>
  <c r="I279" i="2"/>
  <c r="U279" i="2"/>
  <c r="V279" i="2"/>
  <c r="I280" i="2"/>
  <c r="U280" i="2"/>
  <c r="V280" i="2"/>
  <c r="I281" i="2"/>
  <c r="U281" i="2"/>
  <c r="V281" i="2"/>
  <c r="I282" i="2"/>
  <c r="U282" i="2"/>
  <c r="V282" i="2"/>
  <c r="I283" i="2"/>
  <c r="U283" i="2"/>
  <c r="V283" i="2"/>
  <c r="I284" i="2"/>
  <c r="U284" i="2"/>
  <c r="V284" i="2"/>
  <c r="I285" i="2"/>
  <c r="U285" i="2"/>
  <c r="V285" i="2"/>
  <c r="I286" i="2"/>
  <c r="U286" i="2"/>
  <c r="V286" i="2"/>
  <c r="I287" i="2"/>
  <c r="U287" i="2"/>
  <c r="V287" i="2"/>
  <c r="I288" i="2"/>
  <c r="U288" i="2"/>
  <c r="V288" i="2"/>
  <c r="I289" i="2"/>
  <c r="U289" i="2"/>
  <c r="V289" i="2"/>
  <c r="I290" i="2"/>
  <c r="U290" i="2"/>
  <c r="V290" i="2"/>
  <c r="I291" i="2"/>
  <c r="U291" i="2"/>
  <c r="V291" i="2"/>
  <c r="I292" i="2"/>
  <c r="U292" i="2"/>
  <c r="V292" i="2"/>
  <c r="I293" i="2"/>
  <c r="U293" i="2"/>
  <c r="V293" i="2"/>
  <c r="I294" i="2"/>
  <c r="U294" i="2"/>
  <c r="V294" i="2"/>
  <c r="I295" i="2"/>
  <c r="U295" i="2"/>
  <c r="V295" i="2"/>
  <c r="I296" i="2"/>
  <c r="U296" i="2"/>
  <c r="V296" i="2"/>
  <c r="I297" i="2"/>
  <c r="U297" i="2"/>
  <c r="V297" i="2"/>
  <c r="I298" i="2"/>
  <c r="U298" i="2"/>
  <c r="V298" i="2"/>
  <c r="I299" i="2"/>
  <c r="U299" i="2"/>
  <c r="V299" i="2"/>
  <c r="I300" i="2"/>
  <c r="U300" i="2"/>
  <c r="V300" i="2"/>
  <c r="I301" i="2"/>
  <c r="U301" i="2"/>
  <c r="V301" i="2"/>
  <c r="I302" i="2"/>
  <c r="U302" i="2"/>
  <c r="V302" i="2"/>
  <c r="I303" i="2"/>
  <c r="U303" i="2"/>
  <c r="V303" i="2"/>
  <c r="I304" i="2"/>
  <c r="U304" i="2"/>
  <c r="V304" i="2"/>
  <c r="I305" i="2"/>
  <c r="U305" i="2"/>
  <c r="V305" i="2"/>
  <c r="I306" i="2"/>
  <c r="U306" i="2"/>
  <c r="V306" i="2"/>
  <c r="I307" i="2"/>
  <c r="U307" i="2"/>
  <c r="V307" i="2"/>
  <c r="I308" i="2"/>
  <c r="U308" i="2"/>
  <c r="V308" i="2"/>
  <c r="I309" i="2"/>
  <c r="U309" i="2"/>
  <c r="V309" i="2"/>
  <c r="I310" i="2"/>
  <c r="U310" i="2"/>
  <c r="V310" i="2"/>
  <c r="I311" i="2"/>
  <c r="U311" i="2"/>
  <c r="V311" i="2"/>
  <c r="I312" i="2"/>
  <c r="U312" i="2"/>
  <c r="V312" i="2"/>
  <c r="I313" i="2"/>
  <c r="U313" i="2"/>
  <c r="V313" i="2"/>
  <c r="I314" i="2"/>
  <c r="U314" i="2"/>
  <c r="V314" i="2"/>
  <c r="I315" i="2"/>
  <c r="U315" i="2"/>
  <c r="V315" i="2"/>
  <c r="I316" i="2"/>
  <c r="U316" i="2"/>
  <c r="V316" i="2"/>
  <c r="I317" i="2"/>
  <c r="U317" i="2"/>
  <c r="V317" i="2"/>
  <c r="I318" i="2"/>
  <c r="U318" i="2"/>
  <c r="V318" i="2"/>
  <c r="I319" i="2"/>
  <c r="U319" i="2"/>
  <c r="V319" i="2"/>
  <c r="I320" i="2"/>
  <c r="U320" i="2"/>
  <c r="V320" i="2"/>
  <c r="I321" i="2"/>
  <c r="U321" i="2"/>
  <c r="V321" i="2"/>
  <c r="I322" i="2"/>
  <c r="U322" i="2"/>
  <c r="V322" i="2"/>
  <c r="I323" i="2"/>
  <c r="U323" i="2"/>
  <c r="V323" i="2"/>
  <c r="I324" i="2"/>
  <c r="U324" i="2"/>
  <c r="V324" i="2"/>
  <c r="I325" i="2"/>
  <c r="U325" i="2"/>
  <c r="V325" i="2"/>
  <c r="I326" i="2"/>
  <c r="U326" i="2"/>
  <c r="V326" i="2"/>
  <c r="I327" i="2"/>
  <c r="U327" i="2"/>
  <c r="V327" i="2"/>
  <c r="I328" i="2"/>
  <c r="U328" i="2"/>
  <c r="V328" i="2"/>
  <c r="I329" i="2"/>
  <c r="U329" i="2"/>
  <c r="V329" i="2"/>
  <c r="I330" i="2"/>
  <c r="U330" i="2"/>
  <c r="V330" i="2"/>
  <c r="I331" i="2"/>
  <c r="U331" i="2"/>
  <c r="V331" i="2"/>
  <c r="I332" i="2"/>
  <c r="U332" i="2"/>
  <c r="V332" i="2"/>
  <c r="I333" i="2"/>
  <c r="U333" i="2"/>
  <c r="V333" i="2"/>
  <c r="I334" i="2"/>
  <c r="U334" i="2"/>
  <c r="V334" i="2"/>
  <c r="I335" i="2"/>
  <c r="U335" i="2"/>
  <c r="V335" i="2"/>
  <c r="I336" i="2"/>
  <c r="U336" i="2"/>
  <c r="V336" i="2"/>
  <c r="I337" i="2"/>
  <c r="U337" i="2"/>
  <c r="V337" i="2"/>
  <c r="I338" i="2"/>
  <c r="U338" i="2"/>
  <c r="V338" i="2"/>
  <c r="I339" i="2"/>
  <c r="U339" i="2"/>
  <c r="V339" i="2"/>
  <c r="I340" i="2"/>
  <c r="U340" i="2"/>
  <c r="V340" i="2"/>
  <c r="I341" i="2"/>
  <c r="U341" i="2"/>
  <c r="V341" i="2"/>
  <c r="I342" i="2"/>
  <c r="U342" i="2"/>
  <c r="V342" i="2"/>
  <c r="I343" i="2"/>
  <c r="U343" i="2"/>
  <c r="V343" i="2"/>
  <c r="I344" i="2"/>
  <c r="U344" i="2"/>
  <c r="V344" i="2"/>
  <c r="I345" i="2"/>
  <c r="U345" i="2"/>
  <c r="V345" i="2"/>
  <c r="I346" i="2"/>
  <c r="U346" i="2"/>
  <c r="V346" i="2"/>
  <c r="I347" i="2"/>
  <c r="U347" i="2"/>
  <c r="V347" i="2"/>
  <c r="I348" i="2"/>
  <c r="U348" i="2"/>
  <c r="V348" i="2"/>
  <c r="I349" i="2"/>
  <c r="U349" i="2"/>
  <c r="V349" i="2"/>
  <c r="I350" i="2"/>
  <c r="U350" i="2"/>
  <c r="V350" i="2"/>
  <c r="I351" i="2"/>
  <c r="U351" i="2"/>
  <c r="V351" i="2"/>
  <c r="I352" i="2"/>
  <c r="U352" i="2"/>
  <c r="V352" i="2"/>
  <c r="I353" i="2"/>
  <c r="U353" i="2"/>
  <c r="V353" i="2"/>
  <c r="I354" i="2"/>
  <c r="U354" i="2"/>
  <c r="V354" i="2"/>
  <c r="I355" i="2"/>
  <c r="U355" i="2"/>
  <c r="V355" i="2"/>
  <c r="I356" i="2"/>
  <c r="U356" i="2"/>
  <c r="V356" i="2"/>
  <c r="I357" i="2"/>
  <c r="U357" i="2"/>
  <c r="V357" i="2"/>
  <c r="I358" i="2"/>
  <c r="U358" i="2"/>
  <c r="V358" i="2"/>
  <c r="I359" i="2"/>
  <c r="U359" i="2"/>
  <c r="V359" i="2"/>
  <c r="I360" i="2"/>
  <c r="U360" i="2"/>
  <c r="V360" i="2"/>
  <c r="I361" i="2"/>
  <c r="U361" i="2"/>
  <c r="V361" i="2"/>
  <c r="I362" i="2"/>
  <c r="U362" i="2"/>
  <c r="V362" i="2"/>
  <c r="I363" i="2"/>
  <c r="U363" i="2"/>
  <c r="V363" i="2"/>
  <c r="I364" i="2"/>
  <c r="U364" i="2"/>
  <c r="V364" i="2"/>
  <c r="I365" i="2"/>
  <c r="U365" i="2"/>
  <c r="V365" i="2"/>
  <c r="I366" i="2"/>
  <c r="U366" i="2"/>
  <c r="V366" i="2"/>
  <c r="I367" i="2"/>
  <c r="U367" i="2"/>
  <c r="V367" i="2"/>
  <c r="I368" i="2"/>
  <c r="U368" i="2"/>
  <c r="V368" i="2"/>
  <c r="I369" i="2"/>
  <c r="U369" i="2"/>
  <c r="V369" i="2"/>
  <c r="I370" i="2"/>
  <c r="U370" i="2"/>
  <c r="V370" i="2"/>
  <c r="I371" i="2"/>
  <c r="U371" i="2"/>
  <c r="V371" i="2"/>
  <c r="I372" i="2"/>
  <c r="U372" i="2"/>
  <c r="V372" i="2"/>
  <c r="I373" i="2"/>
  <c r="U373" i="2"/>
  <c r="V373" i="2"/>
  <c r="I374" i="2"/>
  <c r="U374" i="2"/>
  <c r="V374" i="2"/>
  <c r="I375" i="2"/>
  <c r="U375" i="2"/>
  <c r="V375" i="2"/>
  <c r="I376" i="2"/>
  <c r="U376" i="2"/>
  <c r="V376" i="2"/>
  <c r="I377" i="2"/>
  <c r="U377" i="2"/>
  <c r="V377" i="2"/>
  <c r="I133" i="2"/>
  <c r="U133" i="2" s="1"/>
  <c r="V133" i="2"/>
  <c r="S133" i="2"/>
  <c r="R133" i="2"/>
  <c r="Q133" i="2"/>
  <c r="P133" i="2"/>
  <c r="O133" i="2"/>
  <c r="N133" i="2"/>
  <c r="M133" i="2"/>
  <c r="L133" i="2"/>
  <c r="G133" i="2"/>
  <c r="I134" i="2"/>
  <c r="U134" i="2"/>
  <c r="V134" i="2"/>
  <c r="V97" i="2"/>
  <c r="I97" i="2"/>
  <c r="U97" i="2" s="1"/>
  <c r="G97" i="2"/>
  <c r="M16" i="3"/>
  <c r="D38" i="1" l="1"/>
  <c r="D37" i="1"/>
  <c r="D15" i="1"/>
  <c r="D65" i="1"/>
  <c r="D44" i="1"/>
  <c r="E15" i="1" l="1"/>
  <c r="F15" i="1"/>
  <c r="F37" i="1"/>
  <c r="E37" i="1"/>
  <c r="X37" i="1" s="1"/>
  <c r="E44" i="1"/>
  <c r="F44" i="1"/>
  <c r="E38" i="1"/>
  <c r="F38" i="1"/>
  <c r="E65" i="1"/>
  <c r="F65" i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" i="2"/>
  <c r="X38" i="1" l="1"/>
  <c r="X65" i="1"/>
  <c r="X44" i="1"/>
  <c r="X15" i="1"/>
  <c r="R37" i="1"/>
  <c r="P37" i="1"/>
  <c r="R38" i="1"/>
  <c r="P38" i="1"/>
  <c r="R65" i="1"/>
  <c r="P65" i="1"/>
  <c r="R44" i="1"/>
  <c r="P44" i="1"/>
  <c r="R15" i="1"/>
  <c r="P15" i="1"/>
  <c r="AC122" i="1"/>
  <c r="L122" i="1" s="1"/>
  <c r="AC623" i="1"/>
  <c r="L623" i="1" s="1"/>
  <c r="AC591" i="1"/>
  <c r="L591" i="1" s="1"/>
  <c r="AC559" i="1"/>
  <c r="L559" i="1" s="1"/>
  <c r="AC518" i="1"/>
  <c r="L518" i="1" s="1"/>
  <c r="AC475" i="1"/>
  <c r="L475" i="1" s="1"/>
  <c r="AC433" i="1"/>
  <c r="L433" i="1" s="1"/>
  <c r="AC390" i="1"/>
  <c r="L390" i="1" s="1"/>
  <c r="AC338" i="1"/>
  <c r="L338" i="1" s="1"/>
  <c r="AC273" i="1"/>
  <c r="L273" i="1" s="1"/>
  <c r="AC186" i="1"/>
  <c r="L186" i="1" s="1"/>
  <c r="AC615" i="1"/>
  <c r="L615" i="1" s="1"/>
  <c r="AC583" i="1"/>
  <c r="L583" i="1" s="1"/>
  <c r="AC550" i="1"/>
  <c r="L550" i="1" s="1"/>
  <c r="AC507" i="1"/>
  <c r="L507" i="1" s="1"/>
  <c r="AC465" i="1"/>
  <c r="L465" i="1" s="1"/>
  <c r="AC422" i="1"/>
  <c r="L422" i="1" s="1"/>
  <c r="AC379" i="1"/>
  <c r="L379" i="1" s="1"/>
  <c r="AC325" i="1"/>
  <c r="L325" i="1" s="1"/>
  <c r="AC250" i="1"/>
  <c r="L250" i="1" s="1"/>
  <c r="AC165" i="1"/>
  <c r="L165" i="1" s="1"/>
  <c r="AC607" i="1"/>
  <c r="L607" i="1" s="1"/>
  <c r="AC575" i="1"/>
  <c r="L575" i="1" s="1"/>
  <c r="AC539" i="1"/>
  <c r="L539" i="1" s="1"/>
  <c r="AC497" i="1"/>
  <c r="L497" i="1" s="1"/>
  <c r="AC454" i="1"/>
  <c r="L454" i="1" s="1"/>
  <c r="AC411" i="1"/>
  <c r="L411" i="1" s="1"/>
  <c r="AC368" i="1"/>
  <c r="L368" i="1" s="1"/>
  <c r="AC310" i="1"/>
  <c r="L310" i="1" s="1"/>
  <c r="AC229" i="1"/>
  <c r="L229" i="1" s="1"/>
  <c r="AC145" i="1"/>
  <c r="L145" i="1" s="1"/>
  <c r="AC631" i="1"/>
  <c r="L631" i="1" s="1"/>
  <c r="AC599" i="1"/>
  <c r="L599" i="1" s="1"/>
  <c r="AC567" i="1"/>
  <c r="L567" i="1" s="1"/>
  <c r="AC529" i="1"/>
  <c r="L529" i="1" s="1"/>
  <c r="AC486" i="1"/>
  <c r="L486" i="1" s="1"/>
  <c r="AC443" i="1"/>
  <c r="L443" i="1" s="1"/>
  <c r="AC401" i="1"/>
  <c r="L401" i="1" s="1"/>
  <c r="AC353" i="1"/>
  <c r="L353" i="1" s="1"/>
  <c r="AC293" i="1"/>
  <c r="L293" i="1" s="1"/>
  <c r="AC209" i="1"/>
  <c r="L209" i="1" s="1"/>
  <c r="AC17" i="1"/>
  <c r="L17" i="1" s="1"/>
  <c r="AC27" i="1"/>
  <c r="L27" i="1" s="1"/>
  <c r="AC41" i="1"/>
  <c r="L41" i="1" s="1"/>
  <c r="AC47" i="1"/>
  <c r="L47" i="1" s="1"/>
  <c r="AC51" i="1"/>
  <c r="L51" i="1" s="1"/>
  <c r="AC55" i="1"/>
  <c r="L55" i="1" s="1"/>
  <c r="AC68" i="1"/>
  <c r="L68" i="1" s="1"/>
  <c r="AC72" i="1"/>
  <c r="L72" i="1" s="1"/>
  <c r="AC76" i="1"/>
  <c r="L76" i="1" s="1"/>
  <c r="AC80" i="1"/>
  <c r="L80" i="1" s="1"/>
  <c r="AC84" i="1"/>
  <c r="L84" i="1" s="1"/>
  <c r="AC100" i="1"/>
  <c r="L100" i="1" s="1"/>
  <c r="AC104" i="1"/>
  <c r="L104" i="1" s="1"/>
  <c r="AC108" i="1"/>
  <c r="L108" i="1" s="1"/>
  <c r="AC112" i="1"/>
  <c r="L112" i="1" s="1"/>
  <c r="AC116" i="1"/>
  <c r="L116" i="1" s="1"/>
  <c r="AC120" i="1"/>
  <c r="L120" i="1" s="1"/>
  <c r="AC124" i="1"/>
  <c r="L124" i="1" s="1"/>
  <c r="AC128" i="1"/>
  <c r="L128" i="1" s="1"/>
  <c r="AC132" i="1"/>
  <c r="L132" i="1" s="1"/>
  <c r="AC136" i="1"/>
  <c r="L136" i="1" s="1"/>
  <c r="AC140" i="1"/>
  <c r="L140" i="1" s="1"/>
  <c r="AC144" i="1"/>
  <c r="L144" i="1" s="1"/>
  <c r="AC148" i="1"/>
  <c r="L148" i="1" s="1"/>
  <c r="AC152" i="1"/>
  <c r="L152" i="1" s="1"/>
  <c r="AC156" i="1"/>
  <c r="L156" i="1" s="1"/>
  <c r="AC160" i="1"/>
  <c r="L160" i="1" s="1"/>
  <c r="AC164" i="1"/>
  <c r="L164" i="1" s="1"/>
  <c r="AC168" i="1"/>
  <c r="L168" i="1" s="1"/>
  <c r="AC172" i="1"/>
  <c r="L172" i="1" s="1"/>
  <c r="AC176" i="1"/>
  <c r="L176" i="1" s="1"/>
  <c r="AC180" i="1"/>
  <c r="L180" i="1" s="1"/>
  <c r="AC184" i="1"/>
  <c r="L184" i="1" s="1"/>
  <c r="AC188" i="1"/>
  <c r="L188" i="1" s="1"/>
  <c r="AC192" i="1"/>
  <c r="L192" i="1" s="1"/>
  <c r="AC196" i="1"/>
  <c r="L196" i="1" s="1"/>
  <c r="AC200" i="1"/>
  <c r="L200" i="1" s="1"/>
  <c r="AC204" i="1"/>
  <c r="L204" i="1" s="1"/>
  <c r="AC208" i="1"/>
  <c r="L208" i="1" s="1"/>
  <c r="AC212" i="1"/>
  <c r="L212" i="1" s="1"/>
  <c r="AC216" i="1"/>
  <c r="L216" i="1" s="1"/>
  <c r="AC220" i="1"/>
  <c r="L220" i="1" s="1"/>
  <c r="AC224" i="1"/>
  <c r="L224" i="1" s="1"/>
  <c r="AC228" i="1"/>
  <c r="L228" i="1" s="1"/>
  <c r="AC232" i="1"/>
  <c r="L232" i="1" s="1"/>
  <c r="AC236" i="1"/>
  <c r="L236" i="1" s="1"/>
  <c r="AC240" i="1"/>
  <c r="L240" i="1" s="1"/>
  <c r="AC244" i="1"/>
  <c r="L244" i="1" s="1"/>
  <c r="AC248" i="1"/>
  <c r="L248" i="1" s="1"/>
  <c r="AC252" i="1"/>
  <c r="L252" i="1" s="1"/>
  <c r="AC256" i="1"/>
  <c r="L256" i="1" s="1"/>
  <c r="AC260" i="1"/>
  <c r="L260" i="1" s="1"/>
  <c r="AC264" i="1"/>
  <c r="L264" i="1" s="1"/>
  <c r="AC268" i="1"/>
  <c r="L268" i="1" s="1"/>
  <c r="AC272" i="1"/>
  <c r="L272" i="1" s="1"/>
  <c r="AC276" i="1"/>
  <c r="L276" i="1" s="1"/>
  <c r="AC280" i="1"/>
  <c r="L280" i="1" s="1"/>
  <c r="AC284" i="1"/>
  <c r="L284" i="1" s="1"/>
  <c r="AC288" i="1"/>
  <c r="L288" i="1" s="1"/>
  <c r="AC292" i="1"/>
  <c r="L292" i="1" s="1"/>
  <c r="AC296" i="1"/>
  <c r="L296" i="1" s="1"/>
  <c r="AC300" i="1"/>
  <c r="L300" i="1" s="1"/>
  <c r="AC10" i="1"/>
  <c r="L10" i="1" s="1"/>
  <c r="AC31" i="1"/>
  <c r="L31" i="1" s="1"/>
  <c r="AC42" i="1"/>
  <c r="L42" i="1" s="1"/>
  <c r="AC48" i="1"/>
  <c r="L48" i="1" s="1"/>
  <c r="AC52" i="1"/>
  <c r="L52" i="1" s="1"/>
  <c r="AC56" i="1"/>
  <c r="L56" i="1" s="1"/>
  <c r="AC61" i="1"/>
  <c r="L61" i="1" s="1"/>
  <c r="AC69" i="1"/>
  <c r="L69" i="1" s="1"/>
  <c r="AC73" i="1"/>
  <c r="L73" i="1" s="1"/>
  <c r="AC77" i="1"/>
  <c r="L77" i="1" s="1"/>
  <c r="AC81" i="1"/>
  <c r="L81" i="1" s="1"/>
  <c r="AC85" i="1"/>
  <c r="L85" i="1" s="1"/>
  <c r="AC6" i="1"/>
  <c r="L6" i="1" s="1"/>
  <c r="AC20" i="1"/>
  <c r="L20" i="1" s="1"/>
  <c r="AC45" i="1"/>
  <c r="L45" i="1" s="1"/>
  <c r="AC49" i="1"/>
  <c r="L49" i="1" s="1"/>
  <c r="AC53" i="1"/>
  <c r="L53" i="1" s="1"/>
  <c r="AC62" i="1"/>
  <c r="L62" i="1" s="1"/>
  <c r="AC70" i="1"/>
  <c r="L70" i="1" s="1"/>
  <c r="AC78" i="1"/>
  <c r="L78" i="1" s="1"/>
  <c r="AC82" i="1"/>
  <c r="L82" i="1" s="1"/>
  <c r="AC7" i="1"/>
  <c r="L7" i="1" s="1"/>
  <c r="AC12" i="1"/>
  <c r="L12" i="1" s="1"/>
  <c r="AC24" i="1"/>
  <c r="L24" i="1" s="1"/>
  <c r="AC40" i="1"/>
  <c r="L40" i="1" s="1"/>
  <c r="AC46" i="1"/>
  <c r="L46" i="1" s="1"/>
  <c r="AC50" i="1"/>
  <c r="L50" i="1" s="1"/>
  <c r="AC54" i="1"/>
  <c r="L54" i="1" s="1"/>
  <c r="AC58" i="1"/>
  <c r="L58" i="1" s="1"/>
  <c r="AC67" i="1"/>
  <c r="L67" i="1" s="1"/>
  <c r="AC71" i="1"/>
  <c r="L71" i="1" s="1"/>
  <c r="AC75" i="1"/>
  <c r="L75" i="1" s="1"/>
  <c r="AC79" i="1"/>
  <c r="L79" i="1" s="1"/>
  <c r="AC83" i="1"/>
  <c r="L83" i="1" s="1"/>
  <c r="AC99" i="1"/>
  <c r="L99" i="1" s="1"/>
  <c r="AC103" i="1"/>
  <c r="L103" i="1" s="1"/>
  <c r="AC107" i="1"/>
  <c r="L107" i="1" s="1"/>
  <c r="AC111" i="1"/>
  <c r="L111" i="1" s="1"/>
  <c r="AC115" i="1"/>
  <c r="L115" i="1" s="1"/>
  <c r="AC119" i="1"/>
  <c r="L119" i="1" s="1"/>
  <c r="AC123" i="1"/>
  <c r="L123" i="1" s="1"/>
  <c r="AC127" i="1"/>
  <c r="L127" i="1" s="1"/>
  <c r="AC131" i="1"/>
  <c r="L131" i="1" s="1"/>
  <c r="AC135" i="1"/>
  <c r="L135" i="1" s="1"/>
  <c r="AC139" i="1"/>
  <c r="L139" i="1" s="1"/>
  <c r="AC143" i="1"/>
  <c r="L143" i="1" s="1"/>
  <c r="AC147" i="1"/>
  <c r="L147" i="1" s="1"/>
  <c r="AC151" i="1"/>
  <c r="L151" i="1" s="1"/>
  <c r="AC155" i="1"/>
  <c r="L155" i="1" s="1"/>
  <c r="AC159" i="1"/>
  <c r="L159" i="1" s="1"/>
  <c r="AC163" i="1"/>
  <c r="L163" i="1" s="1"/>
  <c r="AC167" i="1"/>
  <c r="L167" i="1" s="1"/>
  <c r="AC171" i="1"/>
  <c r="L171" i="1" s="1"/>
  <c r="AC175" i="1"/>
  <c r="L175" i="1" s="1"/>
  <c r="AC179" i="1"/>
  <c r="L179" i="1" s="1"/>
  <c r="AC183" i="1"/>
  <c r="L183" i="1" s="1"/>
  <c r="AC187" i="1"/>
  <c r="L187" i="1" s="1"/>
  <c r="AC191" i="1"/>
  <c r="L191" i="1" s="1"/>
  <c r="AC195" i="1"/>
  <c r="L195" i="1" s="1"/>
  <c r="AC199" i="1"/>
  <c r="L199" i="1" s="1"/>
  <c r="AC203" i="1"/>
  <c r="L203" i="1" s="1"/>
  <c r="AC207" i="1"/>
  <c r="L207" i="1" s="1"/>
  <c r="AC211" i="1"/>
  <c r="L211" i="1" s="1"/>
  <c r="AC215" i="1"/>
  <c r="L215" i="1" s="1"/>
  <c r="AC219" i="1"/>
  <c r="L219" i="1" s="1"/>
  <c r="AC223" i="1"/>
  <c r="L223" i="1" s="1"/>
  <c r="AC227" i="1"/>
  <c r="L227" i="1" s="1"/>
  <c r="AC231" i="1"/>
  <c r="L231" i="1" s="1"/>
  <c r="AC235" i="1"/>
  <c r="L235" i="1" s="1"/>
  <c r="AC239" i="1"/>
  <c r="L239" i="1" s="1"/>
  <c r="AC243" i="1"/>
  <c r="L243" i="1" s="1"/>
  <c r="AC247" i="1"/>
  <c r="L247" i="1" s="1"/>
  <c r="AC251" i="1"/>
  <c r="L251" i="1" s="1"/>
  <c r="AC255" i="1"/>
  <c r="L255" i="1" s="1"/>
  <c r="AC259" i="1"/>
  <c r="L259" i="1" s="1"/>
  <c r="AC263" i="1"/>
  <c r="L263" i="1" s="1"/>
  <c r="AC267" i="1"/>
  <c r="L267" i="1" s="1"/>
  <c r="AC271" i="1"/>
  <c r="L271" i="1" s="1"/>
  <c r="AC275" i="1"/>
  <c r="L275" i="1" s="1"/>
  <c r="AC279" i="1"/>
  <c r="L279" i="1" s="1"/>
  <c r="AC283" i="1"/>
  <c r="L283" i="1" s="1"/>
  <c r="AC287" i="1"/>
  <c r="L287" i="1" s="1"/>
  <c r="AC291" i="1"/>
  <c r="L291" i="1" s="1"/>
  <c r="AC295" i="1"/>
  <c r="L295" i="1" s="1"/>
  <c r="AC299" i="1"/>
  <c r="L299" i="1" s="1"/>
  <c r="AC303" i="1"/>
  <c r="L303" i="1" s="1"/>
  <c r="AC307" i="1"/>
  <c r="L307" i="1" s="1"/>
  <c r="AC311" i="1"/>
  <c r="L311" i="1" s="1"/>
  <c r="AC315" i="1"/>
  <c r="L315" i="1" s="1"/>
  <c r="AC319" i="1"/>
  <c r="L319" i="1" s="1"/>
  <c r="AC323" i="1"/>
  <c r="L323" i="1" s="1"/>
  <c r="AC327" i="1"/>
  <c r="L327" i="1" s="1"/>
  <c r="AC331" i="1"/>
  <c r="L331" i="1" s="1"/>
  <c r="AC335" i="1"/>
  <c r="L335" i="1" s="1"/>
  <c r="AC339" i="1"/>
  <c r="L339" i="1" s="1"/>
  <c r="AC343" i="1"/>
  <c r="L343" i="1" s="1"/>
  <c r="AC347" i="1"/>
  <c r="L347" i="1" s="1"/>
  <c r="AC351" i="1"/>
  <c r="L351" i="1" s="1"/>
  <c r="AC355" i="1"/>
  <c r="L355" i="1" s="1"/>
  <c r="AC359" i="1"/>
  <c r="L359" i="1" s="1"/>
  <c r="AC363" i="1"/>
  <c r="L363" i="1" s="1"/>
  <c r="AC367" i="1"/>
  <c r="L367" i="1" s="1"/>
  <c r="AC371" i="1"/>
  <c r="L371" i="1" s="1"/>
  <c r="AC102" i="1"/>
  <c r="L102" i="1" s="1"/>
  <c r="AC110" i="1"/>
  <c r="L110" i="1" s="1"/>
  <c r="AC118" i="1"/>
  <c r="L118" i="1" s="1"/>
  <c r="AC126" i="1"/>
  <c r="L126" i="1" s="1"/>
  <c r="AC134" i="1"/>
  <c r="L134" i="1" s="1"/>
  <c r="AC142" i="1"/>
  <c r="L142" i="1" s="1"/>
  <c r="AC150" i="1"/>
  <c r="L150" i="1" s="1"/>
  <c r="AC158" i="1"/>
  <c r="L158" i="1" s="1"/>
  <c r="AC166" i="1"/>
  <c r="L166" i="1" s="1"/>
  <c r="AC174" i="1"/>
  <c r="L174" i="1" s="1"/>
  <c r="AC182" i="1"/>
  <c r="L182" i="1" s="1"/>
  <c r="AC190" i="1"/>
  <c r="L190" i="1" s="1"/>
  <c r="AC198" i="1"/>
  <c r="L198" i="1" s="1"/>
  <c r="AC206" i="1"/>
  <c r="L206" i="1" s="1"/>
  <c r="AC214" i="1"/>
  <c r="L214" i="1" s="1"/>
  <c r="AC222" i="1"/>
  <c r="L222" i="1" s="1"/>
  <c r="AC230" i="1"/>
  <c r="L230" i="1" s="1"/>
  <c r="AC238" i="1"/>
  <c r="L238" i="1" s="1"/>
  <c r="AC246" i="1"/>
  <c r="L246" i="1" s="1"/>
  <c r="AC254" i="1"/>
  <c r="L254" i="1" s="1"/>
  <c r="AC262" i="1"/>
  <c r="L262" i="1" s="1"/>
  <c r="AC270" i="1"/>
  <c r="L270" i="1" s="1"/>
  <c r="AC278" i="1"/>
  <c r="L278" i="1" s="1"/>
  <c r="AC286" i="1"/>
  <c r="L286" i="1" s="1"/>
  <c r="AC294" i="1"/>
  <c r="L294" i="1" s="1"/>
  <c r="AC302" i="1"/>
  <c r="L302" i="1" s="1"/>
  <c r="AC308" i="1"/>
  <c r="L308" i="1" s="1"/>
  <c r="AC313" i="1"/>
  <c r="L313" i="1" s="1"/>
  <c r="AC318" i="1"/>
  <c r="L318" i="1" s="1"/>
  <c r="AC324" i="1"/>
  <c r="L324" i="1" s="1"/>
  <c r="AC329" i="1"/>
  <c r="L329" i="1" s="1"/>
  <c r="AC334" i="1"/>
  <c r="L334" i="1" s="1"/>
  <c r="AC340" i="1"/>
  <c r="L340" i="1" s="1"/>
  <c r="AC345" i="1"/>
  <c r="L345" i="1" s="1"/>
  <c r="AC350" i="1"/>
  <c r="L350" i="1" s="1"/>
  <c r="AC356" i="1"/>
  <c r="L356" i="1" s="1"/>
  <c r="AC361" i="1"/>
  <c r="L361" i="1" s="1"/>
  <c r="AC366" i="1"/>
  <c r="L366" i="1" s="1"/>
  <c r="AC372" i="1"/>
  <c r="L372" i="1" s="1"/>
  <c r="AC376" i="1"/>
  <c r="L376" i="1" s="1"/>
  <c r="AC380" i="1"/>
  <c r="L380" i="1" s="1"/>
  <c r="AC384" i="1"/>
  <c r="L384" i="1" s="1"/>
  <c r="AC388" i="1"/>
  <c r="L388" i="1" s="1"/>
  <c r="AC392" i="1"/>
  <c r="L392" i="1" s="1"/>
  <c r="AC396" i="1"/>
  <c r="L396" i="1" s="1"/>
  <c r="AC400" i="1"/>
  <c r="L400" i="1" s="1"/>
  <c r="AC404" i="1"/>
  <c r="L404" i="1" s="1"/>
  <c r="AC408" i="1"/>
  <c r="L408" i="1" s="1"/>
  <c r="AC412" i="1"/>
  <c r="L412" i="1" s="1"/>
  <c r="AC416" i="1"/>
  <c r="L416" i="1" s="1"/>
  <c r="AC420" i="1"/>
  <c r="L420" i="1" s="1"/>
  <c r="AC424" i="1"/>
  <c r="L424" i="1" s="1"/>
  <c r="AC428" i="1"/>
  <c r="L428" i="1" s="1"/>
  <c r="AC432" i="1"/>
  <c r="L432" i="1" s="1"/>
  <c r="AC436" i="1"/>
  <c r="L436" i="1" s="1"/>
  <c r="AC440" i="1"/>
  <c r="L440" i="1" s="1"/>
  <c r="AC444" i="1"/>
  <c r="L444" i="1" s="1"/>
  <c r="AC448" i="1"/>
  <c r="L448" i="1" s="1"/>
  <c r="AC452" i="1"/>
  <c r="L452" i="1" s="1"/>
  <c r="AC456" i="1"/>
  <c r="L456" i="1" s="1"/>
  <c r="AC460" i="1"/>
  <c r="L460" i="1" s="1"/>
  <c r="AC464" i="1"/>
  <c r="L464" i="1" s="1"/>
  <c r="AC468" i="1"/>
  <c r="L468" i="1" s="1"/>
  <c r="AC472" i="1"/>
  <c r="L472" i="1" s="1"/>
  <c r="AC476" i="1"/>
  <c r="L476" i="1" s="1"/>
  <c r="AC480" i="1"/>
  <c r="L480" i="1" s="1"/>
  <c r="AC484" i="1"/>
  <c r="L484" i="1" s="1"/>
  <c r="AC488" i="1"/>
  <c r="L488" i="1" s="1"/>
  <c r="AC492" i="1"/>
  <c r="L492" i="1" s="1"/>
  <c r="AC496" i="1"/>
  <c r="L496" i="1" s="1"/>
  <c r="AC500" i="1"/>
  <c r="L500" i="1" s="1"/>
  <c r="AC504" i="1"/>
  <c r="L504" i="1" s="1"/>
  <c r="AC508" i="1"/>
  <c r="L508" i="1" s="1"/>
  <c r="AC512" i="1"/>
  <c r="L512" i="1" s="1"/>
  <c r="AC516" i="1"/>
  <c r="L516" i="1" s="1"/>
  <c r="AC520" i="1"/>
  <c r="L520" i="1" s="1"/>
  <c r="AC524" i="1"/>
  <c r="L524" i="1" s="1"/>
  <c r="AC528" i="1"/>
  <c r="L528" i="1" s="1"/>
  <c r="AC532" i="1"/>
  <c r="L532" i="1" s="1"/>
  <c r="AC536" i="1"/>
  <c r="L536" i="1" s="1"/>
  <c r="AC540" i="1"/>
  <c r="L540" i="1" s="1"/>
  <c r="AC544" i="1"/>
  <c r="L544" i="1" s="1"/>
  <c r="AC548" i="1"/>
  <c r="L548" i="1" s="1"/>
  <c r="AC552" i="1"/>
  <c r="L552" i="1" s="1"/>
  <c r="AC97" i="1"/>
  <c r="L97" i="1" s="1"/>
  <c r="AC106" i="1"/>
  <c r="L106" i="1" s="1"/>
  <c r="AC117" i="1"/>
  <c r="L117" i="1" s="1"/>
  <c r="AC129" i="1"/>
  <c r="L129" i="1" s="1"/>
  <c r="AC138" i="1"/>
  <c r="L138" i="1" s="1"/>
  <c r="AC149" i="1"/>
  <c r="L149" i="1" s="1"/>
  <c r="AC161" i="1"/>
  <c r="L161" i="1" s="1"/>
  <c r="AC170" i="1"/>
  <c r="L170" i="1" s="1"/>
  <c r="AC181" i="1"/>
  <c r="L181" i="1" s="1"/>
  <c r="AC193" i="1"/>
  <c r="L193" i="1" s="1"/>
  <c r="AC202" i="1"/>
  <c r="L202" i="1" s="1"/>
  <c r="AC213" i="1"/>
  <c r="L213" i="1" s="1"/>
  <c r="AC225" i="1"/>
  <c r="L225" i="1" s="1"/>
  <c r="AC234" i="1"/>
  <c r="L234" i="1" s="1"/>
  <c r="AC245" i="1"/>
  <c r="L245" i="1" s="1"/>
  <c r="AC257" i="1"/>
  <c r="L257" i="1" s="1"/>
  <c r="AC266" i="1"/>
  <c r="L266" i="1" s="1"/>
  <c r="AC277" i="1"/>
  <c r="L277" i="1" s="1"/>
  <c r="AC289" i="1"/>
  <c r="L289" i="1" s="1"/>
  <c r="AC298" i="1"/>
  <c r="L298" i="1" s="1"/>
  <c r="AC306" i="1"/>
  <c r="L306" i="1" s="1"/>
  <c r="AC314" i="1"/>
  <c r="L314" i="1" s="1"/>
  <c r="AC321" i="1"/>
  <c r="L321" i="1" s="1"/>
  <c r="AC328" i="1"/>
  <c r="L328" i="1" s="1"/>
  <c r="AC336" i="1"/>
  <c r="L336" i="1" s="1"/>
  <c r="AC342" i="1"/>
  <c r="L342" i="1" s="1"/>
  <c r="AC349" i="1"/>
  <c r="L349" i="1" s="1"/>
  <c r="AC357" i="1"/>
  <c r="L357" i="1" s="1"/>
  <c r="AC364" i="1"/>
  <c r="L364" i="1" s="1"/>
  <c r="AC370" i="1"/>
  <c r="L370" i="1" s="1"/>
  <c r="AC377" i="1"/>
  <c r="L377" i="1" s="1"/>
  <c r="AC382" i="1"/>
  <c r="L382" i="1" s="1"/>
  <c r="AC387" i="1"/>
  <c r="L387" i="1" s="1"/>
  <c r="AC393" i="1"/>
  <c r="L393" i="1" s="1"/>
  <c r="AC398" i="1"/>
  <c r="L398" i="1" s="1"/>
  <c r="AC403" i="1"/>
  <c r="L403" i="1" s="1"/>
  <c r="AC409" i="1"/>
  <c r="L409" i="1" s="1"/>
  <c r="AC414" i="1"/>
  <c r="L414" i="1" s="1"/>
  <c r="AC419" i="1"/>
  <c r="L419" i="1" s="1"/>
  <c r="AC425" i="1"/>
  <c r="L425" i="1" s="1"/>
  <c r="AC430" i="1"/>
  <c r="L430" i="1" s="1"/>
  <c r="AC435" i="1"/>
  <c r="L435" i="1" s="1"/>
  <c r="AC441" i="1"/>
  <c r="L441" i="1" s="1"/>
  <c r="AC446" i="1"/>
  <c r="L446" i="1" s="1"/>
  <c r="AC451" i="1"/>
  <c r="L451" i="1" s="1"/>
  <c r="AC457" i="1"/>
  <c r="L457" i="1" s="1"/>
  <c r="AC462" i="1"/>
  <c r="L462" i="1" s="1"/>
  <c r="AC467" i="1"/>
  <c r="L467" i="1" s="1"/>
  <c r="AC473" i="1"/>
  <c r="L473" i="1" s="1"/>
  <c r="AC478" i="1"/>
  <c r="L478" i="1" s="1"/>
  <c r="AC483" i="1"/>
  <c r="L483" i="1" s="1"/>
  <c r="AC489" i="1"/>
  <c r="L489" i="1" s="1"/>
  <c r="AC494" i="1"/>
  <c r="L494" i="1" s="1"/>
  <c r="AC499" i="1"/>
  <c r="L499" i="1" s="1"/>
  <c r="AC505" i="1"/>
  <c r="L505" i="1" s="1"/>
  <c r="AC510" i="1"/>
  <c r="L510" i="1" s="1"/>
  <c r="AC515" i="1"/>
  <c r="L515" i="1" s="1"/>
  <c r="AC521" i="1"/>
  <c r="L521" i="1" s="1"/>
  <c r="AC526" i="1"/>
  <c r="L526" i="1" s="1"/>
  <c r="AC531" i="1"/>
  <c r="L531" i="1" s="1"/>
  <c r="AC537" i="1"/>
  <c r="L537" i="1" s="1"/>
  <c r="AC542" i="1"/>
  <c r="L542" i="1" s="1"/>
  <c r="AC547" i="1"/>
  <c r="L547" i="1" s="1"/>
  <c r="AC553" i="1"/>
  <c r="L553" i="1" s="1"/>
  <c r="AC557" i="1"/>
  <c r="L557" i="1" s="1"/>
  <c r="AC561" i="1"/>
  <c r="L561" i="1" s="1"/>
  <c r="AC565" i="1"/>
  <c r="L565" i="1" s="1"/>
  <c r="AC569" i="1"/>
  <c r="L569" i="1" s="1"/>
  <c r="AC573" i="1"/>
  <c r="L573" i="1" s="1"/>
  <c r="AC577" i="1"/>
  <c r="L577" i="1" s="1"/>
  <c r="AC581" i="1"/>
  <c r="L581" i="1" s="1"/>
  <c r="AC585" i="1"/>
  <c r="L585" i="1" s="1"/>
  <c r="AC589" i="1"/>
  <c r="L589" i="1" s="1"/>
  <c r="AC593" i="1"/>
  <c r="L593" i="1" s="1"/>
  <c r="AC597" i="1"/>
  <c r="L597" i="1" s="1"/>
  <c r="AC601" i="1"/>
  <c r="L601" i="1" s="1"/>
  <c r="AC605" i="1"/>
  <c r="L605" i="1" s="1"/>
  <c r="AC609" i="1"/>
  <c r="L609" i="1" s="1"/>
  <c r="AC613" i="1"/>
  <c r="L613" i="1" s="1"/>
  <c r="AC617" i="1"/>
  <c r="L617" i="1" s="1"/>
  <c r="AC621" i="1"/>
  <c r="L621" i="1" s="1"/>
  <c r="AC625" i="1"/>
  <c r="L625" i="1" s="1"/>
  <c r="AC629" i="1"/>
  <c r="L629" i="1" s="1"/>
  <c r="AC633" i="1"/>
  <c r="L633" i="1" s="1"/>
  <c r="AC98" i="1"/>
  <c r="L98" i="1" s="1"/>
  <c r="AC109" i="1"/>
  <c r="L109" i="1" s="1"/>
  <c r="AC121" i="1"/>
  <c r="L121" i="1" s="1"/>
  <c r="AC130" i="1"/>
  <c r="L130" i="1" s="1"/>
  <c r="AC141" i="1"/>
  <c r="L141" i="1" s="1"/>
  <c r="AC153" i="1"/>
  <c r="L153" i="1" s="1"/>
  <c r="AC162" i="1"/>
  <c r="L162" i="1" s="1"/>
  <c r="AC173" i="1"/>
  <c r="L173" i="1" s="1"/>
  <c r="AC185" i="1"/>
  <c r="L185" i="1" s="1"/>
  <c r="AC194" i="1"/>
  <c r="L194" i="1" s="1"/>
  <c r="AC205" i="1"/>
  <c r="L205" i="1" s="1"/>
  <c r="AC217" i="1"/>
  <c r="L217" i="1" s="1"/>
  <c r="AC226" i="1"/>
  <c r="L226" i="1" s="1"/>
  <c r="AC237" i="1"/>
  <c r="L237" i="1" s="1"/>
  <c r="AC249" i="1"/>
  <c r="L249" i="1" s="1"/>
  <c r="AC258" i="1"/>
  <c r="L258" i="1" s="1"/>
  <c r="AC269" i="1"/>
  <c r="L269" i="1" s="1"/>
  <c r="AC281" i="1"/>
  <c r="L281" i="1" s="1"/>
  <c r="AC290" i="1"/>
  <c r="L290" i="1" s="1"/>
  <c r="AC301" i="1"/>
  <c r="L301" i="1" s="1"/>
  <c r="AC309" i="1"/>
  <c r="L309" i="1" s="1"/>
  <c r="AC316" i="1"/>
  <c r="L316" i="1" s="1"/>
  <c r="AC322" i="1"/>
  <c r="L322" i="1" s="1"/>
  <c r="AC330" i="1"/>
  <c r="L330" i="1" s="1"/>
  <c r="AC337" i="1"/>
  <c r="L337" i="1" s="1"/>
  <c r="AC344" i="1"/>
  <c r="L344" i="1" s="1"/>
  <c r="AC352" i="1"/>
  <c r="L352" i="1" s="1"/>
  <c r="AC358" i="1"/>
  <c r="L358" i="1" s="1"/>
  <c r="AC365" i="1"/>
  <c r="L365" i="1" s="1"/>
  <c r="AC373" i="1"/>
  <c r="L373" i="1" s="1"/>
  <c r="AC378" i="1"/>
  <c r="L378" i="1" s="1"/>
  <c r="AC383" i="1"/>
  <c r="L383" i="1" s="1"/>
  <c r="AC389" i="1"/>
  <c r="L389" i="1" s="1"/>
  <c r="AC394" i="1"/>
  <c r="L394" i="1" s="1"/>
  <c r="AC399" i="1"/>
  <c r="L399" i="1" s="1"/>
  <c r="AC405" i="1"/>
  <c r="L405" i="1" s="1"/>
  <c r="AC410" i="1"/>
  <c r="L410" i="1" s="1"/>
  <c r="AC415" i="1"/>
  <c r="L415" i="1" s="1"/>
  <c r="AC421" i="1"/>
  <c r="L421" i="1" s="1"/>
  <c r="AC426" i="1"/>
  <c r="L426" i="1" s="1"/>
  <c r="AC431" i="1"/>
  <c r="L431" i="1" s="1"/>
  <c r="AC437" i="1"/>
  <c r="L437" i="1" s="1"/>
  <c r="AC442" i="1"/>
  <c r="L442" i="1" s="1"/>
  <c r="AC447" i="1"/>
  <c r="L447" i="1" s="1"/>
  <c r="AC453" i="1"/>
  <c r="L453" i="1" s="1"/>
  <c r="AC458" i="1"/>
  <c r="L458" i="1" s="1"/>
  <c r="AC463" i="1"/>
  <c r="L463" i="1" s="1"/>
  <c r="AC469" i="1"/>
  <c r="L469" i="1" s="1"/>
  <c r="AC474" i="1"/>
  <c r="L474" i="1" s="1"/>
  <c r="AC479" i="1"/>
  <c r="L479" i="1" s="1"/>
  <c r="AC485" i="1"/>
  <c r="L485" i="1" s="1"/>
  <c r="AC490" i="1"/>
  <c r="L490" i="1" s="1"/>
  <c r="AC495" i="1"/>
  <c r="L495" i="1" s="1"/>
  <c r="AC501" i="1"/>
  <c r="L501" i="1" s="1"/>
  <c r="AC506" i="1"/>
  <c r="L506" i="1" s="1"/>
  <c r="AC511" i="1"/>
  <c r="L511" i="1" s="1"/>
  <c r="AC517" i="1"/>
  <c r="L517" i="1" s="1"/>
  <c r="AC522" i="1"/>
  <c r="L522" i="1" s="1"/>
  <c r="AC527" i="1"/>
  <c r="L527" i="1" s="1"/>
  <c r="AC533" i="1"/>
  <c r="L533" i="1" s="1"/>
  <c r="AC538" i="1"/>
  <c r="L538" i="1" s="1"/>
  <c r="AC543" i="1"/>
  <c r="L543" i="1" s="1"/>
  <c r="AC549" i="1"/>
  <c r="L549" i="1" s="1"/>
  <c r="AC554" i="1"/>
  <c r="L554" i="1" s="1"/>
  <c r="AC558" i="1"/>
  <c r="L558" i="1" s="1"/>
  <c r="AC562" i="1"/>
  <c r="L562" i="1" s="1"/>
  <c r="AC566" i="1"/>
  <c r="L566" i="1" s="1"/>
  <c r="AC570" i="1"/>
  <c r="L570" i="1" s="1"/>
  <c r="AC574" i="1"/>
  <c r="L574" i="1" s="1"/>
  <c r="AC578" i="1"/>
  <c r="L578" i="1" s="1"/>
  <c r="AC582" i="1"/>
  <c r="L582" i="1" s="1"/>
  <c r="AC586" i="1"/>
  <c r="L586" i="1" s="1"/>
  <c r="AC590" i="1"/>
  <c r="L590" i="1" s="1"/>
  <c r="AC594" i="1"/>
  <c r="L594" i="1" s="1"/>
  <c r="AC598" i="1"/>
  <c r="L598" i="1" s="1"/>
  <c r="AC602" i="1"/>
  <c r="L602" i="1" s="1"/>
  <c r="AC606" i="1"/>
  <c r="L606" i="1" s="1"/>
  <c r="AC610" i="1"/>
  <c r="L610" i="1" s="1"/>
  <c r="AC614" i="1"/>
  <c r="L614" i="1" s="1"/>
  <c r="AC618" i="1"/>
  <c r="L618" i="1" s="1"/>
  <c r="AC622" i="1"/>
  <c r="L622" i="1" s="1"/>
  <c r="AC626" i="1"/>
  <c r="L626" i="1" s="1"/>
  <c r="AC630" i="1"/>
  <c r="L630" i="1" s="1"/>
  <c r="AC634" i="1"/>
  <c r="L634" i="1" s="1"/>
  <c r="AC101" i="1"/>
  <c r="L101" i="1" s="1"/>
  <c r="AC628" i="1"/>
  <c r="L628" i="1" s="1"/>
  <c r="AC620" i="1"/>
  <c r="L620" i="1" s="1"/>
  <c r="AC612" i="1"/>
  <c r="L612" i="1" s="1"/>
  <c r="AC604" i="1"/>
  <c r="L604" i="1" s="1"/>
  <c r="AC596" i="1"/>
  <c r="L596" i="1" s="1"/>
  <c r="AC588" i="1"/>
  <c r="L588" i="1" s="1"/>
  <c r="AC580" i="1"/>
  <c r="L580" i="1" s="1"/>
  <c r="AC572" i="1"/>
  <c r="L572" i="1" s="1"/>
  <c r="AC564" i="1"/>
  <c r="L564" i="1" s="1"/>
  <c r="AC556" i="1"/>
  <c r="L556" i="1" s="1"/>
  <c r="AC546" i="1"/>
  <c r="L546" i="1" s="1"/>
  <c r="AC535" i="1"/>
  <c r="L535" i="1" s="1"/>
  <c r="AC525" i="1"/>
  <c r="L525" i="1" s="1"/>
  <c r="AC514" i="1"/>
  <c r="L514" i="1" s="1"/>
  <c r="AC503" i="1"/>
  <c r="L503" i="1" s="1"/>
  <c r="AC493" i="1"/>
  <c r="L493" i="1" s="1"/>
  <c r="AC482" i="1"/>
  <c r="L482" i="1" s="1"/>
  <c r="AC471" i="1"/>
  <c r="L471" i="1" s="1"/>
  <c r="AC461" i="1"/>
  <c r="L461" i="1" s="1"/>
  <c r="AC450" i="1"/>
  <c r="L450" i="1" s="1"/>
  <c r="AC439" i="1"/>
  <c r="L439" i="1" s="1"/>
  <c r="AC429" i="1"/>
  <c r="L429" i="1" s="1"/>
  <c r="AC418" i="1"/>
  <c r="L418" i="1" s="1"/>
  <c r="AC407" i="1"/>
  <c r="L407" i="1" s="1"/>
  <c r="AC397" i="1"/>
  <c r="L397" i="1" s="1"/>
  <c r="AC386" i="1"/>
  <c r="L386" i="1" s="1"/>
  <c r="AC375" i="1"/>
  <c r="L375" i="1" s="1"/>
  <c r="AC362" i="1"/>
  <c r="L362" i="1" s="1"/>
  <c r="AC348" i="1"/>
  <c r="L348" i="1" s="1"/>
  <c r="AC333" i="1"/>
  <c r="L333" i="1" s="1"/>
  <c r="AC320" i="1"/>
  <c r="L320" i="1" s="1"/>
  <c r="AC305" i="1"/>
  <c r="L305" i="1" s="1"/>
  <c r="AC285" i="1"/>
  <c r="L285" i="1" s="1"/>
  <c r="AC265" i="1"/>
  <c r="L265" i="1" s="1"/>
  <c r="AC242" i="1"/>
  <c r="L242" i="1" s="1"/>
  <c r="AC221" i="1"/>
  <c r="L221" i="1" s="1"/>
  <c r="AC201" i="1"/>
  <c r="L201" i="1" s="1"/>
  <c r="AC178" i="1"/>
  <c r="L178" i="1" s="1"/>
  <c r="AC157" i="1"/>
  <c r="L157" i="1" s="1"/>
  <c r="AC137" i="1"/>
  <c r="L137" i="1" s="1"/>
  <c r="AC114" i="1"/>
  <c r="L114" i="1" s="1"/>
  <c r="AC635" i="1"/>
  <c r="L635" i="1" s="1"/>
  <c r="AC611" i="1"/>
  <c r="L611" i="1" s="1"/>
  <c r="AC595" i="1"/>
  <c r="L595" i="1" s="1"/>
  <c r="AC579" i="1"/>
  <c r="L579" i="1" s="1"/>
  <c r="AC563" i="1"/>
  <c r="L563" i="1" s="1"/>
  <c r="AC555" i="1"/>
  <c r="L555" i="1" s="1"/>
  <c r="AC534" i="1"/>
  <c r="L534" i="1" s="1"/>
  <c r="AC523" i="1"/>
  <c r="L523" i="1" s="1"/>
  <c r="AC513" i="1"/>
  <c r="L513" i="1" s="1"/>
  <c r="AC502" i="1"/>
  <c r="L502" i="1" s="1"/>
  <c r="AC491" i="1"/>
  <c r="L491" i="1" s="1"/>
  <c r="AC481" i="1"/>
  <c r="L481" i="1" s="1"/>
  <c r="AC470" i="1"/>
  <c r="L470" i="1" s="1"/>
  <c r="AC459" i="1"/>
  <c r="L459" i="1" s="1"/>
  <c r="AC449" i="1"/>
  <c r="L449" i="1" s="1"/>
  <c r="AC438" i="1"/>
  <c r="L438" i="1" s="1"/>
  <c r="AC427" i="1"/>
  <c r="L427" i="1" s="1"/>
  <c r="AC417" i="1"/>
  <c r="L417" i="1" s="1"/>
  <c r="AC406" i="1"/>
  <c r="L406" i="1" s="1"/>
  <c r="AC395" i="1"/>
  <c r="L395" i="1" s="1"/>
  <c r="AC385" i="1"/>
  <c r="L385" i="1" s="1"/>
  <c r="AC374" i="1"/>
  <c r="L374" i="1" s="1"/>
  <c r="AC360" i="1"/>
  <c r="L360" i="1" s="1"/>
  <c r="AC346" i="1"/>
  <c r="L346" i="1" s="1"/>
  <c r="AC332" i="1"/>
  <c r="L332" i="1" s="1"/>
  <c r="AC317" i="1"/>
  <c r="L317" i="1" s="1"/>
  <c r="AC304" i="1"/>
  <c r="L304" i="1" s="1"/>
  <c r="AC282" i="1"/>
  <c r="L282" i="1" s="1"/>
  <c r="AC261" i="1"/>
  <c r="L261" i="1" s="1"/>
  <c r="AC241" i="1"/>
  <c r="L241" i="1" s="1"/>
  <c r="AC218" i="1"/>
  <c r="L218" i="1" s="1"/>
  <c r="AC197" i="1"/>
  <c r="L197" i="1" s="1"/>
  <c r="AC177" i="1"/>
  <c r="L177" i="1" s="1"/>
  <c r="AC154" i="1"/>
  <c r="L154" i="1" s="1"/>
  <c r="AC133" i="1"/>
  <c r="L133" i="1" s="1"/>
  <c r="AC113" i="1"/>
  <c r="L113" i="1" s="1"/>
  <c r="AC627" i="1"/>
  <c r="L627" i="1" s="1"/>
  <c r="AC619" i="1"/>
  <c r="L619" i="1" s="1"/>
  <c r="AC603" i="1"/>
  <c r="L603" i="1" s="1"/>
  <c r="AC587" i="1"/>
  <c r="L587" i="1" s="1"/>
  <c r="AC571" i="1"/>
  <c r="L571" i="1" s="1"/>
  <c r="AC545" i="1"/>
  <c r="L545" i="1" s="1"/>
  <c r="AC632" i="1"/>
  <c r="L632" i="1" s="1"/>
  <c r="AC624" i="1"/>
  <c r="L624" i="1" s="1"/>
  <c r="AC616" i="1"/>
  <c r="L616" i="1" s="1"/>
  <c r="AC608" i="1"/>
  <c r="L608" i="1" s="1"/>
  <c r="AC600" i="1"/>
  <c r="L600" i="1" s="1"/>
  <c r="AC592" i="1"/>
  <c r="L592" i="1" s="1"/>
  <c r="AC584" i="1"/>
  <c r="L584" i="1" s="1"/>
  <c r="AC576" i="1"/>
  <c r="L576" i="1" s="1"/>
  <c r="AC568" i="1"/>
  <c r="L568" i="1" s="1"/>
  <c r="AC560" i="1"/>
  <c r="L560" i="1" s="1"/>
  <c r="AC551" i="1"/>
  <c r="L551" i="1" s="1"/>
  <c r="AC541" i="1"/>
  <c r="L541" i="1" s="1"/>
  <c r="AC530" i="1"/>
  <c r="L530" i="1" s="1"/>
  <c r="AC519" i="1"/>
  <c r="L519" i="1" s="1"/>
  <c r="AC509" i="1"/>
  <c r="L509" i="1" s="1"/>
  <c r="AC498" i="1"/>
  <c r="L498" i="1" s="1"/>
  <c r="AC487" i="1"/>
  <c r="L487" i="1" s="1"/>
  <c r="AC477" i="1"/>
  <c r="L477" i="1" s="1"/>
  <c r="AC466" i="1"/>
  <c r="L466" i="1" s="1"/>
  <c r="AC455" i="1"/>
  <c r="L455" i="1" s="1"/>
  <c r="AC445" i="1"/>
  <c r="L445" i="1" s="1"/>
  <c r="AC434" i="1"/>
  <c r="L434" i="1" s="1"/>
  <c r="AC423" i="1"/>
  <c r="L423" i="1" s="1"/>
  <c r="AC413" i="1"/>
  <c r="L413" i="1" s="1"/>
  <c r="AC402" i="1"/>
  <c r="L402" i="1" s="1"/>
  <c r="AC391" i="1"/>
  <c r="L391" i="1" s="1"/>
  <c r="AC381" i="1"/>
  <c r="L381" i="1" s="1"/>
  <c r="AC369" i="1"/>
  <c r="L369" i="1" s="1"/>
  <c r="AC354" i="1"/>
  <c r="L354" i="1" s="1"/>
  <c r="AC341" i="1"/>
  <c r="L341" i="1" s="1"/>
  <c r="AC326" i="1"/>
  <c r="L326" i="1" s="1"/>
  <c r="AC312" i="1"/>
  <c r="L312" i="1" s="1"/>
  <c r="AC297" i="1"/>
  <c r="L297" i="1" s="1"/>
  <c r="AC274" i="1"/>
  <c r="L274" i="1" s="1"/>
  <c r="AC253" i="1"/>
  <c r="L253" i="1" s="1"/>
  <c r="AC233" i="1"/>
  <c r="L233" i="1" s="1"/>
  <c r="AC210" i="1"/>
  <c r="L210" i="1" s="1"/>
  <c r="AC189" i="1"/>
  <c r="L189" i="1" s="1"/>
  <c r="AC169" i="1"/>
  <c r="L169" i="1" s="1"/>
  <c r="AC146" i="1"/>
  <c r="L146" i="1" s="1"/>
  <c r="AC125" i="1"/>
  <c r="L125" i="1" s="1"/>
  <c r="AC105" i="1"/>
  <c r="L105" i="1" s="1"/>
  <c r="A8" i="3"/>
  <c r="A7" i="3"/>
  <c r="E73" i="1" l="1"/>
  <c r="D73" i="1" l="1"/>
  <c r="R73" i="1" l="1"/>
  <c r="P73" i="1"/>
  <c r="A6" i="4"/>
  <c r="A10" i="4" s="1"/>
  <c r="D15" i="4" l="1"/>
  <c r="D17" i="4" s="1"/>
  <c r="A12" i="4"/>
  <c r="A13" i="4" s="1"/>
  <c r="A14" i="4" s="1"/>
  <c r="A16" i="4" s="1"/>
  <c r="A17" i="4" s="1"/>
  <c r="A18" i="4" s="1"/>
  <c r="A19" i="4" s="1"/>
  <c r="A20" i="4" s="1"/>
  <c r="A21" i="4" s="1"/>
  <c r="A22" i="4" s="1"/>
  <c r="A23" i="4" s="1"/>
  <c r="U14" i="2"/>
  <c r="U16" i="2"/>
  <c r="U17" i="2"/>
  <c r="U18" i="2"/>
  <c r="U19" i="2"/>
  <c r="U22" i="2"/>
  <c r="U24" i="2"/>
  <c r="U25" i="2"/>
  <c r="U26" i="2"/>
  <c r="U27" i="2"/>
  <c r="U30" i="2"/>
  <c r="U32" i="2"/>
  <c r="U33" i="2"/>
  <c r="U34" i="2"/>
  <c r="U35" i="2"/>
  <c r="U36" i="2"/>
  <c r="U37" i="2"/>
  <c r="U40" i="2"/>
  <c r="U41" i="2"/>
  <c r="U42" i="2"/>
  <c r="U43" i="2"/>
  <c r="U44" i="2"/>
  <c r="U45" i="2"/>
  <c r="U47" i="2"/>
  <c r="U50" i="2"/>
  <c r="U52" i="2"/>
  <c r="U53" i="2"/>
  <c r="U55" i="2"/>
  <c r="U58" i="2"/>
  <c r="U60" i="2"/>
  <c r="U61" i="2"/>
  <c r="U62" i="2"/>
  <c r="U66" i="2"/>
  <c r="U67" i="2"/>
  <c r="U68" i="2"/>
  <c r="U70" i="2"/>
  <c r="U71" i="2"/>
  <c r="U72" i="2"/>
  <c r="U75" i="2"/>
  <c r="U77" i="2"/>
  <c r="U78" i="2"/>
  <c r="U79" i="2"/>
  <c r="U80" i="2"/>
  <c r="U83" i="2"/>
  <c r="U85" i="2"/>
  <c r="U87" i="2"/>
  <c r="U88" i="2"/>
  <c r="U90" i="2"/>
  <c r="U91" i="2"/>
  <c r="U92" i="2"/>
  <c r="U93" i="2"/>
  <c r="U95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5" i="2"/>
  <c r="U136" i="2"/>
  <c r="U137" i="2"/>
  <c r="U141" i="2"/>
  <c r="U146" i="2"/>
  <c r="U151" i="2"/>
  <c r="U152" i="2"/>
  <c r="U157" i="2"/>
  <c r="U158" i="2"/>
  <c r="U159" i="2"/>
  <c r="U163" i="2"/>
  <c r="U172" i="2"/>
  <c r="U178" i="2"/>
  <c r="U179" i="2"/>
  <c r="U184" i="2"/>
  <c r="U192" i="2"/>
  <c r="U198" i="2"/>
  <c r="U199" i="2"/>
  <c r="U200" i="2"/>
  <c r="U201" i="2"/>
  <c r="U202" i="2"/>
  <c r="U203" i="2"/>
  <c r="U204" i="2"/>
  <c r="U205" i="2"/>
  <c r="U206" i="2"/>
  <c r="U207" i="2"/>
  <c r="U208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2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" i="2"/>
  <c r="U5" i="2"/>
  <c r="U6" i="2"/>
  <c r="U8" i="2"/>
  <c r="U9" i="2"/>
  <c r="U11" i="2"/>
  <c r="D48" i="1" l="1"/>
  <c r="I201" i="2" l="1"/>
  <c r="I202" i="2"/>
  <c r="I203" i="2"/>
  <c r="I207" i="2"/>
  <c r="I211" i="2"/>
  <c r="U211" i="2" s="1"/>
  <c r="I212" i="2"/>
  <c r="I213" i="2"/>
  <c r="I214" i="2"/>
  <c r="I215" i="2"/>
  <c r="I216" i="2"/>
  <c r="I222" i="2"/>
  <c r="I223" i="2"/>
  <c r="I224" i="2"/>
  <c r="I225" i="2"/>
  <c r="I226" i="2"/>
  <c r="I227" i="2"/>
  <c r="I237" i="2"/>
  <c r="I239" i="2"/>
  <c r="I240" i="2"/>
  <c r="U240" i="2" s="1"/>
  <c r="I62" i="2"/>
  <c r="I67" i="2"/>
  <c r="I69" i="2"/>
  <c r="U69" i="2" s="1"/>
  <c r="I200" i="2"/>
  <c r="I195" i="2"/>
  <c r="U195" i="2" s="1"/>
  <c r="I175" i="2"/>
  <c r="U175" i="2" s="1"/>
  <c r="I154" i="2"/>
  <c r="U154" i="2" s="1"/>
  <c r="I86" i="2"/>
  <c r="U86" i="2" s="1"/>
  <c r="I8" i="2"/>
  <c r="I6" i="2"/>
  <c r="M128" i="2"/>
  <c r="N128" i="2"/>
  <c r="O128" i="2"/>
  <c r="P128" i="2"/>
  <c r="Q128" i="2"/>
  <c r="R128" i="2"/>
  <c r="S128" i="2"/>
  <c r="M129" i="2"/>
  <c r="N129" i="2"/>
  <c r="O129" i="2"/>
  <c r="P129" i="2"/>
  <c r="Q129" i="2"/>
  <c r="R129" i="2"/>
  <c r="S129" i="2"/>
  <c r="M130" i="2"/>
  <c r="M131" i="2" s="1"/>
  <c r="N130" i="2"/>
  <c r="N131" i="2" s="1"/>
  <c r="O130" i="2"/>
  <c r="O131" i="2" s="1"/>
  <c r="P130" i="2"/>
  <c r="P131" i="2" s="1"/>
  <c r="Q130" i="2"/>
  <c r="Q131" i="2" s="1"/>
  <c r="R130" i="2"/>
  <c r="R131" i="2" s="1"/>
  <c r="S130" i="2"/>
  <c r="S131" i="2" s="1"/>
  <c r="I131" i="2"/>
  <c r="M132" i="2"/>
  <c r="N132" i="2"/>
  <c r="O132" i="2"/>
  <c r="P132" i="2"/>
  <c r="Q132" i="2"/>
  <c r="R132" i="2"/>
  <c r="S132" i="2"/>
  <c r="I135" i="2"/>
  <c r="L100" i="2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M100" i="2"/>
  <c r="N100" i="2"/>
  <c r="O100" i="2"/>
  <c r="P100" i="2"/>
  <c r="Q100" i="2"/>
  <c r="R100" i="2"/>
  <c r="S100" i="2"/>
  <c r="M101" i="2"/>
  <c r="N101" i="2"/>
  <c r="O101" i="2"/>
  <c r="P101" i="2"/>
  <c r="Q101" i="2"/>
  <c r="R101" i="2"/>
  <c r="S101" i="2"/>
  <c r="K68" i="2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L68" i="2"/>
  <c r="M68" i="2"/>
  <c r="N68" i="2"/>
  <c r="O68" i="2"/>
  <c r="P68" i="2"/>
  <c r="Q68" i="2"/>
  <c r="R68" i="2"/>
  <c r="S68" i="2"/>
  <c r="L69" i="2"/>
  <c r="M69" i="2"/>
  <c r="M70" i="2" s="1"/>
  <c r="N69" i="2"/>
  <c r="N70" i="2" s="1"/>
  <c r="O69" i="2"/>
  <c r="O70" i="2" s="1"/>
  <c r="P69" i="2"/>
  <c r="P70" i="2" s="1"/>
  <c r="Q69" i="2"/>
  <c r="Q70" i="2" s="1"/>
  <c r="R69" i="2"/>
  <c r="R70" i="2" s="1"/>
  <c r="S69" i="2"/>
  <c r="S70" i="2" s="1"/>
  <c r="L70" i="2"/>
  <c r="L71" i="2"/>
  <c r="M71" i="2"/>
  <c r="N71" i="2"/>
  <c r="O71" i="2"/>
  <c r="P71" i="2"/>
  <c r="Q71" i="2"/>
  <c r="R71" i="2"/>
  <c r="S71" i="2"/>
  <c r="L72" i="2"/>
  <c r="L73" i="2" s="1"/>
  <c r="L74" i="2" s="1"/>
  <c r="L75" i="2" s="1"/>
  <c r="L76" i="2" s="1"/>
  <c r="L77" i="2" s="1"/>
  <c r="M72" i="2"/>
  <c r="N72" i="2"/>
  <c r="O72" i="2"/>
  <c r="P72" i="2"/>
  <c r="Q72" i="2"/>
  <c r="R72" i="2"/>
  <c r="S72" i="2"/>
  <c r="M73" i="2"/>
  <c r="N73" i="2"/>
  <c r="O73" i="2"/>
  <c r="P73" i="2"/>
  <c r="Q73" i="2"/>
  <c r="R73" i="2"/>
  <c r="S73" i="2"/>
  <c r="M74" i="2"/>
  <c r="N74" i="2"/>
  <c r="O74" i="2"/>
  <c r="P74" i="2"/>
  <c r="Q74" i="2"/>
  <c r="R74" i="2"/>
  <c r="S74" i="2"/>
  <c r="M75" i="2"/>
  <c r="N75" i="2"/>
  <c r="O75" i="2"/>
  <c r="P75" i="2"/>
  <c r="Q75" i="2"/>
  <c r="R75" i="2"/>
  <c r="S75" i="2"/>
  <c r="M76" i="2"/>
  <c r="M77" i="2" s="1"/>
  <c r="N76" i="2"/>
  <c r="N77" i="2" s="1"/>
  <c r="O76" i="2"/>
  <c r="O77" i="2" s="1"/>
  <c r="P76" i="2"/>
  <c r="P77" i="2" s="1"/>
  <c r="Q76" i="2"/>
  <c r="Q77" i="2" s="1"/>
  <c r="R76" i="2"/>
  <c r="R77" i="2" s="1"/>
  <c r="S76" i="2"/>
  <c r="S77" i="2" s="1"/>
  <c r="L78" i="2"/>
  <c r="L79" i="2" s="1"/>
  <c r="L80" i="2" s="1"/>
  <c r="L81" i="2" s="1"/>
  <c r="L82" i="2" s="1"/>
  <c r="L83" i="2" s="1"/>
  <c r="L84" i="2" s="1"/>
  <c r="L85" i="2" s="1"/>
  <c r="M78" i="2"/>
  <c r="N78" i="2"/>
  <c r="O78" i="2"/>
  <c r="P78" i="2"/>
  <c r="Q78" i="2"/>
  <c r="R78" i="2"/>
  <c r="S78" i="2"/>
  <c r="M79" i="2"/>
  <c r="N79" i="2"/>
  <c r="O79" i="2"/>
  <c r="P79" i="2"/>
  <c r="Q79" i="2"/>
  <c r="R79" i="2"/>
  <c r="S79" i="2"/>
  <c r="N80" i="2"/>
  <c r="O80" i="2"/>
  <c r="P80" i="2"/>
  <c r="Q80" i="2"/>
  <c r="R80" i="2"/>
  <c r="S80" i="2"/>
  <c r="M81" i="2"/>
  <c r="N81" i="2"/>
  <c r="O81" i="2"/>
  <c r="P81" i="2"/>
  <c r="Q81" i="2"/>
  <c r="R81" i="2"/>
  <c r="S81" i="2"/>
  <c r="M82" i="2"/>
  <c r="N82" i="2"/>
  <c r="O82" i="2"/>
  <c r="P82" i="2"/>
  <c r="Q82" i="2"/>
  <c r="R82" i="2"/>
  <c r="S82" i="2"/>
  <c r="M83" i="2"/>
  <c r="N83" i="2"/>
  <c r="O83" i="2"/>
  <c r="P83" i="2"/>
  <c r="Q83" i="2"/>
  <c r="R83" i="2"/>
  <c r="S83" i="2"/>
  <c r="M84" i="2"/>
  <c r="M85" i="2" s="1"/>
  <c r="N84" i="2"/>
  <c r="N85" i="2" s="1"/>
  <c r="O84" i="2"/>
  <c r="O85" i="2" s="1"/>
  <c r="P84" i="2"/>
  <c r="P85" i="2" s="1"/>
  <c r="Q84" i="2"/>
  <c r="Q85" i="2" s="1"/>
  <c r="R84" i="2"/>
  <c r="R85" i="2" s="1"/>
  <c r="S84" i="2"/>
  <c r="S85" i="2" s="1"/>
  <c r="L86" i="2"/>
  <c r="M86" i="2"/>
  <c r="N86" i="2"/>
  <c r="O86" i="2"/>
  <c r="P86" i="2"/>
  <c r="Q86" i="2"/>
  <c r="R86" i="2"/>
  <c r="S86" i="2"/>
  <c r="L87" i="2"/>
  <c r="M87" i="2"/>
  <c r="M88" i="2" s="1"/>
  <c r="N87" i="2"/>
  <c r="N88" i="2" s="1"/>
  <c r="O87" i="2"/>
  <c r="O88" i="2" s="1"/>
  <c r="P87" i="2"/>
  <c r="P88" i="2" s="1"/>
  <c r="Q87" i="2"/>
  <c r="Q88" i="2" s="1"/>
  <c r="R87" i="2"/>
  <c r="R88" i="2" s="1"/>
  <c r="S87" i="2"/>
  <c r="S88" i="2" s="1"/>
  <c r="L88" i="2"/>
  <c r="L89" i="2"/>
  <c r="M89" i="2"/>
  <c r="N89" i="2"/>
  <c r="O89" i="2"/>
  <c r="P89" i="2"/>
  <c r="Q89" i="2"/>
  <c r="R89" i="2"/>
  <c r="S89" i="2"/>
  <c r="L90" i="2"/>
  <c r="M90" i="2"/>
  <c r="N90" i="2"/>
  <c r="O90" i="2"/>
  <c r="P90" i="2"/>
  <c r="Q90" i="2"/>
  <c r="R90" i="2"/>
  <c r="S90" i="2"/>
  <c r="L91" i="2"/>
  <c r="M91" i="2"/>
  <c r="M92" i="2" s="1"/>
  <c r="N91" i="2"/>
  <c r="N92" i="2" s="1"/>
  <c r="O91" i="2"/>
  <c r="O92" i="2" s="1"/>
  <c r="P91" i="2"/>
  <c r="P92" i="2" s="1"/>
  <c r="Q91" i="2"/>
  <c r="Q92" i="2" s="1"/>
  <c r="R91" i="2"/>
  <c r="R92" i="2" s="1"/>
  <c r="S91" i="2"/>
  <c r="S92" i="2" s="1"/>
  <c r="L92" i="2"/>
  <c r="K93" i="2"/>
  <c r="K94" i="2" s="1"/>
  <c r="K95" i="2" s="1"/>
  <c r="L93" i="2"/>
  <c r="M93" i="2"/>
  <c r="N93" i="2"/>
  <c r="O93" i="2"/>
  <c r="P93" i="2"/>
  <c r="Q93" i="2"/>
  <c r="R93" i="2"/>
  <c r="S93" i="2"/>
  <c r="L94" i="2"/>
  <c r="M94" i="2"/>
  <c r="N94" i="2"/>
  <c r="O94" i="2"/>
  <c r="P94" i="2"/>
  <c r="Q94" i="2"/>
  <c r="R94" i="2"/>
  <c r="S94" i="2"/>
  <c r="L95" i="2"/>
  <c r="L97" i="2" s="1"/>
  <c r="M95" i="2"/>
  <c r="M97" i="2" s="1"/>
  <c r="N95" i="2"/>
  <c r="N97" i="2" s="1"/>
  <c r="O95" i="2"/>
  <c r="O97" i="2" s="1"/>
  <c r="P95" i="2"/>
  <c r="P97" i="2" s="1"/>
  <c r="Q95" i="2"/>
  <c r="Q97" i="2" s="1"/>
  <c r="R95" i="2"/>
  <c r="R97" i="2" s="1"/>
  <c r="S95" i="2"/>
  <c r="S97" i="2" s="1"/>
  <c r="L96" i="2"/>
  <c r="L98" i="2" s="1"/>
  <c r="L99" i="2" s="1"/>
  <c r="M96" i="2"/>
  <c r="M98" i="2" s="1"/>
  <c r="M99" i="2" s="1"/>
  <c r="N96" i="2"/>
  <c r="N98" i="2" s="1"/>
  <c r="N99" i="2" s="1"/>
  <c r="O96" i="2"/>
  <c r="O98" i="2" s="1"/>
  <c r="O99" i="2" s="1"/>
  <c r="P96" i="2"/>
  <c r="P98" i="2" s="1"/>
  <c r="P99" i="2" s="1"/>
  <c r="Q96" i="2"/>
  <c r="Q98" i="2" s="1"/>
  <c r="Q99" i="2" s="1"/>
  <c r="R96" i="2"/>
  <c r="R98" i="2" s="1"/>
  <c r="R99" i="2" s="1"/>
  <c r="S96" i="2"/>
  <c r="S98" i="2" s="1"/>
  <c r="S99" i="2" s="1"/>
  <c r="M102" i="2"/>
  <c r="N102" i="2"/>
  <c r="O102" i="2"/>
  <c r="P102" i="2"/>
  <c r="Q102" i="2"/>
  <c r="R102" i="2"/>
  <c r="S102" i="2"/>
  <c r="M103" i="2"/>
  <c r="N103" i="2"/>
  <c r="O103" i="2"/>
  <c r="P103" i="2"/>
  <c r="Q103" i="2"/>
  <c r="R103" i="2"/>
  <c r="S103" i="2"/>
  <c r="M104" i="2"/>
  <c r="N104" i="2"/>
  <c r="O104" i="2"/>
  <c r="P104" i="2"/>
  <c r="Q104" i="2"/>
  <c r="R104" i="2"/>
  <c r="S104" i="2"/>
  <c r="M105" i="2"/>
  <c r="N105" i="2"/>
  <c r="O105" i="2"/>
  <c r="P105" i="2"/>
  <c r="Q105" i="2"/>
  <c r="R105" i="2"/>
  <c r="S105" i="2"/>
  <c r="M106" i="2"/>
  <c r="N106" i="2"/>
  <c r="O106" i="2"/>
  <c r="P106" i="2"/>
  <c r="Q106" i="2"/>
  <c r="R106" i="2"/>
  <c r="S106" i="2"/>
  <c r="M107" i="2"/>
  <c r="N107" i="2"/>
  <c r="O107" i="2"/>
  <c r="P107" i="2"/>
  <c r="Q107" i="2"/>
  <c r="R107" i="2"/>
  <c r="S107" i="2"/>
  <c r="M108" i="2"/>
  <c r="N108" i="2"/>
  <c r="O108" i="2"/>
  <c r="P108" i="2"/>
  <c r="Q108" i="2"/>
  <c r="R108" i="2"/>
  <c r="S108" i="2"/>
  <c r="M109" i="2"/>
  <c r="N109" i="2"/>
  <c r="O109" i="2"/>
  <c r="P109" i="2"/>
  <c r="Q109" i="2"/>
  <c r="R109" i="2"/>
  <c r="S109" i="2"/>
  <c r="M110" i="2"/>
  <c r="N110" i="2"/>
  <c r="O110" i="2"/>
  <c r="P110" i="2"/>
  <c r="Q110" i="2"/>
  <c r="R110" i="2"/>
  <c r="S110" i="2"/>
  <c r="M111" i="2"/>
  <c r="N111" i="2"/>
  <c r="O111" i="2"/>
  <c r="P111" i="2"/>
  <c r="Q111" i="2"/>
  <c r="R111" i="2"/>
  <c r="S111" i="2"/>
  <c r="M112" i="2"/>
  <c r="N112" i="2"/>
  <c r="O112" i="2"/>
  <c r="P112" i="2"/>
  <c r="Q112" i="2"/>
  <c r="R112" i="2"/>
  <c r="S112" i="2"/>
  <c r="M113" i="2"/>
  <c r="N113" i="2"/>
  <c r="O113" i="2"/>
  <c r="P113" i="2"/>
  <c r="Q113" i="2"/>
  <c r="R113" i="2"/>
  <c r="S113" i="2"/>
  <c r="M114" i="2"/>
  <c r="N114" i="2"/>
  <c r="O114" i="2"/>
  <c r="P114" i="2"/>
  <c r="Q114" i="2"/>
  <c r="R114" i="2"/>
  <c r="S114" i="2"/>
  <c r="M115" i="2"/>
  <c r="N115" i="2"/>
  <c r="O115" i="2"/>
  <c r="P115" i="2"/>
  <c r="Q115" i="2"/>
  <c r="R115" i="2"/>
  <c r="S115" i="2"/>
  <c r="M116" i="2"/>
  <c r="N116" i="2"/>
  <c r="O116" i="2"/>
  <c r="P116" i="2"/>
  <c r="Q116" i="2"/>
  <c r="R116" i="2"/>
  <c r="S116" i="2"/>
  <c r="M117" i="2"/>
  <c r="N117" i="2"/>
  <c r="O117" i="2"/>
  <c r="P117" i="2"/>
  <c r="Q117" i="2"/>
  <c r="R117" i="2"/>
  <c r="S117" i="2"/>
  <c r="M118" i="2"/>
  <c r="N118" i="2"/>
  <c r="O118" i="2"/>
  <c r="P118" i="2"/>
  <c r="Q118" i="2"/>
  <c r="R118" i="2"/>
  <c r="S118" i="2"/>
  <c r="M119" i="2"/>
  <c r="N119" i="2"/>
  <c r="O119" i="2"/>
  <c r="P119" i="2"/>
  <c r="Q119" i="2"/>
  <c r="R119" i="2"/>
  <c r="S119" i="2"/>
  <c r="M120" i="2"/>
  <c r="N120" i="2"/>
  <c r="O120" i="2"/>
  <c r="P120" i="2"/>
  <c r="Q120" i="2"/>
  <c r="R120" i="2"/>
  <c r="S120" i="2"/>
  <c r="M121" i="2"/>
  <c r="N121" i="2"/>
  <c r="O121" i="2"/>
  <c r="P121" i="2"/>
  <c r="Q121" i="2"/>
  <c r="R121" i="2"/>
  <c r="S121" i="2"/>
  <c r="M122" i="2"/>
  <c r="N122" i="2"/>
  <c r="O122" i="2"/>
  <c r="P122" i="2"/>
  <c r="Q122" i="2"/>
  <c r="R122" i="2"/>
  <c r="S122" i="2"/>
  <c r="M123" i="2"/>
  <c r="N123" i="2"/>
  <c r="O123" i="2"/>
  <c r="P123" i="2"/>
  <c r="Q123" i="2"/>
  <c r="R123" i="2"/>
  <c r="S123" i="2"/>
  <c r="M124" i="2"/>
  <c r="N124" i="2"/>
  <c r="O124" i="2"/>
  <c r="P124" i="2"/>
  <c r="Q124" i="2"/>
  <c r="R124" i="2"/>
  <c r="S124" i="2"/>
  <c r="M125" i="2"/>
  <c r="N125" i="2"/>
  <c r="O125" i="2"/>
  <c r="P125" i="2"/>
  <c r="Q125" i="2"/>
  <c r="R125" i="2"/>
  <c r="S125" i="2"/>
  <c r="M126" i="2"/>
  <c r="N126" i="2"/>
  <c r="O126" i="2"/>
  <c r="P126" i="2"/>
  <c r="Q126" i="2"/>
  <c r="R126" i="2"/>
  <c r="S126" i="2"/>
  <c r="M127" i="2"/>
  <c r="N127" i="2"/>
  <c r="O127" i="2"/>
  <c r="P127" i="2"/>
  <c r="Q127" i="2"/>
  <c r="R127" i="2"/>
  <c r="S127" i="2"/>
  <c r="K136" i="2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L136" i="2"/>
  <c r="M136" i="2"/>
  <c r="N136" i="2"/>
  <c r="O136" i="2"/>
  <c r="P136" i="2"/>
  <c r="Q136" i="2"/>
  <c r="R136" i="2"/>
  <c r="S136" i="2"/>
  <c r="L137" i="2"/>
  <c r="M137" i="2"/>
  <c r="N137" i="2"/>
  <c r="O137" i="2"/>
  <c r="P137" i="2"/>
  <c r="Q137" i="2"/>
  <c r="R137" i="2"/>
  <c r="S137" i="2"/>
  <c r="L138" i="2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M138" i="2"/>
  <c r="N138" i="2"/>
  <c r="O138" i="2"/>
  <c r="P138" i="2"/>
  <c r="Q138" i="2"/>
  <c r="R138" i="2"/>
  <c r="S138" i="2"/>
  <c r="M139" i="2"/>
  <c r="N139" i="2"/>
  <c r="O139" i="2"/>
  <c r="P139" i="2"/>
  <c r="Q139" i="2"/>
  <c r="R139" i="2"/>
  <c r="S139" i="2"/>
  <c r="M140" i="2"/>
  <c r="N140" i="2"/>
  <c r="O140" i="2"/>
  <c r="P140" i="2"/>
  <c r="Q140" i="2"/>
  <c r="R140" i="2"/>
  <c r="S140" i="2"/>
  <c r="M141" i="2"/>
  <c r="N141" i="2"/>
  <c r="O141" i="2"/>
  <c r="P141" i="2"/>
  <c r="Q141" i="2"/>
  <c r="R141" i="2"/>
  <c r="S141" i="2"/>
  <c r="M142" i="2"/>
  <c r="N142" i="2"/>
  <c r="O142" i="2"/>
  <c r="P142" i="2"/>
  <c r="Q142" i="2"/>
  <c r="R142" i="2"/>
  <c r="S142" i="2"/>
  <c r="M143" i="2"/>
  <c r="N143" i="2"/>
  <c r="O143" i="2"/>
  <c r="P143" i="2"/>
  <c r="Q143" i="2"/>
  <c r="R143" i="2"/>
  <c r="S143" i="2"/>
  <c r="M144" i="2"/>
  <c r="N144" i="2"/>
  <c r="O144" i="2"/>
  <c r="P144" i="2"/>
  <c r="Q144" i="2"/>
  <c r="R144" i="2"/>
  <c r="S144" i="2"/>
  <c r="M145" i="2"/>
  <c r="N145" i="2"/>
  <c r="O145" i="2"/>
  <c r="P145" i="2"/>
  <c r="Q145" i="2"/>
  <c r="R145" i="2"/>
  <c r="S145" i="2"/>
  <c r="M146" i="2"/>
  <c r="N146" i="2"/>
  <c r="O146" i="2"/>
  <c r="P146" i="2"/>
  <c r="Q146" i="2"/>
  <c r="R146" i="2"/>
  <c r="S146" i="2"/>
  <c r="M147" i="2"/>
  <c r="N147" i="2"/>
  <c r="O147" i="2"/>
  <c r="P147" i="2"/>
  <c r="Q147" i="2"/>
  <c r="R147" i="2"/>
  <c r="S147" i="2"/>
  <c r="M148" i="2"/>
  <c r="N148" i="2"/>
  <c r="O148" i="2"/>
  <c r="P148" i="2"/>
  <c r="Q148" i="2"/>
  <c r="R148" i="2"/>
  <c r="S148" i="2"/>
  <c r="M149" i="2"/>
  <c r="N149" i="2"/>
  <c r="O149" i="2"/>
  <c r="P149" i="2"/>
  <c r="Q149" i="2"/>
  <c r="R149" i="2"/>
  <c r="S149" i="2"/>
  <c r="M150" i="2"/>
  <c r="N150" i="2"/>
  <c r="O150" i="2"/>
  <c r="P150" i="2"/>
  <c r="Q150" i="2"/>
  <c r="R150" i="2"/>
  <c r="S150" i="2"/>
  <c r="M151" i="2"/>
  <c r="N151" i="2"/>
  <c r="O151" i="2"/>
  <c r="P151" i="2"/>
  <c r="Q151" i="2"/>
  <c r="R151" i="2"/>
  <c r="S151" i="2"/>
  <c r="M152" i="2"/>
  <c r="N152" i="2"/>
  <c r="O152" i="2"/>
  <c r="P152" i="2"/>
  <c r="Q152" i="2"/>
  <c r="R152" i="2"/>
  <c r="S152" i="2"/>
  <c r="M153" i="2"/>
  <c r="N153" i="2"/>
  <c r="O153" i="2"/>
  <c r="P153" i="2"/>
  <c r="Q153" i="2"/>
  <c r="R153" i="2"/>
  <c r="S153" i="2"/>
  <c r="M154" i="2"/>
  <c r="N154" i="2"/>
  <c r="O154" i="2"/>
  <c r="P154" i="2"/>
  <c r="Q154" i="2"/>
  <c r="R154" i="2"/>
  <c r="S154" i="2"/>
  <c r="I16" i="2"/>
  <c r="I24" i="2"/>
  <c r="I34" i="2"/>
  <c r="I44" i="2"/>
  <c r="I52" i="2"/>
  <c r="I60" i="2"/>
  <c r="I98" i="2"/>
  <c r="I70" i="2"/>
  <c r="I77" i="2"/>
  <c r="I85" i="2"/>
  <c r="I88" i="2"/>
  <c r="I99" i="2"/>
  <c r="I157" i="2"/>
  <c r="I158" i="2"/>
  <c r="I178" i="2"/>
  <c r="I198" i="2"/>
  <c r="E42" i="1"/>
  <c r="E26" i="1"/>
  <c r="E27" i="1"/>
  <c r="D27" i="1"/>
  <c r="M192" i="2"/>
  <c r="N192" i="2"/>
  <c r="O192" i="2"/>
  <c r="P192" i="2"/>
  <c r="Q192" i="2"/>
  <c r="R192" i="2"/>
  <c r="S192" i="2"/>
  <c r="M193" i="2"/>
  <c r="N193" i="2"/>
  <c r="O193" i="2"/>
  <c r="P193" i="2"/>
  <c r="Q193" i="2"/>
  <c r="R193" i="2"/>
  <c r="S193" i="2"/>
  <c r="M194" i="2"/>
  <c r="N194" i="2"/>
  <c r="O194" i="2"/>
  <c r="P194" i="2"/>
  <c r="Q194" i="2"/>
  <c r="R194" i="2"/>
  <c r="S194" i="2"/>
  <c r="M195" i="2"/>
  <c r="N195" i="2"/>
  <c r="O195" i="2"/>
  <c r="P195" i="2"/>
  <c r="Q195" i="2"/>
  <c r="R195" i="2"/>
  <c r="S195" i="2"/>
  <c r="M196" i="2"/>
  <c r="N196" i="2"/>
  <c r="O196" i="2"/>
  <c r="P196" i="2"/>
  <c r="Q196" i="2"/>
  <c r="R196" i="2"/>
  <c r="S196" i="2"/>
  <c r="M172" i="2"/>
  <c r="N172" i="2"/>
  <c r="O172" i="2"/>
  <c r="P172" i="2"/>
  <c r="Q172" i="2"/>
  <c r="R172" i="2"/>
  <c r="S172" i="2"/>
  <c r="M173" i="2"/>
  <c r="N173" i="2"/>
  <c r="O173" i="2"/>
  <c r="P173" i="2"/>
  <c r="Q173" i="2"/>
  <c r="R173" i="2"/>
  <c r="S173" i="2"/>
  <c r="M174" i="2"/>
  <c r="N174" i="2"/>
  <c r="O174" i="2"/>
  <c r="P174" i="2"/>
  <c r="Q174" i="2"/>
  <c r="R174" i="2"/>
  <c r="S174" i="2"/>
  <c r="M175" i="2"/>
  <c r="N175" i="2"/>
  <c r="O175" i="2"/>
  <c r="P175" i="2"/>
  <c r="Q175" i="2"/>
  <c r="R175" i="2"/>
  <c r="S175" i="2"/>
  <c r="M176" i="2"/>
  <c r="N176" i="2"/>
  <c r="O176" i="2"/>
  <c r="P176" i="2"/>
  <c r="Q176" i="2"/>
  <c r="R176" i="2"/>
  <c r="S176" i="2"/>
  <c r="M155" i="2"/>
  <c r="N155" i="2"/>
  <c r="O155" i="2"/>
  <c r="P155" i="2"/>
  <c r="Q155" i="2"/>
  <c r="R155" i="2"/>
  <c r="S155" i="2"/>
  <c r="M156" i="2"/>
  <c r="M157" i="2" s="1"/>
  <c r="M158" i="2" s="1"/>
  <c r="N156" i="2"/>
  <c r="N157" i="2" s="1"/>
  <c r="N158" i="2" s="1"/>
  <c r="O156" i="2"/>
  <c r="O157" i="2" s="1"/>
  <c r="O158" i="2" s="1"/>
  <c r="P156" i="2"/>
  <c r="P157" i="2" s="1"/>
  <c r="P158" i="2" s="1"/>
  <c r="Q156" i="2"/>
  <c r="Q157" i="2" s="1"/>
  <c r="Q158" i="2" s="1"/>
  <c r="R156" i="2"/>
  <c r="R157" i="2" s="1"/>
  <c r="R158" i="2" s="1"/>
  <c r="S156" i="2"/>
  <c r="S157" i="2" s="1"/>
  <c r="S158" i="2" s="1"/>
  <c r="M177" i="2"/>
  <c r="M178" i="2" s="1"/>
  <c r="N177" i="2"/>
  <c r="N178" i="2" s="1"/>
  <c r="O177" i="2"/>
  <c r="O178" i="2" s="1"/>
  <c r="P177" i="2"/>
  <c r="P178" i="2" s="1"/>
  <c r="Q177" i="2"/>
  <c r="Q178" i="2" s="1"/>
  <c r="R177" i="2"/>
  <c r="R178" i="2" s="1"/>
  <c r="S177" i="2"/>
  <c r="S178" i="2" s="1"/>
  <c r="L179" i="2"/>
  <c r="M179" i="2"/>
  <c r="N179" i="2"/>
  <c r="O179" i="2"/>
  <c r="P179" i="2"/>
  <c r="Q179" i="2"/>
  <c r="R179" i="2"/>
  <c r="S179" i="2"/>
  <c r="D67" i="1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0" i="2"/>
  <c r="G109" i="2"/>
  <c r="G108" i="2"/>
  <c r="G105" i="2"/>
  <c r="G103" i="2"/>
  <c r="G104" i="2"/>
  <c r="G106" i="2"/>
  <c r="G107" i="2"/>
  <c r="D69" i="1"/>
  <c r="G99" i="2"/>
  <c r="G100" i="2"/>
  <c r="G101" i="2"/>
  <c r="G102" i="2"/>
  <c r="G111" i="2"/>
  <c r="G112" i="2"/>
  <c r="G135" i="2"/>
  <c r="G136" i="2"/>
  <c r="G137" i="2"/>
  <c r="G138" i="2"/>
  <c r="G139" i="2"/>
  <c r="Q134" i="2" l="1"/>
  <c r="Q135" i="2" s="1"/>
  <c r="P134" i="2"/>
  <c r="P135" i="2" s="1"/>
  <c r="M134" i="2"/>
  <c r="M135" i="2" s="1"/>
  <c r="S134" i="2"/>
  <c r="S135" i="2" s="1"/>
  <c r="O134" i="2"/>
  <c r="O135" i="2" s="1"/>
  <c r="L134" i="2"/>
  <c r="L135" i="2" s="1"/>
  <c r="R134" i="2"/>
  <c r="R135" i="2" s="1"/>
  <c r="N134" i="2"/>
  <c r="N135" i="2" s="1"/>
  <c r="K96" i="2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97" i="2"/>
  <c r="G44" i="2"/>
  <c r="S43" i="2"/>
  <c r="R43" i="2"/>
  <c r="Q43" i="2"/>
  <c r="P43" i="2"/>
  <c r="O43" i="2"/>
  <c r="N43" i="2"/>
  <c r="M43" i="2"/>
  <c r="G43" i="2"/>
  <c r="S42" i="2"/>
  <c r="S44" i="2" s="1"/>
  <c r="R42" i="2"/>
  <c r="R44" i="2" s="1"/>
  <c r="Q42" i="2"/>
  <c r="Q44" i="2" s="1"/>
  <c r="P42" i="2"/>
  <c r="P44" i="2" s="1"/>
  <c r="O42" i="2"/>
  <c r="O44" i="2" s="1"/>
  <c r="N42" i="2"/>
  <c r="N44" i="2" s="1"/>
  <c r="M42" i="2"/>
  <c r="M44" i="2" s="1"/>
  <c r="G42" i="2"/>
  <c r="S41" i="2"/>
  <c r="R41" i="2"/>
  <c r="Q41" i="2"/>
  <c r="P41" i="2"/>
  <c r="O41" i="2"/>
  <c r="N41" i="2"/>
  <c r="M41" i="2"/>
  <c r="G41" i="2"/>
  <c r="S40" i="2"/>
  <c r="R40" i="2"/>
  <c r="Q40" i="2"/>
  <c r="P40" i="2"/>
  <c r="O40" i="2"/>
  <c r="N40" i="2"/>
  <c r="M40" i="2"/>
  <c r="G40" i="2"/>
  <c r="S39" i="2"/>
  <c r="R39" i="2"/>
  <c r="Q39" i="2"/>
  <c r="P39" i="2"/>
  <c r="O39" i="2"/>
  <c r="N39" i="2"/>
  <c r="M39" i="2"/>
  <c r="G39" i="2"/>
  <c r="S38" i="2"/>
  <c r="R38" i="2"/>
  <c r="Q38" i="2"/>
  <c r="P38" i="2"/>
  <c r="O38" i="2"/>
  <c r="N38" i="2"/>
  <c r="M38" i="2"/>
  <c r="G38" i="2"/>
  <c r="S37" i="2"/>
  <c r="R37" i="2"/>
  <c r="Q37" i="2"/>
  <c r="P37" i="2"/>
  <c r="O37" i="2"/>
  <c r="N37" i="2"/>
  <c r="M37" i="2"/>
  <c r="G37" i="2"/>
  <c r="S36" i="2"/>
  <c r="R36" i="2"/>
  <c r="Q36" i="2"/>
  <c r="P36" i="2"/>
  <c r="O36" i="2"/>
  <c r="N36" i="2"/>
  <c r="M36" i="2"/>
  <c r="G36" i="2"/>
  <c r="S35" i="2"/>
  <c r="R35" i="2"/>
  <c r="Q35" i="2"/>
  <c r="P35" i="2"/>
  <c r="O35" i="2"/>
  <c r="N35" i="2"/>
  <c r="M35" i="2"/>
  <c r="L35" i="2"/>
  <c r="L36" i="2" s="1"/>
  <c r="L37" i="2" s="1"/>
  <c r="L38" i="2" s="1"/>
  <c r="L39" i="2" s="1"/>
  <c r="G35" i="2"/>
  <c r="G32" i="2"/>
  <c r="M32" i="2"/>
  <c r="M34" i="2" s="1"/>
  <c r="N32" i="2"/>
  <c r="N34" i="2" s="1"/>
  <c r="O32" i="2"/>
  <c r="O34" i="2" s="1"/>
  <c r="P32" i="2"/>
  <c r="P34" i="2" s="1"/>
  <c r="Q32" i="2"/>
  <c r="Q34" i="2" s="1"/>
  <c r="R32" i="2"/>
  <c r="R34" i="2" s="1"/>
  <c r="S32" i="2"/>
  <c r="S34" i="2" s="1"/>
  <c r="G33" i="2"/>
  <c r="M33" i="2"/>
  <c r="N33" i="2"/>
  <c r="O33" i="2"/>
  <c r="P33" i="2"/>
  <c r="Q33" i="2"/>
  <c r="R33" i="2"/>
  <c r="S33" i="2"/>
  <c r="G34" i="2"/>
  <c r="G45" i="2"/>
  <c r="L45" i="2"/>
  <c r="L47" i="2" s="1"/>
  <c r="M45" i="2"/>
  <c r="N45" i="2"/>
  <c r="O45" i="2"/>
  <c r="P45" i="2"/>
  <c r="Q45" i="2"/>
  <c r="R45" i="2"/>
  <c r="S45" i="2"/>
  <c r="G46" i="2"/>
  <c r="M46" i="2"/>
  <c r="N46" i="2"/>
  <c r="O46" i="2"/>
  <c r="P46" i="2"/>
  <c r="Q46" i="2"/>
  <c r="R46" i="2"/>
  <c r="S46" i="2"/>
  <c r="G47" i="2"/>
  <c r="N47" i="2"/>
  <c r="O47" i="2"/>
  <c r="P47" i="2"/>
  <c r="Q47" i="2"/>
  <c r="R47" i="2"/>
  <c r="S47" i="2"/>
  <c r="G31" i="2"/>
  <c r="S30" i="2"/>
  <c r="R30" i="2"/>
  <c r="Q30" i="2"/>
  <c r="P30" i="2"/>
  <c r="O30" i="2"/>
  <c r="N30" i="2"/>
  <c r="M30" i="2"/>
  <c r="G30" i="2"/>
  <c r="S29" i="2"/>
  <c r="S31" i="2" s="1"/>
  <c r="R29" i="2"/>
  <c r="R31" i="2" s="1"/>
  <c r="Q29" i="2"/>
  <c r="Q31" i="2" s="1"/>
  <c r="P29" i="2"/>
  <c r="P31" i="2" s="1"/>
  <c r="O29" i="2"/>
  <c r="O31" i="2" s="1"/>
  <c r="N29" i="2"/>
  <c r="N31" i="2" s="1"/>
  <c r="M29" i="2"/>
  <c r="M31" i="2" s="1"/>
  <c r="G29" i="2"/>
  <c r="S28" i="2"/>
  <c r="R28" i="2"/>
  <c r="Q28" i="2"/>
  <c r="P28" i="2"/>
  <c r="O28" i="2"/>
  <c r="N28" i="2"/>
  <c r="M28" i="2"/>
  <c r="G28" i="2"/>
  <c r="S27" i="2"/>
  <c r="R27" i="2"/>
  <c r="Q27" i="2"/>
  <c r="P27" i="2"/>
  <c r="O27" i="2"/>
  <c r="N27" i="2"/>
  <c r="M27" i="2"/>
  <c r="G27" i="2"/>
  <c r="S26" i="2"/>
  <c r="R26" i="2"/>
  <c r="Q26" i="2"/>
  <c r="P26" i="2"/>
  <c r="O26" i="2"/>
  <c r="N26" i="2"/>
  <c r="M26" i="2"/>
  <c r="G26" i="2"/>
  <c r="S25" i="2"/>
  <c r="R25" i="2"/>
  <c r="Q25" i="2"/>
  <c r="P25" i="2"/>
  <c r="O25" i="2"/>
  <c r="N25" i="2"/>
  <c r="M25" i="2"/>
  <c r="L25" i="2"/>
  <c r="L26" i="2" s="1"/>
  <c r="L27" i="2" s="1"/>
  <c r="L28" i="2" s="1"/>
  <c r="L29" i="2" s="1"/>
  <c r="G25" i="2"/>
  <c r="K132" i="2" l="1"/>
  <c r="K133" i="2"/>
  <c r="I39" i="2"/>
  <c r="U39" i="2" s="1"/>
  <c r="I29" i="2"/>
  <c r="U29" i="2" s="1"/>
  <c r="L41" i="2"/>
  <c r="L43" i="2" s="1"/>
  <c r="L40" i="2"/>
  <c r="L42" i="2" s="1"/>
  <c r="L44" i="2" s="1"/>
  <c r="L30" i="2"/>
  <c r="L32" i="2" s="1"/>
  <c r="L34" i="2" s="1"/>
  <c r="L46" i="2" s="1"/>
  <c r="L31" i="2"/>
  <c r="L33" i="2" s="1"/>
  <c r="F27" i="1"/>
  <c r="G151" i="2"/>
  <c r="G152" i="2"/>
  <c r="P27" i="1" l="1"/>
  <c r="R27" i="1"/>
  <c r="K134" i="2"/>
  <c r="K135" i="2" s="1"/>
  <c r="M161" i="2"/>
  <c r="N161" i="2"/>
  <c r="O161" i="2"/>
  <c r="P161" i="2"/>
  <c r="Q161" i="2"/>
  <c r="R161" i="2"/>
  <c r="S161" i="2"/>
  <c r="M162" i="2"/>
  <c r="N162" i="2"/>
  <c r="O162" i="2"/>
  <c r="P162" i="2"/>
  <c r="Q162" i="2"/>
  <c r="R162" i="2"/>
  <c r="S162" i="2"/>
  <c r="M163" i="2"/>
  <c r="N163" i="2"/>
  <c r="O163" i="2"/>
  <c r="P163" i="2"/>
  <c r="Q163" i="2"/>
  <c r="R163" i="2"/>
  <c r="S163" i="2"/>
  <c r="M164" i="2"/>
  <c r="N164" i="2"/>
  <c r="O164" i="2"/>
  <c r="P164" i="2"/>
  <c r="Q164" i="2"/>
  <c r="R164" i="2"/>
  <c r="S164" i="2"/>
  <c r="M165" i="2"/>
  <c r="N165" i="2"/>
  <c r="O165" i="2"/>
  <c r="P165" i="2"/>
  <c r="Q165" i="2"/>
  <c r="R165" i="2"/>
  <c r="S165" i="2"/>
  <c r="M166" i="2"/>
  <c r="N166" i="2"/>
  <c r="O166" i="2"/>
  <c r="P166" i="2"/>
  <c r="Q166" i="2"/>
  <c r="R166" i="2"/>
  <c r="S166" i="2"/>
  <c r="M167" i="2"/>
  <c r="N167" i="2"/>
  <c r="O167" i="2"/>
  <c r="P167" i="2"/>
  <c r="Q167" i="2"/>
  <c r="R167" i="2"/>
  <c r="S167" i="2"/>
  <c r="M168" i="2"/>
  <c r="N168" i="2"/>
  <c r="O168" i="2"/>
  <c r="P168" i="2"/>
  <c r="Q168" i="2"/>
  <c r="R168" i="2"/>
  <c r="S168" i="2"/>
  <c r="M169" i="2"/>
  <c r="N169" i="2"/>
  <c r="O169" i="2"/>
  <c r="P169" i="2"/>
  <c r="Q169" i="2"/>
  <c r="R169" i="2"/>
  <c r="S169" i="2"/>
  <c r="M170" i="2"/>
  <c r="N170" i="2"/>
  <c r="O170" i="2"/>
  <c r="P170" i="2"/>
  <c r="Q170" i="2"/>
  <c r="R170" i="2"/>
  <c r="S170" i="2"/>
  <c r="M171" i="2"/>
  <c r="N171" i="2"/>
  <c r="O171" i="2"/>
  <c r="P171" i="2"/>
  <c r="Q171" i="2"/>
  <c r="R171" i="2"/>
  <c r="S171" i="2"/>
  <c r="L180" i="2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M180" i="2"/>
  <c r="N180" i="2"/>
  <c r="O180" i="2"/>
  <c r="P180" i="2"/>
  <c r="Q180" i="2"/>
  <c r="R180" i="2"/>
  <c r="S180" i="2"/>
  <c r="M181" i="2"/>
  <c r="N181" i="2"/>
  <c r="O181" i="2"/>
  <c r="P181" i="2"/>
  <c r="Q181" i="2"/>
  <c r="R181" i="2"/>
  <c r="S181" i="2"/>
  <c r="M182" i="2"/>
  <c r="N182" i="2"/>
  <c r="O182" i="2"/>
  <c r="P182" i="2"/>
  <c r="Q182" i="2"/>
  <c r="R182" i="2"/>
  <c r="S182" i="2"/>
  <c r="M183" i="2"/>
  <c r="N183" i="2"/>
  <c r="O183" i="2"/>
  <c r="P183" i="2"/>
  <c r="Q183" i="2"/>
  <c r="R183" i="2"/>
  <c r="S183" i="2"/>
  <c r="M184" i="2"/>
  <c r="N184" i="2"/>
  <c r="O184" i="2"/>
  <c r="P184" i="2"/>
  <c r="Q184" i="2"/>
  <c r="R184" i="2"/>
  <c r="S184" i="2"/>
  <c r="M185" i="2"/>
  <c r="N185" i="2"/>
  <c r="O185" i="2"/>
  <c r="P185" i="2"/>
  <c r="Q185" i="2"/>
  <c r="R185" i="2"/>
  <c r="S185" i="2"/>
  <c r="M186" i="2"/>
  <c r="N186" i="2"/>
  <c r="O186" i="2"/>
  <c r="P186" i="2"/>
  <c r="Q186" i="2"/>
  <c r="R186" i="2"/>
  <c r="S186" i="2"/>
  <c r="M187" i="2"/>
  <c r="N187" i="2"/>
  <c r="O187" i="2"/>
  <c r="P187" i="2"/>
  <c r="Q187" i="2"/>
  <c r="R187" i="2"/>
  <c r="S187" i="2"/>
  <c r="M188" i="2"/>
  <c r="N188" i="2"/>
  <c r="O188" i="2"/>
  <c r="P188" i="2"/>
  <c r="Q188" i="2"/>
  <c r="R188" i="2"/>
  <c r="S188" i="2"/>
  <c r="M189" i="2"/>
  <c r="N189" i="2"/>
  <c r="O189" i="2"/>
  <c r="P189" i="2"/>
  <c r="Q189" i="2"/>
  <c r="R189" i="2"/>
  <c r="S189" i="2"/>
  <c r="M190" i="2"/>
  <c r="N190" i="2"/>
  <c r="O190" i="2"/>
  <c r="P190" i="2"/>
  <c r="Q190" i="2"/>
  <c r="R190" i="2"/>
  <c r="S190" i="2"/>
  <c r="M191" i="2"/>
  <c r="N191" i="2"/>
  <c r="O191" i="2"/>
  <c r="P191" i="2"/>
  <c r="Q191" i="2"/>
  <c r="R191" i="2"/>
  <c r="S191" i="2"/>
  <c r="G192" i="2"/>
  <c r="G172" i="2"/>
  <c r="G190" i="2"/>
  <c r="G191" i="2"/>
  <c r="G187" i="2"/>
  <c r="G188" i="2"/>
  <c r="G167" i="2"/>
  <c r="G185" i="2"/>
  <c r="G184" i="2"/>
  <c r="G165" i="2"/>
  <c r="G164" i="2"/>
  <c r="G170" i="2"/>
  <c r="G171" i="2"/>
  <c r="G148" i="2"/>
  <c r="G149" i="2"/>
  <c r="G142" i="2"/>
  <c r="G143" i="2"/>
  <c r="G144" i="2"/>
  <c r="G145" i="2"/>
  <c r="G150" i="2"/>
  <c r="G146" i="2"/>
  <c r="G147" i="2"/>
  <c r="J62" i="1" l="1"/>
  <c r="J7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G241" i="2"/>
  <c r="M241" i="2"/>
  <c r="N241" i="2"/>
  <c r="O241" i="2"/>
  <c r="P241" i="2"/>
  <c r="Q241" i="2"/>
  <c r="R241" i="2"/>
  <c r="S241" i="2"/>
  <c r="G242" i="2"/>
  <c r="L242" i="2"/>
  <c r="M242" i="2"/>
  <c r="N242" i="2"/>
  <c r="O242" i="2"/>
  <c r="P242" i="2"/>
  <c r="Q242" i="2"/>
  <c r="R242" i="2"/>
  <c r="S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L230" i="2"/>
  <c r="L211" i="2"/>
  <c r="L212" i="2" s="1"/>
  <c r="L213" i="2" s="1"/>
  <c r="L214" i="2" s="1"/>
  <c r="L215" i="2" s="1"/>
  <c r="L216" i="2" s="1"/>
  <c r="M211" i="2"/>
  <c r="M212" i="2" s="1"/>
  <c r="M213" i="2" s="1"/>
  <c r="M214" i="2" s="1"/>
  <c r="M215" i="2" s="1"/>
  <c r="M216" i="2" s="1"/>
  <c r="N211" i="2"/>
  <c r="N212" i="2" s="1"/>
  <c r="N213" i="2" s="1"/>
  <c r="N214" i="2" s="1"/>
  <c r="N215" i="2" s="1"/>
  <c r="N216" i="2" s="1"/>
  <c r="O211" i="2"/>
  <c r="O212" i="2" s="1"/>
  <c r="O213" i="2" s="1"/>
  <c r="O214" i="2" s="1"/>
  <c r="O215" i="2" s="1"/>
  <c r="O216" i="2" s="1"/>
  <c r="P211" i="2"/>
  <c r="P212" i="2" s="1"/>
  <c r="P213" i="2" s="1"/>
  <c r="P214" i="2" s="1"/>
  <c r="P215" i="2" s="1"/>
  <c r="P216" i="2" s="1"/>
  <c r="Q211" i="2"/>
  <c r="Q212" i="2" s="1"/>
  <c r="Q213" i="2" s="1"/>
  <c r="Q214" i="2" s="1"/>
  <c r="Q215" i="2" s="1"/>
  <c r="Q216" i="2" s="1"/>
  <c r="R211" i="2"/>
  <c r="R212" i="2" s="1"/>
  <c r="R213" i="2" s="1"/>
  <c r="R214" i="2" s="1"/>
  <c r="R215" i="2" s="1"/>
  <c r="R216" i="2" s="1"/>
  <c r="S211" i="2"/>
  <c r="S212" i="2" s="1"/>
  <c r="S213" i="2" s="1"/>
  <c r="S214" i="2" s="1"/>
  <c r="S215" i="2" s="1"/>
  <c r="S216" i="2" s="1"/>
  <c r="K217" i="2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L217" i="2"/>
  <c r="M217" i="2"/>
  <c r="N217" i="2"/>
  <c r="O217" i="2"/>
  <c r="P217" i="2"/>
  <c r="Q217" i="2"/>
  <c r="R217" i="2"/>
  <c r="S217" i="2"/>
  <c r="L218" i="2"/>
  <c r="M218" i="2"/>
  <c r="N218" i="2"/>
  <c r="O218" i="2"/>
  <c r="P218" i="2"/>
  <c r="Q218" i="2"/>
  <c r="R218" i="2"/>
  <c r="S218" i="2"/>
  <c r="L219" i="2"/>
  <c r="M219" i="2"/>
  <c r="N219" i="2"/>
  <c r="O219" i="2"/>
  <c r="P219" i="2"/>
  <c r="Q219" i="2"/>
  <c r="R219" i="2"/>
  <c r="S219" i="2"/>
  <c r="L220" i="2"/>
  <c r="M220" i="2"/>
  <c r="N220" i="2"/>
  <c r="O220" i="2"/>
  <c r="P220" i="2"/>
  <c r="Q220" i="2"/>
  <c r="R220" i="2"/>
  <c r="S220" i="2"/>
  <c r="L221" i="2"/>
  <c r="L222" i="2" s="1"/>
  <c r="L223" i="2" s="1"/>
  <c r="L224" i="2" s="1"/>
  <c r="L225" i="2" s="1"/>
  <c r="L226" i="2" s="1"/>
  <c r="L227" i="2" s="1"/>
  <c r="M221" i="2"/>
  <c r="M222" i="2" s="1"/>
  <c r="M223" i="2" s="1"/>
  <c r="M224" i="2" s="1"/>
  <c r="M225" i="2" s="1"/>
  <c r="M226" i="2" s="1"/>
  <c r="M227" i="2" s="1"/>
  <c r="N221" i="2"/>
  <c r="N222" i="2" s="1"/>
  <c r="N223" i="2" s="1"/>
  <c r="N224" i="2" s="1"/>
  <c r="N225" i="2" s="1"/>
  <c r="N226" i="2" s="1"/>
  <c r="N227" i="2" s="1"/>
  <c r="O221" i="2"/>
  <c r="O222" i="2" s="1"/>
  <c r="O223" i="2" s="1"/>
  <c r="O224" i="2" s="1"/>
  <c r="O225" i="2" s="1"/>
  <c r="O226" i="2" s="1"/>
  <c r="O227" i="2" s="1"/>
  <c r="P221" i="2"/>
  <c r="P222" i="2" s="1"/>
  <c r="P223" i="2" s="1"/>
  <c r="P224" i="2" s="1"/>
  <c r="P225" i="2" s="1"/>
  <c r="P226" i="2" s="1"/>
  <c r="P227" i="2" s="1"/>
  <c r="Q221" i="2"/>
  <c r="Q222" i="2" s="1"/>
  <c r="Q223" i="2" s="1"/>
  <c r="Q224" i="2" s="1"/>
  <c r="Q225" i="2" s="1"/>
  <c r="Q226" i="2" s="1"/>
  <c r="Q227" i="2" s="1"/>
  <c r="R221" i="2"/>
  <c r="R222" i="2" s="1"/>
  <c r="R223" i="2" s="1"/>
  <c r="R224" i="2" s="1"/>
  <c r="R225" i="2" s="1"/>
  <c r="R226" i="2" s="1"/>
  <c r="R227" i="2" s="1"/>
  <c r="S221" i="2"/>
  <c r="S222" i="2" s="1"/>
  <c r="S223" i="2" s="1"/>
  <c r="S224" i="2" s="1"/>
  <c r="S225" i="2" s="1"/>
  <c r="S226" i="2" s="1"/>
  <c r="S227" i="2" s="1"/>
  <c r="K228" i="2"/>
  <c r="K229" i="2" s="1"/>
  <c r="K230" i="2" s="1"/>
  <c r="K231" i="2" s="1"/>
  <c r="L228" i="2"/>
  <c r="M228" i="2"/>
  <c r="N228" i="2"/>
  <c r="O228" i="2"/>
  <c r="P228" i="2"/>
  <c r="Q228" i="2"/>
  <c r="R228" i="2"/>
  <c r="S228" i="2"/>
  <c r="L229" i="2"/>
  <c r="M229" i="2"/>
  <c r="N229" i="2"/>
  <c r="O229" i="2"/>
  <c r="P229" i="2"/>
  <c r="Q229" i="2"/>
  <c r="R229" i="2"/>
  <c r="S229" i="2"/>
  <c r="G207" i="2"/>
  <c r="G208" i="2"/>
  <c r="K208" i="2"/>
  <c r="K209" i="2" s="1"/>
  <c r="K210" i="2" s="1"/>
  <c r="K211" i="2" s="1"/>
  <c r="K212" i="2" s="1"/>
  <c r="K213" i="2" s="1"/>
  <c r="K214" i="2" s="1"/>
  <c r="K215" i="2" s="1"/>
  <c r="K216" i="2" s="1"/>
  <c r="L208" i="2"/>
  <c r="M208" i="2"/>
  <c r="N208" i="2"/>
  <c r="O208" i="2"/>
  <c r="P208" i="2"/>
  <c r="Q208" i="2"/>
  <c r="R208" i="2"/>
  <c r="S208" i="2"/>
  <c r="G209" i="2"/>
  <c r="L209" i="2"/>
  <c r="M209" i="2"/>
  <c r="N209" i="2"/>
  <c r="O209" i="2"/>
  <c r="P209" i="2"/>
  <c r="Q209" i="2"/>
  <c r="R209" i="2"/>
  <c r="S209" i="2"/>
  <c r="G210" i="2"/>
  <c r="L210" i="2"/>
  <c r="M210" i="2"/>
  <c r="N210" i="2"/>
  <c r="O210" i="2"/>
  <c r="P210" i="2"/>
  <c r="Q210" i="2"/>
  <c r="R210" i="2"/>
  <c r="S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8" i="2"/>
  <c r="G229" i="2"/>
  <c r="G230" i="2"/>
  <c r="M230" i="2"/>
  <c r="N230" i="2"/>
  <c r="O230" i="2"/>
  <c r="P230" i="2"/>
  <c r="Q230" i="2"/>
  <c r="R230" i="2"/>
  <c r="S230" i="2"/>
  <c r="L231" i="2"/>
  <c r="M231" i="2"/>
  <c r="N231" i="2"/>
  <c r="O231" i="2"/>
  <c r="P231" i="2"/>
  <c r="Q231" i="2"/>
  <c r="R231" i="2"/>
  <c r="S231" i="2"/>
  <c r="G206" i="2"/>
  <c r="S206" i="2"/>
  <c r="S207" i="2" s="1"/>
  <c r="Q206" i="2"/>
  <c r="Q207" i="2" s="1"/>
  <c r="O206" i="2"/>
  <c r="O207" i="2" s="1"/>
  <c r="M206" i="2"/>
  <c r="M207" i="2" s="1"/>
  <c r="G205" i="2"/>
  <c r="M205" i="2"/>
  <c r="N205" i="2"/>
  <c r="O205" i="2"/>
  <c r="P205" i="2"/>
  <c r="P206" i="2" s="1"/>
  <c r="P207" i="2" s="1"/>
  <c r="Q205" i="2"/>
  <c r="R205" i="2"/>
  <c r="S205" i="2"/>
  <c r="M202" i="2"/>
  <c r="N202" i="2"/>
  <c r="O202" i="2"/>
  <c r="P202" i="2"/>
  <c r="Q202" i="2"/>
  <c r="R202" i="2"/>
  <c r="S202" i="2"/>
  <c r="M203" i="2"/>
  <c r="N203" i="2"/>
  <c r="O203" i="2"/>
  <c r="P203" i="2"/>
  <c r="Q203" i="2"/>
  <c r="R203" i="2"/>
  <c r="S203" i="2"/>
  <c r="M204" i="2"/>
  <c r="N204" i="2"/>
  <c r="O204" i="2"/>
  <c r="P204" i="2"/>
  <c r="Q204" i="2"/>
  <c r="R204" i="2"/>
  <c r="S204" i="2"/>
  <c r="D51" i="1"/>
  <c r="G234" i="2"/>
  <c r="L234" i="2"/>
  <c r="M234" i="2"/>
  <c r="N234" i="2"/>
  <c r="O234" i="2"/>
  <c r="P234" i="2"/>
  <c r="Q234" i="2"/>
  <c r="R234" i="2"/>
  <c r="S234" i="2"/>
  <c r="G235" i="2"/>
  <c r="L235" i="2"/>
  <c r="M235" i="2"/>
  <c r="N235" i="2"/>
  <c r="O235" i="2"/>
  <c r="P235" i="2"/>
  <c r="Q235" i="2"/>
  <c r="R235" i="2"/>
  <c r="S235" i="2"/>
  <c r="G236" i="2"/>
  <c r="L236" i="2"/>
  <c r="L237" i="2" s="1"/>
  <c r="M236" i="2"/>
  <c r="M237" i="2" s="1"/>
  <c r="N236" i="2"/>
  <c r="N237" i="2" s="1"/>
  <c r="O236" i="2"/>
  <c r="O237" i="2" s="1"/>
  <c r="P236" i="2"/>
  <c r="P237" i="2" s="1"/>
  <c r="Q236" i="2"/>
  <c r="Q237" i="2" s="1"/>
  <c r="R236" i="2"/>
  <c r="R237" i="2" s="1"/>
  <c r="S236" i="2"/>
  <c r="S237" i="2" s="1"/>
  <c r="G237" i="2"/>
  <c r="G238" i="2"/>
  <c r="K238" i="2"/>
  <c r="K239" i="2" s="1"/>
  <c r="L238" i="2"/>
  <c r="M238" i="2"/>
  <c r="N238" i="2"/>
  <c r="O238" i="2"/>
  <c r="P238" i="2"/>
  <c r="Q238" i="2"/>
  <c r="R238" i="2"/>
  <c r="S238" i="2"/>
  <c r="G239" i="2"/>
  <c r="L239" i="2"/>
  <c r="M239" i="2"/>
  <c r="N239" i="2"/>
  <c r="O239" i="2"/>
  <c r="P239" i="2"/>
  <c r="Q239" i="2"/>
  <c r="R239" i="2"/>
  <c r="S239" i="2"/>
  <c r="B8" i="3"/>
  <c r="E49" i="1"/>
  <c r="E47" i="1"/>
  <c r="E46" i="1"/>
  <c r="G233" i="2"/>
  <c r="S629" i="1" l="1"/>
  <c r="T629" i="1" s="1"/>
  <c r="S617" i="1"/>
  <c r="T617" i="1" s="1"/>
  <c r="S605" i="1"/>
  <c r="T605" i="1" s="1"/>
  <c r="S593" i="1"/>
  <c r="T593" i="1" s="1"/>
  <c r="S581" i="1"/>
  <c r="T581" i="1" s="1"/>
  <c r="S569" i="1"/>
  <c r="T569" i="1" s="1"/>
  <c r="S557" i="1"/>
  <c r="T557" i="1" s="1"/>
  <c r="S545" i="1"/>
  <c r="T545" i="1" s="1"/>
  <c r="S533" i="1"/>
  <c r="T533" i="1" s="1"/>
  <c r="S521" i="1"/>
  <c r="T521" i="1" s="1"/>
  <c r="S509" i="1"/>
  <c r="T509" i="1" s="1"/>
  <c r="S497" i="1"/>
  <c r="T497" i="1" s="1"/>
  <c r="S485" i="1"/>
  <c r="T485" i="1" s="1"/>
  <c r="S473" i="1"/>
  <c r="T473" i="1" s="1"/>
  <c r="S461" i="1"/>
  <c r="T461" i="1" s="1"/>
  <c r="S449" i="1"/>
  <c r="T449" i="1" s="1"/>
  <c r="S437" i="1"/>
  <c r="T437" i="1" s="1"/>
  <c r="S425" i="1"/>
  <c r="T425" i="1" s="1"/>
  <c r="S413" i="1"/>
  <c r="T413" i="1" s="1"/>
  <c r="S401" i="1"/>
  <c r="T401" i="1" s="1"/>
  <c r="S389" i="1"/>
  <c r="T389" i="1" s="1"/>
  <c r="S377" i="1"/>
  <c r="T377" i="1" s="1"/>
  <c r="S365" i="1"/>
  <c r="T365" i="1" s="1"/>
  <c r="S353" i="1"/>
  <c r="T353" i="1" s="1"/>
  <c r="S341" i="1"/>
  <c r="T341" i="1" s="1"/>
  <c r="S329" i="1"/>
  <c r="T329" i="1" s="1"/>
  <c r="S317" i="1"/>
  <c r="T317" i="1" s="1"/>
  <c r="S305" i="1"/>
  <c r="T305" i="1" s="1"/>
  <c r="S293" i="1"/>
  <c r="T293" i="1" s="1"/>
  <c r="S281" i="1"/>
  <c r="T281" i="1" s="1"/>
  <c r="S269" i="1"/>
  <c r="T269" i="1" s="1"/>
  <c r="S257" i="1"/>
  <c r="T257" i="1" s="1"/>
  <c r="S245" i="1"/>
  <c r="T245" i="1" s="1"/>
  <c r="S233" i="1"/>
  <c r="T233" i="1" s="1"/>
  <c r="S221" i="1"/>
  <c r="T221" i="1" s="1"/>
  <c r="S209" i="1"/>
  <c r="T209" i="1" s="1"/>
  <c r="S197" i="1"/>
  <c r="T197" i="1" s="1"/>
  <c r="S185" i="1"/>
  <c r="T185" i="1" s="1"/>
  <c r="S173" i="1"/>
  <c r="T173" i="1" s="1"/>
  <c r="S161" i="1"/>
  <c r="T161" i="1" s="1"/>
  <c r="S149" i="1"/>
  <c r="T149" i="1" s="1"/>
  <c r="S137" i="1"/>
  <c r="T137" i="1" s="1"/>
  <c r="S125" i="1"/>
  <c r="T125" i="1" s="1"/>
  <c r="S109" i="1"/>
  <c r="T109" i="1" s="1"/>
  <c r="S632" i="1"/>
  <c r="T632" i="1" s="1"/>
  <c r="S620" i="1"/>
  <c r="T620" i="1" s="1"/>
  <c r="S612" i="1"/>
  <c r="T612" i="1" s="1"/>
  <c r="S600" i="1"/>
  <c r="T600" i="1" s="1"/>
  <c r="S596" i="1"/>
  <c r="T596" i="1" s="1"/>
  <c r="S592" i="1"/>
  <c r="T592" i="1" s="1"/>
  <c r="S588" i="1"/>
  <c r="T588" i="1" s="1"/>
  <c r="S584" i="1"/>
  <c r="T584" i="1" s="1"/>
  <c r="S580" i="1"/>
  <c r="T580" i="1" s="1"/>
  <c r="S576" i="1"/>
  <c r="T576" i="1" s="1"/>
  <c r="S572" i="1"/>
  <c r="T572" i="1" s="1"/>
  <c r="S568" i="1"/>
  <c r="T568" i="1" s="1"/>
  <c r="S564" i="1"/>
  <c r="T564" i="1" s="1"/>
  <c r="S560" i="1"/>
  <c r="T560" i="1" s="1"/>
  <c r="S556" i="1"/>
  <c r="T556" i="1" s="1"/>
  <c r="S552" i="1"/>
  <c r="T552" i="1" s="1"/>
  <c r="S548" i="1"/>
  <c r="T548" i="1" s="1"/>
  <c r="S544" i="1"/>
  <c r="T544" i="1" s="1"/>
  <c r="S540" i="1"/>
  <c r="T540" i="1" s="1"/>
  <c r="S536" i="1"/>
  <c r="T536" i="1" s="1"/>
  <c r="S532" i="1"/>
  <c r="T532" i="1" s="1"/>
  <c r="S528" i="1"/>
  <c r="T528" i="1" s="1"/>
  <c r="S524" i="1"/>
  <c r="T524" i="1" s="1"/>
  <c r="S520" i="1"/>
  <c r="T520" i="1" s="1"/>
  <c r="S516" i="1"/>
  <c r="T516" i="1" s="1"/>
  <c r="S512" i="1"/>
  <c r="T512" i="1" s="1"/>
  <c r="S508" i="1"/>
  <c r="T508" i="1" s="1"/>
  <c r="S504" i="1"/>
  <c r="T504" i="1" s="1"/>
  <c r="S500" i="1"/>
  <c r="T500" i="1" s="1"/>
  <c r="S496" i="1"/>
  <c r="T496" i="1" s="1"/>
  <c r="S492" i="1"/>
  <c r="T492" i="1" s="1"/>
  <c r="S488" i="1"/>
  <c r="T488" i="1" s="1"/>
  <c r="S484" i="1"/>
  <c r="T484" i="1" s="1"/>
  <c r="S480" i="1"/>
  <c r="T480" i="1" s="1"/>
  <c r="S476" i="1"/>
  <c r="T476" i="1" s="1"/>
  <c r="S472" i="1"/>
  <c r="T472" i="1" s="1"/>
  <c r="S468" i="1"/>
  <c r="T468" i="1" s="1"/>
  <c r="S464" i="1"/>
  <c r="T464" i="1" s="1"/>
  <c r="S460" i="1"/>
  <c r="T460" i="1" s="1"/>
  <c r="S456" i="1"/>
  <c r="T456" i="1" s="1"/>
  <c r="S452" i="1"/>
  <c r="T452" i="1" s="1"/>
  <c r="S448" i="1"/>
  <c r="T448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16" i="1"/>
  <c r="T416" i="1" s="1"/>
  <c r="S412" i="1"/>
  <c r="T412" i="1" s="1"/>
  <c r="S408" i="1"/>
  <c r="T408" i="1" s="1"/>
  <c r="S404" i="1"/>
  <c r="T404" i="1" s="1"/>
  <c r="S400" i="1"/>
  <c r="T400" i="1" s="1"/>
  <c r="S396" i="1"/>
  <c r="T396" i="1" s="1"/>
  <c r="S392" i="1"/>
  <c r="T392" i="1" s="1"/>
  <c r="S388" i="1"/>
  <c r="T388" i="1" s="1"/>
  <c r="S384" i="1"/>
  <c r="T384" i="1" s="1"/>
  <c r="S380" i="1"/>
  <c r="T380" i="1" s="1"/>
  <c r="S376" i="1"/>
  <c r="T376" i="1" s="1"/>
  <c r="S372" i="1"/>
  <c r="T372" i="1" s="1"/>
  <c r="S368" i="1"/>
  <c r="T368" i="1" s="1"/>
  <c r="S364" i="1"/>
  <c r="T364" i="1" s="1"/>
  <c r="S360" i="1"/>
  <c r="T360" i="1" s="1"/>
  <c r="S356" i="1"/>
  <c r="T356" i="1" s="1"/>
  <c r="S352" i="1"/>
  <c r="T352" i="1" s="1"/>
  <c r="S348" i="1"/>
  <c r="T348" i="1" s="1"/>
  <c r="S344" i="1"/>
  <c r="T344" i="1" s="1"/>
  <c r="S340" i="1"/>
  <c r="T340" i="1" s="1"/>
  <c r="S336" i="1"/>
  <c r="T336" i="1" s="1"/>
  <c r="S332" i="1"/>
  <c r="T332" i="1" s="1"/>
  <c r="S328" i="1"/>
  <c r="T328" i="1" s="1"/>
  <c r="S324" i="1"/>
  <c r="T324" i="1" s="1"/>
  <c r="S320" i="1"/>
  <c r="T320" i="1" s="1"/>
  <c r="S316" i="1"/>
  <c r="T316" i="1" s="1"/>
  <c r="S312" i="1"/>
  <c r="T312" i="1" s="1"/>
  <c r="S308" i="1"/>
  <c r="T308" i="1" s="1"/>
  <c r="S304" i="1"/>
  <c r="T304" i="1" s="1"/>
  <c r="S300" i="1"/>
  <c r="T300" i="1" s="1"/>
  <c r="S296" i="1"/>
  <c r="T296" i="1" s="1"/>
  <c r="S292" i="1"/>
  <c r="T292" i="1" s="1"/>
  <c r="S288" i="1"/>
  <c r="T288" i="1" s="1"/>
  <c r="S284" i="1"/>
  <c r="T284" i="1" s="1"/>
  <c r="S280" i="1"/>
  <c r="T280" i="1" s="1"/>
  <c r="S276" i="1"/>
  <c r="T276" i="1" s="1"/>
  <c r="S272" i="1"/>
  <c r="T272" i="1" s="1"/>
  <c r="S268" i="1"/>
  <c r="T268" i="1" s="1"/>
  <c r="S264" i="1"/>
  <c r="T264" i="1" s="1"/>
  <c r="S260" i="1"/>
  <c r="T260" i="1" s="1"/>
  <c r="S256" i="1"/>
  <c r="T256" i="1" s="1"/>
  <c r="S252" i="1"/>
  <c r="T252" i="1" s="1"/>
  <c r="S248" i="1"/>
  <c r="T248" i="1" s="1"/>
  <c r="S244" i="1"/>
  <c r="T244" i="1" s="1"/>
  <c r="S240" i="1"/>
  <c r="T240" i="1" s="1"/>
  <c r="S236" i="1"/>
  <c r="T236" i="1" s="1"/>
  <c r="S232" i="1"/>
  <c r="T232" i="1" s="1"/>
  <c r="S228" i="1"/>
  <c r="T228" i="1" s="1"/>
  <c r="S224" i="1"/>
  <c r="T224" i="1" s="1"/>
  <c r="S220" i="1"/>
  <c r="T220" i="1" s="1"/>
  <c r="S216" i="1"/>
  <c r="T216" i="1" s="1"/>
  <c r="S212" i="1"/>
  <c r="T212" i="1" s="1"/>
  <c r="S208" i="1"/>
  <c r="T208" i="1" s="1"/>
  <c r="S204" i="1"/>
  <c r="T204" i="1" s="1"/>
  <c r="S200" i="1"/>
  <c r="T200" i="1" s="1"/>
  <c r="S196" i="1"/>
  <c r="T196" i="1" s="1"/>
  <c r="S192" i="1"/>
  <c r="T192" i="1" s="1"/>
  <c r="S188" i="1"/>
  <c r="T188" i="1" s="1"/>
  <c r="S184" i="1"/>
  <c r="T184" i="1" s="1"/>
  <c r="S180" i="1"/>
  <c r="T180" i="1" s="1"/>
  <c r="S176" i="1"/>
  <c r="T176" i="1" s="1"/>
  <c r="S172" i="1"/>
  <c r="T172" i="1" s="1"/>
  <c r="S168" i="1"/>
  <c r="T168" i="1" s="1"/>
  <c r="S164" i="1"/>
  <c r="T164" i="1" s="1"/>
  <c r="S160" i="1"/>
  <c r="T160" i="1" s="1"/>
  <c r="S156" i="1"/>
  <c r="T156" i="1" s="1"/>
  <c r="S152" i="1"/>
  <c r="T152" i="1" s="1"/>
  <c r="S148" i="1"/>
  <c r="T148" i="1" s="1"/>
  <c r="S144" i="1"/>
  <c r="T144" i="1" s="1"/>
  <c r="S140" i="1"/>
  <c r="T140" i="1" s="1"/>
  <c r="S136" i="1"/>
  <c r="T136" i="1" s="1"/>
  <c r="S132" i="1"/>
  <c r="T132" i="1" s="1"/>
  <c r="S128" i="1"/>
  <c r="T128" i="1" s="1"/>
  <c r="S124" i="1"/>
  <c r="T124" i="1" s="1"/>
  <c r="S120" i="1"/>
  <c r="T120" i="1" s="1"/>
  <c r="S116" i="1"/>
  <c r="T116" i="1" s="1"/>
  <c r="S112" i="1"/>
  <c r="T112" i="1" s="1"/>
  <c r="S108" i="1"/>
  <c r="T108" i="1" s="1"/>
  <c r="S104" i="1"/>
  <c r="T104" i="1" s="1"/>
  <c r="S625" i="1"/>
  <c r="T625" i="1" s="1"/>
  <c r="S613" i="1"/>
  <c r="T613" i="1" s="1"/>
  <c r="S601" i="1"/>
  <c r="T601" i="1" s="1"/>
  <c r="S589" i="1"/>
  <c r="T589" i="1" s="1"/>
  <c r="S577" i="1"/>
  <c r="T577" i="1" s="1"/>
  <c r="S565" i="1"/>
  <c r="T565" i="1" s="1"/>
  <c r="S553" i="1"/>
  <c r="T553" i="1" s="1"/>
  <c r="S541" i="1"/>
  <c r="T541" i="1" s="1"/>
  <c r="S529" i="1"/>
  <c r="T529" i="1" s="1"/>
  <c r="S513" i="1"/>
  <c r="T513" i="1" s="1"/>
  <c r="S501" i="1"/>
  <c r="T501" i="1" s="1"/>
  <c r="S489" i="1"/>
  <c r="T489" i="1" s="1"/>
  <c r="S477" i="1"/>
  <c r="T477" i="1" s="1"/>
  <c r="S469" i="1"/>
  <c r="T469" i="1" s="1"/>
  <c r="S453" i="1"/>
  <c r="T453" i="1" s="1"/>
  <c r="S441" i="1"/>
  <c r="T441" i="1" s="1"/>
  <c r="S429" i="1"/>
  <c r="T429" i="1" s="1"/>
  <c r="S417" i="1"/>
  <c r="T417" i="1" s="1"/>
  <c r="S409" i="1"/>
  <c r="T409" i="1" s="1"/>
  <c r="S397" i="1"/>
  <c r="T397" i="1" s="1"/>
  <c r="S385" i="1"/>
  <c r="T385" i="1" s="1"/>
  <c r="S373" i="1"/>
  <c r="T373" i="1" s="1"/>
  <c r="S357" i="1"/>
  <c r="T357" i="1" s="1"/>
  <c r="S345" i="1"/>
  <c r="T345" i="1" s="1"/>
  <c r="S333" i="1"/>
  <c r="T333" i="1" s="1"/>
  <c r="S325" i="1"/>
  <c r="T325" i="1" s="1"/>
  <c r="S313" i="1"/>
  <c r="T313" i="1" s="1"/>
  <c r="S301" i="1"/>
  <c r="T301" i="1" s="1"/>
  <c r="S289" i="1"/>
  <c r="T289" i="1" s="1"/>
  <c r="S277" i="1"/>
  <c r="T277" i="1" s="1"/>
  <c r="S265" i="1"/>
  <c r="T265" i="1" s="1"/>
  <c r="S249" i="1"/>
  <c r="T249" i="1" s="1"/>
  <c r="S241" i="1"/>
  <c r="T241" i="1" s="1"/>
  <c r="S229" i="1"/>
  <c r="T229" i="1" s="1"/>
  <c r="S217" i="1"/>
  <c r="T217" i="1" s="1"/>
  <c r="S201" i="1"/>
  <c r="T201" i="1" s="1"/>
  <c r="S193" i="1"/>
  <c r="T193" i="1" s="1"/>
  <c r="S181" i="1"/>
  <c r="T181" i="1" s="1"/>
  <c r="S169" i="1"/>
  <c r="T169" i="1" s="1"/>
  <c r="S153" i="1"/>
  <c r="T153" i="1" s="1"/>
  <c r="S145" i="1"/>
  <c r="T145" i="1" s="1"/>
  <c r="S133" i="1"/>
  <c r="T133" i="1" s="1"/>
  <c r="S121" i="1"/>
  <c r="T121" i="1" s="1"/>
  <c r="S105" i="1"/>
  <c r="T105" i="1" s="1"/>
  <c r="S624" i="1"/>
  <c r="T624" i="1" s="1"/>
  <c r="S608" i="1"/>
  <c r="T608" i="1" s="1"/>
  <c r="S635" i="1"/>
  <c r="T635" i="1" s="1"/>
  <c r="S631" i="1"/>
  <c r="T631" i="1" s="1"/>
  <c r="S627" i="1"/>
  <c r="T627" i="1" s="1"/>
  <c r="S623" i="1"/>
  <c r="T623" i="1" s="1"/>
  <c r="S619" i="1"/>
  <c r="T619" i="1" s="1"/>
  <c r="S615" i="1"/>
  <c r="T615" i="1" s="1"/>
  <c r="S611" i="1"/>
  <c r="T611" i="1" s="1"/>
  <c r="S607" i="1"/>
  <c r="T607" i="1" s="1"/>
  <c r="S603" i="1"/>
  <c r="T603" i="1" s="1"/>
  <c r="S599" i="1"/>
  <c r="T599" i="1" s="1"/>
  <c r="S595" i="1"/>
  <c r="T595" i="1" s="1"/>
  <c r="S591" i="1"/>
  <c r="T591" i="1" s="1"/>
  <c r="S587" i="1"/>
  <c r="T587" i="1" s="1"/>
  <c r="S583" i="1"/>
  <c r="T583" i="1" s="1"/>
  <c r="S579" i="1"/>
  <c r="T579" i="1" s="1"/>
  <c r="S575" i="1"/>
  <c r="T575" i="1" s="1"/>
  <c r="S571" i="1"/>
  <c r="T571" i="1" s="1"/>
  <c r="S567" i="1"/>
  <c r="T567" i="1" s="1"/>
  <c r="S563" i="1"/>
  <c r="T563" i="1" s="1"/>
  <c r="S559" i="1"/>
  <c r="T559" i="1" s="1"/>
  <c r="S555" i="1"/>
  <c r="T555" i="1" s="1"/>
  <c r="S551" i="1"/>
  <c r="T551" i="1" s="1"/>
  <c r="S547" i="1"/>
  <c r="T547" i="1" s="1"/>
  <c r="S543" i="1"/>
  <c r="T543" i="1" s="1"/>
  <c r="S539" i="1"/>
  <c r="T539" i="1" s="1"/>
  <c r="S535" i="1"/>
  <c r="T535" i="1" s="1"/>
  <c r="S531" i="1"/>
  <c r="T531" i="1" s="1"/>
  <c r="S527" i="1"/>
  <c r="T527" i="1" s="1"/>
  <c r="S523" i="1"/>
  <c r="T523" i="1" s="1"/>
  <c r="S519" i="1"/>
  <c r="T519" i="1" s="1"/>
  <c r="S515" i="1"/>
  <c r="T515" i="1" s="1"/>
  <c r="S511" i="1"/>
  <c r="T511" i="1" s="1"/>
  <c r="S507" i="1"/>
  <c r="T507" i="1" s="1"/>
  <c r="S503" i="1"/>
  <c r="T503" i="1" s="1"/>
  <c r="S499" i="1"/>
  <c r="T499" i="1" s="1"/>
  <c r="S495" i="1"/>
  <c r="T495" i="1" s="1"/>
  <c r="S491" i="1"/>
  <c r="T491" i="1" s="1"/>
  <c r="S487" i="1"/>
  <c r="T487" i="1" s="1"/>
  <c r="S483" i="1"/>
  <c r="T483" i="1" s="1"/>
  <c r="S479" i="1"/>
  <c r="T479" i="1" s="1"/>
  <c r="S475" i="1"/>
  <c r="T475" i="1" s="1"/>
  <c r="S471" i="1"/>
  <c r="T471" i="1" s="1"/>
  <c r="S467" i="1"/>
  <c r="T467" i="1" s="1"/>
  <c r="S463" i="1"/>
  <c r="T463" i="1" s="1"/>
  <c r="S459" i="1"/>
  <c r="T459" i="1" s="1"/>
  <c r="S455" i="1"/>
  <c r="T455" i="1" s="1"/>
  <c r="S451" i="1"/>
  <c r="T451" i="1" s="1"/>
  <c r="S447" i="1"/>
  <c r="T447" i="1" s="1"/>
  <c r="S443" i="1"/>
  <c r="T443" i="1" s="1"/>
  <c r="S439" i="1"/>
  <c r="T439" i="1" s="1"/>
  <c r="S435" i="1"/>
  <c r="T435" i="1" s="1"/>
  <c r="S431" i="1"/>
  <c r="T431" i="1" s="1"/>
  <c r="S427" i="1"/>
  <c r="T427" i="1" s="1"/>
  <c r="S423" i="1"/>
  <c r="T423" i="1" s="1"/>
  <c r="S419" i="1"/>
  <c r="T419" i="1" s="1"/>
  <c r="S415" i="1"/>
  <c r="T415" i="1" s="1"/>
  <c r="S411" i="1"/>
  <c r="T411" i="1" s="1"/>
  <c r="S407" i="1"/>
  <c r="T407" i="1" s="1"/>
  <c r="S403" i="1"/>
  <c r="T403" i="1" s="1"/>
  <c r="S399" i="1"/>
  <c r="T399" i="1" s="1"/>
  <c r="S395" i="1"/>
  <c r="T395" i="1" s="1"/>
  <c r="S391" i="1"/>
  <c r="T391" i="1" s="1"/>
  <c r="S387" i="1"/>
  <c r="T387" i="1" s="1"/>
  <c r="S383" i="1"/>
  <c r="T383" i="1" s="1"/>
  <c r="S379" i="1"/>
  <c r="T379" i="1" s="1"/>
  <c r="S375" i="1"/>
  <c r="T375" i="1" s="1"/>
  <c r="S371" i="1"/>
  <c r="T371" i="1" s="1"/>
  <c r="S367" i="1"/>
  <c r="T367" i="1" s="1"/>
  <c r="S363" i="1"/>
  <c r="T363" i="1" s="1"/>
  <c r="S359" i="1"/>
  <c r="T359" i="1" s="1"/>
  <c r="S355" i="1"/>
  <c r="T355" i="1" s="1"/>
  <c r="S351" i="1"/>
  <c r="T351" i="1" s="1"/>
  <c r="S347" i="1"/>
  <c r="T347" i="1" s="1"/>
  <c r="S343" i="1"/>
  <c r="T343" i="1" s="1"/>
  <c r="S339" i="1"/>
  <c r="T339" i="1" s="1"/>
  <c r="S335" i="1"/>
  <c r="T335" i="1" s="1"/>
  <c r="S331" i="1"/>
  <c r="T331" i="1" s="1"/>
  <c r="S327" i="1"/>
  <c r="T327" i="1" s="1"/>
  <c r="S323" i="1"/>
  <c r="T323" i="1" s="1"/>
  <c r="S319" i="1"/>
  <c r="T319" i="1" s="1"/>
  <c r="S315" i="1"/>
  <c r="T315" i="1" s="1"/>
  <c r="S311" i="1"/>
  <c r="T311" i="1" s="1"/>
  <c r="S307" i="1"/>
  <c r="T307" i="1" s="1"/>
  <c r="S303" i="1"/>
  <c r="T303" i="1" s="1"/>
  <c r="S299" i="1"/>
  <c r="T299" i="1" s="1"/>
  <c r="S295" i="1"/>
  <c r="T295" i="1" s="1"/>
  <c r="S291" i="1"/>
  <c r="T291" i="1" s="1"/>
  <c r="S287" i="1"/>
  <c r="T287" i="1" s="1"/>
  <c r="S283" i="1"/>
  <c r="T283" i="1" s="1"/>
  <c r="S279" i="1"/>
  <c r="T279" i="1" s="1"/>
  <c r="S275" i="1"/>
  <c r="T275" i="1" s="1"/>
  <c r="S271" i="1"/>
  <c r="T271" i="1" s="1"/>
  <c r="S267" i="1"/>
  <c r="T267" i="1" s="1"/>
  <c r="S263" i="1"/>
  <c r="T263" i="1" s="1"/>
  <c r="S259" i="1"/>
  <c r="T259" i="1" s="1"/>
  <c r="S255" i="1"/>
  <c r="T255" i="1" s="1"/>
  <c r="S251" i="1"/>
  <c r="T251" i="1" s="1"/>
  <c r="S247" i="1"/>
  <c r="T247" i="1" s="1"/>
  <c r="S243" i="1"/>
  <c r="T243" i="1" s="1"/>
  <c r="S239" i="1"/>
  <c r="T239" i="1" s="1"/>
  <c r="S235" i="1"/>
  <c r="T235" i="1" s="1"/>
  <c r="S231" i="1"/>
  <c r="T231" i="1" s="1"/>
  <c r="S227" i="1"/>
  <c r="T227" i="1" s="1"/>
  <c r="S223" i="1"/>
  <c r="T223" i="1" s="1"/>
  <c r="S219" i="1"/>
  <c r="T219" i="1" s="1"/>
  <c r="S215" i="1"/>
  <c r="T215" i="1" s="1"/>
  <c r="S211" i="1"/>
  <c r="T211" i="1" s="1"/>
  <c r="S207" i="1"/>
  <c r="T207" i="1" s="1"/>
  <c r="S203" i="1"/>
  <c r="T203" i="1" s="1"/>
  <c r="S199" i="1"/>
  <c r="T199" i="1" s="1"/>
  <c r="S195" i="1"/>
  <c r="T195" i="1" s="1"/>
  <c r="S191" i="1"/>
  <c r="T191" i="1" s="1"/>
  <c r="S187" i="1"/>
  <c r="T187" i="1" s="1"/>
  <c r="S183" i="1"/>
  <c r="T183" i="1" s="1"/>
  <c r="S179" i="1"/>
  <c r="T179" i="1" s="1"/>
  <c r="S175" i="1"/>
  <c r="T175" i="1" s="1"/>
  <c r="S171" i="1"/>
  <c r="T171" i="1" s="1"/>
  <c r="S167" i="1"/>
  <c r="T167" i="1" s="1"/>
  <c r="S163" i="1"/>
  <c r="T163" i="1" s="1"/>
  <c r="S159" i="1"/>
  <c r="T159" i="1" s="1"/>
  <c r="S155" i="1"/>
  <c r="T155" i="1" s="1"/>
  <c r="S151" i="1"/>
  <c r="T151" i="1" s="1"/>
  <c r="S147" i="1"/>
  <c r="T147" i="1" s="1"/>
  <c r="S143" i="1"/>
  <c r="T143" i="1" s="1"/>
  <c r="S139" i="1"/>
  <c r="T139" i="1" s="1"/>
  <c r="S135" i="1"/>
  <c r="T135" i="1" s="1"/>
  <c r="S131" i="1"/>
  <c r="T131" i="1" s="1"/>
  <c r="S127" i="1"/>
  <c r="T127" i="1" s="1"/>
  <c r="S123" i="1"/>
  <c r="T123" i="1" s="1"/>
  <c r="S119" i="1"/>
  <c r="T119" i="1" s="1"/>
  <c r="S115" i="1"/>
  <c r="T115" i="1" s="1"/>
  <c r="S111" i="1"/>
  <c r="T111" i="1" s="1"/>
  <c r="S107" i="1"/>
  <c r="T107" i="1" s="1"/>
  <c r="S72" i="1"/>
  <c r="T72" i="1" s="1"/>
  <c r="S633" i="1"/>
  <c r="T633" i="1" s="1"/>
  <c r="S621" i="1"/>
  <c r="T621" i="1" s="1"/>
  <c r="S609" i="1"/>
  <c r="T609" i="1" s="1"/>
  <c r="S597" i="1"/>
  <c r="T597" i="1" s="1"/>
  <c r="S585" i="1"/>
  <c r="T585" i="1" s="1"/>
  <c r="S573" i="1"/>
  <c r="T573" i="1" s="1"/>
  <c r="S561" i="1"/>
  <c r="T561" i="1" s="1"/>
  <c r="S549" i="1"/>
  <c r="T549" i="1" s="1"/>
  <c r="S537" i="1"/>
  <c r="T537" i="1" s="1"/>
  <c r="S525" i="1"/>
  <c r="T525" i="1" s="1"/>
  <c r="S517" i="1"/>
  <c r="T517" i="1" s="1"/>
  <c r="S505" i="1"/>
  <c r="T505" i="1" s="1"/>
  <c r="S493" i="1"/>
  <c r="T493" i="1" s="1"/>
  <c r="S481" i="1"/>
  <c r="T481" i="1" s="1"/>
  <c r="S465" i="1"/>
  <c r="T465" i="1" s="1"/>
  <c r="S457" i="1"/>
  <c r="T457" i="1" s="1"/>
  <c r="S445" i="1"/>
  <c r="T445" i="1" s="1"/>
  <c r="S433" i="1"/>
  <c r="T433" i="1" s="1"/>
  <c r="S421" i="1"/>
  <c r="T421" i="1" s="1"/>
  <c r="S405" i="1"/>
  <c r="T405" i="1" s="1"/>
  <c r="S393" i="1"/>
  <c r="T393" i="1" s="1"/>
  <c r="S381" i="1"/>
  <c r="T381" i="1" s="1"/>
  <c r="S369" i="1"/>
  <c r="T369" i="1" s="1"/>
  <c r="S361" i="1"/>
  <c r="T361" i="1" s="1"/>
  <c r="S349" i="1"/>
  <c r="T349" i="1" s="1"/>
  <c r="S337" i="1"/>
  <c r="T337" i="1" s="1"/>
  <c r="S321" i="1"/>
  <c r="T321" i="1" s="1"/>
  <c r="S309" i="1"/>
  <c r="T309" i="1" s="1"/>
  <c r="S297" i="1"/>
  <c r="T297" i="1" s="1"/>
  <c r="S285" i="1"/>
  <c r="T285" i="1" s="1"/>
  <c r="S273" i="1"/>
  <c r="T273" i="1" s="1"/>
  <c r="S261" i="1"/>
  <c r="T261" i="1" s="1"/>
  <c r="S253" i="1"/>
  <c r="T253" i="1" s="1"/>
  <c r="S237" i="1"/>
  <c r="T237" i="1" s="1"/>
  <c r="S225" i="1"/>
  <c r="T225" i="1" s="1"/>
  <c r="S213" i="1"/>
  <c r="T213" i="1" s="1"/>
  <c r="S205" i="1"/>
  <c r="T205" i="1" s="1"/>
  <c r="S189" i="1"/>
  <c r="T189" i="1" s="1"/>
  <c r="S177" i="1"/>
  <c r="T177" i="1" s="1"/>
  <c r="S165" i="1"/>
  <c r="T165" i="1" s="1"/>
  <c r="S157" i="1"/>
  <c r="T157" i="1" s="1"/>
  <c r="S141" i="1"/>
  <c r="T141" i="1" s="1"/>
  <c r="S129" i="1"/>
  <c r="T129" i="1" s="1"/>
  <c r="S117" i="1"/>
  <c r="T117" i="1" s="1"/>
  <c r="S113" i="1"/>
  <c r="T113" i="1" s="1"/>
  <c r="S628" i="1"/>
  <c r="T628" i="1" s="1"/>
  <c r="S616" i="1"/>
  <c r="T616" i="1" s="1"/>
  <c r="S604" i="1"/>
  <c r="T604" i="1" s="1"/>
  <c r="S634" i="1"/>
  <c r="T634" i="1" s="1"/>
  <c r="S630" i="1"/>
  <c r="T630" i="1" s="1"/>
  <c r="S626" i="1"/>
  <c r="T626" i="1" s="1"/>
  <c r="S622" i="1"/>
  <c r="T622" i="1" s="1"/>
  <c r="S618" i="1"/>
  <c r="T618" i="1" s="1"/>
  <c r="S614" i="1"/>
  <c r="T614" i="1" s="1"/>
  <c r="S610" i="1"/>
  <c r="T610" i="1" s="1"/>
  <c r="S606" i="1"/>
  <c r="T606" i="1" s="1"/>
  <c r="S602" i="1"/>
  <c r="T602" i="1" s="1"/>
  <c r="S598" i="1"/>
  <c r="T598" i="1" s="1"/>
  <c r="S594" i="1"/>
  <c r="T594" i="1" s="1"/>
  <c r="S590" i="1"/>
  <c r="T590" i="1" s="1"/>
  <c r="S586" i="1"/>
  <c r="T586" i="1" s="1"/>
  <c r="S582" i="1"/>
  <c r="T582" i="1" s="1"/>
  <c r="S578" i="1"/>
  <c r="T578" i="1" s="1"/>
  <c r="S574" i="1"/>
  <c r="T574" i="1" s="1"/>
  <c r="S570" i="1"/>
  <c r="T570" i="1" s="1"/>
  <c r="S566" i="1"/>
  <c r="T566" i="1" s="1"/>
  <c r="S562" i="1"/>
  <c r="T562" i="1" s="1"/>
  <c r="S558" i="1"/>
  <c r="T558" i="1" s="1"/>
  <c r="S554" i="1"/>
  <c r="T554" i="1" s="1"/>
  <c r="S550" i="1"/>
  <c r="T550" i="1" s="1"/>
  <c r="S546" i="1"/>
  <c r="T546" i="1" s="1"/>
  <c r="S542" i="1"/>
  <c r="T542" i="1" s="1"/>
  <c r="S538" i="1"/>
  <c r="T538" i="1" s="1"/>
  <c r="S534" i="1"/>
  <c r="T534" i="1" s="1"/>
  <c r="S530" i="1"/>
  <c r="T530" i="1" s="1"/>
  <c r="S526" i="1"/>
  <c r="T526" i="1" s="1"/>
  <c r="S522" i="1"/>
  <c r="T522" i="1" s="1"/>
  <c r="S518" i="1"/>
  <c r="T518" i="1" s="1"/>
  <c r="S514" i="1"/>
  <c r="T514" i="1" s="1"/>
  <c r="S510" i="1"/>
  <c r="T510" i="1" s="1"/>
  <c r="S506" i="1"/>
  <c r="T506" i="1" s="1"/>
  <c r="S502" i="1"/>
  <c r="T502" i="1" s="1"/>
  <c r="S498" i="1"/>
  <c r="T498" i="1" s="1"/>
  <c r="S494" i="1"/>
  <c r="T494" i="1" s="1"/>
  <c r="S490" i="1"/>
  <c r="T490" i="1" s="1"/>
  <c r="S486" i="1"/>
  <c r="T486" i="1" s="1"/>
  <c r="S482" i="1"/>
  <c r="T482" i="1" s="1"/>
  <c r="S478" i="1"/>
  <c r="T478" i="1" s="1"/>
  <c r="S474" i="1"/>
  <c r="T474" i="1" s="1"/>
  <c r="S470" i="1"/>
  <c r="T470" i="1" s="1"/>
  <c r="S466" i="1"/>
  <c r="T466" i="1" s="1"/>
  <c r="S462" i="1"/>
  <c r="T462" i="1" s="1"/>
  <c r="S458" i="1"/>
  <c r="T458" i="1" s="1"/>
  <c r="S454" i="1"/>
  <c r="T454" i="1" s="1"/>
  <c r="S450" i="1"/>
  <c r="T450" i="1" s="1"/>
  <c r="S446" i="1"/>
  <c r="T446" i="1" s="1"/>
  <c r="S442" i="1"/>
  <c r="T442" i="1" s="1"/>
  <c r="S438" i="1"/>
  <c r="T438" i="1" s="1"/>
  <c r="S434" i="1"/>
  <c r="T434" i="1" s="1"/>
  <c r="S430" i="1"/>
  <c r="T430" i="1" s="1"/>
  <c r="S426" i="1"/>
  <c r="T426" i="1" s="1"/>
  <c r="S422" i="1"/>
  <c r="T422" i="1" s="1"/>
  <c r="S418" i="1"/>
  <c r="T418" i="1" s="1"/>
  <c r="S414" i="1"/>
  <c r="T414" i="1" s="1"/>
  <c r="S410" i="1"/>
  <c r="T410" i="1" s="1"/>
  <c r="S406" i="1"/>
  <c r="T406" i="1" s="1"/>
  <c r="S402" i="1"/>
  <c r="T402" i="1" s="1"/>
  <c r="S398" i="1"/>
  <c r="T398" i="1" s="1"/>
  <c r="S394" i="1"/>
  <c r="T394" i="1" s="1"/>
  <c r="S390" i="1"/>
  <c r="T390" i="1" s="1"/>
  <c r="S386" i="1"/>
  <c r="T386" i="1" s="1"/>
  <c r="S382" i="1"/>
  <c r="T382" i="1" s="1"/>
  <c r="S378" i="1"/>
  <c r="T378" i="1" s="1"/>
  <c r="S374" i="1"/>
  <c r="T374" i="1" s="1"/>
  <c r="S370" i="1"/>
  <c r="T370" i="1" s="1"/>
  <c r="S366" i="1"/>
  <c r="T366" i="1" s="1"/>
  <c r="S362" i="1"/>
  <c r="T362" i="1" s="1"/>
  <c r="S358" i="1"/>
  <c r="T358" i="1" s="1"/>
  <c r="S354" i="1"/>
  <c r="T354" i="1" s="1"/>
  <c r="S350" i="1"/>
  <c r="T350" i="1" s="1"/>
  <c r="S346" i="1"/>
  <c r="T346" i="1" s="1"/>
  <c r="S342" i="1"/>
  <c r="T342" i="1" s="1"/>
  <c r="S338" i="1"/>
  <c r="T338" i="1" s="1"/>
  <c r="S334" i="1"/>
  <c r="T334" i="1" s="1"/>
  <c r="S330" i="1"/>
  <c r="T330" i="1" s="1"/>
  <c r="S326" i="1"/>
  <c r="T326" i="1" s="1"/>
  <c r="S322" i="1"/>
  <c r="T322" i="1" s="1"/>
  <c r="S318" i="1"/>
  <c r="T318" i="1" s="1"/>
  <c r="S314" i="1"/>
  <c r="T314" i="1" s="1"/>
  <c r="S310" i="1"/>
  <c r="T310" i="1" s="1"/>
  <c r="S306" i="1"/>
  <c r="T306" i="1" s="1"/>
  <c r="S302" i="1"/>
  <c r="T302" i="1" s="1"/>
  <c r="S298" i="1"/>
  <c r="T298" i="1" s="1"/>
  <c r="S294" i="1"/>
  <c r="T294" i="1" s="1"/>
  <c r="S290" i="1"/>
  <c r="T290" i="1" s="1"/>
  <c r="S286" i="1"/>
  <c r="T286" i="1" s="1"/>
  <c r="S282" i="1"/>
  <c r="T282" i="1" s="1"/>
  <c r="S278" i="1"/>
  <c r="T278" i="1" s="1"/>
  <c r="S274" i="1"/>
  <c r="T274" i="1" s="1"/>
  <c r="S270" i="1"/>
  <c r="T270" i="1" s="1"/>
  <c r="S266" i="1"/>
  <c r="T266" i="1" s="1"/>
  <c r="S262" i="1"/>
  <c r="T262" i="1" s="1"/>
  <c r="S258" i="1"/>
  <c r="T258" i="1" s="1"/>
  <c r="S254" i="1"/>
  <c r="T254" i="1" s="1"/>
  <c r="S250" i="1"/>
  <c r="T250" i="1" s="1"/>
  <c r="S246" i="1"/>
  <c r="T246" i="1" s="1"/>
  <c r="S242" i="1"/>
  <c r="T242" i="1" s="1"/>
  <c r="S238" i="1"/>
  <c r="T238" i="1" s="1"/>
  <c r="S234" i="1"/>
  <c r="T234" i="1" s="1"/>
  <c r="S230" i="1"/>
  <c r="T230" i="1" s="1"/>
  <c r="S226" i="1"/>
  <c r="T226" i="1" s="1"/>
  <c r="S222" i="1"/>
  <c r="T222" i="1" s="1"/>
  <c r="S218" i="1"/>
  <c r="T218" i="1" s="1"/>
  <c r="S214" i="1"/>
  <c r="T214" i="1" s="1"/>
  <c r="S210" i="1"/>
  <c r="T210" i="1" s="1"/>
  <c r="U206" i="1"/>
  <c r="S206" i="1"/>
  <c r="T206" i="1" s="1"/>
  <c r="S202" i="1"/>
  <c r="T202" i="1" s="1"/>
  <c r="S198" i="1"/>
  <c r="T198" i="1" s="1"/>
  <c r="U194" i="1"/>
  <c r="S194" i="1"/>
  <c r="T194" i="1" s="1"/>
  <c r="S190" i="1"/>
  <c r="T190" i="1" s="1"/>
  <c r="S186" i="1"/>
  <c r="T186" i="1" s="1"/>
  <c r="S182" i="1"/>
  <c r="T182" i="1" s="1"/>
  <c r="S178" i="1"/>
  <c r="T178" i="1" s="1"/>
  <c r="S174" i="1"/>
  <c r="T174" i="1" s="1"/>
  <c r="S170" i="1"/>
  <c r="T170" i="1" s="1"/>
  <c r="S166" i="1"/>
  <c r="T166" i="1" s="1"/>
  <c r="S162" i="1"/>
  <c r="T162" i="1" s="1"/>
  <c r="S158" i="1"/>
  <c r="T158" i="1" s="1"/>
  <c r="S154" i="1"/>
  <c r="T154" i="1" s="1"/>
  <c r="S150" i="1"/>
  <c r="T150" i="1" s="1"/>
  <c r="S146" i="1"/>
  <c r="T146" i="1" s="1"/>
  <c r="S142" i="1"/>
  <c r="T142" i="1" s="1"/>
  <c r="S138" i="1"/>
  <c r="T138" i="1" s="1"/>
  <c r="S134" i="1"/>
  <c r="T134" i="1" s="1"/>
  <c r="S130" i="1"/>
  <c r="T130" i="1" s="1"/>
  <c r="S126" i="1"/>
  <c r="T126" i="1" s="1"/>
  <c r="S122" i="1"/>
  <c r="T122" i="1" s="1"/>
  <c r="S118" i="1"/>
  <c r="T118" i="1" s="1"/>
  <c r="S114" i="1"/>
  <c r="T114" i="1" s="1"/>
  <c r="S110" i="1"/>
  <c r="T110" i="1" s="1"/>
  <c r="S106" i="1"/>
  <c r="T106" i="1" s="1"/>
  <c r="S62" i="1"/>
  <c r="T62" i="1" s="1"/>
  <c r="N206" i="2"/>
  <c r="N207" i="2" s="1"/>
  <c r="R206" i="2"/>
  <c r="R207" i="2" s="1"/>
  <c r="D45" i="1"/>
  <c r="S232" i="2"/>
  <c r="S233" i="2" s="1"/>
  <c r="R232" i="2"/>
  <c r="R233" i="2" s="1"/>
  <c r="Q232" i="2"/>
  <c r="Q233" i="2" s="1"/>
  <c r="P232" i="2"/>
  <c r="P233" i="2" s="1"/>
  <c r="O232" i="2"/>
  <c r="O233" i="2" s="1"/>
  <c r="N232" i="2"/>
  <c r="N233" i="2" s="1"/>
  <c r="M232" i="2"/>
  <c r="M233" i="2" s="1"/>
  <c r="L232" i="2"/>
  <c r="L233" i="2" s="1"/>
  <c r="G232" i="2"/>
  <c r="K232" i="2"/>
  <c r="K233" i="2" s="1"/>
  <c r="K234" i="2" s="1"/>
  <c r="K235" i="2" s="1"/>
  <c r="K236" i="2" s="1"/>
  <c r="K237" i="2" s="1"/>
  <c r="M54" i="2"/>
  <c r="N54" i="2"/>
  <c r="O54" i="2"/>
  <c r="P54" i="2"/>
  <c r="Q54" i="2"/>
  <c r="R54" i="2"/>
  <c r="S54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M58" i="2" s="1"/>
  <c r="M59" i="2" s="1"/>
  <c r="M60" i="2" s="1"/>
  <c r="N57" i="2"/>
  <c r="N58" i="2" s="1"/>
  <c r="N59" i="2" s="1"/>
  <c r="N60" i="2" s="1"/>
  <c r="O57" i="2"/>
  <c r="O58" i="2" s="1"/>
  <c r="O59" i="2" s="1"/>
  <c r="O60" i="2" s="1"/>
  <c r="P57" i="2"/>
  <c r="P58" i="2" s="1"/>
  <c r="P59" i="2" s="1"/>
  <c r="P60" i="2" s="1"/>
  <c r="Q57" i="2"/>
  <c r="Q58" i="2" s="1"/>
  <c r="Q59" i="2" s="1"/>
  <c r="Q60" i="2" s="1"/>
  <c r="R57" i="2"/>
  <c r="R58" i="2" s="1"/>
  <c r="R59" i="2" s="1"/>
  <c r="R60" i="2" s="1"/>
  <c r="S57" i="2"/>
  <c r="S58" i="2" s="1"/>
  <c r="S59" i="2" s="1"/>
  <c r="S60" i="2" s="1"/>
  <c r="L61" i="2"/>
  <c r="L62" i="2" s="1"/>
  <c r="M61" i="2"/>
  <c r="M62" i="2" s="1"/>
  <c r="N61" i="2"/>
  <c r="N62" i="2" s="1"/>
  <c r="O61" i="2"/>
  <c r="O62" i="2" s="1"/>
  <c r="P61" i="2"/>
  <c r="P62" i="2" s="1"/>
  <c r="Q61" i="2"/>
  <c r="Q62" i="2" s="1"/>
  <c r="R61" i="2"/>
  <c r="R62" i="2" s="1"/>
  <c r="S61" i="2"/>
  <c r="S62" i="2" s="1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L67" i="2" s="1"/>
  <c r="M66" i="2"/>
  <c r="M67" i="2" s="1"/>
  <c r="N66" i="2"/>
  <c r="N67" i="2" s="1"/>
  <c r="O66" i="2"/>
  <c r="O67" i="2" s="1"/>
  <c r="P66" i="2"/>
  <c r="P67" i="2" s="1"/>
  <c r="Q66" i="2"/>
  <c r="Q67" i="2" s="1"/>
  <c r="R66" i="2"/>
  <c r="R67" i="2" s="1"/>
  <c r="S66" i="2"/>
  <c r="S67" i="2" s="1"/>
  <c r="L159" i="2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M159" i="2"/>
  <c r="N159" i="2"/>
  <c r="O159" i="2"/>
  <c r="P159" i="2"/>
  <c r="Q159" i="2"/>
  <c r="R159" i="2"/>
  <c r="S159" i="2"/>
  <c r="M160" i="2"/>
  <c r="N160" i="2"/>
  <c r="O160" i="2"/>
  <c r="P160" i="2"/>
  <c r="Q160" i="2"/>
  <c r="R160" i="2"/>
  <c r="S160" i="2"/>
  <c r="M197" i="2"/>
  <c r="M198" i="2" s="1"/>
  <c r="N197" i="2"/>
  <c r="N198" i="2" s="1"/>
  <c r="O197" i="2"/>
  <c r="O198" i="2" s="1"/>
  <c r="P197" i="2"/>
  <c r="P198" i="2" s="1"/>
  <c r="Q197" i="2"/>
  <c r="Q198" i="2" s="1"/>
  <c r="R197" i="2"/>
  <c r="R198" i="2" s="1"/>
  <c r="S197" i="2"/>
  <c r="S198" i="2" s="1"/>
  <c r="L199" i="2"/>
  <c r="L200" i="2" s="1"/>
  <c r="L201" i="2" s="1"/>
  <c r="L202" i="2" s="1"/>
  <c r="L203" i="2" s="1"/>
  <c r="L204" i="2" s="1"/>
  <c r="L205" i="2" s="1"/>
  <c r="M199" i="2"/>
  <c r="N199" i="2"/>
  <c r="O199" i="2"/>
  <c r="P199" i="2"/>
  <c r="Q199" i="2"/>
  <c r="R199" i="2"/>
  <c r="S199" i="2"/>
  <c r="M200" i="2"/>
  <c r="N200" i="2"/>
  <c r="O200" i="2"/>
  <c r="P200" i="2"/>
  <c r="Q200" i="2"/>
  <c r="R200" i="2"/>
  <c r="S200" i="2"/>
  <c r="M201" i="2"/>
  <c r="N201" i="2"/>
  <c r="O201" i="2"/>
  <c r="P201" i="2"/>
  <c r="Q201" i="2"/>
  <c r="R201" i="2"/>
  <c r="S201" i="2"/>
  <c r="K240" i="2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L240" i="2"/>
  <c r="O240" i="2"/>
  <c r="P240" i="2"/>
  <c r="Q240" i="2"/>
  <c r="R240" i="2"/>
  <c r="S240" i="2"/>
  <c r="M240" i="2"/>
  <c r="N240" i="2"/>
  <c r="G240" i="2"/>
  <c r="G195" i="2"/>
  <c r="G196" i="2"/>
  <c r="G197" i="2"/>
  <c r="G198" i="2"/>
  <c r="G199" i="2"/>
  <c r="G200" i="2"/>
  <c r="G201" i="2"/>
  <c r="G202" i="2"/>
  <c r="G203" i="2"/>
  <c r="G204" i="2"/>
  <c r="D42" i="1"/>
  <c r="E41" i="1"/>
  <c r="G66" i="2"/>
  <c r="H45" i="3"/>
  <c r="H47" i="3" s="1"/>
  <c r="U222" i="1" l="1"/>
  <c r="U270" i="1"/>
  <c r="U318" i="1"/>
  <c r="U366" i="1"/>
  <c r="U414" i="1"/>
  <c r="U462" i="1"/>
  <c r="U510" i="1"/>
  <c r="U574" i="1"/>
  <c r="U622" i="1"/>
  <c r="U165" i="1"/>
  <c r="U309" i="1"/>
  <c r="U457" i="1"/>
  <c r="U72" i="1"/>
  <c r="U151" i="1"/>
  <c r="U199" i="1"/>
  <c r="U247" i="1"/>
  <c r="U311" i="1"/>
  <c r="U359" i="1"/>
  <c r="U423" i="1"/>
  <c r="U471" i="1"/>
  <c r="U519" i="1"/>
  <c r="U567" i="1"/>
  <c r="U615" i="1"/>
  <c r="U153" i="1"/>
  <c r="U301" i="1"/>
  <c r="U441" i="1"/>
  <c r="U589" i="1"/>
  <c r="U136" i="1"/>
  <c r="U184" i="1"/>
  <c r="U216" i="1"/>
  <c r="U264" i="1"/>
  <c r="U312" i="1"/>
  <c r="U360" i="1"/>
  <c r="U408" i="1"/>
  <c r="U472" i="1"/>
  <c r="U504" i="1"/>
  <c r="U536" i="1"/>
  <c r="U568" i="1"/>
  <c r="U600" i="1"/>
  <c r="U209" i="1"/>
  <c r="U305" i="1"/>
  <c r="U401" i="1"/>
  <c r="U593" i="1"/>
  <c r="U106" i="1"/>
  <c r="U138" i="1"/>
  <c r="U154" i="1"/>
  <c r="U170" i="1"/>
  <c r="U210" i="1"/>
  <c r="U226" i="1"/>
  <c r="U242" i="1"/>
  <c r="U258" i="1"/>
  <c r="U274" i="1"/>
  <c r="U290" i="1"/>
  <c r="U306" i="1"/>
  <c r="U322" i="1"/>
  <c r="U338" i="1"/>
  <c r="U354" i="1"/>
  <c r="U370" i="1"/>
  <c r="U386" i="1"/>
  <c r="U402" i="1"/>
  <c r="U418" i="1"/>
  <c r="U434" i="1"/>
  <c r="U450" i="1"/>
  <c r="U466" i="1"/>
  <c r="U482" i="1"/>
  <c r="U498" i="1"/>
  <c r="U514" i="1"/>
  <c r="U530" i="1"/>
  <c r="U546" i="1"/>
  <c r="U562" i="1"/>
  <c r="U578" i="1"/>
  <c r="U594" i="1"/>
  <c r="U610" i="1"/>
  <c r="U626" i="1"/>
  <c r="U616" i="1"/>
  <c r="U129" i="1"/>
  <c r="U177" i="1"/>
  <c r="U225" i="1"/>
  <c r="U273" i="1"/>
  <c r="U321" i="1"/>
  <c r="U369" i="1"/>
  <c r="U421" i="1"/>
  <c r="U465" i="1"/>
  <c r="U517" i="1"/>
  <c r="U561" i="1"/>
  <c r="U609" i="1"/>
  <c r="U107" i="1"/>
  <c r="U123" i="1"/>
  <c r="U139" i="1"/>
  <c r="U155" i="1"/>
  <c r="U171" i="1"/>
  <c r="U187" i="1"/>
  <c r="U203" i="1"/>
  <c r="U219" i="1"/>
  <c r="U235" i="1"/>
  <c r="U251" i="1"/>
  <c r="U267" i="1"/>
  <c r="U283" i="1"/>
  <c r="U299" i="1"/>
  <c r="U315" i="1"/>
  <c r="U331" i="1"/>
  <c r="U347" i="1"/>
  <c r="U363" i="1"/>
  <c r="U379" i="1"/>
  <c r="U395" i="1"/>
  <c r="U411" i="1"/>
  <c r="U427" i="1"/>
  <c r="U443" i="1"/>
  <c r="U459" i="1"/>
  <c r="U475" i="1"/>
  <c r="U491" i="1"/>
  <c r="U507" i="1"/>
  <c r="U523" i="1"/>
  <c r="U539" i="1"/>
  <c r="U555" i="1"/>
  <c r="U571" i="1"/>
  <c r="U587" i="1"/>
  <c r="U603" i="1"/>
  <c r="U619" i="1"/>
  <c r="U635" i="1"/>
  <c r="U121" i="1"/>
  <c r="U169" i="1"/>
  <c r="U217" i="1"/>
  <c r="U265" i="1"/>
  <c r="U313" i="1"/>
  <c r="U357" i="1"/>
  <c r="U409" i="1"/>
  <c r="U453" i="1"/>
  <c r="U501" i="1"/>
  <c r="U553" i="1"/>
  <c r="U601" i="1"/>
  <c r="U108" i="1"/>
  <c r="U124" i="1"/>
  <c r="U140" i="1"/>
  <c r="U156" i="1"/>
  <c r="U172" i="1"/>
  <c r="U188" i="1"/>
  <c r="U204" i="1"/>
  <c r="U220" i="1"/>
  <c r="U236" i="1"/>
  <c r="U252" i="1"/>
  <c r="U268" i="1"/>
  <c r="U284" i="1"/>
  <c r="U300" i="1"/>
  <c r="U316" i="1"/>
  <c r="U332" i="1"/>
  <c r="U348" i="1"/>
  <c r="U364" i="1"/>
  <c r="U380" i="1"/>
  <c r="U396" i="1"/>
  <c r="U412" i="1"/>
  <c r="U428" i="1"/>
  <c r="U444" i="1"/>
  <c r="U460" i="1"/>
  <c r="U476" i="1"/>
  <c r="U492" i="1"/>
  <c r="U508" i="1"/>
  <c r="U524" i="1"/>
  <c r="U540" i="1"/>
  <c r="U556" i="1"/>
  <c r="U572" i="1"/>
  <c r="U588" i="1"/>
  <c r="U612" i="1"/>
  <c r="U125" i="1"/>
  <c r="U173" i="1"/>
  <c r="U221" i="1"/>
  <c r="U269" i="1"/>
  <c r="U317" i="1"/>
  <c r="U365" i="1"/>
  <c r="U413" i="1"/>
  <c r="U461" i="1"/>
  <c r="U509" i="1"/>
  <c r="U557" i="1"/>
  <c r="U605" i="1"/>
  <c r="U254" i="1"/>
  <c r="U302" i="1"/>
  <c r="U350" i="1"/>
  <c r="U382" i="1"/>
  <c r="U430" i="1"/>
  <c r="U478" i="1"/>
  <c r="U526" i="1"/>
  <c r="U558" i="1"/>
  <c r="U606" i="1"/>
  <c r="U117" i="1"/>
  <c r="U261" i="1"/>
  <c r="U405" i="1"/>
  <c r="U549" i="1"/>
  <c r="U119" i="1"/>
  <c r="U167" i="1"/>
  <c r="U215" i="1"/>
  <c r="U263" i="1"/>
  <c r="U295" i="1"/>
  <c r="U343" i="1"/>
  <c r="U407" i="1"/>
  <c r="U455" i="1"/>
  <c r="U503" i="1"/>
  <c r="U551" i="1"/>
  <c r="U599" i="1"/>
  <c r="U105" i="1"/>
  <c r="U249" i="1"/>
  <c r="U397" i="1"/>
  <c r="U541" i="1"/>
  <c r="U120" i="1"/>
  <c r="U168" i="1"/>
  <c r="U232" i="1"/>
  <c r="U280" i="1"/>
  <c r="U328" i="1"/>
  <c r="U376" i="1"/>
  <c r="U424" i="1"/>
  <c r="U456" i="1"/>
  <c r="U520" i="1"/>
  <c r="U552" i="1"/>
  <c r="U584" i="1"/>
  <c r="U109" i="1"/>
  <c r="U161" i="1"/>
  <c r="U257" i="1"/>
  <c r="U353" i="1"/>
  <c r="U449" i="1"/>
  <c r="U545" i="1"/>
  <c r="U110" i="1"/>
  <c r="U126" i="1"/>
  <c r="U142" i="1"/>
  <c r="U158" i="1"/>
  <c r="U174" i="1"/>
  <c r="U190" i="1"/>
  <c r="U202" i="1"/>
  <c r="U214" i="1"/>
  <c r="U230" i="1"/>
  <c r="U246" i="1"/>
  <c r="U262" i="1"/>
  <c r="U278" i="1"/>
  <c r="U294" i="1"/>
  <c r="U310" i="1"/>
  <c r="U326" i="1"/>
  <c r="U342" i="1"/>
  <c r="U358" i="1"/>
  <c r="U374" i="1"/>
  <c r="U390" i="1"/>
  <c r="U406" i="1"/>
  <c r="U422" i="1"/>
  <c r="U438" i="1"/>
  <c r="U454" i="1"/>
  <c r="U470" i="1"/>
  <c r="U486" i="1"/>
  <c r="U502" i="1"/>
  <c r="U518" i="1"/>
  <c r="U534" i="1"/>
  <c r="U550" i="1"/>
  <c r="U566" i="1"/>
  <c r="U582" i="1"/>
  <c r="U598" i="1"/>
  <c r="U614" i="1"/>
  <c r="U630" i="1"/>
  <c r="U628" i="1"/>
  <c r="U141" i="1"/>
  <c r="U189" i="1"/>
  <c r="U237" i="1"/>
  <c r="U285" i="1"/>
  <c r="U337" i="1"/>
  <c r="U381" i="1"/>
  <c r="U433" i="1"/>
  <c r="U481" i="1"/>
  <c r="U525" i="1"/>
  <c r="U573" i="1"/>
  <c r="U621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08" i="1"/>
  <c r="U133" i="1"/>
  <c r="U181" i="1"/>
  <c r="U229" i="1"/>
  <c r="U277" i="1"/>
  <c r="U325" i="1"/>
  <c r="U373" i="1"/>
  <c r="U417" i="1"/>
  <c r="U469" i="1"/>
  <c r="U513" i="1"/>
  <c r="U565" i="1"/>
  <c r="U613" i="1"/>
  <c r="U112" i="1"/>
  <c r="U128" i="1"/>
  <c r="U144" i="1"/>
  <c r="U160" i="1"/>
  <c r="U176" i="1"/>
  <c r="U192" i="1"/>
  <c r="U208" i="1"/>
  <c r="U224" i="1"/>
  <c r="U240" i="1"/>
  <c r="U256" i="1"/>
  <c r="U272" i="1"/>
  <c r="U288" i="1"/>
  <c r="U304" i="1"/>
  <c r="U320" i="1"/>
  <c r="U336" i="1"/>
  <c r="U352" i="1"/>
  <c r="U368" i="1"/>
  <c r="U384" i="1"/>
  <c r="U400" i="1"/>
  <c r="U416" i="1"/>
  <c r="U432" i="1"/>
  <c r="U448" i="1"/>
  <c r="U464" i="1"/>
  <c r="U480" i="1"/>
  <c r="U496" i="1"/>
  <c r="U512" i="1"/>
  <c r="U528" i="1"/>
  <c r="U544" i="1"/>
  <c r="U560" i="1"/>
  <c r="U576" i="1"/>
  <c r="U592" i="1"/>
  <c r="U620" i="1"/>
  <c r="U137" i="1"/>
  <c r="U185" i="1"/>
  <c r="U233" i="1"/>
  <c r="U281" i="1"/>
  <c r="U329" i="1"/>
  <c r="U377" i="1"/>
  <c r="U425" i="1"/>
  <c r="U473" i="1"/>
  <c r="U521" i="1"/>
  <c r="U569" i="1"/>
  <c r="U617" i="1"/>
  <c r="U238" i="1"/>
  <c r="U286" i="1"/>
  <c r="U334" i="1"/>
  <c r="U398" i="1"/>
  <c r="U446" i="1"/>
  <c r="U494" i="1"/>
  <c r="U542" i="1"/>
  <c r="U590" i="1"/>
  <c r="U604" i="1"/>
  <c r="U213" i="1"/>
  <c r="U361" i="1"/>
  <c r="U505" i="1"/>
  <c r="U597" i="1"/>
  <c r="U135" i="1"/>
  <c r="U183" i="1"/>
  <c r="U231" i="1"/>
  <c r="U279" i="1"/>
  <c r="U327" i="1"/>
  <c r="U375" i="1"/>
  <c r="U391" i="1"/>
  <c r="U439" i="1"/>
  <c r="U487" i="1"/>
  <c r="U535" i="1"/>
  <c r="U583" i="1"/>
  <c r="U631" i="1"/>
  <c r="U201" i="1"/>
  <c r="U345" i="1"/>
  <c r="U489" i="1"/>
  <c r="U104" i="1"/>
  <c r="U152" i="1"/>
  <c r="U200" i="1"/>
  <c r="U248" i="1"/>
  <c r="U296" i="1"/>
  <c r="U344" i="1"/>
  <c r="U392" i="1"/>
  <c r="U440" i="1"/>
  <c r="U488" i="1"/>
  <c r="U497" i="1"/>
  <c r="U114" i="1"/>
  <c r="U130" i="1"/>
  <c r="U146" i="1"/>
  <c r="U162" i="1"/>
  <c r="U178" i="1"/>
  <c r="U218" i="1"/>
  <c r="U234" i="1"/>
  <c r="U250" i="1"/>
  <c r="U266" i="1"/>
  <c r="U282" i="1"/>
  <c r="U298" i="1"/>
  <c r="U314" i="1"/>
  <c r="U330" i="1"/>
  <c r="U346" i="1"/>
  <c r="U362" i="1"/>
  <c r="U378" i="1"/>
  <c r="U394" i="1"/>
  <c r="U410" i="1"/>
  <c r="U426" i="1"/>
  <c r="U442" i="1"/>
  <c r="U458" i="1"/>
  <c r="U474" i="1"/>
  <c r="U490" i="1"/>
  <c r="U506" i="1"/>
  <c r="U522" i="1"/>
  <c r="U538" i="1"/>
  <c r="U554" i="1"/>
  <c r="U570" i="1"/>
  <c r="U586" i="1"/>
  <c r="U602" i="1"/>
  <c r="U618" i="1"/>
  <c r="U634" i="1"/>
  <c r="U113" i="1"/>
  <c r="U157" i="1"/>
  <c r="U205" i="1"/>
  <c r="U253" i="1"/>
  <c r="U297" i="1"/>
  <c r="U349" i="1"/>
  <c r="U393" i="1"/>
  <c r="U445" i="1"/>
  <c r="U493" i="1"/>
  <c r="U537" i="1"/>
  <c r="U585" i="1"/>
  <c r="U633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339" i="1"/>
  <c r="U355" i="1"/>
  <c r="U371" i="1"/>
  <c r="U387" i="1"/>
  <c r="U403" i="1"/>
  <c r="U419" i="1"/>
  <c r="U435" i="1"/>
  <c r="U451" i="1"/>
  <c r="U467" i="1"/>
  <c r="U483" i="1"/>
  <c r="U499" i="1"/>
  <c r="U515" i="1"/>
  <c r="U531" i="1"/>
  <c r="U547" i="1"/>
  <c r="U563" i="1"/>
  <c r="U579" i="1"/>
  <c r="U595" i="1"/>
  <c r="U611" i="1"/>
  <c r="U627" i="1"/>
  <c r="U624" i="1"/>
  <c r="U145" i="1"/>
  <c r="U193" i="1"/>
  <c r="U241" i="1"/>
  <c r="U289" i="1"/>
  <c r="U333" i="1"/>
  <c r="U385" i="1"/>
  <c r="U429" i="1"/>
  <c r="U477" i="1"/>
  <c r="U529" i="1"/>
  <c r="U577" i="1"/>
  <c r="U625" i="1"/>
  <c r="U116" i="1"/>
  <c r="U132" i="1"/>
  <c r="U148" i="1"/>
  <c r="U164" i="1"/>
  <c r="U180" i="1"/>
  <c r="U196" i="1"/>
  <c r="U212" i="1"/>
  <c r="U228" i="1"/>
  <c r="U244" i="1"/>
  <c r="U260" i="1"/>
  <c r="U276" i="1"/>
  <c r="U292" i="1"/>
  <c r="U308" i="1"/>
  <c r="U324" i="1"/>
  <c r="U340" i="1"/>
  <c r="U356" i="1"/>
  <c r="U372" i="1"/>
  <c r="U388" i="1"/>
  <c r="U404" i="1"/>
  <c r="U420" i="1"/>
  <c r="U436" i="1"/>
  <c r="U452" i="1"/>
  <c r="U468" i="1"/>
  <c r="U484" i="1"/>
  <c r="U500" i="1"/>
  <c r="U516" i="1"/>
  <c r="U532" i="1"/>
  <c r="U548" i="1"/>
  <c r="U564" i="1"/>
  <c r="U580" i="1"/>
  <c r="U596" i="1"/>
  <c r="U632" i="1"/>
  <c r="U149" i="1"/>
  <c r="U197" i="1"/>
  <c r="U245" i="1"/>
  <c r="U293" i="1"/>
  <c r="U341" i="1"/>
  <c r="U389" i="1"/>
  <c r="U437" i="1"/>
  <c r="U485" i="1"/>
  <c r="U533" i="1"/>
  <c r="U581" i="1"/>
  <c r="U629" i="1"/>
  <c r="U122" i="1"/>
  <c r="U186" i="1"/>
  <c r="U62" i="1"/>
  <c r="U118" i="1"/>
  <c r="U134" i="1"/>
  <c r="U150" i="1"/>
  <c r="U166" i="1"/>
  <c r="U182" i="1"/>
  <c r="U198" i="1"/>
  <c r="L241" i="2"/>
  <c r="L172" i="2"/>
  <c r="L173" i="2" s="1"/>
  <c r="L174" i="2" s="1"/>
  <c r="L175" i="2" s="1"/>
  <c r="L176" i="2" s="1"/>
  <c r="L177" i="2" s="1"/>
  <c r="L178" i="2" s="1"/>
  <c r="L206" i="2"/>
  <c r="L207" i="2" s="1"/>
  <c r="G194" i="2"/>
  <c r="G177" i="2"/>
  <c r="G176" i="2"/>
  <c r="G175" i="2"/>
  <c r="G174" i="2"/>
  <c r="G154" i="2"/>
  <c r="G155" i="2"/>
  <c r="G156" i="2"/>
  <c r="G153" i="2"/>
  <c r="G157" i="2"/>
  <c r="G91" i="2"/>
  <c r="G90" i="2"/>
  <c r="G64" i="2"/>
  <c r="G65" i="2"/>
  <c r="G67" i="2"/>
  <c r="G93" i="2"/>
  <c r="H23" i="3"/>
  <c r="H27" i="3" s="1"/>
  <c r="M20" i="3"/>
  <c r="M24" i="3" s="1"/>
  <c r="G84" i="2"/>
  <c r="G76" i="2"/>
  <c r="M9" i="3"/>
  <c r="D12" i="1"/>
  <c r="H15" i="3"/>
  <c r="H19" i="3" s="1"/>
  <c r="H6" i="3"/>
  <c r="H10" i="3" s="1"/>
  <c r="B7" i="3"/>
  <c r="G59" i="2"/>
  <c r="G58" i="2"/>
  <c r="M49" i="2"/>
  <c r="M50" i="2" s="1"/>
  <c r="M51" i="2" s="1"/>
  <c r="M52" i="2" s="1"/>
  <c r="N49" i="2"/>
  <c r="N50" i="2" s="1"/>
  <c r="N51" i="2" s="1"/>
  <c r="N52" i="2" s="1"/>
  <c r="O49" i="2"/>
  <c r="O50" i="2" s="1"/>
  <c r="O51" i="2" s="1"/>
  <c r="O52" i="2" s="1"/>
  <c r="P49" i="2"/>
  <c r="P50" i="2" s="1"/>
  <c r="P51" i="2" s="1"/>
  <c r="P52" i="2" s="1"/>
  <c r="Q49" i="2"/>
  <c r="Q50" i="2" s="1"/>
  <c r="Q51" i="2" s="1"/>
  <c r="Q52" i="2" s="1"/>
  <c r="R49" i="2"/>
  <c r="R50" i="2" s="1"/>
  <c r="R51" i="2" s="1"/>
  <c r="R52" i="2" s="1"/>
  <c r="S49" i="2"/>
  <c r="S50" i="2" s="1"/>
  <c r="S51" i="2" s="1"/>
  <c r="S52" i="2" s="1"/>
  <c r="L53" i="2"/>
  <c r="L54" i="2" s="1"/>
  <c r="L55" i="2" s="1"/>
  <c r="L56" i="2" s="1"/>
  <c r="L57" i="2" s="1"/>
  <c r="L58" i="2" s="1"/>
  <c r="L59" i="2" s="1"/>
  <c r="L60" i="2" s="1"/>
  <c r="M53" i="2"/>
  <c r="N53" i="2"/>
  <c r="O53" i="2"/>
  <c r="P53" i="2"/>
  <c r="Q53" i="2"/>
  <c r="R53" i="2"/>
  <c r="S53" i="2"/>
  <c r="G50" i="2"/>
  <c r="G51" i="2"/>
  <c r="G23" i="2"/>
  <c r="G15" i="2"/>
  <c r="G87" i="2" l="1"/>
  <c r="L155" i="2" l="1"/>
  <c r="L156" i="2" s="1"/>
  <c r="L157" i="2" s="1"/>
  <c r="L158" i="2" s="1"/>
  <c r="G193" i="2"/>
  <c r="G189" i="2"/>
  <c r="G186" i="2"/>
  <c r="G183" i="2"/>
  <c r="G182" i="2"/>
  <c r="G181" i="2"/>
  <c r="G180" i="2"/>
  <c r="G179" i="2"/>
  <c r="G173" i="2"/>
  <c r="G169" i="2"/>
  <c r="G168" i="2"/>
  <c r="G166" i="2"/>
  <c r="G163" i="2"/>
  <c r="G162" i="2"/>
  <c r="G161" i="2"/>
  <c r="G160" i="2"/>
  <c r="G159" i="2"/>
  <c r="D31" i="1"/>
  <c r="D30" i="1"/>
  <c r="D26" i="1"/>
  <c r="G141" i="2"/>
  <c r="G8" i="2"/>
  <c r="G9" i="2"/>
  <c r="L9" i="2"/>
  <c r="L10" i="2" s="1"/>
  <c r="L11" i="2" s="1"/>
  <c r="L12" i="2" s="1"/>
  <c r="L13" i="2" s="1"/>
  <c r="M9" i="2"/>
  <c r="N9" i="2"/>
  <c r="O9" i="2"/>
  <c r="P9" i="2"/>
  <c r="Q9" i="2"/>
  <c r="R9" i="2"/>
  <c r="S9" i="2"/>
  <c r="G10" i="2"/>
  <c r="M10" i="2"/>
  <c r="N10" i="2"/>
  <c r="O10" i="2"/>
  <c r="P10" i="2"/>
  <c r="Q10" i="2"/>
  <c r="R10" i="2"/>
  <c r="S10" i="2"/>
  <c r="G11" i="2"/>
  <c r="N11" i="2"/>
  <c r="O11" i="2"/>
  <c r="P11" i="2"/>
  <c r="Q11" i="2"/>
  <c r="R11" i="2"/>
  <c r="S11" i="2"/>
  <c r="G12" i="2"/>
  <c r="M12" i="2"/>
  <c r="N12" i="2"/>
  <c r="O12" i="2"/>
  <c r="P12" i="2"/>
  <c r="Q12" i="2"/>
  <c r="R12" i="2"/>
  <c r="S12" i="2"/>
  <c r="G13" i="2"/>
  <c r="M13" i="2"/>
  <c r="M15" i="2" s="1"/>
  <c r="N13" i="2"/>
  <c r="N15" i="2" s="1"/>
  <c r="O13" i="2"/>
  <c r="O15" i="2" s="1"/>
  <c r="P13" i="2"/>
  <c r="P15" i="2" s="1"/>
  <c r="Q13" i="2"/>
  <c r="Q15" i="2" s="1"/>
  <c r="R13" i="2"/>
  <c r="R15" i="2" s="1"/>
  <c r="S13" i="2"/>
  <c r="S15" i="2" s="1"/>
  <c r="G14" i="2"/>
  <c r="M14" i="2"/>
  <c r="N14" i="2"/>
  <c r="N16" i="2" s="1"/>
  <c r="O14" i="2"/>
  <c r="O16" i="2" s="1"/>
  <c r="P14" i="2"/>
  <c r="P16" i="2" s="1"/>
  <c r="Q14" i="2"/>
  <c r="Q16" i="2" s="1"/>
  <c r="R14" i="2"/>
  <c r="R16" i="2" s="1"/>
  <c r="S14" i="2"/>
  <c r="S16" i="2" s="1"/>
  <c r="G16" i="2"/>
  <c r="G17" i="2"/>
  <c r="L17" i="2"/>
  <c r="L18" i="2" s="1"/>
  <c r="L19" i="2" s="1"/>
  <c r="L20" i="2" s="1"/>
  <c r="L21" i="2" s="1"/>
  <c r="M17" i="2"/>
  <c r="N17" i="2"/>
  <c r="O17" i="2"/>
  <c r="P17" i="2"/>
  <c r="Q17" i="2"/>
  <c r="R17" i="2"/>
  <c r="S17" i="2"/>
  <c r="G18" i="2"/>
  <c r="M18" i="2"/>
  <c r="N18" i="2"/>
  <c r="O18" i="2"/>
  <c r="P18" i="2"/>
  <c r="Q18" i="2"/>
  <c r="R18" i="2"/>
  <c r="S18" i="2"/>
  <c r="G19" i="2"/>
  <c r="N19" i="2"/>
  <c r="O19" i="2"/>
  <c r="P19" i="2"/>
  <c r="Q19" i="2"/>
  <c r="R19" i="2"/>
  <c r="S19" i="2"/>
  <c r="G20" i="2"/>
  <c r="M20" i="2"/>
  <c r="N20" i="2"/>
  <c r="O20" i="2"/>
  <c r="P20" i="2"/>
  <c r="Q20" i="2"/>
  <c r="R20" i="2"/>
  <c r="S20" i="2"/>
  <c r="G21" i="2"/>
  <c r="M21" i="2"/>
  <c r="M23" i="2" s="1"/>
  <c r="N21" i="2"/>
  <c r="N23" i="2" s="1"/>
  <c r="O21" i="2"/>
  <c r="O23" i="2" s="1"/>
  <c r="P21" i="2"/>
  <c r="P23" i="2" s="1"/>
  <c r="Q21" i="2"/>
  <c r="Q23" i="2" s="1"/>
  <c r="R21" i="2"/>
  <c r="R23" i="2" s="1"/>
  <c r="S21" i="2"/>
  <c r="S23" i="2" s="1"/>
  <c r="G22" i="2"/>
  <c r="M22" i="2"/>
  <c r="M24" i="2" s="1"/>
  <c r="N22" i="2"/>
  <c r="N24" i="2" s="1"/>
  <c r="O22" i="2"/>
  <c r="O24" i="2" s="1"/>
  <c r="P22" i="2"/>
  <c r="P24" i="2" s="1"/>
  <c r="Q22" i="2"/>
  <c r="Q24" i="2" s="1"/>
  <c r="R22" i="2"/>
  <c r="R24" i="2" s="1"/>
  <c r="S22" i="2"/>
  <c r="S24" i="2" s="1"/>
  <c r="G24" i="2"/>
  <c r="L48" i="2"/>
  <c r="L49" i="2" s="1"/>
  <c r="L50" i="2" s="1"/>
  <c r="L51" i="2" s="1"/>
  <c r="L52" i="2" s="1"/>
  <c r="G48" i="2"/>
  <c r="M48" i="2"/>
  <c r="N48" i="2"/>
  <c r="O48" i="2"/>
  <c r="P48" i="2"/>
  <c r="Q48" i="2"/>
  <c r="R48" i="2"/>
  <c r="S48" i="2"/>
  <c r="G49" i="2"/>
  <c r="G52" i="2"/>
  <c r="G53" i="2"/>
  <c r="G54" i="2"/>
  <c r="G55" i="2"/>
  <c r="G56" i="2"/>
  <c r="G57" i="2"/>
  <c r="G60" i="2"/>
  <c r="G61" i="2"/>
  <c r="G62" i="2"/>
  <c r="G63" i="2"/>
  <c r="G94" i="2"/>
  <c r="G95" i="2"/>
  <c r="G96" i="2"/>
  <c r="G131" i="2"/>
  <c r="G132" i="2"/>
  <c r="G98" i="2"/>
  <c r="G68" i="2"/>
  <c r="G69" i="2"/>
  <c r="G70" i="2"/>
  <c r="G71" i="2"/>
  <c r="G72" i="2"/>
  <c r="G73" i="2"/>
  <c r="G74" i="2"/>
  <c r="G75" i="2"/>
  <c r="G77" i="2"/>
  <c r="G78" i="2"/>
  <c r="G79" i="2"/>
  <c r="G80" i="2"/>
  <c r="G81" i="2"/>
  <c r="G82" i="2"/>
  <c r="G83" i="2"/>
  <c r="G86" i="2"/>
  <c r="G88" i="2"/>
  <c r="G89" i="2"/>
  <c r="G140" i="2"/>
  <c r="L7" i="2"/>
  <c r="L8" i="2" s="1"/>
  <c r="M7" i="2"/>
  <c r="M8" i="2" s="1"/>
  <c r="N7" i="2"/>
  <c r="N8" i="2" s="1"/>
  <c r="O7" i="2"/>
  <c r="O8" i="2" s="1"/>
  <c r="P7" i="2"/>
  <c r="P8" i="2" s="1"/>
  <c r="Q7" i="2"/>
  <c r="Q8" i="2" s="1"/>
  <c r="R7" i="2"/>
  <c r="R8" i="2" s="1"/>
  <c r="S7" i="2"/>
  <c r="S8" i="2" s="1"/>
  <c r="J4" i="2"/>
  <c r="J5" i="2" s="1"/>
  <c r="J6" i="2" s="1"/>
  <c r="J7" i="2" s="1"/>
  <c r="J8" i="2" s="1"/>
  <c r="J9" i="2" s="1"/>
  <c r="J10" i="2" s="1"/>
  <c r="K4" i="2"/>
  <c r="L4" i="2"/>
  <c r="M4" i="2"/>
  <c r="N4" i="2"/>
  <c r="O4" i="2"/>
  <c r="P4" i="2"/>
  <c r="Q4" i="2"/>
  <c r="R4" i="2"/>
  <c r="S4" i="2"/>
  <c r="K5" i="2"/>
  <c r="K6" i="2" s="1"/>
  <c r="K7" i="2" s="1"/>
  <c r="K8" i="2" s="1"/>
  <c r="K9" i="2" s="1"/>
  <c r="K10" i="2" s="1"/>
  <c r="K11" i="2" s="1"/>
  <c r="K12" i="2" s="1"/>
  <c r="K13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S5" i="2"/>
  <c r="S6" i="2" s="1"/>
  <c r="J11" i="2" l="1"/>
  <c r="H10" i="2"/>
  <c r="I173" i="2"/>
  <c r="U173" i="2" s="1"/>
  <c r="F26" i="1"/>
  <c r="R26" i="1" s="1"/>
  <c r="K155" i="2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L197" i="2"/>
  <c r="L198" i="2" s="1"/>
  <c r="L22" i="2"/>
  <c r="L24" i="2" s="1"/>
  <c r="L23" i="2"/>
  <c r="K14" i="2"/>
  <c r="K16" i="2" s="1"/>
  <c r="K17" i="2" s="1"/>
  <c r="K18" i="2" s="1"/>
  <c r="K19" i="2" s="1"/>
  <c r="K20" i="2" s="1"/>
  <c r="K21" i="2" s="1"/>
  <c r="K15" i="2"/>
  <c r="L14" i="2"/>
  <c r="L16" i="2" s="1"/>
  <c r="L15" i="2"/>
  <c r="H9" i="2"/>
  <c r="M16" i="2"/>
  <c r="G4" i="2"/>
  <c r="G5" i="2"/>
  <c r="G7" i="2"/>
  <c r="D16" i="1"/>
  <c r="E55" i="2"/>
  <c r="E47" i="2"/>
  <c r="I48" i="2"/>
  <c r="U48" i="2" s="1"/>
  <c r="F12" i="1"/>
  <c r="E80" i="2"/>
  <c r="M80" i="2" s="1"/>
  <c r="E19" i="2"/>
  <c r="E11" i="2"/>
  <c r="D10" i="1"/>
  <c r="D8" i="1"/>
  <c r="D7" i="1"/>
  <c r="I13" i="2"/>
  <c r="U13" i="2" s="1"/>
  <c r="F11" i="1"/>
  <c r="F22" i="1"/>
  <c r="F23" i="1"/>
  <c r="F24" i="1"/>
  <c r="R24" i="1" s="1"/>
  <c r="I108" i="2"/>
  <c r="F30" i="1"/>
  <c r="R30" i="1" s="1"/>
  <c r="F31" i="1"/>
  <c r="I21" i="2"/>
  <c r="U21" i="2" s="1"/>
  <c r="I56" i="2"/>
  <c r="U56" i="2" s="1"/>
  <c r="I74" i="2"/>
  <c r="U74" i="2" s="1"/>
  <c r="I82" i="2"/>
  <c r="U82" i="2" s="1"/>
  <c r="I89" i="2"/>
  <c r="U89" i="2" s="1"/>
  <c r="F39" i="1"/>
  <c r="F41" i="1"/>
  <c r="R41" i="1" s="1"/>
  <c r="F42" i="1"/>
  <c r="F45" i="1"/>
  <c r="R45" i="1" s="1"/>
  <c r="F46" i="1"/>
  <c r="R46" i="1" s="1"/>
  <c r="F47" i="1"/>
  <c r="F48" i="1"/>
  <c r="R48" i="1" s="1"/>
  <c r="F49" i="1"/>
  <c r="R49" i="1" s="1"/>
  <c r="F50" i="1"/>
  <c r="R50" i="1" s="1"/>
  <c r="F51" i="1"/>
  <c r="F52" i="1"/>
  <c r="R52" i="1" s="1"/>
  <c r="F53" i="1"/>
  <c r="R53" i="1" s="1"/>
  <c r="F54" i="1"/>
  <c r="R54" i="1" s="1"/>
  <c r="F55" i="1"/>
  <c r="R55" i="1" s="1"/>
  <c r="F56" i="1"/>
  <c r="R56" i="1" s="1"/>
  <c r="F60" i="1"/>
  <c r="F61" i="1"/>
  <c r="R61" i="1" s="1"/>
  <c r="F62" i="1"/>
  <c r="F63" i="1"/>
  <c r="F67" i="1"/>
  <c r="F68" i="1"/>
  <c r="F69" i="1"/>
  <c r="F70" i="1"/>
  <c r="F71" i="1"/>
  <c r="F72" i="1"/>
  <c r="F75" i="1"/>
  <c r="F77" i="1"/>
  <c r="R77" i="1" s="1"/>
  <c r="F78" i="1"/>
  <c r="R78" i="1" s="1"/>
  <c r="F79" i="1"/>
  <c r="R79" i="1" s="1"/>
  <c r="F80" i="1"/>
  <c r="R80" i="1" s="1"/>
  <c r="F81" i="1"/>
  <c r="R81" i="1" s="1"/>
  <c r="F82" i="1"/>
  <c r="R82" i="1" s="1"/>
  <c r="F83" i="1"/>
  <c r="R83" i="1" s="1"/>
  <c r="F84" i="1"/>
  <c r="R84" i="1" s="1"/>
  <c r="F85" i="1"/>
  <c r="R85" i="1" s="1"/>
  <c r="F86" i="1"/>
  <c r="F87" i="1"/>
  <c r="I256" i="2"/>
  <c r="U256" i="2" s="1"/>
  <c r="F89" i="1"/>
  <c r="R89" i="1" s="1"/>
  <c r="I258" i="2"/>
  <c r="U258" i="2" s="1"/>
  <c r="I259" i="2"/>
  <c r="U259" i="2" s="1"/>
  <c r="F92" i="1"/>
  <c r="F93" i="1"/>
  <c r="F94" i="1"/>
  <c r="F95" i="1"/>
  <c r="R96" i="1"/>
  <c r="F97" i="1"/>
  <c r="R97" i="1" s="1"/>
  <c r="F98" i="1"/>
  <c r="R98" i="1" s="1"/>
  <c r="F99" i="1"/>
  <c r="R99" i="1" s="1"/>
  <c r="F100" i="1"/>
  <c r="R100" i="1" s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D6" i="1"/>
  <c r="E5" i="1"/>
  <c r="E4" i="1"/>
  <c r="B3" i="3"/>
  <c r="B2" i="3"/>
  <c r="E2" i="3" s="1"/>
  <c r="R92" i="1" l="1"/>
  <c r="X92" i="1"/>
  <c r="R95" i="1"/>
  <c r="X95" i="1"/>
  <c r="R87" i="1"/>
  <c r="X87" i="1"/>
  <c r="R93" i="1"/>
  <c r="X93" i="1"/>
  <c r="R94" i="1"/>
  <c r="X94" i="1"/>
  <c r="R86" i="1"/>
  <c r="X86" i="1"/>
  <c r="I94" i="2"/>
  <c r="U94" i="2" s="1"/>
  <c r="R5" i="1"/>
  <c r="P5" i="1"/>
  <c r="I7" i="2"/>
  <c r="U7" i="2" s="1"/>
  <c r="R4" i="1"/>
  <c r="P4" i="1"/>
  <c r="P630" i="1"/>
  <c r="R630" i="1"/>
  <c r="P614" i="1"/>
  <c r="R614" i="1"/>
  <c r="P602" i="1"/>
  <c r="R602" i="1"/>
  <c r="P590" i="1"/>
  <c r="R590" i="1"/>
  <c r="P578" i="1"/>
  <c r="R578" i="1"/>
  <c r="P566" i="1"/>
  <c r="R566" i="1"/>
  <c r="P550" i="1"/>
  <c r="R550" i="1"/>
  <c r="P534" i="1"/>
  <c r="R534" i="1"/>
  <c r="P518" i="1"/>
  <c r="R518" i="1"/>
  <c r="P506" i="1"/>
  <c r="R506" i="1"/>
  <c r="P494" i="1"/>
  <c r="R494" i="1"/>
  <c r="P482" i="1"/>
  <c r="R482" i="1"/>
  <c r="P470" i="1"/>
  <c r="R470" i="1"/>
  <c r="P462" i="1"/>
  <c r="R462" i="1"/>
  <c r="P450" i="1"/>
  <c r="R450" i="1"/>
  <c r="P438" i="1"/>
  <c r="R438" i="1"/>
  <c r="P426" i="1"/>
  <c r="R426" i="1"/>
  <c r="P414" i="1"/>
  <c r="R414" i="1"/>
  <c r="P402" i="1"/>
  <c r="R402" i="1"/>
  <c r="P390" i="1"/>
  <c r="R390" i="1"/>
  <c r="P378" i="1"/>
  <c r="R378" i="1"/>
  <c r="P374" i="1"/>
  <c r="R374" i="1"/>
  <c r="P362" i="1"/>
  <c r="R362" i="1"/>
  <c r="P354" i="1"/>
  <c r="R354" i="1"/>
  <c r="P338" i="1"/>
  <c r="R338" i="1"/>
  <c r="P322" i="1"/>
  <c r="R322" i="1"/>
  <c r="P310" i="1"/>
  <c r="R310" i="1"/>
  <c r="P298" i="1"/>
  <c r="R298" i="1"/>
  <c r="P286" i="1"/>
  <c r="R286" i="1"/>
  <c r="P258" i="1"/>
  <c r="R258" i="1"/>
  <c r="P246" i="1"/>
  <c r="R246" i="1"/>
  <c r="P238" i="1"/>
  <c r="R238" i="1"/>
  <c r="P226" i="1"/>
  <c r="R226" i="1"/>
  <c r="P210" i="1"/>
  <c r="R210" i="1"/>
  <c r="P198" i="1"/>
  <c r="R198" i="1"/>
  <c r="P178" i="1"/>
  <c r="R178" i="1"/>
  <c r="P174" i="1"/>
  <c r="R174" i="1"/>
  <c r="P162" i="1"/>
  <c r="R162" i="1"/>
  <c r="P154" i="1"/>
  <c r="R154" i="1"/>
  <c r="P146" i="1"/>
  <c r="R146" i="1"/>
  <c r="P138" i="1"/>
  <c r="R138" i="1"/>
  <c r="P126" i="1"/>
  <c r="R126" i="1"/>
  <c r="P118" i="1"/>
  <c r="R118" i="1"/>
  <c r="P110" i="1"/>
  <c r="R110" i="1"/>
  <c r="P106" i="1"/>
  <c r="R106" i="1"/>
  <c r="P102" i="1"/>
  <c r="R102" i="1"/>
  <c r="P63" i="1"/>
  <c r="R63" i="1"/>
  <c r="P633" i="1"/>
  <c r="R633" i="1"/>
  <c r="P629" i="1"/>
  <c r="R629" i="1"/>
  <c r="P625" i="1"/>
  <c r="R625" i="1"/>
  <c r="P621" i="1"/>
  <c r="R621" i="1"/>
  <c r="P617" i="1"/>
  <c r="R617" i="1"/>
  <c r="P613" i="1"/>
  <c r="R613" i="1"/>
  <c r="P609" i="1"/>
  <c r="R609" i="1"/>
  <c r="P605" i="1"/>
  <c r="R605" i="1"/>
  <c r="P601" i="1"/>
  <c r="R601" i="1"/>
  <c r="P597" i="1"/>
  <c r="R597" i="1"/>
  <c r="P593" i="1"/>
  <c r="R593" i="1"/>
  <c r="P589" i="1"/>
  <c r="R589" i="1"/>
  <c r="P585" i="1"/>
  <c r="R585" i="1"/>
  <c r="P581" i="1"/>
  <c r="R581" i="1"/>
  <c r="P577" i="1"/>
  <c r="R577" i="1"/>
  <c r="P573" i="1"/>
  <c r="R573" i="1"/>
  <c r="P569" i="1"/>
  <c r="R569" i="1"/>
  <c r="P565" i="1"/>
  <c r="R565" i="1"/>
  <c r="P561" i="1"/>
  <c r="R561" i="1"/>
  <c r="P557" i="1"/>
  <c r="R557" i="1"/>
  <c r="P553" i="1"/>
  <c r="R553" i="1"/>
  <c r="P549" i="1"/>
  <c r="R549" i="1"/>
  <c r="P545" i="1"/>
  <c r="R545" i="1"/>
  <c r="P541" i="1"/>
  <c r="R541" i="1"/>
  <c r="P537" i="1"/>
  <c r="R537" i="1"/>
  <c r="P533" i="1"/>
  <c r="R533" i="1"/>
  <c r="P529" i="1"/>
  <c r="R529" i="1"/>
  <c r="P525" i="1"/>
  <c r="R525" i="1"/>
  <c r="P521" i="1"/>
  <c r="R521" i="1"/>
  <c r="P517" i="1"/>
  <c r="R517" i="1"/>
  <c r="P513" i="1"/>
  <c r="R513" i="1"/>
  <c r="P509" i="1"/>
  <c r="R509" i="1"/>
  <c r="P505" i="1"/>
  <c r="R505" i="1"/>
  <c r="P501" i="1"/>
  <c r="R501" i="1"/>
  <c r="P497" i="1"/>
  <c r="R497" i="1"/>
  <c r="P493" i="1"/>
  <c r="R493" i="1"/>
  <c r="P489" i="1"/>
  <c r="R489" i="1"/>
  <c r="P485" i="1"/>
  <c r="R485" i="1"/>
  <c r="P481" i="1"/>
  <c r="R481" i="1"/>
  <c r="P477" i="1"/>
  <c r="R477" i="1"/>
  <c r="P473" i="1"/>
  <c r="R473" i="1"/>
  <c r="P469" i="1"/>
  <c r="R469" i="1"/>
  <c r="P465" i="1"/>
  <c r="R465" i="1"/>
  <c r="P461" i="1"/>
  <c r="R461" i="1"/>
  <c r="P457" i="1"/>
  <c r="R457" i="1"/>
  <c r="P453" i="1"/>
  <c r="R453" i="1"/>
  <c r="P449" i="1"/>
  <c r="R449" i="1"/>
  <c r="P445" i="1"/>
  <c r="R445" i="1"/>
  <c r="P441" i="1"/>
  <c r="R441" i="1"/>
  <c r="P437" i="1"/>
  <c r="R437" i="1"/>
  <c r="P433" i="1"/>
  <c r="R433" i="1"/>
  <c r="P429" i="1"/>
  <c r="R429" i="1"/>
  <c r="P425" i="1"/>
  <c r="R425" i="1"/>
  <c r="P421" i="1"/>
  <c r="R421" i="1"/>
  <c r="P417" i="1"/>
  <c r="R417" i="1"/>
  <c r="P413" i="1"/>
  <c r="R413" i="1"/>
  <c r="P409" i="1"/>
  <c r="R409" i="1"/>
  <c r="P405" i="1"/>
  <c r="R405" i="1"/>
  <c r="P401" i="1"/>
  <c r="R401" i="1"/>
  <c r="P397" i="1"/>
  <c r="R397" i="1"/>
  <c r="P393" i="1"/>
  <c r="R393" i="1"/>
  <c r="P389" i="1"/>
  <c r="R389" i="1"/>
  <c r="P385" i="1"/>
  <c r="R385" i="1"/>
  <c r="P381" i="1"/>
  <c r="R381" i="1"/>
  <c r="P377" i="1"/>
  <c r="R377" i="1"/>
  <c r="P373" i="1"/>
  <c r="R373" i="1"/>
  <c r="P369" i="1"/>
  <c r="R369" i="1"/>
  <c r="P365" i="1"/>
  <c r="R365" i="1"/>
  <c r="P361" i="1"/>
  <c r="R361" i="1"/>
  <c r="P357" i="1"/>
  <c r="R357" i="1"/>
  <c r="P353" i="1"/>
  <c r="R353" i="1"/>
  <c r="P349" i="1"/>
  <c r="R349" i="1"/>
  <c r="P345" i="1"/>
  <c r="R345" i="1"/>
  <c r="P341" i="1"/>
  <c r="R341" i="1"/>
  <c r="P337" i="1"/>
  <c r="R337" i="1"/>
  <c r="P333" i="1"/>
  <c r="R333" i="1"/>
  <c r="P329" i="1"/>
  <c r="R329" i="1"/>
  <c r="P325" i="1"/>
  <c r="R325" i="1"/>
  <c r="P321" i="1"/>
  <c r="R321" i="1"/>
  <c r="P317" i="1"/>
  <c r="R317" i="1"/>
  <c r="P313" i="1"/>
  <c r="R313" i="1"/>
  <c r="P309" i="1"/>
  <c r="R309" i="1"/>
  <c r="P305" i="1"/>
  <c r="R305" i="1"/>
  <c r="P301" i="1"/>
  <c r="R301" i="1"/>
  <c r="P297" i="1"/>
  <c r="R297" i="1"/>
  <c r="P293" i="1"/>
  <c r="R293" i="1"/>
  <c r="P289" i="1"/>
  <c r="R289" i="1"/>
  <c r="P285" i="1"/>
  <c r="R285" i="1"/>
  <c r="P281" i="1"/>
  <c r="R281" i="1"/>
  <c r="P277" i="1"/>
  <c r="R277" i="1"/>
  <c r="P273" i="1"/>
  <c r="R273" i="1"/>
  <c r="P269" i="1"/>
  <c r="R269" i="1"/>
  <c r="P265" i="1"/>
  <c r="R265" i="1"/>
  <c r="P261" i="1"/>
  <c r="R261" i="1"/>
  <c r="P257" i="1"/>
  <c r="R257" i="1"/>
  <c r="P253" i="1"/>
  <c r="R253" i="1"/>
  <c r="P249" i="1"/>
  <c r="R249" i="1"/>
  <c r="P245" i="1"/>
  <c r="R245" i="1"/>
  <c r="P241" i="1"/>
  <c r="R241" i="1"/>
  <c r="P237" i="1"/>
  <c r="R237" i="1"/>
  <c r="P233" i="1"/>
  <c r="R233" i="1"/>
  <c r="P229" i="1"/>
  <c r="R229" i="1"/>
  <c r="P225" i="1"/>
  <c r="R225" i="1"/>
  <c r="P221" i="1"/>
  <c r="R221" i="1"/>
  <c r="P217" i="1"/>
  <c r="R217" i="1"/>
  <c r="P213" i="1"/>
  <c r="R213" i="1"/>
  <c r="P209" i="1"/>
  <c r="R209" i="1"/>
  <c r="P205" i="1"/>
  <c r="R205" i="1"/>
  <c r="P201" i="1"/>
  <c r="R201" i="1"/>
  <c r="P197" i="1"/>
  <c r="R197" i="1"/>
  <c r="P193" i="1"/>
  <c r="R193" i="1"/>
  <c r="P189" i="1"/>
  <c r="R189" i="1"/>
  <c r="P185" i="1"/>
  <c r="R185" i="1"/>
  <c r="P181" i="1"/>
  <c r="R181" i="1"/>
  <c r="P177" i="1"/>
  <c r="R177" i="1"/>
  <c r="P173" i="1"/>
  <c r="R173" i="1"/>
  <c r="P169" i="1"/>
  <c r="R169" i="1"/>
  <c r="P165" i="1"/>
  <c r="R165" i="1"/>
  <c r="P161" i="1"/>
  <c r="R161" i="1"/>
  <c r="P157" i="1"/>
  <c r="R157" i="1"/>
  <c r="P153" i="1"/>
  <c r="R153" i="1"/>
  <c r="P149" i="1"/>
  <c r="R149" i="1"/>
  <c r="P145" i="1"/>
  <c r="R145" i="1"/>
  <c r="P141" i="1"/>
  <c r="R141" i="1"/>
  <c r="P137" i="1"/>
  <c r="R137" i="1"/>
  <c r="P133" i="1"/>
  <c r="R133" i="1"/>
  <c r="P129" i="1"/>
  <c r="R129" i="1"/>
  <c r="P125" i="1"/>
  <c r="R125" i="1"/>
  <c r="P121" i="1"/>
  <c r="R121" i="1"/>
  <c r="P117" i="1"/>
  <c r="R117" i="1"/>
  <c r="P113" i="1"/>
  <c r="R113" i="1"/>
  <c r="P109" i="1"/>
  <c r="R109" i="1"/>
  <c r="P105" i="1"/>
  <c r="R105" i="1"/>
  <c r="P75" i="1"/>
  <c r="R75" i="1"/>
  <c r="P69" i="1"/>
  <c r="R69" i="1"/>
  <c r="P62" i="1"/>
  <c r="R62" i="1"/>
  <c r="P51" i="1"/>
  <c r="R51" i="1"/>
  <c r="P47" i="1"/>
  <c r="R47" i="1"/>
  <c r="P22" i="1"/>
  <c r="R22" i="1"/>
  <c r="P622" i="1"/>
  <c r="R622" i="1"/>
  <c r="P610" i="1"/>
  <c r="R610" i="1"/>
  <c r="P598" i="1"/>
  <c r="R598" i="1"/>
  <c r="P586" i="1"/>
  <c r="R586" i="1"/>
  <c r="P574" i="1"/>
  <c r="R574" i="1"/>
  <c r="P558" i="1"/>
  <c r="R558" i="1"/>
  <c r="P546" i="1"/>
  <c r="R546" i="1"/>
  <c r="P538" i="1"/>
  <c r="R538" i="1"/>
  <c r="P526" i="1"/>
  <c r="R526" i="1"/>
  <c r="P510" i="1"/>
  <c r="R510" i="1"/>
  <c r="P498" i="1"/>
  <c r="R498" i="1"/>
  <c r="P486" i="1"/>
  <c r="R486" i="1"/>
  <c r="P474" i="1"/>
  <c r="R474" i="1"/>
  <c r="P458" i="1"/>
  <c r="R458" i="1"/>
  <c r="P446" i="1"/>
  <c r="R446" i="1"/>
  <c r="P430" i="1"/>
  <c r="R430" i="1"/>
  <c r="P418" i="1"/>
  <c r="R418" i="1"/>
  <c r="P398" i="1"/>
  <c r="R398" i="1"/>
  <c r="P386" i="1"/>
  <c r="R386" i="1"/>
  <c r="P366" i="1"/>
  <c r="R366" i="1"/>
  <c r="P350" i="1"/>
  <c r="R350" i="1"/>
  <c r="P342" i="1"/>
  <c r="R342" i="1"/>
  <c r="P330" i="1"/>
  <c r="R330" i="1"/>
  <c r="P318" i="1"/>
  <c r="R318" i="1"/>
  <c r="P306" i="1"/>
  <c r="R306" i="1"/>
  <c r="P290" i="1"/>
  <c r="R290" i="1"/>
  <c r="P278" i="1"/>
  <c r="R278" i="1"/>
  <c r="P274" i="1"/>
  <c r="R274" i="1"/>
  <c r="P266" i="1"/>
  <c r="R266" i="1"/>
  <c r="P254" i="1"/>
  <c r="R254" i="1"/>
  <c r="P242" i="1"/>
  <c r="R242" i="1"/>
  <c r="P230" i="1"/>
  <c r="R230" i="1"/>
  <c r="P218" i="1"/>
  <c r="R218" i="1"/>
  <c r="P206" i="1"/>
  <c r="R206" i="1"/>
  <c r="P190" i="1"/>
  <c r="R190" i="1"/>
  <c r="P182" i="1"/>
  <c r="R182" i="1"/>
  <c r="P170" i="1"/>
  <c r="R170" i="1"/>
  <c r="P158" i="1"/>
  <c r="R158" i="1"/>
  <c r="P142" i="1"/>
  <c r="R142" i="1"/>
  <c r="P134" i="1"/>
  <c r="R134" i="1"/>
  <c r="P122" i="1"/>
  <c r="R122" i="1"/>
  <c r="P114" i="1"/>
  <c r="R114" i="1"/>
  <c r="P70" i="1"/>
  <c r="R70" i="1"/>
  <c r="P42" i="1"/>
  <c r="R42" i="1"/>
  <c r="P632" i="1"/>
  <c r="R632" i="1"/>
  <c r="P628" i="1"/>
  <c r="R628" i="1"/>
  <c r="P624" i="1"/>
  <c r="R624" i="1"/>
  <c r="P620" i="1"/>
  <c r="R620" i="1"/>
  <c r="P616" i="1"/>
  <c r="R616" i="1"/>
  <c r="P612" i="1"/>
  <c r="R612" i="1"/>
  <c r="P608" i="1"/>
  <c r="R608" i="1"/>
  <c r="P604" i="1"/>
  <c r="R604" i="1"/>
  <c r="P600" i="1"/>
  <c r="R600" i="1"/>
  <c r="P596" i="1"/>
  <c r="R596" i="1"/>
  <c r="P592" i="1"/>
  <c r="R592" i="1"/>
  <c r="P588" i="1"/>
  <c r="R588" i="1"/>
  <c r="P584" i="1"/>
  <c r="R584" i="1"/>
  <c r="P580" i="1"/>
  <c r="R580" i="1"/>
  <c r="P576" i="1"/>
  <c r="R576" i="1"/>
  <c r="P572" i="1"/>
  <c r="R572" i="1"/>
  <c r="P568" i="1"/>
  <c r="R568" i="1"/>
  <c r="P564" i="1"/>
  <c r="R564" i="1"/>
  <c r="P560" i="1"/>
  <c r="R560" i="1"/>
  <c r="P556" i="1"/>
  <c r="R556" i="1"/>
  <c r="P552" i="1"/>
  <c r="R552" i="1"/>
  <c r="P548" i="1"/>
  <c r="R548" i="1"/>
  <c r="P544" i="1"/>
  <c r="R544" i="1"/>
  <c r="P540" i="1"/>
  <c r="R540" i="1"/>
  <c r="P536" i="1"/>
  <c r="R536" i="1"/>
  <c r="P532" i="1"/>
  <c r="R532" i="1"/>
  <c r="P528" i="1"/>
  <c r="R528" i="1"/>
  <c r="P524" i="1"/>
  <c r="R524" i="1"/>
  <c r="P520" i="1"/>
  <c r="R520" i="1"/>
  <c r="P516" i="1"/>
  <c r="R516" i="1"/>
  <c r="P512" i="1"/>
  <c r="R512" i="1"/>
  <c r="P508" i="1"/>
  <c r="R508" i="1"/>
  <c r="P504" i="1"/>
  <c r="R504" i="1"/>
  <c r="P500" i="1"/>
  <c r="R500" i="1"/>
  <c r="P496" i="1"/>
  <c r="R496" i="1"/>
  <c r="P492" i="1"/>
  <c r="R492" i="1"/>
  <c r="P488" i="1"/>
  <c r="R488" i="1"/>
  <c r="P484" i="1"/>
  <c r="R484" i="1"/>
  <c r="P480" i="1"/>
  <c r="R480" i="1"/>
  <c r="P476" i="1"/>
  <c r="R476" i="1"/>
  <c r="P472" i="1"/>
  <c r="R472" i="1"/>
  <c r="P468" i="1"/>
  <c r="R468" i="1"/>
  <c r="P464" i="1"/>
  <c r="R464" i="1"/>
  <c r="P460" i="1"/>
  <c r="R460" i="1"/>
  <c r="P456" i="1"/>
  <c r="R456" i="1"/>
  <c r="P452" i="1"/>
  <c r="R452" i="1"/>
  <c r="P448" i="1"/>
  <c r="R448" i="1"/>
  <c r="P444" i="1"/>
  <c r="R444" i="1"/>
  <c r="P440" i="1"/>
  <c r="R440" i="1"/>
  <c r="P436" i="1"/>
  <c r="R436" i="1"/>
  <c r="P432" i="1"/>
  <c r="R432" i="1"/>
  <c r="P428" i="1"/>
  <c r="R428" i="1"/>
  <c r="P424" i="1"/>
  <c r="R424" i="1"/>
  <c r="P420" i="1"/>
  <c r="R420" i="1"/>
  <c r="P416" i="1"/>
  <c r="R416" i="1"/>
  <c r="P412" i="1"/>
  <c r="R412" i="1"/>
  <c r="P408" i="1"/>
  <c r="R408" i="1"/>
  <c r="P404" i="1"/>
  <c r="R404" i="1"/>
  <c r="P400" i="1"/>
  <c r="R400" i="1"/>
  <c r="P396" i="1"/>
  <c r="R396" i="1"/>
  <c r="P392" i="1"/>
  <c r="R392" i="1"/>
  <c r="P388" i="1"/>
  <c r="R388" i="1"/>
  <c r="P384" i="1"/>
  <c r="R384" i="1"/>
  <c r="P380" i="1"/>
  <c r="R380" i="1"/>
  <c r="P376" i="1"/>
  <c r="R376" i="1"/>
  <c r="P372" i="1"/>
  <c r="R372" i="1"/>
  <c r="P368" i="1"/>
  <c r="R368" i="1"/>
  <c r="P364" i="1"/>
  <c r="R364" i="1"/>
  <c r="P360" i="1"/>
  <c r="R360" i="1"/>
  <c r="P356" i="1"/>
  <c r="R356" i="1"/>
  <c r="P352" i="1"/>
  <c r="R352" i="1"/>
  <c r="P348" i="1"/>
  <c r="R348" i="1"/>
  <c r="P344" i="1"/>
  <c r="R344" i="1"/>
  <c r="P340" i="1"/>
  <c r="R340" i="1"/>
  <c r="P336" i="1"/>
  <c r="R336" i="1"/>
  <c r="P332" i="1"/>
  <c r="R332" i="1"/>
  <c r="P328" i="1"/>
  <c r="R328" i="1"/>
  <c r="P324" i="1"/>
  <c r="R324" i="1"/>
  <c r="P320" i="1"/>
  <c r="R320" i="1"/>
  <c r="P316" i="1"/>
  <c r="R316" i="1"/>
  <c r="P312" i="1"/>
  <c r="R312" i="1"/>
  <c r="P308" i="1"/>
  <c r="R308" i="1"/>
  <c r="P304" i="1"/>
  <c r="R304" i="1"/>
  <c r="P300" i="1"/>
  <c r="R300" i="1"/>
  <c r="P296" i="1"/>
  <c r="R296" i="1"/>
  <c r="P292" i="1"/>
  <c r="R292" i="1"/>
  <c r="P288" i="1"/>
  <c r="R288" i="1"/>
  <c r="P284" i="1"/>
  <c r="R284" i="1"/>
  <c r="P280" i="1"/>
  <c r="R280" i="1"/>
  <c r="P276" i="1"/>
  <c r="R276" i="1"/>
  <c r="P272" i="1"/>
  <c r="R272" i="1"/>
  <c r="P268" i="1"/>
  <c r="R268" i="1"/>
  <c r="P264" i="1"/>
  <c r="R264" i="1"/>
  <c r="P260" i="1"/>
  <c r="R260" i="1"/>
  <c r="P256" i="1"/>
  <c r="R256" i="1"/>
  <c r="P252" i="1"/>
  <c r="R252" i="1"/>
  <c r="P248" i="1"/>
  <c r="R248" i="1"/>
  <c r="P244" i="1"/>
  <c r="R244" i="1"/>
  <c r="P240" i="1"/>
  <c r="R240" i="1"/>
  <c r="P236" i="1"/>
  <c r="R236" i="1"/>
  <c r="P232" i="1"/>
  <c r="R232" i="1"/>
  <c r="P228" i="1"/>
  <c r="R228" i="1"/>
  <c r="P224" i="1"/>
  <c r="R224" i="1"/>
  <c r="P220" i="1"/>
  <c r="R220" i="1"/>
  <c r="P216" i="1"/>
  <c r="R216" i="1"/>
  <c r="P212" i="1"/>
  <c r="R212" i="1"/>
  <c r="P208" i="1"/>
  <c r="R208" i="1"/>
  <c r="P204" i="1"/>
  <c r="R204" i="1"/>
  <c r="P200" i="1"/>
  <c r="R200" i="1"/>
  <c r="P196" i="1"/>
  <c r="R196" i="1"/>
  <c r="P192" i="1"/>
  <c r="R192" i="1"/>
  <c r="P188" i="1"/>
  <c r="R188" i="1"/>
  <c r="P184" i="1"/>
  <c r="R184" i="1"/>
  <c r="P180" i="1"/>
  <c r="R180" i="1"/>
  <c r="P176" i="1"/>
  <c r="R176" i="1"/>
  <c r="P172" i="1"/>
  <c r="R172" i="1"/>
  <c r="P168" i="1"/>
  <c r="R168" i="1"/>
  <c r="P164" i="1"/>
  <c r="R164" i="1"/>
  <c r="P160" i="1"/>
  <c r="R160" i="1"/>
  <c r="P156" i="1"/>
  <c r="R156" i="1"/>
  <c r="P152" i="1"/>
  <c r="R152" i="1"/>
  <c r="P148" i="1"/>
  <c r="R148" i="1"/>
  <c r="P144" i="1"/>
  <c r="R144" i="1"/>
  <c r="P140" i="1"/>
  <c r="R140" i="1"/>
  <c r="P136" i="1"/>
  <c r="R136" i="1"/>
  <c r="P132" i="1"/>
  <c r="R132" i="1"/>
  <c r="P128" i="1"/>
  <c r="R128" i="1"/>
  <c r="P124" i="1"/>
  <c r="R124" i="1"/>
  <c r="P120" i="1"/>
  <c r="R120" i="1"/>
  <c r="P116" i="1"/>
  <c r="R116" i="1"/>
  <c r="P112" i="1"/>
  <c r="R112" i="1"/>
  <c r="P108" i="1"/>
  <c r="R108" i="1"/>
  <c r="P104" i="1"/>
  <c r="R104" i="1"/>
  <c r="P72" i="1"/>
  <c r="R72" i="1"/>
  <c r="P68" i="1"/>
  <c r="R68" i="1"/>
  <c r="P39" i="1"/>
  <c r="R39" i="1"/>
  <c r="P11" i="1"/>
  <c r="R11" i="1"/>
  <c r="P12" i="1"/>
  <c r="R12" i="1"/>
  <c r="P634" i="1"/>
  <c r="R634" i="1"/>
  <c r="P626" i="1"/>
  <c r="R626" i="1"/>
  <c r="P618" i="1"/>
  <c r="R618" i="1"/>
  <c r="P606" i="1"/>
  <c r="R606" i="1"/>
  <c r="P594" i="1"/>
  <c r="R594" i="1"/>
  <c r="P582" i="1"/>
  <c r="R582" i="1"/>
  <c r="P570" i="1"/>
  <c r="R570" i="1"/>
  <c r="P562" i="1"/>
  <c r="R562" i="1"/>
  <c r="P554" i="1"/>
  <c r="R554" i="1"/>
  <c r="P542" i="1"/>
  <c r="R542" i="1"/>
  <c r="P530" i="1"/>
  <c r="R530" i="1"/>
  <c r="P522" i="1"/>
  <c r="R522" i="1"/>
  <c r="P514" i="1"/>
  <c r="R514" i="1"/>
  <c r="P502" i="1"/>
  <c r="R502" i="1"/>
  <c r="P490" i="1"/>
  <c r="R490" i="1"/>
  <c r="P478" i="1"/>
  <c r="R478" i="1"/>
  <c r="P466" i="1"/>
  <c r="R466" i="1"/>
  <c r="P454" i="1"/>
  <c r="R454" i="1"/>
  <c r="P442" i="1"/>
  <c r="R442" i="1"/>
  <c r="P434" i="1"/>
  <c r="R434" i="1"/>
  <c r="P422" i="1"/>
  <c r="R422" i="1"/>
  <c r="P410" i="1"/>
  <c r="R410" i="1"/>
  <c r="P406" i="1"/>
  <c r="R406" i="1"/>
  <c r="P394" i="1"/>
  <c r="R394" i="1"/>
  <c r="P382" i="1"/>
  <c r="R382" i="1"/>
  <c r="P370" i="1"/>
  <c r="R370" i="1"/>
  <c r="P358" i="1"/>
  <c r="R358" i="1"/>
  <c r="P346" i="1"/>
  <c r="R346" i="1"/>
  <c r="P334" i="1"/>
  <c r="R334" i="1"/>
  <c r="P326" i="1"/>
  <c r="R326" i="1"/>
  <c r="P314" i="1"/>
  <c r="R314" i="1"/>
  <c r="P302" i="1"/>
  <c r="R302" i="1"/>
  <c r="P294" i="1"/>
  <c r="R294" i="1"/>
  <c r="P282" i="1"/>
  <c r="R282" i="1"/>
  <c r="P270" i="1"/>
  <c r="R270" i="1"/>
  <c r="P262" i="1"/>
  <c r="R262" i="1"/>
  <c r="P250" i="1"/>
  <c r="R250" i="1"/>
  <c r="P234" i="1"/>
  <c r="R234" i="1"/>
  <c r="P222" i="1"/>
  <c r="R222" i="1"/>
  <c r="P214" i="1"/>
  <c r="R214" i="1"/>
  <c r="P202" i="1"/>
  <c r="R202" i="1"/>
  <c r="P194" i="1"/>
  <c r="R194" i="1"/>
  <c r="P186" i="1"/>
  <c r="R186" i="1"/>
  <c r="P166" i="1"/>
  <c r="R166" i="1"/>
  <c r="P150" i="1"/>
  <c r="R150" i="1"/>
  <c r="P130" i="1"/>
  <c r="R130" i="1"/>
  <c r="P31" i="1"/>
  <c r="R31" i="1"/>
  <c r="P23" i="1"/>
  <c r="R23" i="1"/>
  <c r="P635" i="1"/>
  <c r="R635" i="1"/>
  <c r="P631" i="1"/>
  <c r="R631" i="1"/>
  <c r="P627" i="1"/>
  <c r="R627" i="1"/>
  <c r="P623" i="1"/>
  <c r="R623" i="1"/>
  <c r="P619" i="1"/>
  <c r="R619" i="1"/>
  <c r="P615" i="1"/>
  <c r="R615" i="1"/>
  <c r="P611" i="1"/>
  <c r="R611" i="1"/>
  <c r="P607" i="1"/>
  <c r="R607" i="1"/>
  <c r="P603" i="1"/>
  <c r="R603" i="1"/>
  <c r="P599" i="1"/>
  <c r="R599" i="1"/>
  <c r="P595" i="1"/>
  <c r="R595" i="1"/>
  <c r="P591" i="1"/>
  <c r="R591" i="1"/>
  <c r="P587" i="1"/>
  <c r="R587" i="1"/>
  <c r="P583" i="1"/>
  <c r="R583" i="1"/>
  <c r="P579" i="1"/>
  <c r="R579" i="1"/>
  <c r="P575" i="1"/>
  <c r="R575" i="1"/>
  <c r="P571" i="1"/>
  <c r="R571" i="1"/>
  <c r="P567" i="1"/>
  <c r="R567" i="1"/>
  <c r="P563" i="1"/>
  <c r="R563" i="1"/>
  <c r="P559" i="1"/>
  <c r="R559" i="1"/>
  <c r="P555" i="1"/>
  <c r="R555" i="1"/>
  <c r="P551" i="1"/>
  <c r="R551" i="1"/>
  <c r="P547" i="1"/>
  <c r="R547" i="1"/>
  <c r="P543" i="1"/>
  <c r="R543" i="1"/>
  <c r="P539" i="1"/>
  <c r="R539" i="1"/>
  <c r="P535" i="1"/>
  <c r="R535" i="1"/>
  <c r="P531" i="1"/>
  <c r="R531" i="1"/>
  <c r="P527" i="1"/>
  <c r="R527" i="1"/>
  <c r="P523" i="1"/>
  <c r="R523" i="1"/>
  <c r="P519" i="1"/>
  <c r="R519" i="1"/>
  <c r="P515" i="1"/>
  <c r="R515" i="1"/>
  <c r="P511" i="1"/>
  <c r="R511" i="1"/>
  <c r="P507" i="1"/>
  <c r="R507" i="1"/>
  <c r="P503" i="1"/>
  <c r="R503" i="1"/>
  <c r="P499" i="1"/>
  <c r="R499" i="1"/>
  <c r="P495" i="1"/>
  <c r="R495" i="1"/>
  <c r="P491" i="1"/>
  <c r="R491" i="1"/>
  <c r="P487" i="1"/>
  <c r="R487" i="1"/>
  <c r="P483" i="1"/>
  <c r="R483" i="1"/>
  <c r="P479" i="1"/>
  <c r="R479" i="1"/>
  <c r="P475" i="1"/>
  <c r="R475" i="1"/>
  <c r="P471" i="1"/>
  <c r="R471" i="1"/>
  <c r="P467" i="1"/>
  <c r="R467" i="1"/>
  <c r="P463" i="1"/>
  <c r="R463" i="1"/>
  <c r="P459" i="1"/>
  <c r="R459" i="1"/>
  <c r="P455" i="1"/>
  <c r="R455" i="1"/>
  <c r="P451" i="1"/>
  <c r="R451" i="1"/>
  <c r="P447" i="1"/>
  <c r="R447" i="1"/>
  <c r="P443" i="1"/>
  <c r="R443" i="1"/>
  <c r="P439" i="1"/>
  <c r="R439" i="1"/>
  <c r="P435" i="1"/>
  <c r="R435" i="1"/>
  <c r="P431" i="1"/>
  <c r="R431" i="1"/>
  <c r="P427" i="1"/>
  <c r="R427" i="1"/>
  <c r="P423" i="1"/>
  <c r="R423" i="1"/>
  <c r="P419" i="1"/>
  <c r="R419" i="1"/>
  <c r="P415" i="1"/>
  <c r="R415" i="1"/>
  <c r="P411" i="1"/>
  <c r="R411" i="1"/>
  <c r="P407" i="1"/>
  <c r="R407" i="1"/>
  <c r="P403" i="1"/>
  <c r="R403" i="1"/>
  <c r="P399" i="1"/>
  <c r="R399" i="1"/>
  <c r="P395" i="1"/>
  <c r="R395" i="1"/>
  <c r="P391" i="1"/>
  <c r="R391" i="1"/>
  <c r="P387" i="1"/>
  <c r="R387" i="1"/>
  <c r="P383" i="1"/>
  <c r="R383" i="1"/>
  <c r="P379" i="1"/>
  <c r="R379" i="1"/>
  <c r="P375" i="1"/>
  <c r="R375" i="1"/>
  <c r="P371" i="1"/>
  <c r="R371" i="1"/>
  <c r="P367" i="1"/>
  <c r="R367" i="1"/>
  <c r="P363" i="1"/>
  <c r="R363" i="1"/>
  <c r="P359" i="1"/>
  <c r="R359" i="1"/>
  <c r="P355" i="1"/>
  <c r="R355" i="1"/>
  <c r="P351" i="1"/>
  <c r="R351" i="1"/>
  <c r="P347" i="1"/>
  <c r="R347" i="1"/>
  <c r="P343" i="1"/>
  <c r="R343" i="1"/>
  <c r="P339" i="1"/>
  <c r="R339" i="1"/>
  <c r="P335" i="1"/>
  <c r="R335" i="1"/>
  <c r="P331" i="1"/>
  <c r="R331" i="1"/>
  <c r="P327" i="1"/>
  <c r="R327" i="1"/>
  <c r="P323" i="1"/>
  <c r="R323" i="1"/>
  <c r="P319" i="1"/>
  <c r="R319" i="1"/>
  <c r="P315" i="1"/>
  <c r="R315" i="1"/>
  <c r="P311" i="1"/>
  <c r="R311" i="1"/>
  <c r="P307" i="1"/>
  <c r="R307" i="1"/>
  <c r="P303" i="1"/>
  <c r="R303" i="1"/>
  <c r="P299" i="1"/>
  <c r="R299" i="1"/>
  <c r="P295" i="1"/>
  <c r="R295" i="1"/>
  <c r="P291" i="1"/>
  <c r="R291" i="1"/>
  <c r="P287" i="1"/>
  <c r="R287" i="1"/>
  <c r="P283" i="1"/>
  <c r="R283" i="1"/>
  <c r="P279" i="1"/>
  <c r="R279" i="1"/>
  <c r="P275" i="1"/>
  <c r="R275" i="1"/>
  <c r="P271" i="1"/>
  <c r="R271" i="1"/>
  <c r="P267" i="1"/>
  <c r="R267" i="1"/>
  <c r="P263" i="1"/>
  <c r="R263" i="1"/>
  <c r="P259" i="1"/>
  <c r="R259" i="1"/>
  <c r="P255" i="1"/>
  <c r="R255" i="1"/>
  <c r="P251" i="1"/>
  <c r="R251" i="1"/>
  <c r="P247" i="1"/>
  <c r="R247" i="1"/>
  <c r="P243" i="1"/>
  <c r="R243" i="1"/>
  <c r="P239" i="1"/>
  <c r="R239" i="1"/>
  <c r="P235" i="1"/>
  <c r="R235" i="1"/>
  <c r="P231" i="1"/>
  <c r="R231" i="1"/>
  <c r="P227" i="1"/>
  <c r="R227" i="1"/>
  <c r="P223" i="1"/>
  <c r="R223" i="1"/>
  <c r="P219" i="1"/>
  <c r="R219" i="1"/>
  <c r="P215" i="1"/>
  <c r="R215" i="1"/>
  <c r="P211" i="1"/>
  <c r="R211" i="1"/>
  <c r="P207" i="1"/>
  <c r="R207" i="1"/>
  <c r="P203" i="1"/>
  <c r="R203" i="1"/>
  <c r="P199" i="1"/>
  <c r="R199" i="1"/>
  <c r="P195" i="1"/>
  <c r="R195" i="1"/>
  <c r="P191" i="1"/>
  <c r="R191" i="1"/>
  <c r="P187" i="1"/>
  <c r="R187" i="1"/>
  <c r="P183" i="1"/>
  <c r="R183" i="1"/>
  <c r="P179" i="1"/>
  <c r="R179" i="1"/>
  <c r="P175" i="1"/>
  <c r="R175" i="1"/>
  <c r="P171" i="1"/>
  <c r="R171" i="1"/>
  <c r="P167" i="1"/>
  <c r="R167" i="1"/>
  <c r="P163" i="1"/>
  <c r="R163" i="1"/>
  <c r="P159" i="1"/>
  <c r="R159" i="1"/>
  <c r="P155" i="1"/>
  <c r="R155" i="1"/>
  <c r="P151" i="1"/>
  <c r="R151" i="1"/>
  <c r="P147" i="1"/>
  <c r="R147" i="1"/>
  <c r="P143" i="1"/>
  <c r="R143" i="1"/>
  <c r="P139" i="1"/>
  <c r="R139" i="1"/>
  <c r="P135" i="1"/>
  <c r="R135" i="1"/>
  <c r="P131" i="1"/>
  <c r="R131" i="1"/>
  <c r="P127" i="1"/>
  <c r="R127" i="1"/>
  <c r="P123" i="1"/>
  <c r="R123" i="1"/>
  <c r="P119" i="1"/>
  <c r="R119" i="1"/>
  <c r="P115" i="1"/>
  <c r="R115" i="1"/>
  <c r="P111" i="1"/>
  <c r="R111" i="1"/>
  <c r="P107" i="1"/>
  <c r="R107" i="1"/>
  <c r="P103" i="1"/>
  <c r="R103" i="1"/>
  <c r="P71" i="1"/>
  <c r="R71" i="1"/>
  <c r="P67" i="1"/>
  <c r="R67" i="1"/>
  <c r="P60" i="1"/>
  <c r="R60" i="1"/>
  <c r="I265" i="2"/>
  <c r="P97" i="1"/>
  <c r="I261" i="2"/>
  <c r="U261" i="2" s="1"/>
  <c r="P93" i="1"/>
  <c r="I257" i="2"/>
  <c r="U257" i="2" s="1"/>
  <c r="P89" i="1"/>
  <c r="I253" i="2"/>
  <c r="P85" i="1"/>
  <c r="I249" i="2"/>
  <c r="P81" i="1"/>
  <c r="I245" i="2"/>
  <c r="P77" i="1"/>
  <c r="I210" i="2"/>
  <c r="U210" i="2" s="1"/>
  <c r="P56" i="1"/>
  <c r="I204" i="2"/>
  <c r="P52" i="1"/>
  <c r="I152" i="2"/>
  <c r="P48" i="1"/>
  <c r="I188" i="2"/>
  <c r="U188" i="2" s="1"/>
  <c r="P26" i="1"/>
  <c r="I268" i="2"/>
  <c r="P100" i="1"/>
  <c r="I264" i="2"/>
  <c r="U264" i="2" s="1"/>
  <c r="P96" i="1"/>
  <c r="I260" i="2"/>
  <c r="U260" i="2" s="1"/>
  <c r="P92" i="1"/>
  <c r="I252" i="2"/>
  <c r="P84" i="1"/>
  <c r="I248" i="2"/>
  <c r="P80" i="1"/>
  <c r="I209" i="2"/>
  <c r="U209" i="2" s="1"/>
  <c r="P55" i="1"/>
  <c r="I66" i="2"/>
  <c r="P41" i="1"/>
  <c r="I149" i="2"/>
  <c r="U149" i="2" s="1"/>
  <c r="P30" i="1"/>
  <c r="I267" i="2"/>
  <c r="P99" i="1"/>
  <c r="I263" i="2"/>
  <c r="U263" i="2" s="1"/>
  <c r="P95" i="1"/>
  <c r="I255" i="2"/>
  <c r="U255" i="2" s="1"/>
  <c r="P87" i="1"/>
  <c r="I251" i="2"/>
  <c r="P83" i="1"/>
  <c r="I247" i="2"/>
  <c r="P79" i="1"/>
  <c r="I242" i="2"/>
  <c r="P61" i="1"/>
  <c r="I206" i="2"/>
  <c r="P54" i="1"/>
  <c r="I236" i="2"/>
  <c r="P50" i="1"/>
  <c r="I230" i="2"/>
  <c r="P46" i="1"/>
  <c r="I266" i="2"/>
  <c r="P98" i="1"/>
  <c r="I262" i="2"/>
  <c r="U262" i="2" s="1"/>
  <c r="P94" i="1"/>
  <c r="I254" i="2"/>
  <c r="U254" i="2" s="1"/>
  <c r="P86" i="1"/>
  <c r="I250" i="2"/>
  <c r="P82" i="1"/>
  <c r="I246" i="2"/>
  <c r="P78" i="1"/>
  <c r="I205" i="2"/>
  <c r="P53" i="1"/>
  <c r="I233" i="2"/>
  <c r="P49" i="1"/>
  <c r="I229" i="2"/>
  <c r="P45" i="1"/>
  <c r="I87" i="2"/>
  <c r="P24" i="1"/>
  <c r="W626" i="1"/>
  <c r="W614" i="1"/>
  <c r="W606" i="1"/>
  <c r="W590" i="1"/>
  <c r="W578" i="1"/>
  <c r="W566" i="1"/>
  <c r="W554" i="1"/>
  <c r="W542" i="1"/>
  <c r="W526" i="1"/>
  <c r="W514" i="1"/>
  <c r="W498" i="1"/>
  <c r="W486" i="1"/>
  <c r="W478" i="1"/>
  <c r="W470" i="1"/>
  <c r="W458" i="1"/>
  <c r="W446" i="1"/>
  <c r="W438" i="1"/>
  <c r="W422" i="1"/>
  <c r="W406" i="1"/>
  <c r="W394" i="1"/>
  <c r="W382" i="1"/>
  <c r="W374" i="1"/>
  <c r="W366" i="1"/>
  <c r="W354" i="1"/>
  <c r="W342" i="1"/>
  <c r="W330" i="1"/>
  <c r="W318" i="1"/>
  <c r="W306" i="1"/>
  <c r="W298" i="1"/>
  <c r="W286" i="1"/>
  <c r="W274" i="1"/>
  <c r="W266" i="1"/>
  <c r="W254" i="1"/>
  <c r="W246" i="1"/>
  <c r="W234" i="1"/>
  <c r="W222" i="1"/>
  <c r="W210" i="1"/>
  <c r="W202" i="1"/>
  <c r="W194" i="1"/>
  <c r="W182" i="1"/>
  <c r="W174" i="1"/>
  <c r="W166" i="1"/>
  <c r="W158" i="1"/>
  <c r="W146" i="1"/>
  <c r="W130" i="1"/>
  <c r="W633" i="1"/>
  <c r="W629" i="1"/>
  <c r="W625" i="1"/>
  <c r="W621" i="1"/>
  <c r="W617" i="1"/>
  <c r="W613" i="1"/>
  <c r="W609" i="1"/>
  <c r="W605" i="1"/>
  <c r="W601" i="1"/>
  <c r="W597" i="1"/>
  <c r="W593" i="1"/>
  <c r="W589" i="1"/>
  <c r="W585" i="1"/>
  <c r="W581" i="1"/>
  <c r="W577" i="1"/>
  <c r="W573" i="1"/>
  <c r="W569" i="1"/>
  <c r="W565" i="1"/>
  <c r="W561" i="1"/>
  <c r="W557" i="1"/>
  <c r="W553" i="1"/>
  <c r="W549" i="1"/>
  <c r="W545" i="1"/>
  <c r="W541" i="1"/>
  <c r="W537" i="1"/>
  <c r="W533" i="1"/>
  <c r="W529" i="1"/>
  <c r="W525" i="1"/>
  <c r="W521" i="1"/>
  <c r="W517" i="1"/>
  <c r="W513" i="1"/>
  <c r="W509" i="1"/>
  <c r="W505" i="1"/>
  <c r="W501" i="1"/>
  <c r="W497" i="1"/>
  <c r="W493" i="1"/>
  <c r="W489" i="1"/>
  <c r="W485" i="1"/>
  <c r="W481" i="1"/>
  <c r="W477" i="1"/>
  <c r="W473" i="1"/>
  <c r="W469" i="1"/>
  <c r="W465" i="1"/>
  <c r="W461" i="1"/>
  <c r="W457" i="1"/>
  <c r="W453" i="1"/>
  <c r="W449" i="1"/>
  <c r="W445" i="1"/>
  <c r="W441" i="1"/>
  <c r="W437" i="1"/>
  <c r="W433" i="1"/>
  <c r="W429" i="1"/>
  <c r="W425" i="1"/>
  <c r="W421" i="1"/>
  <c r="W417" i="1"/>
  <c r="W413" i="1"/>
  <c r="W409" i="1"/>
  <c r="W405" i="1"/>
  <c r="W401" i="1"/>
  <c r="W397" i="1"/>
  <c r="W393" i="1"/>
  <c r="W389" i="1"/>
  <c r="W385" i="1"/>
  <c r="W381" i="1"/>
  <c r="W377" i="1"/>
  <c r="W373" i="1"/>
  <c r="W369" i="1"/>
  <c r="W365" i="1"/>
  <c r="W361" i="1"/>
  <c r="W357" i="1"/>
  <c r="W353" i="1"/>
  <c r="W349" i="1"/>
  <c r="W345" i="1"/>
  <c r="W341" i="1"/>
  <c r="W337" i="1"/>
  <c r="W333" i="1"/>
  <c r="W329" i="1"/>
  <c r="W325" i="1"/>
  <c r="W321" i="1"/>
  <c r="W317" i="1"/>
  <c r="W313" i="1"/>
  <c r="W309" i="1"/>
  <c r="W305" i="1"/>
  <c r="W301" i="1"/>
  <c r="W297" i="1"/>
  <c r="W293" i="1"/>
  <c r="W289" i="1"/>
  <c r="W285" i="1"/>
  <c r="W281" i="1"/>
  <c r="W277" i="1"/>
  <c r="W273" i="1"/>
  <c r="W269" i="1"/>
  <c r="W265" i="1"/>
  <c r="W261" i="1"/>
  <c r="W257" i="1"/>
  <c r="W253" i="1"/>
  <c r="W249" i="1"/>
  <c r="W245" i="1"/>
  <c r="W241" i="1"/>
  <c r="W237" i="1"/>
  <c r="W233" i="1"/>
  <c r="W229" i="1"/>
  <c r="W225" i="1"/>
  <c r="W221" i="1"/>
  <c r="W217" i="1"/>
  <c r="W213" i="1"/>
  <c r="W209" i="1"/>
  <c r="W205" i="1"/>
  <c r="W201" i="1"/>
  <c r="W197" i="1"/>
  <c r="W193" i="1"/>
  <c r="W189" i="1"/>
  <c r="W185" i="1"/>
  <c r="W181" i="1"/>
  <c r="W177" i="1"/>
  <c r="W173" i="1"/>
  <c r="W169" i="1"/>
  <c r="W165" i="1"/>
  <c r="W161" i="1"/>
  <c r="W157" i="1"/>
  <c r="W153" i="1"/>
  <c r="W149" i="1"/>
  <c r="W145" i="1"/>
  <c r="W141" i="1"/>
  <c r="W137" i="1"/>
  <c r="W133" i="1"/>
  <c r="W129" i="1"/>
  <c r="W125" i="1"/>
  <c r="W121" i="1"/>
  <c r="W117" i="1"/>
  <c r="W113" i="1"/>
  <c r="W109" i="1"/>
  <c r="W105" i="1"/>
  <c r="W62" i="1"/>
  <c r="W630" i="1"/>
  <c r="W618" i="1"/>
  <c r="W602" i="1"/>
  <c r="W586" i="1"/>
  <c r="W574" i="1"/>
  <c r="W562" i="1"/>
  <c r="W550" i="1"/>
  <c r="W538" i="1"/>
  <c r="W530" i="1"/>
  <c r="W518" i="1"/>
  <c r="W506" i="1"/>
  <c r="W494" i="1"/>
  <c r="W474" i="1"/>
  <c r="W462" i="1"/>
  <c r="W450" i="1"/>
  <c r="W430" i="1"/>
  <c r="W418" i="1"/>
  <c r="W410" i="1"/>
  <c r="W398" i="1"/>
  <c r="W386" i="1"/>
  <c r="W378" i="1"/>
  <c r="W362" i="1"/>
  <c r="W350" i="1"/>
  <c r="W346" i="1"/>
  <c r="W334" i="1"/>
  <c r="W322" i="1"/>
  <c r="W310" i="1"/>
  <c r="W294" i="1"/>
  <c r="W278" i="1"/>
  <c r="W262" i="1"/>
  <c r="W242" i="1"/>
  <c r="W206" i="1"/>
  <c r="W632" i="1"/>
  <c r="W628" i="1"/>
  <c r="W624" i="1"/>
  <c r="W620" i="1"/>
  <c r="W616" i="1"/>
  <c r="W612" i="1"/>
  <c r="W608" i="1"/>
  <c r="W604" i="1"/>
  <c r="W600" i="1"/>
  <c r="W596" i="1"/>
  <c r="W592" i="1"/>
  <c r="W588" i="1"/>
  <c r="W584" i="1"/>
  <c r="W580" i="1"/>
  <c r="W576" i="1"/>
  <c r="W572" i="1"/>
  <c r="W568" i="1"/>
  <c r="W564" i="1"/>
  <c r="W560" i="1"/>
  <c r="W556" i="1"/>
  <c r="W552" i="1"/>
  <c r="W548" i="1"/>
  <c r="W544" i="1"/>
  <c r="W540" i="1"/>
  <c r="W536" i="1"/>
  <c r="W532" i="1"/>
  <c r="W528" i="1"/>
  <c r="W524" i="1"/>
  <c r="W520" i="1"/>
  <c r="W516" i="1"/>
  <c r="W512" i="1"/>
  <c r="W508" i="1"/>
  <c r="W504" i="1"/>
  <c r="W500" i="1"/>
  <c r="W496" i="1"/>
  <c r="W492" i="1"/>
  <c r="W488" i="1"/>
  <c r="W484" i="1"/>
  <c r="W480" i="1"/>
  <c r="W476" i="1"/>
  <c r="W472" i="1"/>
  <c r="W468" i="1"/>
  <c r="W464" i="1"/>
  <c r="W460" i="1"/>
  <c r="W456" i="1"/>
  <c r="W452" i="1"/>
  <c r="W448" i="1"/>
  <c r="W444" i="1"/>
  <c r="W440" i="1"/>
  <c r="W436" i="1"/>
  <c r="W432" i="1"/>
  <c r="W428" i="1"/>
  <c r="W424" i="1"/>
  <c r="W420" i="1"/>
  <c r="W416" i="1"/>
  <c r="W412" i="1"/>
  <c r="W408" i="1"/>
  <c r="W404" i="1"/>
  <c r="W400" i="1"/>
  <c r="W396" i="1"/>
  <c r="W392" i="1"/>
  <c r="W388" i="1"/>
  <c r="W384" i="1"/>
  <c r="W380" i="1"/>
  <c r="W376" i="1"/>
  <c r="W372" i="1"/>
  <c r="W368" i="1"/>
  <c r="W364" i="1"/>
  <c r="W360" i="1"/>
  <c r="W356" i="1"/>
  <c r="W352" i="1"/>
  <c r="W348" i="1"/>
  <c r="W344" i="1"/>
  <c r="W340" i="1"/>
  <c r="W336" i="1"/>
  <c r="W332" i="1"/>
  <c r="W328" i="1"/>
  <c r="W324" i="1"/>
  <c r="W320" i="1"/>
  <c r="W316" i="1"/>
  <c r="W312" i="1"/>
  <c r="W308" i="1"/>
  <c r="W304" i="1"/>
  <c r="W300" i="1"/>
  <c r="W296" i="1"/>
  <c r="W292" i="1"/>
  <c r="W288" i="1"/>
  <c r="W284" i="1"/>
  <c r="W280" i="1"/>
  <c r="W276" i="1"/>
  <c r="W272" i="1"/>
  <c r="W268" i="1"/>
  <c r="W264" i="1"/>
  <c r="W260" i="1"/>
  <c r="W256" i="1"/>
  <c r="W252" i="1"/>
  <c r="W248" i="1"/>
  <c r="W244" i="1"/>
  <c r="W240" i="1"/>
  <c r="W236" i="1"/>
  <c r="W232" i="1"/>
  <c r="W228" i="1"/>
  <c r="W224" i="1"/>
  <c r="W220" i="1"/>
  <c r="W216" i="1"/>
  <c r="W212" i="1"/>
  <c r="W208" i="1"/>
  <c r="W204" i="1"/>
  <c r="W200" i="1"/>
  <c r="W196" i="1"/>
  <c r="W192" i="1"/>
  <c r="W188" i="1"/>
  <c r="W184" i="1"/>
  <c r="W180" i="1"/>
  <c r="W176" i="1"/>
  <c r="W172" i="1"/>
  <c r="W168" i="1"/>
  <c r="W164" i="1"/>
  <c r="W160" i="1"/>
  <c r="W156" i="1"/>
  <c r="W152" i="1"/>
  <c r="W148" i="1"/>
  <c r="W144" i="1"/>
  <c r="W140" i="1"/>
  <c r="W136" i="1"/>
  <c r="W132" i="1"/>
  <c r="W128" i="1"/>
  <c r="W124" i="1"/>
  <c r="W120" i="1"/>
  <c r="W116" i="1"/>
  <c r="W112" i="1"/>
  <c r="W108" i="1"/>
  <c r="W104" i="1"/>
  <c r="W72" i="1"/>
  <c r="W634" i="1"/>
  <c r="W622" i="1"/>
  <c r="W610" i="1"/>
  <c r="W598" i="1"/>
  <c r="W594" i="1"/>
  <c r="W582" i="1"/>
  <c r="W570" i="1"/>
  <c r="W558" i="1"/>
  <c r="W546" i="1"/>
  <c r="W534" i="1"/>
  <c r="W522" i="1"/>
  <c r="W510" i="1"/>
  <c r="W502" i="1"/>
  <c r="W490" i="1"/>
  <c r="W482" i="1"/>
  <c r="W466" i="1"/>
  <c r="W454" i="1"/>
  <c r="W442" i="1"/>
  <c r="W434" i="1"/>
  <c r="W426" i="1"/>
  <c r="W414" i="1"/>
  <c r="W402" i="1"/>
  <c r="W390" i="1"/>
  <c r="W370" i="1"/>
  <c r="W358" i="1"/>
  <c r="W338" i="1"/>
  <c r="W326" i="1"/>
  <c r="W314" i="1"/>
  <c r="W302" i="1"/>
  <c r="W290" i="1"/>
  <c r="W282" i="1"/>
  <c r="W270" i="1"/>
  <c r="W258" i="1"/>
  <c r="W250" i="1"/>
  <c r="W238" i="1"/>
  <c r="W230" i="1"/>
  <c r="W226" i="1"/>
  <c r="W218" i="1"/>
  <c r="W214" i="1"/>
  <c r="W198" i="1"/>
  <c r="W190" i="1"/>
  <c r="W186" i="1"/>
  <c r="W178" i="1"/>
  <c r="W170" i="1"/>
  <c r="W162" i="1"/>
  <c r="W154" i="1"/>
  <c r="W150" i="1"/>
  <c r="W142" i="1"/>
  <c r="W138" i="1"/>
  <c r="W134" i="1"/>
  <c r="W126" i="1"/>
  <c r="W122" i="1"/>
  <c r="W118" i="1"/>
  <c r="W114" i="1"/>
  <c r="W110" i="1"/>
  <c r="W106" i="1"/>
  <c r="W635" i="1"/>
  <c r="W631" i="1"/>
  <c r="W627" i="1"/>
  <c r="W623" i="1"/>
  <c r="W619" i="1"/>
  <c r="W615" i="1"/>
  <c r="W611" i="1"/>
  <c r="W607" i="1"/>
  <c r="W603" i="1"/>
  <c r="W599" i="1"/>
  <c r="W595" i="1"/>
  <c r="W591" i="1"/>
  <c r="W587" i="1"/>
  <c r="W583" i="1"/>
  <c r="W579" i="1"/>
  <c r="W575" i="1"/>
  <c r="W571" i="1"/>
  <c r="W567" i="1"/>
  <c r="W563" i="1"/>
  <c r="W559" i="1"/>
  <c r="W555" i="1"/>
  <c r="W551" i="1"/>
  <c r="W547" i="1"/>
  <c r="W543" i="1"/>
  <c r="W539" i="1"/>
  <c r="W535" i="1"/>
  <c r="W531" i="1"/>
  <c r="W527" i="1"/>
  <c r="W523" i="1"/>
  <c r="W519" i="1"/>
  <c r="W515" i="1"/>
  <c r="W511" i="1"/>
  <c r="W507" i="1"/>
  <c r="W503" i="1"/>
  <c r="W499" i="1"/>
  <c r="W495" i="1"/>
  <c r="W491" i="1"/>
  <c r="W487" i="1"/>
  <c r="W483" i="1"/>
  <c r="W479" i="1"/>
  <c r="W475" i="1"/>
  <c r="W471" i="1"/>
  <c r="W467" i="1"/>
  <c r="W463" i="1"/>
  <c r="W459" i="1"/>
  <c r="W455" i="1"/>
  <c r="W451" i="1"/>
  <c r="W447" i="1"/>
  <c r="W443" i="1"/>
  <c r="W439" i="1"/>
  <c r="W435" i="1"/>
  <c r="W431" i="1"/>
  <c r="W427" i="1"/>
  <c r="W423" i="1"/>
  <c r="W419" i="1"/>
  <c r="W415" i="1"/>
  <c r="W411" i="1"/>
  <c r="W407" i="1"/>
  <c r="W403" i="1"/>
  <c r="W399" i="1"/>
  <c r="W395" i="1"/>
  <c r="W391" i="1"/>
  <c r="W387" i="1"/>
  <c r="W383" i="1"/>
  <c r="W379" i="1"/>
  <c r="W375" i="1"/>
  <c r="W371" i="1"/>
  <c r="W367" i="1"/>
  <c r="W363" i="1"/>
  <c r="W359" i="1"/>
  <c r="W355" i="1"/>
  <c r="W351" i="1"/>
  <c r="W347" i="1"/>
  <c r="W343" i="1"/>
  <c r="W339" i="1"/>
  <c r="W335" i="1"/>
  <c r="W331" i="1"/>
  <c r="W327" i="1"/>
  <c r="W323" i="1"/>
  <c r="W319" i="1"/>
  <c r="W315" i="1"/>
  <c r="W311" i="1"/>
  <c r="W307" i="1"/>
  <c r="W303" i="1"/>
  <c r="W299" i="1"/>
  <c r="W295" i="1"/>
  <c r="W291" i="1"/>
  <c r="W287" i="1"/>
  <c r="W283" i="1"/>
  <c r="W279" i="1"/>
  <c r="W275" i="1"/>
  <c r="W271" i="1"/>
  <c r="W267" i="1"/>
  <c r="W263" i="1"/>
  <c r="W259" i="1"/>
  <c r="W255" i="1"/>
  <c r="W251" i="1"/>
  <c r="W247" i="1"/>
  <c r="W243" i="1"/>
  <c r="W239" i="1"/>
  <c r="W235" i="1"/>
  <c r="W231" i="1"/>
  <c r="W227" i="1"/>
  <c r="W223" i="1"/>
  <c r="W219" i="1"/>
  <c r="W215" i="1"/>
  <c r="W211" i="1"/>
  <c r="W207" i="1"/>
  <c r="W203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I241" i="2"/>
  <c r="U241" i="2" s="1"/>
  <c r="I243" i="2"/>
  <c r="C2" i="3"/>
  <c r="D2" i="3"/>
  <c r="J12" i="2"/>
  <c r="I95" i="2"/>
  <c r="I113" i="2"/>
  <c r="I193" i="2"/>
  <c r="U193" i="2" s="1"/>
  <c r="I115" i="2"/>
  <c r="I150" i="2"/>
  <c r="U150" i="2" s="1"/>
  <c r="I118" i="2"/>
  <c r="I191" i="2"/>
  <c r="U191" i="2" s="1"/>
  <c r="I192" i="2"/>
  <c r="I172" i="2"/>
  <c r="F16" i="1"/>
  <c r="R16" i="1" s="1"/>
  <c r="F6" i="1"/>
  <c r="R6" i="1" s="1"/>
  <c r="I101" i="2"/>
  <c r="I106" i="2"/>
  <c r="I111" i="2"/>
  <c r="I187" i="2"/>
  <c r="U187" i="2" s="1"/>
  <c r="I145" i="2"/>
  <c r="U145" i="2" s="1"/>
  <c r="I167" i="2"/>
  <c r="U167" i="2" s="1"/>
  <c r="I197" i="2"/>
  <c r="U197" i="2" s="1"/>
  <c r="I156" i="2"/>
  <c r="U156" i="2" s="1"/>
  <c r="I185" i="2"/>
  <c r="U185" i="2" s="1"/>
  <c r="I165" i="2"/>
  <c r="U165" i="2" s="1"/>
  <c r="I143" i="2"/>
  <c r="U143" i="2" s="1"/>
  <c r="I177" i="2"/>
  <c r="U177" i="2" s="1"/>
  <c r="I194" i="2"/>
  <c r="U194" i="2" s="1"/>
  <c r="I153" i="2"/>
  <c r="U153" i="2" s="1"/>
  <c r="I174" i="2"/>
  <c r="U174" i="2" s="1"/>
  <c r="F7" i="1"/>
  <c r="R7" i="1" s="1"/>
  <c r="I96" i="2"/>
  <c r="U96" i="2" s="1"/>
  <c r="I123" i="2"/>
  <c r="I169" i="2"/>
  <c r="U169" i="2" s="1"/>
  <c r="I151" i="2"/>
  <c r="I130" i="2"/>
  <c r="I125" i="2"/>
  <c r="I120" i="2"/>
  <c r="I112" i="2"/>
  <c r="I107" i="2"/>
  <c r="I127" i="2"/>
  <c r="I102" i="2"/>
  <c r="I117" i="2"/>
  <c r="I122" i="2"/>
  <c r="I184" i="2"/>
  <c r="I142" i="2"/>
  <c r="U142" i="2" s="1"/>
  <c r="I164" i="2"/>
  <c r="U164" i="2" s="1"/>
  <c r="I59" i="2"/>
  <c r="U59" i="2" s="1"/>
  <c r="I84" i="2"/>
  <c r="U84" i="2" s="1"/>
  <c r="I31" i="2"/>
  <c r="U31" i="2" s="1"/>
  <c r="I15" i="2"/>
  <c r="U15" i="2" s="1"/>
  <c r="I41" i="2"/>
  <c r="I76" i="2"/>
  <c r="U76" i="2" s="1"/>
  <c r="I51" i="2"/>
  <c r="U51" i="2" s="1"/>
  <c r="I23" i="2"/>
  <c r="U23" i="2" s="1"/>
  <c r="I182" i="2"/>
  <c r="U182" i="2" s="1"/>
  <c r="I140" i="2"/>
  <c r="U140" i="2" s="1"/>
  <c r="I162" i="2"/>
  <c r="U162" i="2" s="1"/>
  <c r="I168" i="2"/>
  <c r="U168" i="2" s="1"/>
  <c r="I42" i="2"/>
  <c r="I32" i="2"/>
  <c r="I33" i="2"/>
  <c r="I43" i="2"/>
  <c r="I234" i="2"/>
  <c r="I235" i="2"/>
  <c r="I232" i="2"/>
  <c r="I231" i="2"/>
  <c r="I176" i="2"/>
  <c r="U176" i="2" s="1"/>
  <c r="I155" i="2"/>
  <c r="U155" i="2" s="1"/>
  <c r="I196" i="2"/>
  <c r="U196" i="2" s="1"/>
  <c r="I90" i="2"/>
  <c r="I64" i="2"/>
  <c r="U64" i="2" s="1"/>
  <c r="I186" i="2"/>
  <c r="U186" i="2" s="1"/>
  <c r="I144" i="2"/>
  <c r="U144" i="2" s="1"/>
  <c r="I166" i="2"/>
  <c r="U166" i="2" s="1"/>
  <c r="I63" i="2"/>
  <c r="U63" i="2" s="1"/>
  <c r="I139" i="2"/>
  <c r="U139" i="2" s="1"/>
  <c r="I161" i="2"/>
  <c r="U161" i="2" s="1"/>
  <c r="I181" i="2"/>
  <c r="U181" i="2" s="1"/>
  <c r="F8" i="1"/>
  <c r="R8" i="1" s="1"/>
  <c r="I147" i="2"/>
  <c r="U147" i="2" s="1"/>
  <c r="I128" i="2"/>
  <c r="I146" i="2"/>
  <c r="I171" i="2"/>
  <c r="U171" i="2" s="1"/>
  <c r="I105" i="2"/>
  <c r="I116" i="2"/>
  <c r="I121" i="2"/>
  <c r="I126" i="2"/>
  <c r="I104" i="2"/>
  <c r="I170" i="2"/>
  <c r="U170" i="2" s="1"/>
  <c r="I124" i="2"/>
  <c r="I114" i="2"/>
  <c r="I190" i="2"/>
  <c r="U190" i="2" s="1"/>
  <c r="I109" i="2"/>
  <c r="I119" i="2"/>
  <c r="I148" i="2"/>
  <c r="U148" i="2" s="1"/>
  <c r="I129" i="2"/>
  <c r="I218" i="2"/>
  <c r="I219" i="2"/>
  <c r="I220" i="2"/>
  <c r="I221" i="2"/>
  <c r="I91" i="2"/>
  <c r="I65" i="2"/>
  <c r="U65" i="2" s="1"/>
  <c r="I183" i="2"/>
  <c r="U183" i="2" s="1"/>
  <c r="I141" i="2"/>
  <c r="I163" i="2"/>
  <c r="I54" i="2"/>
  <c r="U54" i="2" s="1"/>
  <c r="I46" i="2"/>
  <c r="U46" i="2" s="1"/>
  <c r="F10" i="1"/>
  <c r="R10" i="1" s="1"/>
  <c r="I55" i="2"/>
  <c r="I47" i="2"/>
  <c r="I180" i="2"/>
  <c r="U180" i="2" s="1"/>
  <c r="I138" i="2"/>
  <c r="U138" i="2" s="1"/>
  <c r="I61" i="2"/>
  <c r="I160" i="2"/>
  <c r="U160" i="2" s="1"/>
  <c r="I103" i="2"/>
  <c r="I189" i="2"/>
  <c r="U189" i="2" s="1"/>
  <c r="I110" i="2"/>
  <c r="M47" i="2"/>
  <c r="M55" i="2"/>
  <c r="M11" i="2"/>
  <c r="H11" i="2" s="1"/>
  <c r="M19" i="2"/>
  <c r="K172" i="2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V634" i="1"/>
  <c r="K634" i="1"/>
  <c r="K610" i="1"/>
  <c r="V610" i="1"/>
  <c r="K590" i="1"/>
  <c r="V590" i="1"/>
  <c r="V566" i="1"/>
  <c r="K566" i="1"/>
  <c r="K546" i="1"/>
  <c r="V546" i="1"/>
  <c r="K526" i="1"/>
  <c r="V526" i="1"/>
  <c r="K510" i="1"/>
  <c r="V510" i="1"/>
  <c r="K502" i="1"/>
  <c r="V502" i="1"/>
  <c r="V498" i="1"/>
  <c r="K498" i="1"/>
  <c r="K494" i="1"/>
  <c r="V494" i="1"/>
  <c r="K490" i="1"/>
  <c r="V490" i="1"/>
  <c r="K482" i="1"/>
  <c r="V482" i="1"/>
  <c r="K470" i="1"/>
  <c r="V470" i="1"/>
  <c r="V466" i="1"/>
  <c r="K466" i="1"/>
  <c r="V462" i="1"/>
  <c r="K462" i="1"/>
  <c r="V458" i="1"/>
  <c r="K458" i="1"/>
  <c r="V454" i="1"/>
  <c r="K454" i="1"/>
  <c r="K450" i="1"/>
  <c r="V450" i="1"/>
  <c r="K446" i="1"/>
  <c r="V446" i="1"/>
  <c r="K442" i="1"/>
  <c r="V442" i="1"/>
  <c r="K438" i="1"/>
  <c r="V438" i="1"/>
  <c r="K434" i="1"/>
  <c r="V434" i="1"/>
  <c r="K430" i="1"/>
  <c r="V430" i="1"/>
  <c r="K426" i="1"/>
  <c r="V426" i="1"/>
  <c r="K422" i="1"/>
  <c r="V422" i="1"/>
  <c r="K418" i="1"/>
  <c r="V418" i="1"/>
  <c r="K414" i="1"/>
  <c r="V414" i="1"/>
  <c r="K410" i="1"/>
  <c r="V410" i="1"/>
  <c r="K406" i="1"/>
  <c r="V406" i="1"/>
  <c r="V402" i="1"/>
  <c r="K402" i="1"/>
  <c r="K398" i="1"/>
  <c r="V398" i="1"/>
  <c r="K394" i="1"/>
  <c r="V394" i="1"/>
  <c r="K390" i="1"/>
  <c r="V390" i="1"/>
  <c r="V386" i="1"/>
  <c r="K386" i="1"/>
  <c r="K382" i="1"/>
  <c r="V382" i="1"/>
  <c r="V378" i="1"/>
  <c r="K378" i="1"/>
  <c r="K374" i="1"/>
  <c r="V374" i="1"/>
  <c r="V370" i="1"/>
  <c r="K370" i="1"/>
  <c r="K366" i="1"/>
  <c r="V366" i="1"/>
  <c r="K362" i="1"/>
  <c r="V362" i="1"/>
  <c r="K358" i="1"/>
  <c r="V358" i="1"/>
  <c r="K354" i="1"/>
  <c r="V354" i="1"/>
  <c r="K350" i="1"/>
  <c r="V350" i="1"/>
  <c r="K346" i="1"/>
  <c r="V346" i="1"/>
  <c r="K342" i="1"/>
  <c r="V342" i="1"/>
  <c r="K338" i="1"/>
  <c r="V338" i="1"/>
  <c r="K334" i="1"/>
  <c r="V334" i="1"/>
  <c r="K330" i="1"/>
  <c r="V330" i="1"/>
  <c r="K326" i="1"/>
  <c r="V326" i="1"/>
  <c r="K322" i="1"/>
  <c r="V322" i="1"/>
  <c r="K318" i="1"/>
  <c r="V318" i="1"/>
  <c r="K314" i="1"/>
  <c r="V314" i="1"/>
  <c r="K310" i="1"/>
  <c r="V310" i="1"/>
  <c r="K306" i="1"/>
  <c r="V306" i="1"/>
  <c r="K302" i="1"/>
  <c r="V302" i="1"/>
  <c r="V298" i="1"/>
  <c r="K298" i="1"/>
  <c r="V294" i="1"/>
  <c r="K294" i="1"/>
  <c r="V290" i="1"/>
  <c r="K290" i="1"/>
  <c r="V286" i="1"/>
  <c r="K286" i="1"/>
  <c r="V282" i="1"/>
  <c r="K282" i="1"/>
  <c r="V278" i="1"/>
  <c r="K278" i="1"/>
  <c r="V274" i="1"/>
  <c r="K274" i="1"/>
  <c r="V270" i="1"/>
  <c r="K270" i="1"/>
  <c r="K266" i="1"/>
  <c r="V266" i="1"/>
  <c r="K262" i="1"/>
  <c r="V262" i="1"/>
  <c r="V258" i="1"/>
  <c r="K258" i="1"/>
  <c r="V254" i="1"/>
  <c r="K254" i="1"/>
  <c r="K250" i="1"/>
  <c r="V250" i="1"/>
  <c r="K246" i="1"/>
  <c r="V246" i="1"/>
  <c r="K242" i="1"/>
  <c r="V242" i="1"/>
  <c r="K238" i="1"/>
  <c r="V238" i="1"/>
  <c r="K234" i="1"/>
  <c r="V234" i="1"/>
  <c r="K230" i="1"/>
  <c r="V230" i="1"/>
  <c r="K226" i="1"/>
  <c r="V226" i="1"/>
  <c r="K222" i="1"/>
  <c r="V222" i="1"/>
  <c r="K218" i="1"/>
  <c r="V218" i="1"/>
  <c r="K214" i="1"/>
  <c r="V214" i="1"/>
  <c r="K210" i="1"/>
  <c r="V210" i="1"/>
  <c r="K206" i="1"/>
  <c r="V206" i="1"/>
  <c r="K202" i="1"/>
  <c r="V202" i="1"/>
  <c r="K198" i="1"/>
  <c r="V198" i="1"/>
  <c r="K194" i="1"/>
  <c r="V194" i="1"/>
  <c r="K190" i="1"/>
  <c r="V190" i="1"/>
  <c r="K186" i="1"/>
  <c r="V186" i="1"/>
  <c r="K182" i="1"/>
  <c r="V182" i="1"/>
  <c r="K178" i="1"/>
  <c r="V178" i="1"/>
  <c r="K174" i="1"/>
  <c r="V174" i="1"/>
  <c r="K170" i="1"/>
  <c r="V170" i="1"/>
  <c r="K166" i="1"/>
  <c r="V166" i="1"/>
  <c r="K162" i="1"/>
  <c r="V162" i="1"/>
  <c r="K158" i="1"/>
  <c r="V158" i="1"/>
  <c r="K154" i="1"/>
  <c r="V154" i="1"/>
  <c r="K150" i="1"/>
  <c r="V150" i="1"/>
  <c r="K146" i="1"/>
  <c r="V146" i="1"/>
  <c r="K142" i="1"/>
  <c r="V142" i="1"/>
  <c r="K138" i="1"/>
  <c r="V138" i="1"/>
  <c r="V134" i="1"/>
  <c r="K134" i="1"/>
  <c r="K130" i="1"/>
  <c r="V130" i="1"/>
  <c r="V126" i="1"/>
  <c r="K126" i="1"/>
  <c r="K122" i="1"/>
  <c r="V122" i="1"/>
  <c r="K118" i="1"/>
  <c r="V118" i="1"/>
  <c r="V114" i="1"/>
  <c r="K114" i="1"/>
  <c r="K110" i="1"/>
  <c r="V110" i="1"/>
  <c r="K106" i="1"/>
  <c r="V106" i="1"/>
  <c r="K622" i="1"/>
  <c r="V622" i="1"/>
  <c r="K606" i="1"/>
  <c r="V606" i="1"/>
  <c r="K594" i="1"/>
  <c r="V594" i="1"/>
  <c r="K578" i="1"/>
  <c r="V578" i="1"/>
  <c r="V558" i="1"/>
  <c r="K558" i="1"/>
  <c r="K538" i="1"/>
  <c r="V538" i="1"/>
  <c r="K522" i="1"/>
  <c r="V522" i="1"/>
  <c r="K506" i="1"/>
  <c r="V506" i="1"/>
  <c r="K486" i="1"/>
  <c r="V486" i="1"/>
  <c r="K633" i="1"/>
  <c r="V633" i="1"/>
  <c r="K621" i="1"/>
  <c r="V621" i="1"/>
  <c r="K609" i="1"/>
  <c r="V609" i="1"/>
  <c r="K589" i="1"/>
  <c r="V589" i="1"/>
  <c r="V577" i="1"/>
  <c r="K577" i="1"/>
  <c r="K569" i="1"/>
  <c r="V569" i="1"/>
  <c r="V565" i="1"/>
  <c r="K565" i="1"/>
  <c r="V557" i="1"/>
  <c r="K557" i="1"/>
  <c r="V549" i="1"/>
  <c r="K549" i="1"/>
  <c r="V545" i="1"/>
  <c r="K545" i="1"/>
  <c r="K541" i="1"/>
  <c r="V541" i="1"/>
  <c r="V537" i="1"/>
  <c r="K537" i="1"/>
  <c r="V533" i="1"/>
  <c r="K533" i="1"/>
  <c r="K529" i="1"/>
  <c r="V529" i="1"/>
  <c r="V525" i="1"/>
  <c r="K525" i="1"/>
  <c r="K521" i="1"/>
  <c r="V521" i="1"/>
  <c r="K517" i="1"/>
  <c r="V517" i="1"/>
  <c r="V513" i="1"/>
  <c r="K513" i="1"/>
  <c r="V509" i="1"/>
  <c r="K509" i="1"/>
  <c r="K505" i="1"/>
  <c r="V505" i="1"/>
  <c r="V501" i="1"/>
  <c r="K501" i="1"/>
  <c r="K497" i="1"/>
  <c r="V497" i="1"/>
  <c r="V493" i="1"/>
  <c r="K493" i="1"/>
  <c r="K489" i="1"/>
  <c r="V489" i="1"/>
  <c r="K485" i="1"/>
  <c r="V485" i="1"/>
  <c r="V481" i="1"/>
  <c r="K481" i="1"/>
  <c r="K477" i="1"/>
  <c r="V477" i="1"/>
  <c r="V473" i="1"/>
  <c r="K473" i="1"/>
  <c r="K469" i="1"/>
  <c r="V469" i="1"/>
  <c r="K465" i="1"/>
  <c r="V465" i="1"/>
  <c r="K461" i="1"/>
  <c r="V461" i="1"/>
  <c r="K457" i="1"/>
  <c r="V457" i="1"/>
  <c r="K453" i="1"/>
  <c r="V453" i="1"/>
  <c r="K449" i="1"/>
  <c r="V449" i="1"/>
  <c r="K445" i="1"/>
  <c r="V445" i="1"/>
  <c r="K441" i="1"/>
  <c r="V441" i="1"/>
  <c r="K437" i="1"/>
  <c r="V437" i="1"/>
  <c r="K433" i="1"/>
  <c r="V433" i="1"/>
  <c r="K429" i="1"/>
  <c r="V429" i="1"/>
  <c r="K425" i="1"/>
  <c r="V425" i="1"/>
  <c r="K421" i="1"/>
  <c r="V421" i="1"/>
  <c r="K417" i="1"/>
  <c r="V417" i="1"/>
  <c r="K413" i="1"/>
  <c r="V413" i="1"/>
  <c r="K409" i="1"/>
  <c r="V409" i="1"/>
  <c r="K405" i="1"/>
  <c r="V405" i="1"/>
  <c r="K401" i="1"/>
  <c r="V401" i="1"/>
  <c r="K397" i="1"/>
  <c r="V397" i="1"/>
  <c r="K393" i="1"/>
  <c r="V393" i="1"/>
  <c r="K389" i="1"/>
  <c r="V389" i="1"/>
  <c r="K385" i="1"/>
  <c r="V385" i="1"/>
  <c r="K381" i="1"/>
  <c r="V381" i="1"/>
  <c r="K377" i="1"/>
  <c r="V377" i="1"/>
  <c r="K373" i="1"/>
  <c r="V373" i="1"/>
  <c r="K369" i="1"/>
  <c r="V369" i="1"/>
  <c r="K365" i="1"/>
  <c r="V365" i="1"/>
  <c r="K361" i="1"/>
  <c r="V361" i="1"/>
  <c r="K357" i="1"/>
  <c r="V357" i="1"/>
  <c r="K353" i="1"/>
  <c r="V353" i="1"/>
  <c r="K349" i="1"/>
  <c r="V349" i="1"/>
  <c r="K345" i="1"/>
  <c r="V345" i="1"/>
  <c r="K341" i="1"/>
  <c r="V341" i="1"/>
  <c r="K337" i="1"/>
  <c r="V337" i="1"/>
  <c r="K333" i="1"/>
  <c r="V333" i="1"/>
  <c r="K329" i="1"/>
  <c r="V329" i="1"/>
  <c r="K325" i="1"/>
  <c r="V325" i="1"/>
  <c r="K321" i="1"/>
  <c r="V321" i="1"/>
  <c r="K317" i="1"/>
  <c r="V317" i="1"/>
  <c r="K313" i="1"/>
  <c r="V313" i="1"/>
  <c r="K309" i="1"/>
  <c r="V309" i="1"/>
  <c r="K305" i="1"/>
  <c r="V305" i="1"/>
  <c r="K301" i="1"/>
  <c r="V301" i="1"/>
  <c r="K297" i="1"/>
  <c r="V297" i="1"/>
  <c r="K293" i="1"/>
  <c r="V293" i="1"/>
  <c r="K289" i="1"/>
  <c r="V289" i="1"/>
  <c r="K285" i="1"/>
  <c r="V285" i="1"/>
  <c r="K281" i="1"/>
  <c r="V281" i="1"/>
  <c r="K277" i="1"/>
  <c r="V277" i="1"/>
  <c r="K273" i="1"/>
  <c r="V273" i="1"/>
  <c r="K269" i="1"/>
  <c r="V269" i="1"/>
  <c r="K265" i="1"/>
  <c r="V265" i="1"/>
  <c r="K261" i="1"/>
  <c r="V261" i="1"/>
  <c r="K257" i="1"/>
  <c r="V257" i="1"/>
  <c r="K253" i="1"/>
  <c r="V253" i="1"/>
  <c r="K249" i="1"/>
  <c r="V249" i="1"/>
  <c r="K245" i="1"/>
  <c r="V245" i="1"/>
  <c r="K241" i="1"/>
  <c r="V241" i="1"/>
  <c r="K237" i="1"/>
  <c r="V237" i="1"/>
  <c r="K233" i="1"/>
  <c r="V233" i="1"/>
  <c r="K229" i="1"/>
  <c r="V229" i="1"/>
  <c r="K225" i="1"/>
  <c r="V225" i="1"/>
  <c r="K221" i="1"/>
  <c r="V221" i="1"/>
  <c r="K217" i="1"/>
  <c r="V217" i="1"/>
  <c r="K213" i="1"/>
  <c r="V213" i="1"/>
  <c r="K209" i="1"/>
  <c r="V209" i="1"/>
  <c r="K205" i="1"/>
  <c r="V205" i="1"/>
  <c r="K201" i="1"/>
  <c r="V201" i="1"/>
  <c r="K197" i="1"/>
  <c r="V197" i="1"/>
  <c r="K193" i="1"/>
  <c r="V193" i="1"/>
  <c r="V189" i="1"/>
  <c r="K189" i="1"/>
  <c r="V185" i="1"/>
  <c r="K185" i="1"/>
  <c r="V181" i="1"/>
  <c r="K181" i="1"/>
  <c r="V177" i="1"/>
  <c r="K177" i="1"/>
  <c r="K173" i="1"/>
  <c r="V173" i="1"/>
  <c r="K169" i="1"/>
  <c r="V169" i="1"/>
  <c r="K165" i="1"/>
  <c r="V165" i="1"/>
  <c r="K161" i="1"/>
  <c r="V161" i="1"/>
  <c r="K157" i="1"/>
  <c r="V157" i="1"/>
  <c r="K153" i="1"/>
  <c r="V153" i="1"/>
  <c r="K149" i="1"/>
  <c r="V149" i="1"/>
  <c r="K145" i="1"/>
  <c r="V145" i="1"/>
  <c r="K141" i="1"/>
  <c r="V141" i="1"/>
  <c r="K137" i="1"/>
  <c r="V137" i="1"/>
  <c r="K133" i="1"/>
  <c r="V133" i="1"/>
  <c r="K129" i="1"/>
  <c r="V129" i="1"/>
  <c r="K125" i="1"/>
  <c r="V125" i="1"/>
  <c r="K121" i="1"/>
  <c r="V121" i="1"/>
  <c r="K117" i="1"/>
  <c r="V117" i="1"/>
  <c r="K113" i="1"/>
  <c r="V113" i="1"/>
  <c r="K109" i="1"/>
  <c r="V109" i="1"/>
  <c r="K105" i="1"/>
  <c r="V105" i="1"/>
  <c r="K626" i="1"/>
  <c r="V626" i="1"/>
  <c r="K618" i="1"/>
  <c r="V618" i="1"/>
  <c r="K602" i="1"/>
  <c r="V602" i="1"/>
  <c r="K586" i="1"/>
  <c r="V586" i="1"/>
  <c r="V574" i="1"/>
  <c r="K574" i="1"/>
  <c r="V562" i="1"/>
  <c r="K562" i="1"/>
  <c r="K550" i="1"/>
  <c r="V550" i="1"/>
  <c r="V534" i="1"/>
  <c r="K534" i="1"/>
  <c r="K514" i="1"/>
  <c r="V514" i="1"/>
  <c r="K478" i="1"/>
  <c r="V478" i="1"/>
  <c r="K629" i="1"/>
  <c r="V629" i="1"/>
  <c r="K613" i="1"/>
  <c r="V613" i="1"/>
  <c r="K601" i="1"/>
  <c r="V601" i="1"/>
  <c r="K593" i="1"/>
  <c r="V593" i="1"/>
  <c r="K581" i="1"/>
  <c r="V581" i="1"/>
  <c r="K561" i="1"/>
  <c r="V561" i="1"/>
  <c r="K624" i="1"/>
  <c r="V624" i="1"/>
  <c r="V616" i="1"/>
  <c r="K616" i="1"/>
  <c r="K604" i="1"/>
  <c r="V604" i="1"/>
  <c r="K592" i="1"/>
  <c r="V592" i="1"/>
  <c r="K580" i="1"/>
  <c r="V580" i="1"/>
  <c r="V572" i="1"/>
  <c r="K572" i="1"/>
  <c r="K560" i="1"/>
  <c r="V560" i="1"/>
  <c r="K548" i="1"/>
  <c r="V548" i="1"/>
  <c r="K540" i="1"/>
  <c r="V540" i="1"/>
  <c r="K532" i="1"/>
  <c r="V532" i="1"/>
  <c r="K520" i="1"/>
  <c r="V520" i="1"/>
  <c r="K512" i="1"/>
  <c r="V512" i="1"/>
  <c r="K504" i="1"/>
  <c r="V504" i="1"/>
  <c r="K500" i="1"/>
  <c r="V500" i="1"/>
  <c r="K496" i="1"/>
  <c r="V496" i="1"/>
  <c r="K492" i="1"/>
  <c r="V492" i="1"/>
  <c r="K484" i="1"/>
  <c r="V484" i="1"/>
  <c r="K480" i="1"/>
  <c r="V480" i="1"/>
  <c r="K476" i="1"/>
  <c r="V476" i="1"/>
  <c r="V472" i="1"/>
  <c r="K472" i="1"/>
  <c r="K468" i="1"/>
  <c r="V468" i="1"/>
  <c r="K464" i="1"/>
  <c r="V464" i="1"/>
  <c r="K460" i="1"/>
  <c r="V460" i="1"/>
  <c r="K456" i="1"/>
  <c r="V456" i="1"/>
  <c r="K452" i="1"/>
  <c r="V452" i="1"/>
  <c r="K448" i="1"/>
  <c r="V448" i="1"/>
  <c r="K444" i="1"/>
  <c r="V444" i="1"/>
  <c r="K440" i="1"/>
  <c r="V440" i="1"/>
  <c r="K436" i="1"/>
  <c r="V436" i="1"/>
  <c r="K432" i="1"/>
  <c r="V432" i="1"/>
  <c r="K428" i="1"/>
  <c r="V428" i="1"/>
  <c r="V424" i="1"/>
  <c r="K424" i="1"/>
  <c r="K420" i="1"/>
  <c r="V420" i="1"/>
  <c r="V416" i="1"/>
  <c r="K416" i="1"/>
  <c r="K412" i="1"/>
  <c r="V412" i="1"/>
  <c r="K408" i="1"/>
  <c r="V408" i="1"/>
  <c r="K404" i="1"/>
  <c r="V404" i="1"/>
  <c r="K400" i="1"/>
  <c r="V400" i="1"/>
  <c r="V396" i="1"/>
  <c r="K396" i="1"/>
  <c r="K392" i="1"/>
  <c r="V392" i="1"/>
  <c r="K388" i="1"/>
  <c r="V388" i="1"/>
  <c r="V384" i="1"/>
  <c r="K384" i="1"/>
  <c r="K380" i="1"/>
  <c r="V380" i="1"/>
  <c r="K376" i="1"/>
  <c r="V376" i="1"/>
  <c r="K372" i="1"/>
  <c r="V372" i="1"/>
  <c r="K368" i="1"/>
  <c r="V368" i="1"/>
  <c r="K364" i="1"/>
  <c r="V364" i="1"/>
  <c r="K360" i="1"/>
  <c r="V360" i="1"/>
  <c r="V356" i="1"/>
  <c r="K356" i="1"/>
  <c r="V352" i="1"/>
  <c r="K352" i="1"/>
  <c r="K348" i="1"/>
  <c r="V348" i="1"/>
  <c r="V344" i="1"/>
  <c r="K344" i="1"/>
  <c r="K340" i="1"/>
  <c r="V340" i="1"/>
  <c r="V336" i="1"/>
  <c r="K336" i="1"/>
  <c r="K332" i="1"/>
  <c r="V332" i="1"/>
  <c r="V328" i="1"/>
  <c r="K328" i="1"/>
  <c r="K324" i="1"/>
  <c r="V324" i="1"/>
  <c r="V320" i="1"/>
  <c r="K320" i="1"/>
  <c r="K316" i="1"/>
  <c r="V316" i="1"/>
  <c r="V312" i="1"/>
  <c r="K312" i="1"/>
  <c r="K308" i="1"/>
  <c r="V308" i="1"/>
  <c r="V304" i="1"/>
  <c r="K304" i="1"/>
  <c r="K300" i="1"/>
  <c r="V300" i="1"/>
  <c r="K296" i="1"/>
  <c r="V296" i="1"/>
  <c r="K292" i="1"/>
  <c r="V292" i="1"/>
  <c r="K288" i="1"/>
  <c r="V288" i="1"/>
  <c r="K284" i="1"/>
  <c r="V284" i="1"/>
  <c r="K280" i="1"/>
  <c r="V280" i="1"/>
  <c r="K276" i="1"/>
  <c r="V276" i="1"/>
  <c r="K272" i="1"/>
  <c r="V272" i="1"/>
  <c r="V268" i="1"/>
  <c r="K268" i="1"/>
  <c r="K264" i="1"/>
  <c r="V264" i="1"/>
  <c r="V260" i="1"/>
  <c r="K260" i="1"/>
  <c r="K256" i="1"/>
  <c r="V256" i="1"/>
  <c r="K252" i="1"/>
  <c r="V252" i="1"/>
  <c r="V248" i="1"/>
  <c r="K248" i="1"/>
  <c r="K244" i="1"/>
  <c r="V244" i="1"/>
  <c r="K240" i="1"/>
  <c r="V240" i="1"/>
  <c r="K236" i="1"/>
  <c r="V236" i="1"/>
  <c r="K232" i="1"/>
  <c r="V232" i="1"/>
  <c r="K228" i="1"/>
  <c r="V228" i="1"/>
  <c r="K224" i="1"/>
  <c r="V224" i="1"/>
  <c r="K220" i="1"/>
  <c r="V220" i="1"/>
  <c r="K216" i="1"/>
  <c r="V216" i="1"/>
  <c r="K212" i="1"/>
  <c r="V212" i="1"/>
  <c r="K208" i="1"/>
  <c r="V208" i="1"/>
  <c r="V204" i="1"/>
  <c r="K204" i="1"/>
  <c r="V200" i="1"/>
  <c r="K200" i="1"/>
  <c r="K196" i="1"/>
  <c r="V196" i="1"/>
  <c r="K192" i="1"/>
  <c r="V192" i="1"/>
  <c r="V188" i="1"/>
  <c r="K188" i="1"/>
  <c r="V184" i="1"/>
  <c r="K184" i="1"/>
  <c r="K180" i="1"/>
  <c r="V180" i="1"/>
  <c r="K176" i="1"/>
  <c r="V176" i="1"/>
  <c r="K172" i="1"/>
  <c r="V172" i="1"/>
  <c r="K168" i="1"/>
  <c r="V168" i="1"/>
  <c r="K164" i="1"/>
  <c r="V164" i="1"/>
  <c r="K160" i="1"/>
  <c r="V160" i="1"/>
  <c r="K156" i="1"/>
  <c r="V156" i="1"/>
  <c r="K152" i="1"/>
  <c r="V152" i="1"/>
  <c r="K148" i="1"/>
  <c r="V148" i="1"/>
  <c r="K144" i="1"/>
  <c r="V144" i="1"/>
  <c r="K140" i="1"/>
  <c r="V140" i="1"/>
  <c r="K136" i="1"/>
  <c r="V136" i="1"/>
  <c r="K132" i="1"/>
  <c r="V132" i="1"/>
  <c r="V128" i="1"/>
  <c r="K128" i="1"/>
  <c r="K124" i="1"/>
  <c r="V124" i="1"/>
  <c r="K120" i="1"/>
  <c r="V120" i="1"/>
  <c r="V116" i="1"/>
  <c r="K116" i="1"/>
  <c r="K112" i="1"/>
  <c r="V112" i="1"/>
  <c r="K108" i="1"/>
  <c r="V108" i="1"/>
  <c r="V104" i="1"/>
  <c r="K104" i="1"/>
  <c r="V72" i="1"/>
  <c r="K72" i="1"/>
  <c r="K630" i="1"/>
  <c r="V630" i="1"/>
  <c r="V614" i="1"/>
  <c r="K614" i="1"/>
  <c r="K598" i="1"/>
  <c r="V598" i="1"/>
  <c r="K582" i="1"/>
  <c r="V582" i="1"/>
  <c r="K570" i="1"/>
  <c r="V570" i="1"/>
  <c r="V554" i="1"/>
  <c r="K554" i="1"/>
  <c r="V542" i="1"/>
  <c r="K542" i="1"/>
  <c r="K530" i="1"/>
  <c r="V530" i="1"/>
  <c r="K518" i="1"/>
  <c r="V518" i="1"/>
  <c r="K474" i="1"/>
  <c r="V474" i="1"/>
  <c r="K625" i="1"/>
  <c r="V625" i="1"/>
  <c r="K617" i="1"/>
  <c r="V617" i="1"/>
  <c r="K605" i="1"/>
  <c r="V605" i="1"/>
  <c r="K597" i="1"/>
  <c r="V597" i="1"/>
  <c r="K585" i="1"/>
  <c r="V585" i="1"/>
  <c r="K573" i="1"/>
  <c r="V573" i="1"/>
  <c r="K553" i="1"/>
  <c r="V553" i="1"/>
  <c r="K632" i="1"/>
  <c r="V632" i="1"/>
  <c r="K628" i="1"/>
  <c r="V628" i="1"/>
  <c r="K620" i="1"/>
  <c r="V620" i="1"/>
  <c r="K612" i="1"/>
  <c r="V612" i="1"/>
  <c r="K608" i="1"/>
  <c r="V608" i="1"/>
  <c r="K600" i="1"/>
  <c r="V600" i="1"/>
  <c r="K596" i="1"/>
  <c r="V596" i="1"/>
  <c r="K588" i="1"/>
  <c r="V588" i="1"/>
  <c r="V584" i="1"/>
  <c r="K584" i="1"/>
  <c r="K576" i="1"/>
  <c r="V576" i="1"/>
  <c r="K568" i="1"/>
  <c r="V568" i="1"/>
  <c r="K564" i="1"/>
  <c r="V564" i="1"/>
  <c r="K556" i="1"/>
  <c r="V556" i="1"/>
  <c r="K552" i="1"/>
  <c r="V552" i="1"/>
  <c r="K544" i="1"/>
  <c r="V544" i="1"/>
  <c r="K536" i="1"/>
  <c r="V536" i="1"/>
  <c r="K528" i="1"/>
  <c r="V528" i="1"/>
  <c r="K524" i="1"/>
  <c r="V524" i="1"/>
  <c r="K516" i="1"/>
  <c r="V516" i="1"/>
  <c r="K508" i="1"/>
  <c r="V508" i="1"/>
  <c r="K488" i="1"/>
  <c r="V488" i="1"/>
  <c r="K635" i="1"/>
  <c r="V635" i="1"/>
  <c r="K631" i="1"/>
  <c r="V631" i="1"/>
  <c r="K627" i="1"/>
  <c r="V627" i="1"/>
  <c r="K623" i="1"/>
  <c r="V623" i="1"/>
  <c r="K619" i="1"/>
  <c r="V619" i="1"/>
  <c r="K615" i="1"/>
  <c r="V615" i="1"/>
  <c r="K611" i="1"/>
  <c r="V611" i="1"/>
  <c r="K607" i="1"/>
  <c r="V607" i="1"/>
  <c r="K603" i="1"/>
  <c r="V603" i="1"/>
  <c r="K599" i="1"/>
  <c r="V599" i="1"/>
  <c r="K595" i="1"/>
  <c r="V595" i="1"/>
  <c r="K591" i="1"/>
  <c r="V591" i="1"/>
  <c r="K587" i="1"/>
  <c r="V587" i="1"/>
  <c r="V583" i="1"/>
  <c r="K583" i="1"/>
  <c r="K579" i="1"/>
  <c r="V579" i="1"/>
  <c r="V575" i="1"/>
  <c r="K575" i="1"/>
  <c r="K571" i="1"/>
  <c r="V571" i="1"/>
  <c r="K567" i="1"/>
  <c r="V567" i="1"/>
  <c r="V563" i="1"/>
  <c r="K563" i="1"/>
  <c r="K559" i="1"/>
  <c r="V559" i="1"/>
  <c r="V555" i="1"/>
  <c r="K555" i="1"/>
  <c r="K551" i="1"/>
  <c r="V551" i="1"/>
  <c r="K547" i="1"/>
  <c r="V547" i="1"/>
  <c r="K543" i="1"/>
  <c r="V543" i="1"/>
  <c r="V539" i="1"/>
  <c r="K539" i="1"/>
  <c r="K535" i="1"/>
  <c r="V535" i="1"/>
  <c r="K531" i="1"/>
  <c r="V531" i="1"/>
  <c r="K527" i="1"/>
  <c r="V527" i="1"/>
  <c r="V523" i="1"/>
  <c r="K523" i="1"/>
  <c r="K519" i="1"/>
  <c r="V519" i="1"/>
  <c r="V515" i="1"/>
  <c r="K515" i="1"/>
  <c r="K511" i="1"/>
  <c r="V511" i="1"/>
  <c r="V507" i="1"/>
  <c r="K507" i="1"/>
  <c r="K503" i="1"/>
  <c r="V503" i="1"/>
  <c r="V499" i="1"/>
  <c r="K499" i="1"/>
  <c r="K495" i="1"/>
  <c r="V495" i="1"/>
  <c r="V491" i="1"/>
  <c r="K491" i="1"/>
  <c r="K487" i="1"/>
  <c r="V487" i="1"/>
  <c r="V483" i="1"/>
  <c r="K483" i="1"/>
  <c r="K479" i="1"/>
  <c r="V479" i="1"/>
  <c r="V475" i="1"/>
  <c r="K475" i="1"/>
  <c r="K471" i="1"/>
  <c r="V471" i="1"/>
  <c r="K467" i="1"/>
  <c r="V467" i="1"/>
  <c r="K463" i="1"/>
  <c r="V463" i="1"/>
  <c r="K459" i="1"/>
  <c r="V459" i="1"/>
  <c r="K455" i="1"/>
  <c r="V455" i="1"/>
  <c r="K451" i="1"/>
  <c r="V451" i="1"/>
  <c r="K447" i="1"/>
  <c r="V447" i="1"/>
  <c r="V443" i="1"/>
  <c r="K443" i="1"/>
  <c r="V439" i="1"/>
  <c r="K439" i="1"/>
  <c r="V435" i="1"/>
  <c r="K435" i="1"/>
  <c r="V431" i="1"/>
  <c r="K431" i="1"/>
  <c r="V427" i="1"/>
  <c r="K427" i="1"/>
  <c r="V423" i="1"/>
  <c r="K423" i="1"/>
  <c r="V419" i="1"/>
  <c r="K419" i="1"/>
  <c r="K415" i="1"/>
  <c r="V415" i="1"/>
  <c r="K411" i="1"/>
  <c r="V411" i="1"/>
  <c r="K407" i="1"/>
  <c r="V407" i="1"/>
  <c r="K403" i="1"/>
  <c r="V403" i="1"/>
  <c r="K399" i="1"/>
  <c r="V399" i="1"/>
  <c r="K395" i="1"/>
  <c r="V395" i="1"/>
  <c r="K391" i="1"/>
  <c r="V391" i="1"/>
  <c r="K387" i="1"/>
  <c r="V387" i="1"/>
  <c r="K383" i="1"/>
  <c r="V383" i="1"/>
  <c r="K379" i="1"/>
  <c r="V379" i="1"/>
  <c r="K375" i="1"/>
  <c r="V375" i="1"/>
  <c r="K371" i="1"/>
  <c r="V371" i="1"/>
  <c r="V367" i="1"/>
  <c r="K367" i="1"/>
  <c r="V363" i="1"/>
  <c r="K363" i="1"/>
  <c r="V359" i="1"/>
  <c r="K359" i="1"/>
  <c r="V355" i="1"/>
  <c r="K355" i="1"/>
  <c r="K351" i="1"/>
  <c r="V351" i="1"/>
  <c r="K347" i="1"/>
  <c r="V347" i="1"/>
  <c r="K343" i="1"/>
  <c r="V343" i="1"/>
  <c r="K339" i="1"/>
  <c r="V339" i="1"/>
  <c r="K335" i="1"/>
  <c r="V335" i="1"/>
  <c r="K331" i="1"/>
  <c r="V331" i="1"/>
  <c r="K327" i="1"/>
  <c r="V327" i="1"/>
  <c r="K323" i="1"/>
  <c r="V323" i="1"/>
  <c r="K319" i="1"/>
  <c r="V319" i="1"/>
  <c r="K315" i="1"/>
  <c r="V315" i="1"/>
  <c r="K311" i="1"/>
  <c r="V311" i="1"/>
  <c r="K307" i="1"/>
  <c r="V307" i="1"/>
  <c r="K303" i="1"/>
  <c r="V303" i="1"/>
  <c r="K299" i="1"/>
  <c r="V299" i="1"/>
  <c r="K295" i="1"/>
  <c r="V295" i="1"/>
  <c r="K291" i="1"/>
  <c r="V291" i="1"/>
  <c r="K287" i="1"/>
  <c r="V287" i="1"/>
  <c r="K283" i="1"/>
  <c r="V283" i="1"/>
  <c r="K279" i="1"/>
  <c r="V279" i="1"/>
  <c r="K275" i="1"/>
  <c r="V275" i="1"/>
  <c r="K271" i="1"/>
  <c r="V271" i="1"/>
  <c r="K267" i="1"/>
  <c r="V267" i="1"/>
  <c r="K263" i="1"/>
  <c r="V263" i="1"/>
  <c r="K259" i="1"/>
  <c r="V259" i="1"/>
  <c r="K255" i="1"/>
  <c r="V255" i="1"/>
  <c r="K251" i="1"/>
  <c r="V251" i="1"/>
  <c r="K247" i="1"/>
  <c r="V247" i="1"/>
  <c r="K243" i="1"/>
  <c r="V243" i="1"/>
  <c r="K239" i="1"/>
  <c r="V239" i="1"/>
  <c r="K235" i="1"/>
  <c r="V235" i="1"/>
  <c r="K231" i="1"/>
  <c r="V231" i="1"/>
  <c r="K227" i="1"/>
  <c r="V227" i="1"/>
  <c r="V223" i="1"/>
  <c r="K223" i="1"/>
  <c r="K219" i="1"/>
  <c r="V219" i="1"/>
  <c r="V215" i="1"/>
  <c r="K215" i="1"/>
  <c r="K211" i="1"/>
  <c r="V211" i="1"/>
  <c r="V207" i="1"/>
  <c r="K207" i="1"/>
  <c r="K203" i="1"/>
  <c r="V203" i="1"/>
  <c r="V199" i="1"/>
  <c r="K199" i="1"/>
  <c r="K195" i="1"/>
  <c r="V195" i="1"/>
  <c r="K191" i="1"/>
  <c r="V191" i="1"/>
  <c r="K187" i="1"/>
  <c r="V187" i="1"/>
  <c r="K183" i="1"/>
  <c r="V183" i="1"/>
  <c r="V179" i="1"/>
  <c r="K179" i="1"/>
  <c r="K175" i="1"/>
  <c r="V175" i="1"/>
  <c r="K171" i="1"/>
  <c r="V171" i="1"/>
  <c r="K167" i="1"/>
  <c r="V167" i="1"/>
  <c r="V163" i="1"/>
  <c r="K163" i="1"/>
  <c r="K159" i="1"/>
  <c r="V159" i="1"/>
  <c r="V155" i="1"/>
  <c r="K155" i="1"/>
  <c r="K151" i="1"/>
  <c r="V151" i="1"/>
  <c r="V147" i="1"/>
  <c r="K147" i="1"/>
  <c r="K143" i="1"/>
  <c r="V143" i="1"/>
  <c r="V139" i="1"/>
  <c r="K139" i="1"/>
  <c r="K135" i="1"/>
  <c r="V135" i="1"/>
  <c r="K131" i="1"/>
  <c r="V131" i="1"/>
  <c r="K127" i="1"/>
  <c r="V127" i="1"/>
  <c r="K123" i="1"/>
  <c r="V123" i="1"/>
  <c r="K119" i="1"/>
  <c r="V119" i="1"/>
  <c r="K115" i="1"/>
  <c r="V115" i="1"/>
  <c r="K111" i="1"/>
  <c r="V111" i="1"/>
  <c r="V107" i="1"/>
  <c r="K107" i="1"/>
  <c r="K62" i="1"/>
  <c r="V62" i="1"/>
  <c r="K22" i="2"/>
  <c r="K24" i="2" s="1"/>
  <c r="K23" i="2"/>
  <c r="R2" i="1" l="1"/>
  <c r="I19" i="2"/>
  <c r="P7" i="1"/>
  <c r="I18" i="2"/>
  <c r="P6" i="1"/>
  <c r="I57" i="2"/>
  <c r="U57" i="2" s="1"/>
  <c r="P16" i="1"/>
  <c r="I75" i="2"/>
  <c r="P10" i="1"/>
  <c r="I38" i="2"/>
  <c r="U38" i="2" s="1"/>
  <c r="P8" i="1"/>
  <c r="J13" i="2"/>
  <c r="H12" i="2"/>
  <c r="I11" i="2"/>
  <c r="I49" i="2"/>
  <c r="U49" i="2" s="1"/>
  <c r="I27" i="2"/>
  <c r="I37" i="2"/>
  <c r="I80" i="2"/>
  <c r="I22" i="2"/>
  <c r="I12" i="2"/>
  <c r="U12" i="2" s="1"/>
  <c r="I81" i="2"/>
  <c r="U81" i="2" s="1"/>
  <c r="I30" i="2"/>
  <c r="I73" i="2"/>
  <c r="U73" i="2" s="1"/>
  <c r="I72" i="2"/>
  <c r="I40" i="2"/>
  <c r="I50" i="2"/>
  <c r="I100" i="2"/>
  <c r="I79" i="2"/>
  <c r="I83" i="2"/>
  <c r="I58" i="2"/>
  <c r="I28" i="2"/>
  <c r="U28" i="2" s="1"/>
  <c r="I132" i="2"/>
  <c r="U132" i="2" s="1"/>
  <c r="I10" i="2"/>
  <c r="U10" i="2" s="1"/>
  <c r="I26" i="2"/>
  <c r="I14" i="2"/>
  <c r="I20" i="2"/>
  <c r="U20" i="2" s="1"/>
  <c r="I36" i="2"/>
  <c r="K25" i="2"/>
  <c r="K26" i="2" s="1"/>
  <c r="K27" i="2" s="1"/>
  <c r="K28" i="2" s="1"/>
  <c r="K29" i="2" s="1"/>
  <c r="H4" i="2"/>
  <c r="H5" i="2"/>
  <c r="P2" i="1" l="1"/>
  <c r="U1" i="2"/>
  <c r="J14" i="2"/>
  <c r="J15" i="2"/>
  <c r="H15" i="2" s="1"/>
  <c r="H13" i="2"/>
  <c r="J9" i="1" s="1"/>
  <c r="I9" i="2"/>
  <c r="K31" i="2"/>
  <c r="K33" i="2" s="1"/>
  <c r="K45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30" i="2"/>
  <c r="K32" i="2" s="1"/>
  <c r="K34" i="2" s="1"/>
  <c r="H7" i="2"/>
  <c r="J4" i="1" s="1"/>
  <c r="S9" i="1" l="1"/>
  <c r="T9" i="1" s="1"/>
  <c r="S4" i="1"/>
  <c r="T4" i="1" s="1"/>
  <c r="K9" i="1"/>
  <c r="J16" i="2"/>
  <c r="J17" i="2" s="1"/>
  <c r="H14" i="2"/>
  <c r="K46" i="2"/>
  <c r="K35" i="2"/>
  <c r="K36" i="2" s="1"/>
  <c r="K37" i="2" s="1"/>
  <c r="K38" i="2" s="1"/>
  <c r="K39" i="2" s="1"/>
  <c r="K4" i="1"/>
  <c r="U9" i="1" l="1"/>
  <c r="W9" i="1"/>
  <c r="V4" i="1"/>
  <c r="AC4" i="1" s="1"/>
  <c r="L4" i="1" s="1"/>
  <c r="U4" i="1"/>
  <c r="W4" i="1"/>
  <c r="J18" i="2"/>
  <c r="H17" i="2"/>
  <c r="I17" i="2" s="1"/>
  <c r="V9" i="1"/>
  <c r="AC9" i="1" s="1"/>
  <c r="L9" i="1" s="1"/>
  <c r="K41" i="2"/>
  <c r="K43" i="2" s="1"/>
  <c r="K40" i="2"/>
  <c r="K42" i="2" s="1"/>
  <c r="K44" i="2" s="1"/>
  <c r="H18" i="2" l="1"/>
  <c r="J19" i="2"/>
  <c r="K197" i="2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J20" i="2" l="1"/>
  <c r="H19" i="2"/>
  <c r="H20" i="2" l="1"/>
  <c r="J21" i="2"/>
  <c r="J23" i="2" l="1"/>
  <c r="H23" i="2" s="1"/>
  <c r="H21" i="2"/>
  <c r="J22" i="2"/>
  <c r="H22" i="2" l="1"/>
  <c r="J24" i="2"/>
  <c r="J25" i="2" s="1"/>
  <c r="J26" i="2" l="1"/>
  <c r="H25" i="2"/>
  <c r="I25" i="2" s="1"/>
  <c r="J27" i="2" l="1"/>
  <c r="H26" i="2"/>
  <c r="H27" i="2" l="1"/>
  <c r="J28" i="2"/>
  <c r="H28" i="2" l="1"/>
  <c r="J29" i="2"/>
  <c r="H29" i="2" l="1"/>
  <c r="J31" i="2"/>
  <c r="J30" i="2"/>
  <c r="J32" i="2" l="1"/>
  <c r="H30" i="2"/>
  <c r="H31" i="2"/>
  <c r="J33" i="2"/>
  <c r="J45" i="2" l="1"/>
  <c r="H33" i="2"/>
  <c r="H32" i="2"/>
  <c r="J34" i="2"/>
  <c r="J35" i="2" l="1"/>
  <c r="J46" i="2"/>
  <c r="H46" i="2" s="1"/>
  <c r="J47" i="2"/>
  <c r="H45" i="2"/>
  <c r="I45" i="2" s="1"/>
  <c r="H47" i="2" l="1"/>
  <c r="J48" i="2"/>
  <c r="J36" i="2"/>
  <c r="H35" i="2"/>
  <c r="I35" i="2" s="1"/>
  <c r="J49" i="2" l="1"/>
  <c r="H48" i="2"/>
  <c r="J13" i="1" s="1"/>
  <c r="J37" i="2"/>
  <c r="H36" i="2"/>
  <c r="S13" i="1" l="1"/>
  <c r="T13" i="1" s="1"/>
  <c r="H37" i="2"/>
  <c r="J38" i="2"/>
  <c r="K13" i="1"/>
  <c r="H49" i="2"/>
  <c r="J50" i="2"/>
  <c r="U13" i="1" l="1"/>
  <c r="W13" i="1"/>
  <c r="V13" i="1"/>
  <c r="AC13" i="1" s="1"/>
  <c r="L13" i="1" s="1"/>
  <c r="H38" i="2"/>
  <c r="J39" i="2"/>
  <c r="H50" i="2"/>
  <c r="J51" i="2"/>
  <c r="J41" i="2" l="1"/>
  <c r="H39" i="2"/>
  <c r="J40" i="2"/>
  <c r="H51" i="2"/>
  <c r="J52" i="2"/>
  <c r="J53" i="2" s="1"/>
  <c r="H40" i="2" l="1"/>
  <c r="J42" i="2"/>
  <c r="H53" i="2"/>
  <c r="I53" i="2" s="1"/>
  <c r="I5" i="2" s="1"/>
  <c r="J54" i="2"/>
  <c r="J43" i="2"/>
  <c r="H43" i="2" s="1"/>
  <c r="H41" i="2"/>
  <c r="H54" i="2" l="1"/>
  <c r="J11" i="1" s="1"/>
  <c r="J55" i="2"/>
  <c r="J44" i="2"/>
  <c r="H42" i="2"/>
  <c r="J67" i="1" s="1"/>
  <c r="S67" i="1" l="1"/>
  <c r="T67" i="1" s="1"/>
  <c r="S11" i="1"/>
  <c r="T11" i="1" s="1"/>
  <c r="K11" i="1"/>
  <c r="K67" i="1"/>
  <c r="J56" i="2"/>
  <c r="H55" i="2"/>
  <c r="J12" i="1" s="1"/>
  <c r="W11" i="1" l="1"/>
  <c r="U67" i="1"/>
  <c r="W67" i="1"/>
  <c r="U11" i="1"/>
  <c r="S12" i="1"/>
  <c r="T12" i="1" s="1"/>
  <c r="V67" i="1"/>
  <c r="K12" i="1"/>
  <c r="H56" i="2"/>
  <c r="J57" i="2"/>
  <c r="V11" i="1"/>
  <c r="AC11" i="1" s="1"/>
  <c r="L11" i="1" s="1"/>
  <c r="W12" i="1" l="1"/>
  <c r="U12" i="1"/>
  <c r="V12" i="1"/>
  <c r="J58" i="2"/>
  <c r="H57" i="2"/>
  <c r="J16" i="1" s="1"/>
  <c r="S16" i="1" l="1"/>
  <c r="T16" i="1" s="1"/>
  <c r="H58" i="2"/>
  <c r="J59" i="2"/>
  <c r="K16" i="1"/>
  <c r="W16" i="1" l="1"/>
  <c r="U16" i="1"/>
  <c r="V16" i="1"/>
  <c r="AC16" i="1" s="1"/>
  <c r="L16" i="1" s="1"/>
  <c r="J60" i="2"/>
  <c r="J61" i="2" s="1"/>
  <c r="H59" i="2"/>
  <c r="H61" i="2" l="1"/>
  <c r="J62" i="2"/>
  <c r="J63" i="2" s="1"/>
  <c r="H63" i="2" l="1"/>
  <c r="J64" i="2"/>
  <c r="J65" i="2" l="1"/>
  <c r="H64" i="2"/>
  <c r="J66" i="2" l="1"/>
  <c r="H65" i="2"/>
  <c r="J67" i="2" l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H66" i="2"/>
  <c r="J41" i="1" s="1"/>
  <c r="S41" i="1" l="1"/>
  <c r="T41" i="1" s="1"/>
  <c r="J96" i="2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97" i="2"/>
  <c r="H97" i="2" s="1"/>
  <c r="H93" i="2"/>
  <c r="I93" i="2" s="1"/>
  <c r="K41" i="1"/>
  <c r="H94" i="2"/>
  <c r="J5" i="1" s="1"/>
  <c r="U41" i="1" l="1"/>
  <c r="S5" i="1"/>
  <c r="T5" i="1" s="1"/>
  <c r="W41" i="1"/>
  <c r="J74" i="1"/>
  <c r="J132" i="2"/>
  <c r="J133" i="2"/>
  <c r="H133" i="2" s="1"/>
  <c r="V41" i="1"/>
  <c r="K5" i="1"/>
  <c r="H95" i="2"/>
  <c r="J17" i="1" s="1"/>
  <c r="U5" i="1" l="1"/>
  <c r="W5" i="1"/>
  <c r="S17" i="1"/>
  <c r="T17" i="1" s="1"/>
  <c r="S74" i="1"/>
  <c r="T74" i="1" s="1"/>
  <c r="K74" i="1"/>
  <c r="J134" i="2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H96" i="2"/>
  <c r="K17" i="1"/>
  <c r="V5" i="1"/>
  <c r="AC5" i="1" s="1"/>
  <c r="L5" i="1" s="1"/>
  <c r="W74" i="1" l="1"/>
  <c r="U17" i="1"/>
  <c r="W17" i="1"/>
  <c r="U74" i="1"/>
  <c r="V74" i="1"/>
  <c r="AC74" i="1" s="1"/>
  <c r="L74" i="1" s="1"/>
  <c r="J153" i="2"/>
  <c r="J154" i="2" s="1"/>
  <c r="H152" i="2"/>
  <c r="V17" i="1"/>
  <c r="H132" i="2" l="1"/>
  <c r="J18" i="1" l="1"/>
  <c r="S18" i="1" s="1"/>
  <c r="T18" i="1" s="1"/>
  <c r="U18" i="1" l="1"/>
  <c r="K18" i="1"/>
  <c r="H68" i="2"/>
  <c r="W18" i="1" l="1"/>
  <c r="V18" i="1"/>
  <c r="AC18" i="1" s="1"/>
  <c r="L18" i="1" s="1"/>
  <c r="H69" i="2"/>
  <c r="J20" i="1" s="1"/>
  <c r="S20" i="1" l="1"/>
  <c r="T20" i="1" s="1"/>
  <c r="K20" i="1"/>
  <c r="W20" i="1" l="1"/>
  <c r="U20" i="1"/>
  <c r="V20" i="1"/>
  <c r="H71" i="2"/>
  <c r="I71" i="2" s="1"/>
  <c r="H72" i="2" l="1"/>
  <c r="H73" i="2" l="1"/>
  <c r="H74" i="2" l="1"/>
  <c r="H75" i="2" l="1"/>
  <c r="H76" i="2" l="1"/>
  <c r="H78" i="2" l="1"/>
  <c r="I78" i="2" s="1"/>
  <c r="I68" i="2" s="1"/>
  <c r="H79" i="2" l="1"/>
  <c r="H80" i="2" l="1"/>
  <c r="H81" i="2" l="1"/>
  <c r="H82" i="2" l="1"/>
  <c r="H83" i="2" l="1"/>
  <c r="H84" i="2" l="1"/>
  <c r="H86" i="2" l="1"/>
  <c r="J19" i="1" s="1"/>
  <c r="S19" i="1" l="1"/>
  <c r="T19" i="1" s="1"/>
  <c r="K19" i="1"/>
  <c r="H87" i="2"/>
  <c r="J24" i="1" s="1"/>
  <c r="W19" i="1" l="1"/>
  <c r="S24" i="1"/>
  <c r="T24" i="1" s="1"/>
  <c r="U19" i="1"/>
  <c r="K24" i="1"/>
  <c r="H88" i="2"/>
  <c r="V19" i="1"/>
  <c r="AC19" i="1" s="1"/>
  <c r="L19" i="1" s="1"/>
  <c r="W24" i="1" l="1"/>
  <c r="U24" i="1"/>
  <c r="H89" i="2"/>
  <c r="J36" i="1" s="1"/>
  <c r="V24" i="1"/>
  <c r="S36" i="1" l="1"/>
  <c r="T36" i="1" s="1"/>
  <c r="K36" i="1"/>
  <c r="H90" i="2"/>
  <c r="U36" i="1" l="1"/>
  <c r="W36" i="1"/>
  <c r="V36" i="1"/>
  <c r="AC36" i="1" s="1"/>
  <c r="L36" i="1" s="1"/>
  <c r="H91" i="2"/>
  <c r="H101" i="2" l="1"/>
  <c r="H104" i="2" l="1"/>
  <c r="H103" i="2"/>
  <c r="H102" i="2"/>
  <c r="H105" i="2" l="1"/>
  <c r="H106" i="2" l="1"/>
  <c r="H107" i="2" l="1"/>
  <c r="H108" i="2" l="1"/>
  <c r="H109" i="2" l="1"/>
  <c r="H110" i="2" l="1"/>
  <c r="H111" i="2" l="1"/>
  <c r="H112" i="2" l="1"/>
  <c r="H113" i="2" l="1"/>
  <c r="H114" i="2" l="1"/>
  <c r="H115" i="2" l="1"/>
  <c r="H116" i="2" l="1"/>
  <c r="H117" i="2" l="1"/>
  <c r="H118" i="2" l="1"/>
  <c r="H119" i="2" l="1"/>
  <c r="H120" i="2" l="1"/>
  <c r="H121" i="2" l="1"/>
  <c r="H122" i="2" l="1"/>
  <c r="H123" i="2" l="1"/>
  <c r="H124" i="2" l="1"/>
  <c r="H125" i="2" l="1"/>
  <c r="H126" i="2" l="1"/>
  <c r="J70" i="1" s="1"/>
  <c r="S70" i="1" l="1"/>
  <c r="T70" i="1" s="1"/>
  <c r="H127" i="2"/>
  <c r="K70" i="1"/>
  <c r="U70" i="1" l="1"/>
  <c r="W70" i="1"/>
  <c r="V70" i="1"/>
  <c r="H128" i="2"/>
  <c r="H130" i="2" l="1"/>
  <c r="H129" i="2"/>
  <c r="H136" i="2" l="1"/>
  <c r="H137" i="2" l="1"/>
  <c r="I137" i="2" s="1"/>
  <c r="H138" i="2" l="1"/>
  <c r="H139" i="2" l="1"/>
  <c r="H140" i="2" l="1"/>
  <c r="H141" i="2" l="1"/>
  <c r="H142" i="2" l="1"/>
  <c r="H143" i="2" l="1"/>
  <c r="H144" i="2" l="1"/>
  <c r="H145" i="2" l="1"/>
  <c r="H146" i="2" l="1"/>
  <c r="H147" i="2" l="1"/>
  <c r="H148" i="2" l="1"/>
  <c r="H149" i="2" l="1"/>
  <c r="H150" i="2" l="1"/>
  <c r="H151" i="2" l="1"/>
  <c r="J48" i="1" s="1"/>
  <c r="S48" i="1" l="1"/>
  <c r="T48" i="1" s="1"/>
  <c r="K48" i="1"/>
  <c r="H153" i="2"/>
  <c r="U48" i="1" l="1"/>
  <c r="W48" i="1"/>
  <c r="V48" i="1"/>
  <c r="H154" i="2"/>
  <c r="J155" i="2"/>
  <c r="H155" i="2" l="1"/>
  <c r="J156" i="2"/>
  <c r="H156" i="2" l="1"/>
  <c r="J157" i="2"/>
  <c r="J158" i="2" l="1"/>
  <c r="J159" i="2" l="1"/>
  <c r="H159" i="2" l="1"/>
  <c r="I159" i="2" s="1"/>
  <c r="J160" i="2"/>
  <c r="H160" i="2" l="1"/>
  <c r="J32" i="1" s="1"/>
  <c r="J161" i="2"/>
  <c r="S32" i="1" l="1"/>
  <c r="T32" i="1" s="1"/>
  <c r="K32" i="1"/>
  <c r="J162" i="2"/>
  <c r="H161" i="2"/>
  <c r="J33" i="1" s="1"/>
  <c r="U32" i="1" l="1"/>
  <c r="W32" i="1"/>
  <c r="S33" i="1"/>
  <c r="T33" i="1" s="1"/>
  <c r="K33" i="1"/>
  <c r="V32" i="1"/>
  <c r="AC32" i="1" s="1"/>
  <c r="L32" i="1" s="1"/>
  <c r="H162" i="2"/>
  <c r="J34" i="1" s="1"/>
  <c r="J163" i="2"/>
  <c r="U33" i="1" l="1"/>
  <c r="S34" i="1"/>
  <c r="T34" i="1" s="1"/>
  <c r="W33" i="1"/>
  <c r="K34" i="1"/>
  <c r="V33" i="1"/>
  <c r="AC33" i="1" s="1"/>
  <c r="L33" i="1" s="1"/>
  <c r="H163" i="2"/>
  <c r="J164" i="2"/>
  <c r="U34" i="1" l="1"/>
  <c r="W34" i="1"/>
  <c r="V34" i="1"/>
  <c r="AC34" i="1" s="1"/>
  <c r="L34" i="1" s="1"/>
  <c r="J165" i="2"/>
  <c r="H164" i="2"/>
  <c r="J35" i="1" s="1"/>
  <c r="S35" i="1" l="1"/>
  <c r="T35" i="1" s="1"/>
  <c r="K35" i="1"/>
  <c r="H165" i="2"/>
  <c r="J37" i="1" s="1"/>
  <c r="J166" i="2"/>
  <c r="U35" i="1" l="1"/>
  <c r="W35" i="1"/>
  <c r="S37" i="1"/>
  <c r="T37" i="1" s="1"/>
  <c r="K37" i="1"/>
  <c r="V35" i="1"/>
  <c r="AC35" i="1" s="1"/>
  <c r="L35" i="1" s="1"/>
  <c r="J167" i="2"/>
  <c r="H166" i="2"/>
  <c r="J38" i="1" s="1"/>
  <c r="U37" i="1" l="1"/>
  <c r="W37" i="1"/>
  <c r="S38" i="1"/>
  <c r="T38" i="1" s="1"/>
  <c r="K38" i="1"/>
  <c r="V37" i="1"/>
  <c r="AC37" i="1" s="1"/>
  <c r="L37" i="1" s="1"/>
  <c r="H167" i="2"/>
  <c r="J168" i="2"/>
  <c r="U38" i="1" l="1"/>
  <c r="W38" i="1"/>
  <c r="V38" i="1"/>
  <c r="AC38" i="1" s="1"/>
  <c r="L38" i="1" s="1"/>
  <c r="H168" i="2"/>
  <c r="J169" i="2"/>
  <c r="J170" i="2" l="1"/>
  <c r="H169" i="2"/>
  <c r="H170" i="2" l="1"/>
  <c r="J171" i="2"/>
  <c r="J172" i="2" s="1"/>
  <c r="H172" i="2" l="1"/>
  <c r="J173" i="2"/>
  <c r="H171" i="2"/>
  <c r="H173" i="2" l="1"/>
  <c r="J174" i="2"/>
  <c r="H174" i="2" l="1"/>
  <c r="J175" i="2"/>
  <c r="H175" i="2" l="1"/>
  <c r="J176" i="2"/>
  <c r="H176" i="2" l="1"/>
  <c r="J177" i="2"/>
  <c r="J178" i="2" l="1"/>
  <c r="H177" i="2"/>
  <c r="J179" i="2" l="1"/>
  <c r="J180" i="2" l="1"/>
  <c r="H179" i="2"/>
  <c r="I179" i="2" l="1"/>
  <c r="I136" i="2" s="1"/>
  <c r="J181" i="2"/>
  <c r="H180" i="2"/>
  <c r="J182" i="2" l="1"/>
  <c r="H181" i="2"/>
  <c r="H182" i="2" l="1"/>
  <c r="J21" i="1" s="1"/>
  <c r="J183" i="2"/>
  <c r="S21" i="1" l="1"/>
  <c r="T21" i="1" s="1"/>
  <c r="J184" i="2"/>
  <c r="H183" i="2"/>
  <c r="J22" i="1" s="1"/>
  <c r="K21" i="1"/>
  <c r="U21" i="1" l="1"/>
  <c r="W21" i="1"/>
  <c r="S22" i="1"/>
  <c r="T22" i="1" s="1"/>
  <c r="V21" i="1"/>
  <c r="AC21" i="1" s="1"/>
  <c r="L21" i="1" s="1"/>
  <c r="K22" i="1"/>
  <c r="H184" i="2"/>
  <c r="J185" i="2"/>
  <c r="U22" i="1" l="1"/>
  <c r="W22" i="1"/>
  <c r="V22" i="1"/>
  <c r="AC22" i="1" s="1"/>
  <c r="L22" i="1" s="1"/>
  <c r="H185" i="2"/>
  <c r="J186" i="2"/>
  <c r="J187" i="2" l="1"/>
  <c r="H186" i="2"/>
  <c r="J23" i="1" s="1"/>
  <c r="S23" i="1" l="1"/>
  <c r="T23" i="1" s="1"/>
  <c r="K23" i="1"/>
  <c r="H187" i="2"/>
  <c r="J63" i="1" s="1"/>
  <c r="J188" i="2"/>
  <c r="U23" i="1" l="1"/>
  <c r="W23" i="1"/>
  <c r="S63" i="1"/>
  <c r="T63" i="1" s="1"/>
  <c r="H188" i="2"/>
  <c r="J189" i="2"/>
  <c r="K63" i="1"/>
  <c r="V23" i="1"/>
  <c r="AC23" i="1" s="1"/>
  <c r="L23" i="1" s="1"/>
  <c r="U63" i="1" l="1"/>
  <c r="W63" i="1"/>
  <c r="J64" i="1"/>
  <c r="V63" i="1"/>
  <c r="AC63" i="1" s="1"/>
  <c r="L63" i="1" s="1"/>
  <c r="H189" i="2"/>
  <c r="J29" i="1" s="1"/>
  <c r="J190" i="2"/>
  <c r="J31" i="1"/>
  <c r="S31" i="1" l="1"/>
  <c r="T31" i="1" s="1"/>
  <c r="S29" i="1"/>
  <c r="T29" i="1" s="1"/>
  <c r="S64" i="1"/>
  <c r="T64" i="1" s="1"/>
  <c r="K64" i="1"/>
  <c r="H190" i="2"/>
  <c r="J191" i="2"/>
  <c r="J192" i="2" s="1"/>
  <c r="K29" i="1"/>
  <c r="K31" i="1"/>
  <c r="U29" i="1" l="1"/>
  <c r="U64" i="1"/>
  <c r="W64" i="1"/>
  <c r="U31" i="1"/>
  <c r="W31" i="1"/>
  <c r="W29" i="1"/>
  <c r="V64" i="1"/>
  <c r="AC64" i="1" s="1"/>
  <c r="L64" i="1" s="1"/>
  <c r="H192" i="2"/>
  <c r="J71" i="1" s="1"/>
  <c r="J193" i="2"/>
  <c r="V29" i="1"/>
  <c r="AC29" i="1" s="1"/>
  <c r="L29" i="1" s="1"/>
  <c r="H191" i="2"/>
  <c r="J30" i="1" s="1"/>
  <c r="V31" i="1"/>
  <c r="S30" i="1" l="1"/>
  <c r="T30" i="1" s="1"/>
  <c r="S71" i="1"/>
  <c r="T71" i="1" s="1"/>
  <c r="K71" i="1"/>
  <c r="H193" i="2"/>
  <c r="J194" i="2"/>
  <c r="K30" i="1"/>
  <c r="W71" i="1" l="1"/>
  <c r="U30" i="1"/>
  <c r="U71" i="1"/>
  <c r="W30" i="1"/>
  <c r="J28" i="1"/>
  <c r="S28" i="1" s="1"/>
  <c r="T28" i="1" s="1"/>
  <c r="J65" i="1"/>
  <c r="V71" i="1"/>
  <c r="H194" i="2"/>
  <c r="J195" i="2"/>
  <c r="V30" i="1"/>
  <c r="AC30" i="1" s="1"/>
  <c r="L30" i="1" s="1"/>
  <c r="S65" i="1" l="1"/>
  <c r="T65" i="1" s="1"/>
  <c r="K28" i="1"/>
  <c r="U28" i="1"/>
  <c r="J39" i="1"/>
  <c r="S39" i="1" s="1"/>
  <c r="T39" i="1" s="1"/>
  <c r="J66" i="1"/>
  <c r="K65" i="1"/>
  <c r="H195" i="2"/>
  <c r="J196" i="2"/>
  <c r="U65" i="1" l="1"/>
  <c r="W65" i="1"/>
  <c r="S66" i="1"/>
  <c r="T66" i="1" s="1"/>
  <c r="W28" i="1"/>
  <c r="V28" i="1"/>
  <c r="AC28" i="1" s="1"/>
  <c r="L28" i="1" s="1"/>
  <c r="U39" i="1"/>
  <c r="V65" i="1"/>
  <c r="AC65" i="1" s="1"/>
  <c r="L65" i="1" s="1"/>
  <c r="K66" i="1"/>
  <c r="K39" i="1"/>
  <c r="H196" i="2"/>
  <c r="J43" i="1" s="1"/>
  <c r="J197" i="2"/>
  <c r="U66" i="1" l="1"/>
  <c r="W66" i="1"/>
  <c r="S43" i="1"/>
  <c r="T43" i="1" s="1"/>
  <c r="W39" i="1"/>
  <c r="V39" i="1"/>
  <c r="AC39" i="1" s="1"/>
  <c r="L39" i="1" s="1"/>
  <c r="V66" i="1"/>
  <c r="AC66" i="1" s="1"/>
  <c r="L66" i="1" s="1"/>
  <c r="K43" i="1"/>
  <c r="H197" i="2"/>
  <c r="J44" i="1" s="1"/>
  <c r="J198" i="2"/>
  <c r="U43" i="1" l="1"/>
  <c r="S44" i="1"/>
  <c r="T44" i="1" s="1"/>
  <c r="W43" i="1"/>
  <c r="J199" i="2"/>
  <c r="K44" i="1"/>
  <c r="V43" i="1"/>
  <c r="AC43" i="1" s="1"/>
  <c r="L43" i="1" s="1"/>
  <c r="U44" i="1" l="1"/>
  <c r="W44" i="1"/>
  <c r="V44" i="1"/>
  <c r="AC44" i="1" s="1"/>
  <c r="L44" i="1" s="1"/>
  <c r="H199" i="2"/>
  <c r="I199" i="2" s="1"/>
  <c r="J200" i="2"/>
  <c r="J201" i="2" l="1"/>
  <c r="H200" i="2"/>
  <c r="J40" i="1" s="1"/>
  <c r="S40" i="1" l="1"/>
  <c r="T40" i="1" s="1"/>
  <c r="K40" i="1"/>
  <c r="H201" i="2"/>
  <c r="J73" i="1" s="1"/>
  <c r="J202" i="2"/>
  <c r="U40" i="1" l="1"/>
  <c r="W40" i="1"/>
  <c r="S73" i="1"/>
  <c r="T73" i="1" s="1"/>
  <c r="K73" i="1"/>
  <c r="J203" i="2"/>
  <c r="H202" i="2"/>
  <c r="V40" i="1"/>
  <c r="W73" i="1" l="1"/>
  <c r="U73" i="1"/>
  <c r="V73" i="1"/>
  <c r="H203" i="2"/>
  <c r="J204" i="2"/>
  <c r="H204" i="2" l="1"/>
  <c r="J52" i="1" s="1"/>
  <c r="J205" i="2"/>
  <c r="S52" i="1" l="1"/>
  <c r="T52" i="1" s="1"/>
  <c r="H205" i="2"/>
  <c r="J53" i="1" s="1"/>
  <c r="J206" i="2"/>
  <c r="K52" i="1"/>
  <c r="U52" i="1" l="1"/>
  <c r="W52" i="1"/>
  <c r="S53" i="1"/>
  <c r="T53" i="1" s="1"/>
  <c r="V52" i="1"/>
  <c r="J207" i="2"/>
  <c r="H206" i="2"/>
  <c r="J54" i="1" s="1"/>
  <c r="K53" i="1"/>
  <c r="U53" i="1" l="1"/>
  <c r="W53" i="1"/>
  <c r="S54" i="1"/>
  <c r="T54" i="1" s="1"/>
  <c r="K54" i="1"/>
  <c r="J208" i="2"/>
  <c r="V53" i="1"/>
  <c r="U54" i="1" l="1"/>
  <c r="W54" i="1"/>
  <c r="H208" i="2"/>
  <c r="I208" i="2" s="1"/>
  <c r="J209" i="2"/>
  <c r="V54" i="1"/>
  <c r="J210" i="2" l="1"/>
  <c r="H209" i="2"/>
  <c r="J55" i="1" s="1"/>
  <c r="S55" i="1" l="1"/>
  <c r="T55" i="1" s="1"/>
  <c r="K55" i="1"/>
  <c r="H210" i="2"/>
  <c r="J56" i="1" s="1"/>
  <c r="J211" i="2"/>
  <c r="U55" i="1" l="1"/>
  <c r="W55" i="1"/>
  <c r="S56" i="1"/>
  <c r="T56" i="1" s="1"/>
  <c r="H211" i="2"/>
  <c r="J57" i="1" s="1"/>
  <c r="J212" i="2"/>
  <c r="K56" i="1"/>
  <c r="V55" i="1"/>
  <c r="J10" i="1"/>
  <c r="J25" i="1"/>
  <c r="J6" i="1"/>
  <c r="J8" i="1"/>
  <c r="J14" i="1"/>
  <c r="J15" i="1"/>
  <c r="J27" i="1"/>
  <c r="U56" i="1" l="1"/>
  <c r="W56" i="1"/>
  <c r="S14" i="1"/>
  <c r="T14" i="1" s="1"/>
  <c r="S8" i="1"/>
  <c r="T8" i="1" s="1"/>
  <c r="S27" i="1"/>
  <c r="T27" i="1" s="1"/>
  <c r="S6" i="1"/>
  <c r="T6" i="1" s="1"/>
  <c r="S15" i="1"/>
  <c r="T15" i="1" s="1"/>
  <c r="S25" i="1"/>
  <c r="T25" i="1" s="1"/>
  <c r="S10" i="1"/>
  <c r="T10" i="1" s="1"/>
  <c r="S57" i="1"/>
  <c r="T57" i="1" s="1"/>
  <c r="V56" i="1"/>
  <c r="J213" i="2"/>
  <c r="K57" i="1"/>
  <c r="K8" i="1"/>
  <c r="K27" i="1"/>
  <c r="K6" i="1"/>
  <c r="K15" i="1"/>
  <c r="K25" i="1"/>
  <c r="K14" i="1"/>
  <c r="K10" i="1"/>
  <c r="U57" i="1" l="1"/>
  <c r="U6" i="1"/>
  <c r="W6" i="1"/>
  <c r="U14" i="1"/>
  <c r="W14" i="1"/>
  <c r="U27" i="1"/>
  <c r="W8" i="1"/>
  <c r="U25" i="1"/>
  <c r="U15" i="1"/>
  <c r="W15" i="1"/>
  <c r="U10" i="1"/>
  <c r="W10" i="1"/>
  <c r="W27" i="1"/>
  <c r="W25" i="1"/>
  <c r="W57" i="1"/>
  <c r="U8" i="1"/>
  <c r="J214" i="2"/>
  <c r="V57" i="1"/>
  <c r="AC57" i="1" s="1"/>
  <c r="L57" i="1" s="1"/>
  <c r="V14" i="1"/>
  <c r="AC14" i="1" s="1"/>
  <c r="L14" i="1" s="1"/>
  <c r="V15" i="1"/>
  <c r="AC15" i="1" s="1"/>
  <c r="L15" i="1" s="1"/>
  <c r="V27" i="1"/>
  <c r="V10" i="1"/>
  <c r="V25" i="1"/>
  <c r="AC25" i="1" s="1"/>
  <c r="L25" i="1" s="1"/>
  <c r="V6" i="1"/>
  <c r="V8" i="1"/>
  <c r="AC8" i="1" s="1"/>
  <c r="L8" i="1" s="1"/>
  <c r="J215" i="2" l="1"/>
  <c r="J216" i="2" l="1"/>
  <c r="J217" i="2" l="1"/>
  <c r="H217" i="2" l="1"/>
  <c r="I217" i="2" s="1"/>
  <c r="J218" i="2"/>
  <c r="J219" i="2" l="1"/>
  <c r="H218" i="2"/>
  <c r="J220" i="2" l="1"/>
  <c r="H219" i="2"/>
  <c r="J221" i="2" l="1"/>
  <c r="H220" i="2"/>
  <c r="H221" i="2" l="1"/>
  <c r="J42" i="1" s="1"/>
  <c r="J222" i="2"/>
  <c r="S42" i="1" l="1"/>
  <c r="T42" i="1" s="1"/>
  <c r="H222" i="2"/>
  <c r="J223" i="2"/>
  <c r="K42" i="1"/>
  <c r="U42" i="1" l="1"/>
  <c r="W42" i="1"/>
  <c r="V42" i="1"/>
  <c r="J224" i="2"/>
  <c r="H223" i="2"/>
  <c r="J225" i="2" l="1"/>
  <c r="H224" i="2"/>
  <c r="H225" i="2" l="1"/>
  <c r="J226" i="2"/>
  <c r="H226" i="2" l="1"/>
  <c r="J227" i="2"/>
  <c r="J228" i="2" l="1"/>
  <c r="H227" i="2"/>
  <c r="H228" i="2" l="1"/>
  <c r="I228" i="2" s="1"/>
  <c r="J229" i="2"/>
  <c r="H229" i="2" l="1"/>
  <c r="J45" i="1" s="1"/>
  <c r="J230" i="2"/>
  <c r="S45" i="1" l="1"/>
  <c r="T45" i="1" s="1"/>
  <c r="J231" i="2"/>
  <c r="H230" i="2"/>
  <c r="J46" i="1" s="1"/>
  <c r="K45" i="1"/>
  <c r="U45" i="1" l="1"/>
  <c r="S46" i="1"/>
  <c r="T46" i="1" s="1"/>
  <c r="W45" i="1"/>
  <c r="V45" i="1"/>
  <c r="K46" i="1"/>
  <c r="J232" i="2"/>
  <c r="H231" i="2"/>
  <c r="U46" i="1" l="1"/>
  <c r="W46" i="1"/>
  <c r="V46" i="1"/>
  <c r="H232" i="2"/>
  <c r="J47" i="1" s="1"/>
  <c r="J233" i="2"/>
  <c r="S47" i="1" l="1"/>
  <c r="T47" i="1" s="1"/>
  <c r="J234" i="2"/>
  <c r="H233" i="2"/>
  <c r="J49" i="1" s="1"/>
  <c r="K47" i="1"/>
  <c r="U47" i="1" l="1"/>
  <c r="W47" i="1"/>
  <c r="S49" i="1"/>
  <c r="T49" i="1" s="1"/>
  <c r="V47" i="1"/>
  <c r="K49" i="1"/>
  <c r="H234" i="2"/>
  <c r="J235" i="2"/>
  <c r="U49" i="1" l="1"/>
  <c r="W49" i="1"/>
  <c r="V49" i="1"/>
  <c r="J236" i="2"/>
  <c r="H235" i="2"/>
  <c r="J51" i="1"/>
  <c r="S51" i="1" l="1"/>
  <c r="T51" i="1" s="1"/>
  <c r="H236" i="2"/>
  <c r="J50" i="1" s="1"/>
  <c r="J237" i="2"/>
  <c r="K51" i="1"/>
  <c r="U51" i="1" l="1"/>
  <c r="W51" i="1"/>
  <c r="S50" i="1"/>
  <c r="T50" i="1" s="1"/>
  <c r="V51" i="1"/>
  <c r="H237" i="2"/>
  <c r="J238" i="2"/>
  <c r="K50" i="1"/>
  <c r="U50" i="1" l="1"/>
  <c r="W50" i="1"/>
  <c r="H238" i="2"/>
  <c r="I238" i="2" s="1"/>
  <c r="I4" i="2" s="1"/>
  <c r="J239" i="2"/>
  <c r="V50" i="1"/>
  <c r="J240" i="2" l="1"/>
  <c r="H239" i="2"/>
  <c r="J58" i="1" s="1"/>
  <c r="S58" i="1" l="1"/>
  <c r="T58" i="1" s="1"/>
  <c r="K58" i="1"/>
  <c r="H240" i="2"/>
  <c r="J59" i="1" s="1"/>
  <c r="J241" i="2"/>
  <c r="U58" i="1" l="1"/>
  <c r="W58" i="1"/>
  <c r="S59" i="1"/>
  <c r="T59" i="1" s="1"/>
  <c r="J242" i="2"/>
  <c r="J243" i="2" s="1"/>
  <c r="H241" i="2"/>
  <c r="J60" i="1" s="1"/>
  <c r="K59" i="1"/>
  <c r="V58" i="1"/>
  <c r="U59" i="1" l="1"/>
  <c r="W59" i="1"/>
  <c r="S60" i="1"/>
  <c r="T60" i="1" s="1"/>
  <c r="K60" i="1"/>
  <c r="J244" i="2"/>
  <c r="H243" i="2"/>
  <c r="J75" i="1" s="1"/>
  <c r="V59" i="1"/>
  <c r="AC59" i="1" s="1"/>
  <c r="L59" i="1" s="1"/>
  <c r="H242" i="2"/>
  <c r="J61" i="1" s="1"/>
  <c r="U60" i="1" l="1"/>
  <c r="W60" i="1"/>
  <c r="S75" i="1"/>
  <c r="T75" i="1" s="1"/>
  <c r="S61" i="1"/>
  <c r="T61" i="1" s="1"/>
  <c r="K75" i="1"/>
  <c r="J245" i="2"/>
  <c r="H244" i="2"/>
  <c r="J76" i="1" s="1"/>
  <c r="V60" i="1"/>
  <c r="AC60" i="1" s="1"/>
  <c r="L60" i="1" s="1"/>
  <c r="K61" i="1"/>
  <c r="W75" i="1" l="1"/>
  <c r="W61" i="1"/>
  <c r="U61" i="1"/>
  <c r="S76" i="1"/>
  <c r="T76" i="1" s="1"/>
  <c r="U75" i="1"/>
  <c r="K76" i="1"/>
  <c r="J246" i="2"/>
  <c r="H245" i="2"/>
  <c r="J77" i="1" s="1"/>
  <c r="V75" i="1"/>
  <c r="V61" i="1"/>
  <c r="U76" i="1" l="1"/>
  <c r="W76" i="1"/>
  <c r="S77" i="1"/>
  <c r="T77" i="1" s="1"/>
  <c r="K77" i="1"/>
  <c r="V76" i="1"/>
  <c r="H246" i="2"/>
  <c r="J78" i="1" s="1"/>
  <c r="J247" i="2"/>
  <c r="J26" i="1"/>
  <c r="J68" i="1"/>
  <c r="J69" i="1"/>
  <c r="U77" i="1" l="1"/>
  <c r="W77" i="1"/>
  <c r="S26" i="1"/>
  <c r="S69" i="1"/>
  <c r="T69" i="1" s="1"/>
  <c r="S78" i="1"/>
  <c r="T78" i="1" s="1"/>
  <c r="S68" i="1"/>
  <c r="T68" i="1" s="1"/>
  <c r="K78" i="1"/>
  <c r="V77" i="1"/>
  <c r="J248" i="2"/>
  <c r="H247" i="2"/>
  <c r="J79" i="1" s="1"/>
  <c r="K26" i="1"/>
  <c r="K69" i="1"/>
  <c r="K68" i="1"/>
  <c r="V26" i="1" l="1"/>
  <c r="AC26" i="1" s="1"/>
  <c r="L26" i="1" s="1"/>
  <c r="T26" i="1"/>
  <c r="W68" i="1"/>
  <c r="U78" i="1"/>
  <c r="W78" i="1"/>
  <c r="U26" i="1"/>
  <c r="W26" i="1"/>
  <c r="U69" i="1"/>
  <c r="W69" i="1"/>
  <c r="U68" i="1"/>
  <c r="S79" i="1"/>
  <c r="T79" i="1" s="1"/>
  <c r="K79" i="1"/>
  <c r="V78" i="1"/>
  <c r="J249" i="2"/>
  <c r="H248" i="2"/>
  <c r="J80" i="1" s="1"/>
  <c r="V68" i="1"/>
  <c r="V69" i="1"/>
  <c r="W79" i="1" l="1"/>
  <c r="U79" i="1"/>
  <c r="S80" i="1"/>
  <c r="T80" i="1" s="1"/>
  <c r="K80" i="1"/>
  <c r="V79" i="1"/>
  <c r="J250" i="2"/>
  <c r="H249" i="2"/>
  <c r="J81" i="1" s="1"/>
  <c r="J7" i="1"/>
  <c r="U80" i="1" l="1"/>
  <c r="W80" i="1"/>
  <c r="S81" i="1"/>
  <c r="T81" i="1" s="1"/>
  <c r="S7" i="1"/>
  <c r="T7" i="1" s="1"/>
  <c r="K81" i="1"/>
  <c r="V80" i="1"/>
  <c r="J251" i="2"/>
  <c r="H250" i="2"/>
  <c r="J82" i="1" s="1"/>
  <c r="K7" i="1"/>
  <c r="U81" i="1" l="1"/>
  <c r="W81" i="1"/>
  <c r="W7" i="1"/>
  <c r="U7" i="1"/>
  <c r="S82" i="1"/>
  <c r="T82" i="1" s="1"/>
  <c r="K82" i="1"/>
  <c r="V81" i="1"/>
  <c r="J252" i="2"/>
  <c r="H251" i="2"/>
  <c r="J83" i="1" s="1"/>
  <c r="V7" i="1"/>
  <c r="U82" i="1" l="1"/>
  <c r="S83" i="1"/>
  <c r="T83" i="1" s="1"/>
  <c r="W82" i="1"/>
  <c r="K83" i="1"/>
  <c r="V82" i="1"/>
  <c r="J253" i="2"/>
  <c r="H252" i="2"/>
  <c r="J84" i="1" s="1"/>
  <c r="U83" i="1" l="1"/>
  <c r="S84" i="1"/>
  <c r="T84" i="1" s="1"/>
  <c r="W83" i="1"/>
  <c r="K84" i="1"/>
  <c r="V83" i="1"/>
  <c r="J254" i="2"/>
  <c r="H253" i="2"/>
  <c r="J85" i="1" s="1"/>
  <c r="U84" i="1" l="1"/>
  <c r="S85" i="1"/>
  <c r="T85" i="1" s="1"/>
  <c r="W84" i="1"/>
  <c r="V84" i="1"/>
  <c r="K85" i="1"/>
  <c r="J255" i="2"/>
  <c r="H254" i="2"/>
  <c r="J86" i="1" s="1"/>
  <c r="U85" i="1" l="1"/>
  <c r="W85" i="1"/>
  <c r="S86" i="1"/>
  <c r="T86" i="1" s="1"/>
  <c r="K86" i="1"/>
  <c r="V85" i="1"/>
  <c r="J256" i="2"/>
  <c r="H255" i="2"/>
  <c r="J87" i="1" s="1"/>
  <c r="U86" i="1" l="1"/>
  <c r="W86" i="1"/>
  <c r="S87" i="1"/>
  <c r="T87" i="1" s="1"/>
  <c r="K87" i="1"/>
  <c r="V86" i="1"/>
  <c r="AC86" i="1" s="1"/>
  <c r="L86" i="1" s="1"/>
  <c r="J257" i="2"/>
  <c r="H256" i="2"/>
  <c r="J88" i="1" s="1"/>
  <c r="U87" i="1" l="1"/>
  <c r="W87" i="1"/>
  <c r="S88" i="1"/>
  <c r="T88" i="1" s="1"/>
  <c r="K88" i="1"/>
  <c r="V87" i="1"/>
  <c r="AC87" i="1" s="1"/>
  <c r="L87" i="1" s="1"/>
  <c r="J258" i="2"/>
  <c r="H257" i="2"/>
  <c r="J89" i="1" s="1"/>
  <c r="U88" i="1" l="1"/>
  <c r="W88" i="1"/>
  <c r="S89" i="1"/>
  <c r="T89" i="1" s="1"/>
  <c r="K89" i="1"/>
  <c r="V88" i="1"/>
  <c r="AC88" i="1" s="1"/>
  <c r="L88" i="1" s="1"/>
  <c r="J259" i="2"/>
  <c r="H258" i="2"/>
  <c r="J90" i="1" s="1"/>
  <c r="U89" i="1" l="1"/>
  <c r="W89" i="1"/>
  <c r="S90" i="1"/>
  <c r="T90" i="1" s="1"/>
  <c r="K90" i="1"/>
  <c r="V89" i="1"/>
  <c r="AC89" i="1" s="1"/>
  <c r="L89" i="1" s="1"/>
  <c r="J260" i="2"/>
  <c r="H259" i="2"/>
  <c r="J91" i="1" s="1"/>
  <c r="U90" i="1" l="1"/>
  <c r="W90" i="1"/>
  <c r="S91" i="1"/>
  <c r="T91" i="1" s="1"/>
  <c r="V90" i="1"/>
  <c r="AC90" i="1" s="1"/>
  <c r="L90" i="1" s="1"/>
  <c r="K91" i="1"/>
  <c r="J261" i="2"/>
  <c r="H260" i="2"/>
  <c r="J92" i="1" s="1"/>
  <c r="U91" i="1" l="1"/>
  <c r="W91" i="1"/>
  <c r="S92" i="1"/>
  <c r="T92" i="1" s="1"/>
  <c r="V91" i="1"/>
  <c r="AC91" i="1" s="1"/>
  <c r="L91" i="1" s="1"/>
  <c r="K92" i="1"/>
  <c r="J262" i="2"/>
  <c r="H261" i="2"/>
  <c r="J93" i="1" s="1"/>
  <c r="U92" i="1" l="1"/>
  <c r="W92" i="1"/>
  <c r="S93" i="1"/>
  <c r="T93" i="1" s="1"/>
  <c r="V92" i="1"/>
  <c r="AC92" i="1" s="1"/>
  <c r="L92" i="1" s="1"/>
  <c r="K93" i="1"/>
  <c r="J263" i="2"/>
  <c r="H262" i="2"/>
  <c r="J94" i="1" s="1"/>
  <c r="U93" i="1" l="1"/>
  <c r="W93" i="1"/>
  <c r="S94" i="1"/>
  <c r="T94" i="1" s="1"/>
  <c r="V93" i="1"/>
  <c r="AC93" i="1" s="1"/>
  <c r="L93" i="1" s="1"/>
  <c r="K94" i="1"/>
  <c r="J264" i="2"/>
  <c r="H263" i="2"/>
  <c r="J95" i="1" s="1"/>
  <c r="U94" i="1" l="1"/>
  <c r="W94" i="1"/>
  <c r="S95" i="1"/>
  <c r="T95" i="1" s="1"/>
  <c r="V94" i="1"/>
  <c r="AC94" i="1" s="1"/>
  <c r="L94" i="1" s="1"/>
  <c r="K95" i="1"/>
  <c r="J265" i="2"/>
  <c r="H264" i="2"/>
  <c r="J96" i="1" s="1"/>
  <c r="U95" i="1" l="1"/>
  <c r="W95" i="1"/>
  <c r="S96" i="1"/>
  <c r="T96" i="1" s="1"/>
  <c r="V95" i="1"/>
  <c r="AC95" i="1" s="1"/>
  <c r="L95" i="1" s="1"/>
  <c r="K96" i="1"/>
  <c r="J266" i="2"/>
  <c r="H265" i="2"/>
  <c r="J97" i="1" s="1"/>
  <c r="U96" i="1" l="1"/>
  <c r="W96" i="1"/>
  <c r="S97" i="1"/>
  <c r="T97" i="1" s="1"/>
  <c r="V96" i="1"/>
  <c r="AC96" i="1" s="1"/>
  <c r="K97" i="1"/>
  <c r="J267" i="2"/>
  <c r="H266" i="2"/>
  <c r="J98" i="1" s="1"/>
  <c r="U97" i="1" l="1"/>
  <c r="W97" i="1"/>
  <c r="S98" i="1"/>
  <c r="T98" i="1" s="1"/>
  <c r="AC2" i="1"/>
  <c r="L96" i="1"/>
  <c r="V97" i="1"/>
  <c r="K98" i="1"/>
  <c r="J268" i="2"/>
  <c r="H267" i="2"/>
  <c r="J99" i="1" s="1"/>
  <c r="U98" i="1" l="1"/>
  <c r="W98" i="1"/>
  <c r="S99" i="1"/>
  <c r="T99" i="1" s="1"/>
  <c r="V98" i="1"/>
  <c r="K99" i="1"/>
  <c r="J269" i="2"/>
  <c r="H268" i="2"/>
  <c r="J100" i="1" s="1"/>
  <c r="U99" i="1" l="1"/>
  <c r="W99" i="1"/>
  <c r="S100" i="1"/>
  <c r="T100" i="1" s="1"/>
  <c r="V99" i="1"/>
  <c r="K100" i="1"/>
  <c r="J270" i="2"/>
  <c r="H269" i="2"/>
  <c r="J101" i="1" s="1"/>
  <c r="W100" i="1" l="1"/>
  <c r="S101" i="1"/>
  <c r="T101" i="1" s="1"/>
  <c r="U100" i="1"/>
  <c r="V100" i="1"/>
  <c r="K101" i="1"/>
  <c r="J271" i="2"/>
  <c r="H270" i="2"/>
  <c r="J102" i="1" s="1"/>
  <c r="U101" i="1" l="1"/>
  <c r="W101" i="1"/>
  <c r="S102" i="1"/>
  <c r="T102" i="1" s="1"/>
  <c r="V101" i="1"/>
  <c r="K102" i="1"/>
  <c r="J272" i="2"/>
  <c r="H271" i="2"/>
  <c r="J103" i="1" s="1"/>
  <c r="U102" i="1" l="1"/>
  <c r="S103" i="1"/>
  <c r="T103" i="1" s="1"/>
  <c r="W102" i="1"/>
  <c r="V102" i="1"/>
  <c r="K103" i="1"/>
  <c r="K2" i="1" s="1"/>
  <c r="B2" i="12" s="1"/>
  <c r="J273" i="2"/>
  <c r="H272" i="2"/>
  <c r="U103" i="1" l="1"/>
  <c r="U2" i="1" s="1"/>
  <c r="W103" i="1"/>
  <c r="W2" i="1"/>
  <c r="C2" i="12" s="1"/>
  <c r="V103" i="1"/>
  <c r="V2" i="1" s="1"/>
  <c r="J274" i="2"/>
  <c r="H273" i="2"/>
  <c r="J275" i="2" l="1"/>
  <c r="H274" i="2"/>
  <c r="J276" i="2" l="1"/>
  <c r="H275" i="2"/>
  <c r="J277" i="2" l="1"/>
  <c r="H276" i="2"/>
  <c r="J278" i="2" l="1"/>
  <c r="H277" i="2"/>
  <c r="J279" i="2" l="1"/>
  <c r="H278" i="2"/>
  <c r="J280" i="2" l="1"/>
  <c r="H279" i="2"/>
  <c r="J281" i="2" l="1"/>
  <c r="H280" i="2"/>
  <c r="J282" i="2" l="1"/>
  <c r="H281" i="2"/>
  <c r="J283" i="2" l="1"/>
  <c r="H282" i="2"/>
  <c r="J284" i="2" l="1"/>
  <c r="H283" i="2"/>
  <c r="J285" i="2" l="1"/>
  <c r="H284" i="2"/>
  <c r="J286" i="2" l="1"/>
  <c r="H285" i="2"/>
  <c r="J287" i="2" l="1"/>
  <c r="H286" i="2"/>
  <c r="J288" i="2" l="1"/>
  <c r="H287" i="2"/>
  <c r="J289" i="2" l="1"/>
  <c r="H288" i="2"/>
  <c r="J290" i="2" l="1"/>
  <c r="H289" i="2"/>
  <c r="J291" i="2" l="1"/>
  <c r="H290" i="2"/>
  <c r="J292" i="2" l="1"/>
  <c r="H291" i="2"/>
  <c r="J293" i="2" l="1"/>
  <c r="H292" i="2"/>
  <c r="J294" i="2" l="1"/>
  <c r="H293" i="2"/>
  <c r="J295" i="2" l="1"/>
  <c r="H294" i="2"/>
  <c r="H295" i="2" l="1"/>
  <c r="J296" i="2"/>
  <c r="H296" i="2" l="1"/>
  <c r="J297" i="2"/>
  <c r="H297" i="2" l="1"/>
  <c r="J298" i="2"/>
  <c r="H298" i="2" l="1"/>
  <c r="J299" i="2"/>
  <c r="J300" i="2" l="1"/>
  <c r="H299" i="2"/>
  <c r="J301" i="2" l="1"/>
  <c r="H300" i="2"/>
  <c r="J302" i="2" l="1"/>
  <c r="H301" i="2"/>
  <c r="J303" i="2" l="1"/>
  <c r="H302" i="2"/>
  <c r="J304" i="2" l="1"/>
  <c r="H303" i="2"/>
  <c r="J305" i="2" l="1"/>
  <c r="H304" i="2"/>
  <c r="J306" i="2" l="1"/>
  <c r="H305" i="2"/>
  <c r="J307" i="2" l="1"/>
  <c r="H306" i="2"/>
  <c r="H307" i="2" l="1"/>
  <c r="J308" i="2"/>
  <c r="J309" i="2" l="1"/>
  <c r="H308" i="2"/>
  <c r="J310" i="2" l="1"/>
  <c r="H309" i="2"/>
  <c r="J311" i="2" l="1"/>
  <c r="H310" i="2"/>
  <c r="H311" i="2" l="1"/>
  <c r="J312" i="2"/>
  <c r="H312" i="2" l="1"/>
  <c r="J313" i="2"/>
  <c r="J314" i="2" l="1"/>
  <c r="H313" i="2"/>
  <c r="J315" i="2" l="1"/>
  <c r="H314" i="2"/>
  <c r="J316" i="2" l="1"/>
  <c r="H315" i="2"/>
  <c r="J317" i="2" l="1"/>
  <c r="H316" i="2"/>
  <c r="J318" i="2" l="1"/>
  <c r="H317" i="2"/>
  <c r="J319" i="2" l="1"/>
  <c r="H318" i="2"/>
  <c r="H319" i="2" l="1"/>
  <c r="J320" i="2"/>
  <c r="J321" i="2" l="1"/>
  <c r="H320" i="2"/>
  <c r="J322" i="2" l="1"/>
  <c r="H321" i="2"/>
  <c r="J323" i="2" l="1"/>
  <c r="H322" i="2"/>
  <c r="H323" i="2" l="1"/>
  <c r="J324" i="2"/>
  <c r="J325" i="2" l="1"/>
  <c r="H324" i="2"/>
  <c r="J326" i="2" l="1"/>
  <c r="H325" i="2"/>
  <c r="J327" i="2" l="1"/>
  <c r="H326" i="2"/>
  <c r="J328" i="2" l="1"/>
  <c r="H327" i="2"/>
  <c r="J329" i="2" l="1"/>
  <c r="H328" i="2"/>
  <c r="J330" i="2" l="1"/>
  <c r="H329" i="2"/>
  <c r="J331" i="2" l="1"/>
  <c r="H330" i="2"/>
  <c r="H331" i="2" l="1"/>
  <c r="J332" i="2"/>
  <c r="J333" i="2" l="1"/>
  <c r="H332" i="2"/>
  <c r="J334" i="2" l="1"/>
  <c r="H333" i="2"/>
  <c r="J335" i="2" l="1"/>
  <c r="H334" i="2"/>
  <c r="J336" i="2" l="1"/>
  <c r="H335" i="2"/>
  <c r="J337" i="2" l="1"/>
  <c r="H336" i="2"/>
  <c r="J338" i="2" l="1"/>
  <c r="H337" i="2"/>
  <c r="J339" i="2" l="1"/>
  <c r="H338" i="2"/>
  <c r="H339" i="2" l="1"/>
  <c r="J340" i="2"/>
  <c r="J341" i="2" l="1"/>
  <c r="H340" i="2"/>
  <c r="J342" i="2" l="1"/>
  <c r="H341" i="2"/>
  <c r="J343" i="2" l="1"/>
  <c r="H342" i="2"/>
  <c r="J344" i="2" l="1"/>
  <c r="H343" i="2"/>
  <c r="J345" i="2" l="1"/>
  <c r="H344" i="2"/>
  <c r="J346" i="2" l="1"/>
  <c r="H345" i="2"/>
  <c r="J347" i="2" l="1"/>
  <c r="H346" i="2"/>
  <c r="H347" i="2" l="1"/>
  <c r="J348" i="2"/>
  <c r="H348" i="2" l="1"/>
  <c r="J349" i="2"/>
  <c r="J350" i="2" l="1"/>
  <c r="H349" i="2"/>
  <c r="J351" i="2" l="1"/>
  <c r="H350" i="2"/>
  <c r="J352" i="2" l="1"/>
  <c r="H351" i="2"/>
  <c r="H352" i="2" l="1"/>
  <c r="J353" i="2"/>
  <c r="J354" i="2" l="1"/>
  <c r="H353" i="2"/>
  <c r="J355" i="2" l="1"/>
  <c r="H354" i="2"/>
  <c r="H355" i="2" l="1"/>
  <c r="J356" i="2"/>
  <c r="J357" i="2" l="1"/>
  <c r="H356" i="2"/>
  <c r="J358" i="2" l="1"/>
  <c r="H357" i="2"/>
  <c r="J359" i="2" l="1"/>
  <c r="H358" i="2"/>
  <c r="J360" i="2" l="1"/>
  <c r="H359" i="2"/>
  <c r="J361" i="2" l="1"/>
  <c r="H360" i="2"/>
  <c r="J362" i="2" l="1"/>
  <c r="H361" i="2"/>
  <c r="J363" i="2" l="1"/>
  <c r="H362" i="2"/>
  <c r="H363" i="2" l="1"/>
  <c r="J364" i="2"/>
  <c r="J365" i="2" l="1"/>
  <c r="H364" i="2"/>
  <c r="J366" i="2" l="1"/>
  <c r="H365" i="2"/>
  <c r="J367" i="2" l="1"/>
  <c r="H366" i="2"/>
  <c r="J368" i="2" l="1"/>
  <c r="H367" i="2"/>
  <c r="H368" i="2" l="1"/>
  <c r="J369" i="2"/>
  <c r="J370" i="2" l="1"/>
  <c r="H369" i="2"/>
  <c r="J371" i="2" l="1"/>
  <c r="H370" i="2"/>
  <c r="H371" i="2" l="1"/>
  <c r="J372" i="2"/>
  <c r="H372" i="2" l="1"/>
  <c r="J373" i="2"/>
  <c r="J374" i="2" l="1"/>
  <c r="H373" i="2"/>
  <c r="J375" i="2" l="1"/>
  <c r="H374" i="2"/>
  <c r="J376" i="2" l="1"/>
  <c r="H375" i="2"/>
  <c r="J377" i="2" l="1"/>
  <c r="H377" i="2" s="1"/>
  <c r="H376" i="2"/>
</calcChain>
</file>

<file path=xl/comments1.xml><?xml version="1.0" encoding="utf-8"?>
<comments xmlns="http://schemas.openxmlformats.org/spreadsheetml/2006/main">
  <authors>
    <author>ms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 xml:space="preserve">ms: Includes cost, tax, and shipping for all parts (even those already on hand), assuming we can buy only the precise quantity needed.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ms:</t>
        </r>
        <r>
          <rPr>
            <sz val="9"/>
            <color indexed="81"/>
            <rFont val="Tahoma"/>
            <family val="2"/>
          </rPr>
          <t xml:space="preserve">
Includes all mmoney we need to spend to get the parts we still do not have on hand. Includes tax, shipping, and excess material due to minimum buy quantities.
</t>
        </r>
      </text>
    </comment>
  </commentList>
</comments>
</file>

<file path=xl/sharedStrings.xml><?xml version="1.0" encoding="utf-8"?>
<sst xmlns="http://schemas.openxmlformats.org/spreadsheetml/2006/main" count="1855" uniqueCount="1101">
  <si>
    <t>Part number</t>
  </si>
  <si>
    <t>Part Number</t>
  </si>
  <si>
    <t>Description</t>
  </si>
  <si>
    <t>Supplier</t>
  </si>
  <si>
    <t>Web-link</t>
  </si>
  <si>
    <t xml:space="preserve">Cost </t>
  </si>
  <si>
    <t>Comments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</si>
  <si>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</si>
  <si>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</si>
  <si>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</si>
  <si>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</si>
  <si>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</si>
  <si>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</si>
  <si>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</si>
  <si>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</si>
  <si>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</si>
  <si>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</si>
  <si>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</si>
  <si>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</si>
  <si>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</si>
  <si>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</si>
  <si>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</si>
  <si>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A-0016</t>
  </si>
  <si>
    <t>A-0017</t>
  </si>
  <si>
    <t>A-0018</t>
  </si>
  <si>
    <t>A-0019</t>
  </si>
  <si>
    <t>A-0020</t>
  </si>
  <si>
    <t>A-0021</t>
  </si>
  <si>
    <t>A-0022</t>
  </si>
  <si>
    <t>A-0023</t>
  </si>
  <si>
    <t>A-0024</t>
  </si>
  <si>
    <t>A-0025</t>
  </si>
  <si>
    <t>A-0026</t>
  </si>
  <si>
    <t>A-0027</t>
  </si>
  <si>
    <t>A-0028</t>
  </si>
  <si>
    <t>A-0029</t>
  </si>
  <si>
    <t>A-0030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</si>
  <si>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</si>
  <si>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</si>
  <si>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</si>
  <si>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</si>
  <si>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</si>
  <si>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</si>
  <si>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</si>
  <si>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</si>
  <si>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</si>
  <si>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A-0040</t>
  </si>
  <si>
    <t>A-0041</t>
  </si>
  <si>
    <t>A-0042</t>
  </si>
  <si>
    <t>A-0043</t>
  </si>
  <si>
    <t>A-0044</t>
  </si>
  <si>
    <t>A-0045</t>
  </si>
  <si>
    <t>A-0046</t>
  </si>
  <si>
    <t>A-0047</t>
  </si>
  <si>
    <t>A-0048</t>
  </si>
  <si>
    <t>A-0049</t>
  </si>
  <si>
    <t>A-0050</t>
  </si>
  <si>
    <t>A-0051</t>
  </si>
  <si>
    <t>A-0052</t>
  </si>
  <si>
    <t>A-0053</t>
  </si>
  <si>
    <t>A-0054</t>
  </si>
  <si>
    <t>A-0055</t>
  </si>
  <si>
    <t>A-0056</t>
  </si>
  <si>
    <t>A-0057</t>
  </si>
  <si>
    <t>A-0058</t>
  </si>
  <si>
    <t>A-0059</t>
  </si>
  <si>
    <t>A-0060</t>
  </si>
  <si>
    <t>A-0061</t>
  </si>
  <si>
    <t>A-0062</t>
  </si>
  <si>
    <t>A-0063</t>
  </si>
  <si>
    <t>A-0064</t>
  </si>
  <si>
    <t>A-0065</t>
  </si>
  <si>
    <t>A-0066</t>
  </si>
  <si>
    <t>A-0067</t>
  </si>
  <si>
    <t>A-0068</t>
  </si>
  <si>
    <t>A-0069</t>
  </si>
  <si>
    <t>A-0070</t>
  </si>
  <si>
    <t>A-0071</t>
  </si>
  <si>
    <t>A-0072</t>
  </si>
  <si>
    <t>A-0073</t>
  </si>
  <si>
    <t>A-0074</t>
  </si>
  <si>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</si>
  <si>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</si>
  <si>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</si>
  <si>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</si>
  <si>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</si>
  <si>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</si>
  <si>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</si>
  <si>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</si>
  <si>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</si>
  <si>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</si>
  <si>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</si>
  <si>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</si>
  <si>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</si>
  <si>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A-0088</t>
  </si>
  <si>
    <t>A-0089</t>
  </si>
  <si>
    <t>A-0090</t>
  </si>
  <si>
    <t>A-0091</t>
  </si>
  <si>
    <t>A-0092</t>
  </si>
  <si>
    <t>A-0093</t>
  </si>
  <si>
    <t>A-0094</t>
  </si>
  <si>
    <t>A-0095</t>
  </si>
  <si>
    <t>A-0096</t>
  </si>
  <si>
    <t>A-0097</t>
  </si>
  <si>
    <t>A-0098</t>
  </si>
  <si>
    <t>A-0099</t>
  </si>
  <si>
    <t>A-0100</t>
  </si>
  <si>
    <t>A-0101</t>
  </si>
  <si>
    <t>A-0102</t>
  </si>
  <si>
    <t>A-0103</t>
  </si>
  <si>
    <t>A-0104</t>
  </si>
  <si>
    <t>A-0105</t>
  </si>
  <si>
    <t>A-0106</t>
  </si>
  <si>
    <t>A-0107</t>
  </si>
  <si>
    <t>A-0108</t>
  </si>
  <si>
    <t>A-0109</t>
  </si>
  <si>
    <t>A-0110</t>
  </si>
  <si>
    <t>A-0111</t>
  </si>
  <si>
    <t>A-0112</t>
  </si>
  <si>
    <t>A-0113</t>
  </si>
  <si>
    <t>A-0114</t>
  </si>
  <si>
    <t>A-0115</t>
  </si>
  <si>
    <t>A-0116</t>
  </si>
  <si>
    <t>A-0117</t>
  </si>
  <si>
    <t>A-0118</t>
  </si>
  <si>
    <t>A-0119</t>
  </si>
  <si>
    <t>A-0120</t>
  </si>
  <si>
    <t>A-0121</t>
  </si>
  <si>
    <t>A-0122</t>
  </si>
  <si>
    <t>A-0123</t>
  </si>
  <si>
    <t>A-0124</t>
  </si>
  <si>
    <t>A-0125</t>
  </si>
  <si>
    <t>A-0126</t>
  </si>
  <si>
    <t>A-0127</t>
  </si>
  <si>
    <t>A-0128</t>
  </si>
  <si>
    <t>A-0129</t>
  </si>
  <si>
    <t>A-0130</t>
  </si>
  <si>
    <t>A-0131</t>
  </si>
  <si>
    <t>A-0132</t>
  </si>
  <si>
    <t>A-0133</t>
  </si>
  <si>
    <t>A-0134</t>
  </si>
  <si>
    <t>A-0135</t>
  </si>
  <si>
    <t>A-0136</t>
  </si>
  <si>
    <t>A-0137</t>
  </si>
  <si>
    <t>A-0138</t>
  </si>
  <si>
    <t>A-0139</t>
  </si>
  <si>
    <t>A-0140</t>
  </si>
  <si>
    <t>A-0141</t>
  </si>
  <si>
    <t>A-0142</t>
  </si>
  <si>
    <t>A-0143</t>
  </si>
  <si>
    <t>A-0144</t>
  </si>
  <si>
    <t>A-0145</t>
  </si>
  <si>
    <t>A-0146</t>
  </si>
  <si>
    <t>A-0147</t>
  </si>
  <si>
    <t>A-0148</t>
  </si>
  <si>
    <t>A-0149</t>
  </si>
  <si>
    <t>A-0150</t>
  </si>
  <si>
    <t>A-0151</t>
  </si>
  <si>
    <t>A-0152</t>
  </si>
  <si>
    <t>A-0153</t>
  </si>
  <si>
    <t>A-0154</t>
  </si>
  <si>
    <t>A-0155</t>
  </si>
  <si>
    <t>A-0156</t>
  </si>
  <si>
    <t>A-0157</t>
  </si>
  <si>
    <t>A-0158</t>
  </si>
  <si>
    <t>A-0159</t>
  </si>
  <si>
    <t>A-0160</t>
  </si>
  <si>
    <t>A-0161</t>
  </si>
  <si>
    <t>A-0162</t>
  </si>
  <si>
    <t>A-0163</t>
  </si>
  <si>
    <t>A-0164</t>
  </si>
  <si>
    <t>A-0165</t>
  </si>
  <si>
    <t>A-0166</t>
  </si>
  <si>
    <t>A-0167</t>
  </si>
  <si>
    <t>A-0168</t>
  </si>
  <si>
    <t>A-0169</t>
  </si>
  <si>
    <t>A-0170</t>
  </si>
  <si>
    <t>A-0171</t>
  </si>
  <si>
    <t>A-0172</t>
  </si>
  <si>
    <t>A-0173</t>
  </si>
  <si>
    <t>A-0174</t>
  </si>
  <si>
    <t>A-0175</t>
  </si>
  <si>
    <t>A-0176</t>
  </si>
  <si>
    <t>A-0177</t>
  </si>
  <si>
    <t>A-0178</t>
  </si>
  <si>
    <t>A-0179</t>
  </si>
  <si>
    <t>A-0180</t>
  </si>
  <si>
    <t>A-0181</t>
  </si>
  <si>
    <t>A-0182</t>
  </si>
  <si>
    <t>A-0183</t>
  </si>
  <si>
    <t>A-0184</t>
  </si>
  <si>
    <t>A-0185</t>
  </si>
  <si>
    <t>A-0186</t>
  </si>
  <si>
    <t>A-0187</t>
  </si>
  <si>
    <t>A-0188</t>
  </si>
  <si>
    <t>A-0189</t>
  </si>
  <si>
    <t>A-0190</t>
  </si>
  <si>
    <t>A-0191</t>
  </si>
  <si>
    <t>A-0192</t>
  </si>
  <si>
    <t>A-0193</t>
  </si>
  <si>
    <t>A-0194</t>
  </si>
  <si>
    <t>A-0195</t>
  </si>
  <si>
    <t>A-0196</t>
  </si>
  <si>
    <t>A-0197</t>
  </si>
  <si>
    <t>A-0198</t>
  </si>
  <si>
    <t>A-0199</t>
  </si>
  <si>
    <t>A-0200</t>
  </si>
  <si>
    <t>A-0201</t>
  </si>
  <si>
    <t>A-0202</t>
  </si>
  <si>
    <t>A-0203</t>
  </si>
  <si>
    <t>A-0204</t>
  </si>
  <si>
    <t>A-0205</t>
  </si>
  <si>
    <t>A-0206</t>
  </si>
  <si>
    <t>A-0207</t>
  </si>
  <si>
    <t>A-0208</t>
  </si>
  <si>
    <t>A-0209</t>
  </si>
  <si>
    <t>A-0210</t>
  </si>
  <si>
    <t>A-0211</t>
  </si>
  <si>
    <t>A-0212</t>
  </si>
  <si>
    <t>A-0213</t>
  </si>
  <si>
    <t>A-0214</t>
  </si>
  <si>
    <t>A-0215</t>
  </si>
  <si>
    <t>A-0216</t>
  </si>
  <si>
    <t>A-0217</t>
  </si>
  <si>
    <t>A-0218</t>
  </si>
  <si>
    <t>A-0219</t>
  </si>
  <si>
    <t>A-0220</t>
  </si>
  <si>
    <t>A-0221</t>
  </si>
  <si>
    <t>A-0222</t>
  </si>
  <si>
    <t>A-0223</t>
  </si>
  <si>
    <t>A-0224</t>
  </si>
  <si>
    <t>A-0225</t>
  </si>
  <si>
    <t>A-0226</t>
  </si>
  <si>
    <t>A-0227</t>
  </si>
  <si>
    <t>A-0228</t>
  </si>
  <si>
    <t>A-0229</t>
  </si>
  <si>
    <t>A-0230</t>
  </si>
  <si>
    <t>A-0231</t>
  </si>
  <si>
    <t>A-0232</t>
  </si>
  <si>
    <t>A-0233</t>
  </si>
  <si>
    <t>A-0234</t>
  </si>
  <si>
    <t>A-0235</t>
  </si>
  <si>
    <t>A-0236</t>
  </si>
  <si>
    <t>A-0237</t>
  </si>
  <si>
    <t>A-0238</t>
  </si>
  <si>
    <t>A-0239</t>
  </si>
  <si>
    <t>A-0240</t>
  </si>
  <si>
    <t>A-0241</t>
  </si>
  <si>
    <t>A-0242</t>
  </si>
  <si>
    <t>A-0243</t>
  </si>
  <si>
    <t>A-0244</t>
  </si>
  <si>
    <t>A-0245</t>
  </si>
  <si>
    <t>A-0246</t>
  </si>
  <si>
    <t>A-0247</t>
  </si>
  <si>
    <t>A-0248</t>
  </si>
  <si>
    <t>A-0249</t>
  </si>
  <si>
    <t>A-0250</t>
  </si>
  <si>
    <t>A-0251</t>
  </si>
  <si>
    <t>A-0252</t>
  </si>
  <si>
    <t>A-0253</t>
  </si>
  <si>
    <t>A-0254</t>
  </si>
  <si>
    <t>A-0255</t>
  </si>
  <si>
    <t>A-0256</t>
  </si>
  <si>
    <t>A-0257</t>
  </si>
  <si>
    <t>A-0258</t>
  </si>
  <si>
    <t>A-0259</t>
  </si>
  <si>
    <t>A-0260</t>
  </si>
  <si>
    <t>A-0261</t>
  </si>
  <si>
    <t>A-0262</t>
  </si>
  <si>
    <t>A-0263</t>
  </si>
  <si>
    <t>A-0264</t>
  </si>
  <si>
    <t>A-0265</t>
  </si>
  <si>
    <t>A-0266</t>
  </si>
  <si>
    <t>A-0267</t>
  </si>
  <si>
    <t>A-0268</t>
  </si>
  <si>
    <t>A-0269</t>
  </si>
  <si>
    <t>A-0270</t>
  </si>
  <si>
    <t>A-0271</t>
  </si>
  <si>
    <t>A-0272</t>
  </si>
  <si>
    <t>A-0273</t>
  </si>
  <si>
    <t>A-0274</t>
  </si>
  <si>
    <t>A-0275</t>
  </si>
  <si>
    <t>A-0276</t>
  </si>
  <si>
    <t>A-0277</t>
  </si>
  <si>
    <t>A-0278</t>
  </si>
  <si>
    <t>A-0279</t>
  </si>
  <si>
    <t>A-0280</t>
  </si>
  <si>
    <t>A-0281</t>
  </si>
  <si>
    <t>A-0282</t>
  </si>
  <si>
    <t>A-0283</t>
  </si>
  <si>
    <t>A-0284</t>
  </si>
  <si>
    <t>A-0285</t>
  </si>
  <si>
    <t>A-0286</t>
  </si>
  <si>
    <t>A-0287</t>
  </si>
  <si>
    <t>A-0288</t>
  </si>
  <si>
    <t>A-0289</t>
  </si>
  <si>
    <t>A-0290</t>
  </si>
  <si>
    <t>A-0291</t>
  </si>
  <si>
    <t>A-0292</t>
  </si>
  <si>
    <t>A-0293</t>
  </si>
  <si>
    <t>A-0294</t>
  </si>
  <si>
    <t>A-0295</t>
  </si>
  <si>
    <t>A-0296</t>
  </si>
  <si>
    <t>A-0297</t>
  </si>
  <si>
    <t>A-0298</t>
  </si>
  <si>
    <t>A-0299</t>
  </si>
  <si>
    <t>A-0300</t>
  </si>
  <si>
    <t>A-0301</t>
  </si>
  <si>
    <t>A-0302</t>
  </si>
  <si>
    <t>A-0303</t>
  </si>
  <si>
    <t>A-0304</t>
  </si>
  <si>
    <t>A-0305</t>
  </si>
  <si>
    <t>A-0306</t>
  </si>
  <si>
    <t>A-0307</t>
  </si>
  <si>
    <t>A-0308</t>
  </si>
  <si>
    <t>A-0309</t>
  </si>
  <si>
    <t>A-0310</t>
  </si>
  <si>
    <t>A-0311</t>
  </si>
  <si>
    <t>A-0312</t>
  </si>
  <si>
    <t>A-0313</t>
  </si>
  <si>
    <t>A-0314</t>
  </si>
  <si>
    <t>A-0315</t>
  </si>
  <si>
    <t>A-0316</t>
  </si>
  <si>
    <t>A-0317</t>
  </si>
  <si>
    <t>A-0318</t>
  </si>
  <si>
    <t>A-0319</t>
  </si>
  <si>
    <t>A-0320</t>
  </si>
  <si>
    <t>A-0321</t>
  </si>
  <si>
    <t>A-0322</t>
  </si>
  <si>
    <t>A-0323</t>
  </si>
  <si>
    <t>A-0324</t>
  </si>
  <si>
    <t>A-0325</t>
  </si>
  <si>
    <t>A-0326</t>
  </si>
  <si>
    <t>A-0327</t>
  </si>
  <si>
    <t>A-0328</t>
  </si>
  <si>
    <t>A-0329</t>
  </si>
  <si>
    <t>A-0330</t>
  </si>
  <si>
    <t>A-0331</t>
  </si>
  <si>
    <t>A-0332</t>
  </si>
  <si>
    <t>A-0333</t>
  </si>
  <si>
    <t>A-0334</t>
  </si>
  <si>
    <t>A-0335</t>
  </si>
  <si>
    <t>A-0336</t>
  </si>
  <si>
    <t>A-0337</t>
  </si>
  <si>
    <t>A-0338</t>
  </si>
  <si>
    <t>A-0339</t>
  </si>
  <si>
    <t>A-0340</t>
  </si>
  <si>
    <t>A-0341</t>
  </si>
  <si>
    <t>A-0342</t>
  </si>
  <si>
    <t>A-0343</t>
  </si>
  <si>
    <t>A-0344</t>
  </si>
  <si>
    <t>A-0345</t>
  </si>
  <si>
    <t>A-0346</t>
  </si>
  <si>
    <t>A-0347</t>
  </si>
  <si>
    <t>A-0348</t>
  </si>
  <si>
    <t>A-0349</t>
  </si>
  <si>
    <t>A-0350</t>
  </si>
  <si>
    <t>A-0351</t>
  </si>
  <si>
    <t>A-0352</t>
  </si>
  <si>
    <t>A-0353</t>
  </si>
  <si>
    <t>A-0354</t>
  </si>
  <si>
    <t>A-0355</t>
  </si>
  <si>
    <t>A-0356</t>
  </si>
  <si>
    <t>A-0357</t>
  </si>
  <si>
    <t>A-0358</t>
  </si>
  <si>
    <t>A-0359</t>
  </si>
  <si>
    <t>A-0360</t>
  </si>
  <si>
    <t>A-0361</t>
  </si>
  <si>
    <t>A-0362</t>
  </si>
  <si>
    <t>A-0363</t>
  </si>
  <si>
    <t>A-0364</t>
  </si>
  <si>
    <t>A-0365</t>
  </si>
  <si>
    <t>A-0366</t>
  </si>
  <si>
    <t>A-0367</t>
  </si>
  <si>
    <t>A-0368</t>
  </si>
  <si>
    <t>A-0369</t>
  </si>
  <si>
    <t>A-0370</t>
  </si>
  <si>
    <t>A-0371</t>
  </si>
  <si>
    <t>A-0372</t>
  </si>
  <si>
    <t>A-0373</t>
  </si>
  <si>
    <t>A-0374</t>
  </si>
  <si>
    <t>A-0375</t>
  </si>
  <si>
    <t>A-0376</t>
  </si>
  <si>
    <t>A-0377</t>
  </si>
  <si>
    <t>A-0378</t>
  </si>
  <si>
    <t>A-0379</t>
  </si>
  <si>
    <t>A-0380</t>
  </si>
  <si>
    <t>A-0381</t>
  </si>
  <si>
    <t>A-0382</t>
  </si>
  <si>
    <t>A-0383</t>
  </si>
  <si>
    <t>A-0384</t>
  </si>
  <si>
    <t>A-0385</t>
  </si>
  <si>
    <t>A-0386</t>
  </si>
  <si>
    <t>A-0387</t>
  </si>
  <si>
    <t>A-0388</t>
  </si>
  <si>
    <t>A-0389</t>
  </si>
  <si>
    <t>A-0390</t>
  </si>
  <si>
    <t>A-0391</t>
  </si>
  <si>
    <t>A-0392</t>
  </si>
  <si>
    <t>A-0393</t>
  </si>
  <si>
    <t>A-0394</t>
  </si>
  <si>
    <t>A-0395</t>
  </si>
  <si>
    <t>A-0396</t>
  </si>
  <si>
    <t>A-0397</t>
  </si>
  <si>
    <t>A-0398</t>
  </si>
  <si>
    <t>A-0399</t>
  </si>
  <si>
    <t>A-0400</t>
  </si>
  <si>
    <t>A-0401</t>
  </si>
  <si>
    <t>A-0402</t>
  </si>
  <si>
    <t>A-0403</t>
  </si>
  <si>
    <t>A-0404</t>
  </si>
  <si>
    <t>A-0405</t>
  </si>
  <si>
    <t>A-0406</t>
  </si>
  <si>
    <t>A-0407</t>
  </si>
  <si>
    <t>A-0408</t>
  </si>
  <si>
    <t>A-0409</t>
  </si>
  <si>
    <t>A-0410</t>
  </si>
  <si>
    <t>A-0411</t>
  </si>
  <si>
    <t>A-0412</t>
  </si>
  <si>
    <t>A-0413</t>
  </si>
  <si>
    <t>A-0414</t>
  </si>
  <si>
    <t>A-0415</t>
  </si>
  <si>
    <t>A-0416</t>
  </si>
  <si>
    <t>A-0417</t>
  </si>
  <si>
    <t>A-0418</t>
  </si>
  <si>
    <t>A-0419</t>
  </si>
  <si>
    <t>A-0420</t>
  </si>
  <si>
    <t>A-0421</t>
  </si>
  <si>
    <t>A-0422</t>
  </si>
  <si>
    <t>A-0423</t>
  </si>
  <si>
    <t>A-0424</t>
  </si>
  <si>
    <t>A-0425</t>
  </si>
  <si>
    <t>A-0426</t>
  </si>
  <si>
    <t>A-0427</t>
  </si>
  <si>
    <t>A-0428</t>
  </si>
  <si>
    <t>A-0429</t>
  </si>
  <si>
    <t>A-0430</t>
  </si>
  <si>
    <t>A-0431</t>
  </si>
  <si>
    <t>A-0432</t>
  </si>
  <si>
    <t>A-0433</t>
  </si>
  <si>
    <t>A-0434</t>
  </si>
  <si>
    <t>A-0435</t>
  </si>
  <si>
    <t>A-0436</t>
  </si>
  <si>
    <t>A-0437</t>
  </si>
  <si>
    <t>A-0438</t>
  </si>
  <si>
    <t>A-0439</t>
  </si>
  <si>
    <t>A-0440</t>
  </si>
  <si>
    <t>A-0441</t>
  </si>
  <si>
    <t>A-0442</t>
  </si>
  <si>
    <t>A-0443</t>
  </si>
  <si>
    <t>A-0444</t>
  </si>
  <si>
    <t>A-0445</t>
  </si>
  <si>
    <t>A-0446</t>
  </si>
  <si>
    <t>A-0447</t>
  </si>
  <si>
    <t>A-0448</t>
  </si>
  <si>
    <t>A-0449</t>
  </si>
  <si>
    <t>A-0450</t>
  </si>
  <si>
    <t>A-0451</t>
  </si>
  <si>
    <t>A-0452</t>
  </si>
  <si>
    <t>A-0453</t>
  </si>
  <si>
    <t>A-0454</t>
  </si>
  <si>
    <t>A-0455</t>
  </si>
  <si>
    <t>A-0456</t>
  </si>
  <si>
    <t>A-0457</t>
  </si>
  <si>
    <t>A-0458</t>
  </si>
  <si>
    <t>A-0459</t>
  </si>
  <si>
    <t>A-0460</t>
  </si>
  <si>
    <t>A-0461</t>
  </si>
  <si>
    <t>A-0462</t>
  </si>
  <si>
    <t>A-0463</t>
  </si>
  <si>
    <t>A-0464</t>
  </si>
  <si>
    <t>A-0465</t>
  </si>
  <si>
    <t>A-0466</t>
  </si>
  <si>
    <t>A-0467</t>
  </si>
  <si>
    <t>A-0468</t>
  </si>
  <si>
    <t>A-0469</t>
  </si>
  <si>
    <t>A-0470</t>
  </si>
  <si>
    <t>A-0471</t>
  </si>
  <si>
    <t>A-0472</t>
  </si>
  <si>
    <t>A-0473</t>
  </si>
  <si>
    <t>A-0474</t>
  </si>
  <si>
    <t>A-0475</t>
  </si>
  <si>
    <t>A-0476</t>
  </si>
  <si>
    <t>A-0477</t>
  </si>
  <si>
    <t>A-0478</t>
  </si>
  <si>
    <t>A-0479</t>
  </si>
  <si>
    <t>A-0480</t>
  </si>
  <si>
    <t>A-0481</t>
  </si>
  <si>
    <t>A-0482</t>
  </si>
  <si>
    <t>A-0483</t>
  </si>
  <si>
    <t>A-0484</t>
  </si>
  <si>
    <t>A-0485</t>
  </si>
  <si>
    <t>A-0486</t>
  </si>
  <si>
    <t>A-0487</t>
  </si>
  <si>
    <t>A-0488</t>
  </si>
  <si>
    <t>A-0489</t>
  </si>
  <si>
    <t>A-0490</t>
  </si>
  <si>
    <t>A-0491</t>
  </si>
  <si>
    <t>A-0492</t>
  </si>
  <si>
    <t>A-0493</t>
  </si>
  <si>
    <t>A-0494</t>
  </si>
  <si>
    <t>A-0495</t>
  </si>
  <si>
    <t>A-0496</t>
  </si>
  <si>
    <t>A-0497</t>
  </si>
  <si>
    <t>A-0498</t>
  </si>
  <si>
    <t>A-0499</t>
  </si>
  <si>
    <t>A-0500</t>
  </si>
  <si>
    <t>A-0501</t>
  </si>
  <si>
    <t>A-0502</t>
  </si>
  <si>
    <t>A-0503</t>
  </si>
  <si>
    <t>A-0504</t>
  </si>
  <si>
    <t>A-0505</t>
  </si>
  <si>
    <t>A-0506</t>
  </si>
  <si>
    <t>A-0507</t>
  </si>
  <si>
    <t>A-0508</t>
  </si>
  <si>
    <t>A-0509</t>
  </si>
  <si>
    <t>A-0510</t>
  </si>
  <si>
    <t>A-0511</t>
  </si>
  <si>
    <t>A-0512</t>
  </si>
  <si>
    <t>A-0513</t>
  </si>
  <si>
    <t>A-0514</t>
  </si>
  <si>
    <t>A-0515</t>
  </si>
  <si>
    <t>A-0516</t>
  </si>
  <si>
    <t>A-0517</t>
  </si>
  <si>
    <t>A-0518</t>
  </si>
  <si>
    <t>A-0519</t>
  </si>
  <si>
    <t>A-0520</t>
  </si>
  <si>
    <t>A-0521</t>
  </si>
  <si>
    <t>A-0522</t>
  </si>
  <si>
    <t>A-0523</t>
  </si>
  <si>
    <t>A-0524</t>
  </si>
  <si>
    <t>A-0525</t>
  </si>
  <si>
    <t>A-0526</t>
  </si>
  <si>
    <t>A-0527</t>
  </si>
  <si>
    <t>A-0528</t>
  </si>
  <si>
    <t>A-0529</t>
  </si>
  <si>
    <t>A-0530</t>
  </si>
  <si>
    <t>A-0531</t>
  </si>
  <si>
    <t>A-0532</t>
  </si>
  <si>
    <t>A-0533</t>
  </si>
  <si>
    <t>A-0534</t>
  </si>
  <si>
    <t>A-0535</t>
  </si>
  <si>
    <t>A-0536</t>
  </si>
  <si>
    <t>A-0537</t>
  </si>
  <si>
    <t>A-0538</t>
  </si>
  <si>
    <t>A-0539</t>
  </si>
  <si>
    <t>A-0540</t>
  </si>
  <si>
    <t>A-0541</t>
  </si>
  <si>
    <t>A-0542</t>
  </si>
  <si>
    <t>A-0543</t>
  </si>
  <si>
    <t>A-0544</t>
  </si>
  <si>
    <t>A-0545</t>
  </si>
  <si>
    <t>A-0546</t>
  </si>
  <si>
    <t>A-0547</t>
  </si>
  <si>
    <t>A-0548</t>
  </si>
  <si>
    <t>A-0549</t>
  </si>
  <si>
    <t>A-0550</t>
  </si>
  <si>
    <t>A-0551</t>
  </si>
  <si>
    <t>A-0552</t>
  </si>
  <si>
    <t>A-0553</t>
  </si>
  <si>
    <t>A-0554</t>
  </si>
  <si>
    <t>A-0555</t>
  </si>
  <si>
    <t>A-0556</t>
  </si>
  <si>
    <t>A-0557</t>
  </si>
  <si>
    <t>A-0558</t>
  </si>
  <si>
    <t>A-0559</t>
  </si>
  <si>
    <t>A-0560</t>
  </si>
  <si>
    <t>A-0561</t>
  </si>
  <si>
    <t>A-0562</t>
  </si>
  <si>
    <t>A-0563</t>
  </si>
  <si>
    <t>A-0564</t>
  </si>
  <si>
    <t>A-0565</t>
  </si>
  <si>
    <t>A-0566</t>
  </si>
  <si>
    <t>A-0567</t>
  </si>
  <si>
    <t>A-0568</t>
  </si>
  <si>
    <t>A-0569</t>
  </si>
  <si>
    <t>A-0570</t>
  </si>
  <si>
    <t>A-0571</t>
  </si>
  <si>
    <t>A-0572</t>
  </si>
  <si>
    <t>A-0573</t>
  </si>
  <si>
    <t>A-0574</t>
  </si>
  <si>
    <t>A-0575</t>
  </si>
  <si>
    <t>A-0576</t>
  </si>
  <si>
    <t>A-0577</t>
  </si>
  <si>
    <t>A-0578</t>
  </si>
  <si>
    <t>A-0579</t>
  </si>
  <si>
    <t>A-0580</t>
  </si>
  <si>
    <t>A-0581</t>
  </si>
  <si>
    <t>A-0582</t>
  </si>
  <si>
    <t>A-0583</t>
  </si>
  <si>
    <t>A-0584</t>
  </si>
  <si>
    <t>A-0585</t>
  </si>
  <si>
    <t>A-0586</t>
  </si>
  <si>
    <t>A-0587</t>
  </si>
  <si>
    <t>A-0588</t>
  </si>
  <si>
    <t>A-0589</t>
  </si>
  <si>
    <t>A-0590</t>
  </si>
  <si>
    <t>A-0591</t>
  </si>
  <si>
    <t>A-0592</t>
  </si>
  <si>
    <t>A-0593</t>
  </si>
  <si>
    <t>A-0594</t>
  </si>
  <si>
    <t>A-0595</t>
  </si>
  <si>
    <t>A-0596</t>
  </si>
  <si>
    <t>A-0597</t>
  </si>
  <si>
    <t>A-0598</t>
  </si>
  <si>
    <t>A-0599</t>
  </si>
  <si>
    <t>A-0600</t>
  </si>
  <si>
    <t>A-0601</t>
  </si>
  <si>
    <t>A-0602</t>
  </si>
  <si>
    <t>A-0603</t>
  </si>
  <si>
    <t>A-0604</t>
  </si>
  <si>
    <t>A-0605</t>
  </si>
  <si>
    <t>A-0606</t>
  </si>
  <si>
    <t>A-0607</t>
  </si>
  <si>
    <t>A-0608</t>
  </si>
  <si>
    <t>A-0609</t>
  </si>
  <si>
    <t>A-0610</t>
  </si>
  <si>
    <t>A-0611</t>
  </si>
  <si>
    <t>A-0612</t>
  </si>
  <si>
    <t>A-0613</t>
  </si>
  <si>
    <t>A-0614</t>
  </si>
  <si>
    <t>A-0615</t>
  </si>
  <si>
    <t>A-0616</t>
  </si>
  <si>
    <t>A-0617</t>
  </si>
  <si>
    <t>A-0618</t>
  </si>
  <si>
    <t>A-0619</t>
  </si>
  <si>
    <t>A-0620</t>
  </si>
  <si>
    <t>A-0621</t>
  </si>
  <si>
    <t>A-0622</t>
  </si>
  <si>
    <t>A-0623</t>
  </si>
  <si>
    <t>A-0624</t>
  </si>
  <si>
    <t>A-0625</t>
  </si>
  <si>
    <t>A-0626</t>
  </si>
  <si>
    <t>A-0627</t>
  </si>
  <si>
    <t>A-0628</t>
  </si>
  <si>
    <t>A-0629</t>
  </si>
  <si>
    <t>A-0630</t>
  </si>
  <si>
    <t>A-0631</t>
  </si>
  <si>
    <t>A-0632</t>
  </si>
  <si>
    <t>Quantity</t>
  </si>
  <si>
    <t>Assembly, Mark 4 Printer</t>
  </si>
  <si>
    <t>Friendly Description</t>
  </si>
  <si>
    <t>Purchase Item Description</t>
  </si>
  <si>
    <t>Assembly, TOP PLATE</t>
  </si>
  <si>
    <t>Assembly, FRAME</t>
  </si>
  <si>
    <t>Assembly, ELECRTONICS</t>
  </si>
  <si>
    <t>Assembly, BRIDGE</t>
  </si>
  <si>
    <t>TOP PLATE</t>
  </si>
  <si>
    <t>midwest steel supply</t>
  </si>
  <si>
    <t>https://www.midweststeelsupply.com/store/castaluminumplateatp5</t>
  </si>
  <si>
    <t>in</t>
  </si>
  <si>
    <t>mm</t>
  </si>
  <si>
    <t>shipping</t>
  </si>
  <si>
    <t>Tax</t>
  </si>
  <si>
    <t xml:space="preserve">Bearing, Flange F606ZZ, 6mm x 17mm x 6mm </t>
  </si>
  <si>
    <t>https://www.amazon.com/gp/product/B07P3HNCCK</t>
  </si>
  <si>
    <t>Amazon.com</t>
  </si>
  <si>
    <t>Purchase in packs of 10</t>
  </si>
  <si>
    <t>Bearing, flange,  6 x 17 x 6</t>
  </si>
  <si>
    <t>uxcell 6063 Aluminum Round Tube 300mm Length 12.7mm OD 6mm Inner Dia Seamless Aluminum Straight Tubing 2 Pcs</t>
  </si>
  <si>
    <t>Price per mm</t>
  </si>
  <si>
    <t>Bearing spacer, .010" shim washer</t>
  </si>
  <si>
    <t xml:space="preserve">K &amp; S PRECISION METALS 251 .010x4x10 BRS SHT Metal </t>
  </si>
  <si>
    <t>https://www.amazon.com/PRECISION-METALS-251-010x4x10-Metal/dp/B004QB5Y3C</t>
  </si>
  <si>
    <t>https://www.amazon.com/uxcell-Aluminum-12-13mm-Seamless-Straight/dp/B07YCHFN8F</t>
  </si>
  <si>
    <t>price per sq in</t>
  </si>
  <si>
    <t>Extended Quantity</t>
  </si>
  <si>
    <t>Parent level quantities</t>
  </si>
  <si>
    <t>level</t>
  </si>
  <si>
    <t>Washer, M6, 304 stainless, OD 12mm, .9mm thick</t>
  </si>
  <si>
    <t>https://www.amazon.com/gp/product/B018TG8B8E</t>
  </si>
  <si>
    <t>M6 washer 12mm OD</t>
  </si>
  <si>
    <t>Assembly, A-belt Idler on bridge</t>
  </si>
  <si>
    <t>Assembly, B-belt Idler on bridge</t>
  </si>
  <si>
    <t>Standoff, cut to length (11.9mm)</t>
  </si>
  <si>
    <t>Standoff, cut to length (34.25mm)</t>
  </si>
  <si>
    <t>Standoff, cut to length (23.25mm)</t>
  </si>
  <si>
    <t>Assembly, NEMA 23 motor, Belt A</t>
  </si>
  <si>
    <t>Motor, NEMA 23</t>
  </si>
  <si>
    <t>https://www.amazon.com/STEPPERONLINE-Bipolar-1-26Nm-178-4oz-4-lead/dp/B07DV91Z2M</t>
  </si>
  <si>
    <t>Standoff, NEMA 23, BELT A (38.5mm)</t>
  </si>
  <si>
    <t>https://www.amazon.com/uxcell-Aluminum-12-13mm-Seamless-Straight/dp/B07YCGPLHV</t>
  </si>
  <si>
    <t>Assembly, NEMA 23 motor, Belt B</t>
  </si>
  <si>
    <t>Standoff, NEMA 23, BELT B (49.5mm)</t>
  </si>
  <si>
    <t>Linear slide rail - Y</t>
  </si>
  <si>
    <t xml:space="preserve">
Machifit 500mm Length MGN15 Linear Rail Guide with MGN15H Linear Rail Block</t>
  </si>
  <si>
    <t>Cap screw, M3, 10mm</t>
  </si>
  <si>
    <t>0.9 deg Nema 23 Step Motor Bipolar 1.26Nm(178.4oz.in) 2.8A 4-lead, 6.35 shaft dia</t>
  </si>
  <si>
    <t xml:space="preserve">BALITENSEN 4 pcs 2GT 20 teeth Timing Pulley bore 6.35 for GT2 belt width 10mm for CNC 3D printer(GT2 20teeth) </t>
  </si>
  <si>
    <t>https://www.amazon.com/BALITENSEN-Timing-Pulley-printer-20teeth/dp/B079BNZDRZ</t>
  </si>
  <si>
    <t>20 tooth gear, 6.35mm shaft</t>
  </si>
  <si>
    <t xml:space="preserve">Bottom Plate </t>
  </si>
  <si>
    <t>4080 Support post, 625mm long</t>
  </si>
  <si>
    <t>misumi</t>
  </si>
  <si>
    <t>extended quantity</t>
  </si>
  <si>
    <t>leftover material</t>
  </si>
  <si>
    <t>Extended cost</t>
  </si>
  <si>
    <t>total cost</t>
  </si>
  <si>
    <t>banggood</t>
  </si>
  <si>
    <t>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</t>
  </si>
  <si>
    <t>Assembly, Z axis components( 3 legs)</t>
  </si>
  <si>
    <t>Linear slide</t>
  </si>
  <si>
    <t>Shipping estimated</t>
  </si>
  <si>
    <t>NEMA 17 motor</t>
  </si>
  <si>
    <t xml:space="preserve">online metals </t>
  </si>
  <si>
    <t>For z-axis motor mounts, shipping estimated</t>
  </si>
  <si>
    <t>Nema 23 motor mount</t>
  </si>
  <si>
    <t xml:space="preserve">M5 button head screw, 15mm long  (motor mount to post) </t>
  </si>
  <si>
    <t>Sliding T Slot Nuts 4040 Series M5 26 Pack T Nuts Carbon Steel</t>
  </si>
  <si>
    <t>https://www.amazon.com/dp/B082F7B1QH</t>
  </si>
  <si>
    <t>M5 T-slot nut (motor mount to post)</t>
  </si>
  <si>
    <t>https://www.amazon.com/M4-0-70-Button-Stainless-Fullerkreg-Plastic/dp/B07H14FRRB</t>
  </si>
  <si>
    <t>Left z-axis  linear slide assembly</t>
  </si>
  <si>
    <t>Rear z-axis linear slide assembly</t>
  </si>
  <si>
    <t>lead screw, 500 mm, plus pillow blocks, nut, and coupling</t>
  </si>
  <si>
    <t>For left and right kinematic ball holders on z-axis</t>
  </si>
  <si>
    <t>https://www.onlinemetals.com/en/buy/angle?q=%3Aname-asc%3AAlloy%3A6061&amp;checkbox=on&amp;sort=name-asc#</t>
  </si>
  <si>
    <t>Z-block to bed kinematic ball mount</t>
  </si>
  <si>
    <t>Right z-axis  linear slide assembly</t>
  </si>
  <si>
    <t>$102.54 for 23 x 28 (minimum needed)</t>
  </si>
  <si>
    <t xml:space="preserve">3/8" thick Cast aluminum plate, 28" x 24" </t>
  </si>
  <si>
    <t xml:space="preserve">3/8" thick T6061 Aluminum plate, 28" x 24" </t>
  </si>
  <si>
    <t>Bridge structural span</t>
  </si>
  <si>
    <t>Linear slide rail - X</t>
  </si>
  <si>
    <t>MGN12C sliding block for X-rail</t>
  </si>
  <si>
    <t>Machifit MGN12C Linear Rail Block for MGN12 Linear Rail Guide</t>
  </si>
  <si>
    <t>https://www.banggood.com/Machifit-MGN12C-Linear-Rail-Block-for-MGN12-Linear-Rail-Guide-CNC-Tool-p-1240120.html?rmmds=search&amp;cur_warehouse=CN</t>
  </si>
  <si>
    <t>M6 locknut</t>
  </si>
  <si>
    <t xml:space="preserve">M6 x 1.0mm Nylon Inserted Hex Lock Nuts 304 Stainless Steel </t>
  </si>
  <si>
    <t>5.9mm tall</t>
  </si>
  <si>
    <t>Cap screw, M6 x 65mm</t>
  </si>
  <si>
    <t>washer under socket head cap screw</t>
  </si>
  <si>
    <t>flanged bearing</t>
  </si>
  <si>
    <t>spacer between bearings</t>
  </si>
  <si>
    <t>standoff</t>
  </si>
  <si>
    <t>aluminum TOP plate</t>
  </si>
  <si>
    <t xml:space="preserve">washer </t>
  </si>
  <si>
    <t>Belt standoff screw length</t>
  </si>
  <si>
    <t>NEMA 23 screw length</t>
  </si>
  <si>
    <t>NEMA 23 motor flange</t>
  </si>
  <si>
    <t>M5 x 65mm 12.9 Alloy Steel Hex Socket Head Cap Screws Bolt Black</t>
  </si>
  <si>
    <t xml:space="preserve">Cap screw, M5 x 65mm </t>
  </si>
  <si>
    <t xml:space="preserve">Cap screw, M5 x 75mm </t>
  </si>
  <si>
    <t>Rail</t>
  </si>
  <si>
    <t>Y-Rail (MGH15) cap screw</t>
  </si>
  <si>
    <t>M3 locknut</t>
  </si>
  <si>
    <t>M5 locknut</t>
  </si>
  <si>
    <t>Cap screw, M3, 25mm</t>
  </si>
  <si>
    <t>1/4" cast aluminum plate 3" x 22"</t>
  </si>
  <si>
    <t>uxcell 6063 Aluminum Round Tube 300mm Length 12mm OD 5mm Inner Dia Seamless Aluminum Straight Tubing</t>
  </si>
  <si>
    <t>Bridge standoff flathead screw length</t>
  </si>
  <si>
    <t>bridge structure</t>
  </si>
  <si>
    <t>Flat head screw, M6 x 22mm</t>
  </si>
  <si>
    <t>Flathead screw  M6 x 35mm</t>
  </si>
  <si>
    <t>X-Rail (MGH12) cap screw</t>
  </si>
  <si>
    <t xml:space="preserve">bridge </t>
  </si>
  <si>
    <t>Cap screw, M3, 20mm</t>
  </si>
  <si>
    <t>M3-0.5x30mm Socket Head Cap Bolts Screws, 304 Stainless Steel 18-8, Allen Socket Drive, Fully Machine Thread, Bright Finish</t>
  </si>
  <si>
    <t>M3-0.5x20mm Socket Head Cap Bolts Screws, 304 Stainless Steel 18-8, Allen Socket Drive, Fully Machine Thread, Bright Finish</t>
  </si>
  <si>
    <t>M3 x 0.5mm 304 Stainless Steel Self-Lock Nylon Inserted Hex Lock Nuts,</t>
  </si>
  <si>
    <t>M3x6mmx0.5mm Stainless Steel Flat Washer</t>
  </si>
  <si>
    <t>Washer, M3</t>
  </si>
  <si>
    <t>Lock nut, M3</t>
  </si>
  <si>
    <t>Ideal cost</t>
  </si>
  <si>
    <t>Ideal total cost</t>
  </si>
  <si>
    <t>Threaded ball</t>
  </si>
  <si>
    <t>DIN 319 Ball Knob, .63" diameter, M4 threaded hole</t>
  </si>
  <si>
    <t>jjwinco.com</t>
  </si>
  <si>
    <t>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</t>
  </si>
  <si>
    <t>M4-0.70 x 14mm Button Head Socket Cap Bolts Screws, 18-8 Stainless Steel, Allen Hex Drive</t>
  </si>
  <si>
    <t>M4 washer</t>
  </si>
  <si>
    <t>Assembly, heated bed</t>
  </si>
  <si>
    <t>Aluminum plate for bed</t>
  </si>
  <si>
    <t>Kinematic joint receiver (made in-house)</t>
  </si>
  <si>
    <t>Silicon heated mat</t>
  </si>
  <si>
    <t>Flathead scres M#  x ? For mounting kinematic joint receiver</t>
  </si>
  <si>
    <t>magnets for heated bed</t>
  </si>
  <si>
    <t>shipping estimated</t>
  </si>
  <si>
    <t xml:space="preserve">Timing belt </t>
  </si>
  <si>
    <t>https://reprapworld.com/products/mechanical/timing_belts/gt2x9_mm_kevlar_reinforced_timing_belt_per_meter/</t>
  </si>
  <si>
    <t>GT2x9 mm Kevlar-reinforced timing belt</t>
  </si>
  <si>
    <t>reprapworld.com</t>
  </si>
  <si>
    <t>A pulley wrap</t>
  </si>
  <si>
    <t>A to B pulley</t>
  </si>
  <si>
    <t>B pulley wrap</t>
  </si>
  <si>
    <t>Gear wrap</t>
  </si>
  <si>
    <t>B pulley to gear C</t>
  </si>
  <si>
    <t>Gear C to pulley D</t>
  </si>
  <si>
    <t>Pulley D wrap</t>
  </si>
  <si>
    <t>Pulley D to Pulley E</t>
  </si>
  <si>
    <t>Pulley E wrap</t>
  </si>
  <si>
    <t>Pulley E to Bridge pulley</t>
  </si>
  <si>
    <t>Bridge pulley to A pulley</t>
  </si>
  <si>
    <t>Bridge Pulley warp</t>
  </si>
  <si>
    <t>Bridge Pulley to Bridge Pulley</t>
  </si>
  <si>
    <t>Bridge Pulley wrap</t>
  </si>
  <si>
    <t>Belt length approximation</t>
  </si>
  <si>
    <t>Meters for both belts</t>
  </si>
  <si>
    <t>Outrageous shipping charge</t>
  </si>
  <si>
    <t>M4 Screw (into threaded ball)</t>
  </si>
  <si>
    <t>M4 locking nut</t>
  </si>
  <si>
    <t>Polycarbonate sheet (Heat Saver 3-Wall) 10mm, 2' x 2'</t>
  </si>
  <si>
    <t>Charleys grenhouse</t>
  </si>
  <si>
    <t>http://www.charleysgreenhouse.com/B12900204-Heat-Saver-3-Wall-10mm---2--39-x-4--39.htm</t>
  </si>
  <si>
    <t>Enclosure wall panel, side (20" x 20")</t>
  </si>
  <si>
    <t>Enclosure wall panel, rear (18.5" x 21 ")</t>
  </si>
  <si>
    <t>Enclosure, front doors (18" x 21" cut in half)</t>
  </si>
  <si>
    <t>Enclosure bottom panel, (18.5" x 21 ")</t>
  </si>
  <si>
    <t>Estimated shipping cost</t>
  </si>
  <si>
    <t>M4 x 0.7mm 304 Stainless Steel Nylon Lock Nuts</t>
  </si>
  <si>
    <t>Enclosure, corner joint material</t>
  </si>
  <si>
    <t>Enclosure panel fastening material</t>
  </si>
  <si>
    <t>Emclosure, corner sealing material</t>
  </si>
  <si>
    <t>hinges, front door</t>
  </si>
  <si>
    <t>Fasteners hinge to 4080 channel</t>
  </si>
  <si>
    <t>Assembly,  TOP  ENCLOSURE</t>
  </si>
  <si>
    <t>Assembly,  BOTTOM ENCLOSURE</t>
  </si>
  <si>
    <t>2020 Series 3-Way End Corner Bracket Connector, with Screws</t>
  </si>
  <si>
    <t>https://www.amazon.com/PZRT-Connector-Standard-Aluminum-Extrusion/dp/B07BMQZZ2M</t>
  </si>
  <si>
    <t>2020 Corner brackets</t>
  </si>
  <si>
    <t>2020 rear, bottom  crossbar</t>
  </si>
  <si>
    <t>2020 side bar (top plate depth -40mm)</t>
  </si>
  <si>
    <t>2020 front crossbar (top-plate width -40mm)</t>
  </si>
  <si>
    <t>2020 corner posts (200mm)</t>
  </si>
  <si>
    <t>Top cover side plexiglass (212mm x 660mm)</t>
  </si>
  <si>
    <t>Top cover front plexiglass (212mm x 565mm)</t>
  </si>
  <si>
    <t>Top cover top plexiglass (565mm x 660mm)</t>
  </si>
  <si>
    <t>https://us.misumi-ec.com/vona2/detail/110302683830/?ProductCode=HFS5-2020-200</t>
  </si>
  <si>
    <t>HFS5-2020 aluminum extrusion, 200mm</t>
  </si>
  <si>
    <t>HFS5-2020 aluminum extrusion, 553mm</t>
  </si>
  <si>
    <t>HFS5-2020 aluminum extrusion, 573mm</t>
  </si>
  <si>
    <t>Lexan Sheet - Polycarbonate - .236" - 1/4" Thick, Clear, 24" x 12"</t>
  </si>
  <si>
    <t>https://www.amazon.com/Lexan-Sheet-Polycarbonate-Thick-Nominal/dp/B006JP5MXK</t>
  </si>
  <si>
    <t>Wisamic Silicone Rubber Heater 310x310mm 120V 750W, with 3M Tape Screw Holes for 3D Printer CR-10 CR-10S S3</t>
  </si>
  <si>
    <t>https://www.amazon.com/Wisamic-310x310mm-Silicone-Rubber-Printer/dp/B07C7KBGBB</t>
  </si>
  <si>
    <t>heat mat insulation</t>
  </si>
  <si>
    <t xml:space="preserve">Printer 3D Parts, FYSETC 12" x 12" x 0.3" 3D Printer Heated Bed Insulation Lightweight Foam Foil Self-Adhesive Insulation Mat </t>
  </si>
  <si>
    <t>Spring steel build plate</t>
  </si>
  <si>
    <t>Redrex Dual Drive BMG Bowden Extruder High Performance Upgrading Parts (no motor)</t>
  </si>
  <si>
    <t>https://www.amazon.com/Redrex-Extruder-Performance-Upgrading-Geeetech/dp/B07QPWWYYK</t>
  </si>
  <si>
    <t>https://www.amazon.com/FYSETC-Insulation-Lightweight-Self-Adhesive-Ultimaker/dp/B07DWPYQDS</t>
  </si>
  <si>
    <t>Usongshine Nema 17 Stepper Motor Bipolar Step Motor for Titan Extruder 3D Printer 4.1V 1A 13Ncm</t>
  </si>
  <si>
    <t>https://www.amazon.com/Usongshine-Stepper-Bipolar-Extruder-17HS4023/dp/B07TY4BFF2</t>
  </si>
  <si>
    <t>extruder Bondtech clone</t>
  </si>
  <si>
    <t>Extruder stepper</t>
  </si>
  <si>
    <t>Hot end - Mosquito clone</t>
  </si>
  <si>
    <t>Mellow All Metal NF-Crazy Hotend V6 Copper Nozzle For Ender 3 CR10 Prusa I3 MK3S Alfawise Titan/Bmg Extruder 3D Printer Part</t>
  </si>
  <si>
    <t>aliexpress</t>
  </si>
  <si>
    <t>https://www.aliexpress.com/item/4000088018308.html</t>
  </si>
  <si>
    <t>estimated shipping cost</t>
  </si>
  <si>
    <t>https://www.amazon.com/FYSETC-Controller-Expansion-Thermocouple-Daughter/dp/B07SST65HQ</t>
  </si>
  <si>
    <t>Duet 2 expansion board</t>
  </si>
  <si>
    <t>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</t>
  </si>
  <si>
    <t>Cloned Duex5 Expansion Board Controller With TMC2660 Stepper Motor Driver Fit Thermocouple PT100 VS Duet 2 Wifi 3D Printer Parts</t>
  </si>
  <si>
    <t>Duet 2 board with 7" paneldu</t>
  </si>
  <si>
    <t>power supply</t>
  </si>
  <si>
    <t>EAGWELL 24v 15a DC Universal Regulated Switching Power Supply 360w</t>
  </si>
  <si>
    <t>https://www.amazon.com/EAGWELL-Universal-Regulated-Switching-Computer/dp/B01IOK5FM0</t>
  </si>
  <si>
    <t>https://www.amazon.com/ReliaBot-500mm-Thread-Printer-Machine/dp/B07PVJS888</t>
  </si>
  <si>
    <t>500mm T10 Lead Screw and Brass Nut Kit (Acme Thread, 2mm Pitch, 1 Start), with nut</t>
  </si>
  <si>
    <t>Flexible Couplings 5mm to 8mm NEMA 17 Shaft Coupler</t>
  </si>
  <si>
    <t>lead screw, 500 mm, plus  nut</t>
  </si>
  <si>
    <t>Shaft coupler 5mm to 8mm</t>
  </si>
  <si>
    <t>lead screw stabilizer</t>
  </si>
  <si>
    <t>M4 button head screw, 10mm</t>
  </si>
  <si>
    <t xml:space="preserve">M4 x 10mm Alloy Steel Hex Bolt Socket Head Cap Screws </t>
  </si>
  <si>
    <t xml:space="preserve">M5 button head screw, 15mm long  (motor mount to post, stabilizer to post) </t>
  </si>
  <si>
    <t>M5 washer</t>
  </si>
  <si>
    <t>M5x10mmx1mm Stainless Steel Metric Round Flat Washer</t>
  </si>
  <si>
    <t>quantity on-hand</t>
  </si>
  <si>
    <t>comments2</t>
  </si>
  <si>
    <t>Mike donation</t>
  </si>
  <si>
    <t>Mark Donation</t>
  </si>
  <si>
    <t>Rear Z-axis traveler part 1</t>
  </si>
  <si>
    <t>Rear z-axis  traveler part 2</t>
  </si>
  <si>
    <t>Aluminum angle 2" x 2" x .25" thick, 12" long</t>
  </si>
  <si>
    <t>Assembly, Belt A tensioner on top plate</t>
  </si>
  <si>
    <t>Standoff, cut to length (5mm)</t>
  </si>
  <si>
    <t>Cap screw, M6 x 25mm</t>
  </si>
  <si>
    <t>M6 x 25mm button head screw</t>
  </si>
  <si>
    <t>tensioner swing bar</t>
  </si>
  <si>
    <t>Tensioner fixed part</t>
  </si>
  <si>
    <t>Aluminum bar .75 square, 12" long</t>
  </si>
  <si>
    <t>Assembly, Belt B tensioner on top plate</t>
  </si>
  <si>
    <t>Gusset plates</t>
  </si>
  <si>
    <t>left side long gusset plate</t>
  </si>
  <si>
    <t>M4 x  20 flathead screws into top plate</t>
  </si>
  <si>
    <t>M4 x 20mm Metric Hex Socket Countersunk Head Screw</t>
  </si>
  <si>
    <t>https://www.amazon.com/Uxcell-a15100700ux0263-Metric-Socket-Countersunk/dp/B018RSSVJS</t>
  </si>
  <si>
    <t>right side long gusset plate</t>
  </si>
  <si>
    <t>rear long gusset plate</t>
  </si>
  <si>
    <t>M5 x 15 button head screx into post</t>
  </si>
  <si>
    <t>m5 washer</t>
  </si>
  <si>
    <t>m5 T-nut for 4040 extrusion</t>
  </si>
  <si>
    <t>M5 x 15 button head screw into post</t>
  </si>
  <si>
    <t>left side short gusset plate</t>
  </si>
  <si>
    <t>right side short gusset plate</t>
  </si>
  <si>
    <t>rear short gusset plate</t>
  </si>
  <si>
    <t xml:space="preserve">Aluminum plate (T6061).25 thick, 4" x 16" </t>
  </si>
  <si>
    <t>https://www.onlinemetals.com/en/buy/aluminum-square-bar</t>
  </si>
  <si>
    <t>cost epr inch</t>
  </si>
  <si>
    <t xml:space="preserve">Aluminum plate (T6061).25 thick, 12" x 5" </t>
  </si>
  <si>
    <t>406 x 406mm Flex Spring Steel Sheet Pre-Applied PEI</t>
  </si>
  <si>
    <t>https://www.aliexpress.com/item/33058930261.html</t>
  </si>
  <si>
    <t>T 6061 Al Angle extrusion 2" x 2" x .125" 6" aluminum (for side ball mount)</t>
  </si>
  <si>
    <t>Nema 17/23 motor mount</t>
  </si>
  <si>
    <t>Assembly, Jubilee Carraige with extruder tool</t>
  </si>
  <si>
    <t>Minimum order quantity</t>
  </si>
  <si>
    <t>Remaining Extended cost</t>
  </si>
  <si>
    <t>Purchased 12/19</t>
  </si>
  <si>
    <t>Cost of excess material</t>
  </si>
  <si>
    <t>Aluminum angle 2.5" x 2.5" x .25" x 100mm</t>
  </si>
  <si>
    <t>https://www.onlinemetals.com/en/buy/aluminum-angle</t>
  </si>
  <si>
    <t>mike donation</t>
  </si>
  <si>
    <t>Mike donation - 20 pcs</t>
  </si>
  <si>
    <t>propose to buy now</t>
  </si>
  <si>
    <t>x</t>
  </si>
  <si>
    <t xml:space="preserve">Aluminum angle 2" x 1" x .125 thick, 12" long </t>
  </si>
  <si>
    <t>total proposed spend</t>
  </si>
  <si>
    <t>Misumi quote for 2020 at different lengths</t>
  </si>
  <si>
    <t>Cost</t>
  </si>
  <si>
    <t>Length (mm)</t>
  </si>
  <si>
    <t>slope of line</t>
  </si>
  <si>
    <t>per 25mm</t>
  </si>
  <si>
    <t xml:space="preserve">minimum buy length </t>
  </si>
  <si>
    <t>12mm Diameter M5 Steel Threaded ball</t>
  </si>
  <si>
    <t>https://www.aliexpress.com/item/32829474364.html?spm=a2g0o.detail.1000060.1.24dd1a2fCW9QQG&amp;gps-id=pcDetailBottomMoreThisSeller&amp;scm=1007.13339.146401.0&amp;scm_id=1007.13339.146401.0&amp;scm-url=1007.13339.146401.0&amp;pvid=fb0378aa-b2ee-493b-bc08-703f824f9585</t>
  </si>
  <si>
    <t>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</t>
  </si>
  <si>
    <t>bolt depot</t>
  </si>
  <si>
    <t>Shipping estimated $5 total</t>
  </si>
  <si>
    <t>Get out of center offcut of part A-0001</t>
  </si>
  <si>
    <t>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</t>
  </si>
  <si>
    <t>1/2" x 1/8" Disc - SmCo - Samarium Cobalt Rare Earth Magnet, Grade N30</t>
  </si>
  <si>
    <t>ebay</t>
  </si>
  <si>
    <t>Remainnig  SPEND cost</t>
  </si>
  <si>
    <t xml:space="preserve">M4x12mmx1 mm Stainless Steel Round Flat Washer </t>
  </si>
  <si>
    <t>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</t>
  </si>
  <si>
    <t>40x80 Aluminum Extrusion - 8 Series, Base 40, 625mm long, both ends tapped, with helicoil inserts</t>
  </si>
  <si>
    <t>16ths</t>
  </si>
  <si>
    <t>32nds</t>
  </si>
  <si>
    <t>64ths</t>
  </si>
  <si>
    <t>Line number</t>
  </si>
  <si>
    <t>Buy-now costs</t>
  </si>
  <si>
    <t>proposed spend part numbers</t>
  </si>
  <si>
    <t>https://www.boltdepot.com/Product-Details.aspx?product=4795</t>
  </si>
  <si>
    <t>https://www.boltdepot.com/Product-Details.aspx?product=4792</t>
  </si>
  <si>
    <t>https://www.boltdepot.com/Product-Details.aspx?product=4793</t>
  </si>
  <si>
    <t>https://www.boltdepot.com/Product-Details.aspx?product=13345</t>
  </si>
  <si>
    <t>https://www.boltdepot.com/Product-Details.aspx?product=13353</t>
  </si>
  <si>
    <t>M5-0.8 X 75MM Socket Head Cap Screws,  Black Oxide Coated Steel</t>
  </si>
  <si>
    <t>https://www.boltdepot.com/Product-Details.aspx?product=6534</t>
  </si>
  <si>
    <t>M6 Flat/Countersunk Head Socket Screws (M6 x 22mm)</t>
  </si>
  <si>
    <t>https://www.boltdepot.com/Product-Details.aspx?product=13282</t>
  </si>
  <si>
    <t>https://www.boltdepot.com/Product-Details.aspx?product=13284</t>
  </si>
  <si>
    <t>https://www.boltdepot.com/Product-Details.aspx?product=6506</t>
  </si>
  <si>
    <t>https://www.boltdepot.com/Product-Details.aspx?product=4513</t>
  </si>
  <si>
    <t>https://www.boltdepot.com/Product-Details.aspx?product=4514</t>
  </si>
  <si>
    <t>https://www.boltdepot.com/Product-Details.aspx?product=6532</t>
  </si>
  <si>
    <t>https://www.boltdepot.com/Product-Details.aspx?product=4515</t>
  </si>
  <si>
    <t>https://www.boltdepot.com/Product-Details.aspx?product=13641</t>
  </si>
  <si>
    <t>M5-0.8 x 16mm Button Head Socket Cap Screws</t>
  </si>
  <si>
    <t>M6-1.0 x 35mm Flat Head Socket  Screws</t>
  </si>
  <si>
    <t>https://www.amazon.com/dp/B01MCWO35P</t>
  </si>
  <si>
    <t>1/4" thick Cast aluminum plate, 17" x 19"  Cut from top plate waste)</t>
  </si>
  <si>
    <t>zyltech</t>
  </si>
  <si>
    <t>http://www.zyltech.com/flexible-plum-coupler-shaft-various-combinations-from-5mm-to-12-7mm/</t>
  </si>
  <si>
    <t xml:space="preserve">top plate </t>
  </si>
  <si>
    <t>15mm heli-coil threads</t>
  </si>
  <si>
    <t>https://www.boltdepot.com/Product-Details.aspx?product=6563</t>
  </si>
  <si>
    <t>M8 x 1.25 socket cap screw, 30mm long</t>
  </si>
  <si>
    <t>M8 x 30mm, Cap screw screw (bottom plate to posts)</t>
  </si>
  <si>
    <t>M8 x 30mm  Cap screw (top plate to posts)</t>
  </si>
  <si>
    <t>M8 washer</t>
  </si>
  <si>
    <t>https://www.boltdepot.com/Product-Details.aspx?product=4518</t>
  </si>
  <si>
    <t>M8  flat washers, Stainless steel 18-8</t>
  </si>
  <si>
    <t>Inkbird Solid State Relay 40DA DC SSR Black Heat Sink for PID Thermostat Temperature Controller</t>
  </si>
  <si>
    <t>Thermal interface for SSR heatsink</t>
  </si>
  <si>
    <t>SSR for bed heater (with heatsink)</t>
  </si>
  <si>
    <t>ordered 2/13</t>
  </si>
  <si>
    <t>8mm T8x2 Lead Screw Trapezoidal ACME w/ Small Delrin Anti-Backlash Nut kit</t>
  </si>
  <si>
    <t>http://www.zyltech.com/8mm-t8x2-lead-screw-trapezoidal-acme-w-small-delrin-anti-backlash-nut-kit-custom-length-up-to-1000mm/</t>
  </si>
  <si>
    <t>T6061 Al Angle extrusion 2.5" x 2.5" x .25 thick, 3" long</t>
  </si>
  <si>
    <t>Assembly, A-belt Idler on top plate</t>
  </si>
  <si>
    <t>Assembly, B-belt Idler on top plate</t>
  </si>
  <si>
    <t>M6 x 55mm button head screw</t>
  </si>
  <si>
    <t>https://www.boltdepot.com/Product-Details.aspx?product=6653</t>
  </si>
  <si>
    <t>M6-1.0 x 60mmbutton head  Screw</t>
  </si>
  <si>
    <t>https://www.boltdepot.com/Product-Details.aspx?product=13639</t>
  </si>
  <si>
    <t>on order 2/14</t>
  </si>
  <si>
    <t>M6 x 65mm Button Head Cap Screws Metric, Grade 12.9 Alloy Steel Black Oxide</t>
  </si>
  <si>
    <t>https://www.boltdepot.com/Product-Details.aspx?product=18967</t>
  </si>
  <si>
    <t>https://www.amazon.com/gp/product/B00W9A2L3S</t>
  </si>
  <si>
    <t>0.9deg Nema 17 Stepper Motor Bipolar 2A 46Ncm/65oz.in 42x42x48mm 4-Wires DIY CNC</t>
  </si>
  <si>
    <t>ordered 2/15</t>
  </si>
  <si>
    <t>Purchased 12/19. ordered 1 more 2/15</t>
  </si>
  <si>
    <t>on order 2/16</t>
  </si>
  <si>
    <t>Cloned 7i PanelDue Touch Screen Controller For BLV MGN Cube</t>
  </si>
  <si>
    <t>https://www.aliexpress.com/item/32896949230.html?src=google&amp;src=google&amp;albch=shopping&amp;acnt=494-037-</t>
  </si>
  <si>
    <t>Heated Bed 10K Lug Ring Thermistor (PN NTC/BC2891-ND)</t>
  </si>
  <si>
    <t>https://www.digikey.com/product-detail/en/vishay-bc-components/NTCALUG01A103F/BC2891-ND/4896928</t>
  </si>
  <si>
    <t>digikey</t>
  </si>
  <si>
    <t>https://www.digikey.com/product-detail/en/sensata-crydom/HSP-2/CC1810-ND/2638648</t>
  </si>
  <si>
    <t>SSR Thermal Pad</t>
  </si>
  <si>
    <t>SSR Protective cover</t>
  </si>
  <si>
    <t>https://www.digikey.com/product-detail/en/sensata-crydom/KS-100/CC1070-ND/140630</t>
  </si>
  <si>
    <t>NEMA 11 Stepper with grearing</t>
  </si>
  <si>
    <t>https://www.digikey.com/product-detail/en/e-switch/SS0750300F070P1A/SS0750300F070P1A-ND/3778167</t>
  </si>
  <si>
    <t>Mechanical limit switch ( SS0750300F070P1A )</t>
  </si>
  <si>
    <t xml:space="preserve">E3D High Precision Ceramic Heater Cartridge 24V 30W </t>
  </si>
  <si>
    <t>https://www.filamentone.com/products/e3d-high-precision-ceramic-heater-cartridge-24v-30w?variant=12349726064734&amp;currency=USD&amp;utm_campaign=gs-2019-09-12&amp;utm_source=google&amp;utm_medium=smart_campaign&amp;gclid=EAIaIQobChMI04nqsJnZ5wIVtB-tBh2dPQnKEAQYAiABEgKLIPD_BwE</t>
  </si>
  <si>
    <t>https://www.amazon.com/FYSETC-Printer-Extruder-Radiator-Creality/dp/B07TFFZ2BW</t>
  </si>
  <si>
    <t>FYSETC 3D Printer Ender 3 Parts 4010 DC 24V Cooling Fan</t>
  </si>
  <si>
    <t>Cooling Fan for 3D Printer, 4020 DC 40×40×20mm Turbo Fan</t>
  </si>
  <si>
    <t>https://www.amazon.com/Zerone-Cooling-Printer-40×40×20mm-Accessories/dp/B07K7CB9Q6</t>
  </si>
  <si>
    <t>Hotend thermistor</t>
  </si>
  <si>
    <t>Z-height sensor</t>
  </si>
  <si>
    <t xml:space="preserve"> AC 115/250VAC 10A Noise Suppressing Power Entry Module</t>
  </si>
  <si>
    <t>amazon.com</t>
  </si>
  <si>
    <t>https://www.amazon.com/Suppressor-Single-Phase-Line-Conditioner-JREle-CW2B-10A-T/dp/B073RLXRPB</t>
  </si>
  <si>
    <t>AC Power cord</t>
  </si>
  <si>
    <t>https://www.amazon.com/10-Standard-Computer-Power-Cord/dp/B0002GRUIM</t>
  </si>
  <si>
    <t>Dual Row 4 Position Covered Screw Terminal Strip 600V 25A</t>
  </si>
  <si>
    <t>https://www.digikey.com/product-detail/en/omron-electronics-inc-emc-div/D2HW-C201H/SW1153-ND/1811903</t>
  </si>
  <si>
    <t>microswitch  (bridge)</t>
  </si>
  <si>
    <t>Quick Disconnect Terminal, 0.25in x 0.032in, 14-16 AWG (Power Entry Module)</t>
  </si>
  <si>
    <t>https://www.digikey.com/product-detail/en/molex/0190160043/WM6911CT-ND/3044913</t>
  </si>
  <si>
    <t>Ring Terminal Crimp Connector (24 VDC Terminals)</t>
  </si>
  <si>
    <t>https://www.digikey.com/product-detail/en/3m/12-10/3M156232-ND/3837440</t>
  </si>
  <si>
    <t>White Stranded #16 Insulated Wire (120VAC &amp; 24 VDC Distribution)(25 Feet)</t>
  </si>
  <si>
    <t>Black Stranded #16 Insulated Wire (120VAC Distribution)(25 Feet)</t>
  </si>
  <si>
    <t>Green Stranded #16 Insulated Wire (120VAC Distribution)(25 Feet)</t>
  </si>
  <si>
    <t>Red Insulated Stranded #16 Wire (24 VDC Distribution)(25 Feet)</t>
  </si>
  <si>
    <t>https://www.amazon.com/Remington-Industries-16UL1007STRKIT-Stranded-Diameter/dp/B00N51OJJ4</t>
  </si>
  <si>
    <t>White Stranded #26 Insulated Wire (Thermistor, Limit Switches)(100 Feet)</t>
  </si>
  <si>
    <t>mcmaster-carr</t>
  </si>
  <si>
    <t>https://www.mcmaster.com/8054t11-8054T053</t>
  </si>
  <si>
    <t>4" zip ties</t>
  </si>
  <si>
    <t>https://www.amazon.com/dp/B07ZWTT9BH</t>
  </si>
  <si>
    <t>Tie Mount 0.75 Inch 20mm Black Samll Squares Adhesive Mounting</t>
  </si>
  <si>
    <t>https://www.amazon.com/Adhesive-Pieces-perfect-Management-Durability-Pro-grade/dp/B07NYNVHZY</t>
  </si>
  <si>
    <t>https://www.amazon.com/gp/product/B071JH14WZ</t>
  </si>
  <si>
    <t>RGB Wire Line Cord 22AWG 4pin 22 Gauge - 20M</t>
  </si>
  <si>
    <t>https://www.amazon.com/CARLITS-Connector-Electric-Conductor-Extension/dp/B07R7V4Z9Q</t>
  </si>
  <si>
    <t>1/4 inch PET Expandable Braided Sleeving – Black 25 ft</t>
  </si>
  <si>
    <t>1/2 inch PET Expandable Braided Sleeving – Black 25 ft</t>
  </si>
  <si>
    <t>PanelDu 7"</t>
  </si>
  <si>
    <t>Heated bed thermistor</t>
  </si>
  <si>
    <t>Mechanical limit switch in carriage</t>
  </si>
  <si>
    <t>microswitch  (bridge, z-axis)</t>
  </si>
  <si>
    <t xml:space="preserve">Black Stranded #16 Insulated Wire  in kit with white </t>
  </si>
  <si>
    <t>Green Stranded #16 Insulated Wire in kit with white</t>
  </si>
  <si>
    <t>Red Insulated Stranded #16 Wirein kit with white</t>
  </si>
  <si>
    <t>https://www.amazon.com/gp/product/B071ZV6MZ2</t>
  </si>
  <si>
    <t>Quantity on order</t>
  </si>
  <si>
    <t>NEMA 11 Stepper with gearing</t>
  </si>
  <si>
    <t>M3 Thread T-Nut for 40 Series European Aluminium Profile Hammer Head</t>
  </si>
  <si>
    <t>M3  "T-nut" for Z-azis guide rail</t>
  </si>
  <si>
    <t>https://www.amazon.com/gp/product/B07CN161T5</t>
  </si>
  <si>
    <t>Grand Total</t>
  </si>
  <si>
    <t>(blank)</t>
  </si>
  <si>
    <t>Sum of Cost of excess material</t>
  </si>
  <si>
    <t>PARTS NOT YET ORDERED</t>
  </si>
  <si>
    <t>PARTS ON ORDER (but not yet received)</t>
  </si>
  <si>
    <t>PARTS ON HAND</t>
  </si>
  <si>
    <t>Sum of Buy-now costs</t>
  </si>
  <si>
    <t>PARTS PROPOSED FOR PURCHASE NOW</t>
  </si>
  <si>
    <t>X</t>
  </si>
  <si>
    <t>Quantity  to  purchase</t>
  </si>
  <si>
    <t>Cost each</t>
  </si>
  <si>
    <t>Actual cost</t>
  </si>
  <si>
    <t>400mm MGN12 Linear Rail Guide with MGN12H Carriage Block</t>
  </si>
  <si>
    <t>ordered 2/14, received 2/20</t>
  </si>
  <si>
    <t>Sum of Actual cost</t>
  </si>
  <si>
    <t>ordered 2/13, received 2/20</t>
  </si>
  <si>
    <t>Order date</t>
  </si>
  <si>
    <t>received date</t>
  </si>
  <si>
    <t>Due date</t>
  </si>
  <si>
    <t xml:space="preserve">Cloned Duet 2 Wifi V1.04 DuetWifi Advanced 32 Bit Electronics </t>
  </si>
  <si>
    <t>https://www.digikey.com/product-detail/en/te-connectivity-amp-connectors/1546306-4/A98505-ND/1277415</t>
  </si>
  <si>
    <t>3/13 - 4/1</t>
  </si>
  <si>
    <t>4/3 - 4/29</t>
  </si>
  <si>
    <t>not available</t>
  </si>
  <si>
    <t>on order 2/13, shipped 2/19</t>
  </si>
  <si>
    <t xml:space="preserve">Total  cost </t>
  </si>
  <si>
    <t>Actual Cost</t>
  </si>
  <si>
    <t>Ideal Cost</t>
  </si>
  <si>
    <t>Parts on hand</t>
  </si>
  <si>
    <t>Excess material Cost</t>
  </si>
  <si>
    <r>
      <rPr>
        <b/>
        <i/>
        <sz val="11"/>
        <color theme="1"/>
        <rFont val="Calibri"/>
        <family val="2"/>
        <scheme val="minor"/>
      </rPr>
      <t>Ideal Cost</t>
    </r>
    <r>
      <rPr>
        <sz val="11"/>
        <color theme="1"/>
        <rFont val="Calibri"/>
        <family val="2"/>
        <scheme val="minor"/>
      </rPr>
      <t xml:space="preserve"> =  Cost to buy all parts, at the precise quantity required.
</t>
    </r>
    <r>
      <rPr>
        <b/>
        <i/>
        <sz val="11"/>
        <color theme="1"/>
        <rFont val="Calibri"/>
        <family val="2"/>
        <scheme val="minor"/>
      </rPr>
      <t>Excess material  Cost</t>
    </r>
    <r>
      <rPr>
        <sz val="11"/>
        <color theme="1"/>
        <rFont val="Calibri"/>
        <family val="2"/>
        <scheme val="minor"/>
      </rPr>
      <t xml:space="preserve"> = Cost to buy all parts, including excess material purchased dur to minimum order quantities.
</t>
    </r>
    <r>
      <rPr>
        <b/>
        <i/>
        <sz val="11"/>
        <color theme="1"/>
        <rFont val="Calibri"/>
        <family val="2"/>
        <scheme val="minor"/>
      </rPr>
      <t>Actual Cost</t>
    </r>
    <r>
      <rPr>
        <sz val="11"/>
        <color theme="1"/>
        <rFont val="Calibri"/>
        <family val="2"/>
        <scheme val="minor"/>
      </rPr>
      <t xml:space="preserve"> = Money spent. Value of donated items reduces this amount. 
</t>
    </r>
    <r>
      <rPr>
        <sz val="9"/>
        <color theme="1"/>
        <rFont val="Calibri"/>
        <family val="2"/>
        <scheme val="minor"/>
      </rPr>
      <t>Both include shipping and sales tax.</t>
    </r>
  </si>
  <si>
    <t>Parts on order</t>
  </si>
  <si>
    <t>Not Yet ordered</t>
  </si>
  <si>
    <t>Remaining ideal cost</t>
  </si>
  <si>
    <t>Sum of Remaining ideal cost</t>
  </si>
  <si>
    <t>Ideal cost of parts on hand</t>
  </si>
  <si>
    <t>Sum of Ideal cost of parts on hand</t>
  </si>
  <si>
    <t>Free shipping</t>
  </si>
  <si>
    <t>Ideal cost of parts on order</t>
  </si>
  <si>
    <t>Sum of Ideal cost of parts on order</t>
  </si>
  <si>
    <t>Quantity purchased</t>
  </si>
  <si>
    <t>Quantity donated</t>
  </si>
  <si>
    <t>https://www.banggood.com/Machifit-500mm-Length-MGN15-Linear-Rail-Guide-with-MGN15H-Linear-Rail-Block-CNC-Tool-p-1239196.html?akmClientCountry=America&amp;cur_warehouse=US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</si>
</sst>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\$* #,##0.00_);_(\$* \(#,##0.00\);_(\$* \-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5" fillId="0" borderId="0"/>
    <xf numFmtId="0" fontId="5" fillId="0" borderId="0"/>
    <xf numFmtId="0" fontId="6" fillId="0" borderId="0"/>
  </cellStyleXfs>
  <cellXfs count="1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2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top" wrapText="1"/>
    </xf>
    <xf numFmtId="44" fontId="0" fillId="0" borderId="0" xfId="1" applyFont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1" applyNumberFormat="1" applyFont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Alignment="1">
      <alignment horizontal="left" vertical="center" indent="1"/>
    </xf>
    <xf numFmtId="0" fontId="0" fillId="0" borderId="10" xfId="0" applyBorder="1"/>
    <xf numFmtId="0" fontId="0" fillId="2" borderId="0" xfId="0" applyFill="1" applyAlignment="1">
      <alignment horizontal="left" vertical="center" indent="2"/>
    </xf>
    <xf numFmtId="0" fontId="0" fillId="0" borderId="0" xfId="0" applyFill="1" applyBorder="1"/>
    <xf numFmtId="0" fontId="0" fillId="0" borderId="0" xfId="0" applyFill="1" applyBorder="1" applyAlignment="1">
      <alignment horizontal="left" indent="2"/>
    </xf>
    <xf numFmtId="0" fontId="0" fillId="0" borderId="1" xfId="0" applyFill="1" applyBorder="1"/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44" fontId="7" fillId="0" borderId="0" xfId="1" applyFont="1" applyAlignment="1">
      <alignment vertical="center"/>
    </xf>
    <xf numFmtId="44" fontId="7" fillId="0" borderId="0" xfId="1" applyFont="1" applyAlignment="1">
      <alignment vertical="top" wrapText="1"/>
    </xf>
    <xf numFmtId="1" fontId="0" fillId="0" borderId="0" xfId="0" applyNumberFormat="1" applyAlignment="1">
      <alignment horizontal="center" vertical="center"/>
    </xf>
    <xf numFmtId="1" fontId="7" fillId="0" borderId="0" xfId="1" applyNumberFormat="1" applyFont="1" applyAlignment="1">
      <alignment horizontal="center" vertical="top" wrapText="1"/>
    </xf>
    <xf numFmtId="1" fontId="7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44" fontId="10" fillId="5" borderId="0" xfId="1" applyFont="1" applyFill="1" applyAlignment="1">
      <alignment horizontal="center" vertical="center"/>
    </xf>
    <xf numFmtId="1" fontId="0" fillId="0" borderId="0" xfId="1" applyNumberFormat="1" applyFont="1" applyAlignment="1">
      <alignment horizontal="center" vertical="top" wrapText="1"/>
    </xf>
    <xf numFmtId="1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vertical="center"/>
    </xf>
    <xf numFmtId="44" fontId="0" fillId="0" borderId="0" xfId="1" applyNumberFormat="1" applyFont="1" applyAlignment="1">
      <alignment vertical="center"/>
    </xf>
    <xf numFmtId="44" fontId="0" fillId="0" borderId="0" xfId="1" applyNumberFormat="1" applyFont="1" applyAlignment="1">
      <alignment vertical="top" wrapText="1"/>
    </xf>
    <xf numFmtId="165" fontId="0" fillId="0" borderId="0" xfId="1" applyNumberFormat="1" applyFont="1"/>
    <xf numFmtId="166" fontId="0" fillId="0" borderId="0" xfId="0" applyNumberFormat="1"/>
    <xf numFmtId="2" fontId="0" fillId="0" borderId="0" xfId="1" applyNumberFormat="1" applyFont="1"/>
    <xf numFmtId="4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44" fontId="7" fillId="0" borderId="0" xfId="1" applyFont="1" applyFill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pivotButton="1" applyFont="1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44" fontId="0" fillId="0" borderId="0" xfId="0" applyNumberFormat="1" applyAlignment="1">
      <alignment wrapText="1"/>
    </xf>
    <xf numFmtId="0" fontId="13" fillId="0" borderId="0" xfId="0" applyFont="1"/>
    <xf numFmtId="0" fontId="0" fillId="0" borderId="11" xfId="0" applyBorder="1" applyAlignment="1">
      <alignment vertical="center"/>
    </xf>
    <xf numFmtId="0" fontId="2" fillId="0" borderId="0" xfId="0" pivotButton="1" applyFont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0" fontId="0" fillId="0" borderId="0" xfId="0" pivotButton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top" wrapText="1"/>
    </xf>
    <xf numFmtId="2" fontId="0" fillId="0" borderId="0" xfId="1" applyNumberFormat="1" applyFont="1" applyAlignment="1">
      <alignment horizontal="center" vertical="center"/>
    </xf>
    <xf numFmtId="1" fontId="0" fillId="0" borderId="0" xfId="0" applyNumberFormat="1"/>
    <xf numFmtId="44" fontId="0" fillId="0" borderId="0" xfId="0" pivotButton="1" applyNumberFormat="1" applyAlignment="1">
      <alignment horizontal="center" vertical="center"/>
    </xf>
    <xf numFmtId="44" fontId="0" fillId="0" borderId="0" xfId="0" applyNumberFormat="1" applyAlignment="1">
      <alignment horizontal="center"/>
    </xf>
    <xf numFmtId="14" fontId="7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1" applyNumberFormat="1" applyFont="1" applyAlignment="1">
      <alignment vertical="center"/>
    </xf>
    <xf numFmtId="14" fontId="0" fillId="0" borderId="0" xfId="1" applyNumberFormat="1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4" fontId="0" fillId="0" borderId="0" xfId="1" applyFont="1"/>
    <xf numFmtId="44" fontId="0" fillId="0" borderId="0" xfId="1" applyFont="1" applyAlignment="1">
      <alignment horizontal="center" vertical="top" wrapText="1"/>
    </xf>
    <xf numFmtId="44" fontId="7" fillId="0" borderId="0" xfId="1" applyFont="1" applyAlignment="1">
      <alignment horizontal="center" vertical="center"/>
    </xf>
    <xf numFmtId="44" fontId="0" fillId="0" borderId="0" xfId="1" applyNumberFormat="1" applyFont="1" applyAlignment="1">
      <alignment horizontal="center" vertical="top" wrapText="1"/>
    </xf>
    <xf numFmtId="44" fontId="7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wrapText="1"/>
    </xf>
    <xf numFmtId="44" fontId="0" fillId="0" borderId="0" xfId="1" applyFont="1" applyFill="1" applyAlignment="1">
      <alignment vertical="center"/>
    </xf>
    <xf numFmtId="0" fontId="0" fillId="0" borderId="0" xfId="0" applyFill="1"/>
    <xf numFmtId="0" fontId="0" fillId="0" borderId="0" xfId="0" pivotButton="1" applyAlignment="1">
      <alignment vertical="top" wrapText="1"/>
    </xf>
    <xf numFmtId="0" fontId="2" fillId="0" borderId="0" xfId="0" pivotButton="1" applyFont="1" applyAlignment="1">
      <alignment horizontal="center" vertical="top" wrapText="1"/>
    </xf>
    <xf numFmtId="44" fontId="0" fillId="0" borderId="0" xfId="0" applyNumberFormat="1" applyAlignment="1">
      <alignment vertical="top" wrapText="1"/>
    </xf>
    <xf numFmtId="0" fontId="0" fillId="0" borderId="0" xfId="0" pivotButton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</cellXfs>
  <cellStyles count="7">
    <cellStyle name="Currency" xfId="1" builtinId="4"/>
    <cellStyle name="Currency 2" xfId="4"/>
    <cellStyle name="Excel Built-in Normal" xfId="5"/>
    <cellStyle name="Hyperlink" xfId="2" builtinId="8"/>
    <cellStyle name="Hyperlink 2" xfId="6"/>
    <cellStyle name="Normal" xfId="0" builtinId="0"/>
    <cellStyle name="Normal 2" xfId="3"/>
  </cellStyles>
  <dxfs count="1157"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</border>
    </dxf>
    <dxf>
      <border>
        <left/>
        <right/>
      </border>
    </dxf>
    <dxf>
      <numFmt numFmtId="34" formatCode="_(&quot;$&quot;* #,##0.00_);_(&quot;$&quot;* \(#,##0.00\);_(&quot;$&quot;* &quot;-&quot;??_);_(@_)"/>
    </dxf>
    <dxf>
      <border>
        <left/>
        <right/>
        <top/>
        <horizontal/>
      </border>
    </dxf>
    <dxf>
      <border>
        <left/>
        <right/>
        <top/>
        <horizontal/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border>
        <horizontal/>
      </border>
    </dxf>
    <dxf>
      <border>
        <horizontal/>
      </border>
    </dxf>
    <dxf>
      <alignment horizont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vertical="center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</border>
    </dxf>
    <dxf>
      <border>
        <left/>
        <right/>
      </border>
    </dxf>
    <dxf>
      <numFmt numFmtId="34" formatCode="_(&quot;$&quot;* #,##0.00_);_(&quot;$&quot;* \(#,##0.00\);_(&quot;$&quot;* &quot;-&quot;??_);_(@_)"/>
    </dxf>
    <dxf>
      <border>
        <left/>
        <right/>
        <top/>
        <horizontal/>
      </border>
    </dxf>
    <dxf>
      <border>
        <left/>
        <right/>
        <top/>
        <horizontal/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border>
        <horizontal/>
      </border>
    </dxf>
    <dxf>
      <border>
        <horizontal/>
      </border>
    </dxf>
    <dxf>
      <alignment horizont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vertical="center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top" textRotation="0" wrapText="1" indent="0" justifyLastLine="0" shrinkToFit="0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border>
        <horizontal/>
      </border>
    </dxf>
    <dxf>
      <border>
        <horizontal/>
      </border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/>
        <right/>
        <top/>
        <horizontal/>
      </border>
    </dxf>
    <dxf>
      <border>
        <left/>
        <right/>
        <top/>
        <horizontal/>
      </border>
    </dxf>
    <dxf>
      <numFmt numFmtId="34" formatCode="_(&quot;$&quot;* #,##0.00_);_(&quot;$&quot;* \(#,##0.00\);_(&quot;$&quot;* &quot;-&quot;??_);_(@_)"/>
    </dxf>
    <dxf>
      <border>
        <left/>
        <right/>
      </border>
    </dxf>
    <dxf>
      <border>
        <left/>
        <right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vertical="center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horizontal="left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</dxfs>
  <tableStyles count="0" defaultTableStyle="TableStyleMedium2" defaultPivotStyle="PivotStyleLight16"/>
  <colors>
    <mruColors>
      <color rgb="FF33F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2683792776576498E-2"/>
          <c:y val="0.12076826925531227"/>
          <c:w val="0.82867495277819925"/>
          <c:h val="0.75972637833018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cost analysis'!$B$4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'2020 cost analysis'!$A$5:$A$25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295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625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2000</c:v>
                </c:pt>
              </c:numCache>
            </c:numRef>
          </c:xVal>
          <c:yVal>
            <c:numRef>
              <c:f>'2020 cost analysis'!$B$5:$B$25</c:f>
              <c:numCache>
                <c:formatCode>General</c:formatCode>
                <c:ptCount val="21"/>
                <c:pt idx="0">
                  <c:v>3.03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1.89</c:v>
                </c:pt>
                <c:pt idx="6">
                  <c:v>2.2000000000000002</c:v>
                </c:pt>
                <c:pt idx="7">
                  <c:v>2.52</c:v>
                </c:pt>
                <c:pt idx="8">
                  <c:v>3.15</c:v>
                </c:pt>
                <c:pt idx="9">
                  <c:v>3.78</c:v>
                </c:pt>
                <c:pt idx="10">
                  <c:v>3.93</c:v>
                </c:pt>
                <c:pt idx="11">
                  <c:v>4.41</c:v>
                </c:pt>
                <c:pt idx="12">
                  <c:v>5.04</c:v>
                </c:pt>
                <c:pt idx="13">
                  <c:v>5.67</c:v>
                </c:pt>
                <c:pt idx="14">
                  <c:v>6.3</c:v>
                </c:pt>
                <c:pt idx="15">
                  <c:v>6.93</c:v>
                </c:pt>
                <c:pt idx="16">
                  <c:v>7.56</c:v>
                </c:pt>
                <c:pt idx="17">
                  <c:v>8.19</c:v>
                </c:pt>
                <c:pt idx="18">
                  <c:v>8.82</c:v>
                </c:pt>
                <c:pt idx="19">
                  <c:v>9.4499999999999993</c:v>
                </c:pt>
                <c:pt idx="20">
                  <c:v>12.6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33792"/>
        <c:axId val="230367616"/>
      </c:scatterChart>
      <c:valAx>
        <c:axId val="21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0367616"/>
        <c:crosses val="autoZero"/>
        <c:crossBetween val="midCat"/>
        <c:majorUnit val="100"/>
      </c:valAx>
      <c:valAx>
        <c:axId val="23036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83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2</xdr:row>
      <xdr:rowOff>142875</xdr:rowOff>
    </xdr:from>
    <xdr:to>
      <xdr:col>18</xdr:col>
      <xdr:colOff>104774</xdr:colOff>
      <xdr:row>30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337769</xdr:colOff>
      <xdr:row>19</xdr:row>
      <xdr:rowOff>158994</xdr:rowOff>
    </xdr:from>
    <xdr:to>
      <xdr:col>16</xdr:col>
      <xdr:colOff>21980</xdr:colOff>
      <xdr:row>27</xdr:row>
      <xdr:rowOff>51288</xdr:rowOff>
    </xdr:to>
    <xdr:sp macro="" textlink="">
      <xdr:nvSpPr>
        <xdr:cNvPr id="3" name="TextBox 2"/>
        <xdr:cNvSpPr txBox="1"/>
      </xdr:nvSpPr>
      <xdr:spPr>
        <a:xfrm>
          <a:off x="6800115" y="3778494"/>
          <a:ext cx="3333019" cy="1416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                    $0.016</a:t>
          </a:r>
          <a:r>
            <a:rPr lang="en-US" sz="1100" baseline="0"/>
            <a:t> per 25mm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Don't buy any piece shorter than 480mm</a:t>
          </a:r>
          <a:endParaRPr lang="en-US" sz="1100"/>
        </a:p>
      </xdr:txBody>
    </xdr:sp>
    <xdr:clientData/>
  </xdr:twoCellAnchor>
  <xdr:twoCellAnchor>
    <xdr:from>
      <xdr:col>11</xdr:col>
      <xdr:colOff>311929</xdr:colOff>
      <xdr:row>19</xdr:row>
      <xdr:rowOff>87359</xdr:rowOff>
    </xdr:from>
    <xdr:to>
      <xdr:col>12</xdr:col>
      <xdr:colOff>123331</xdr:colOff>
      <xdr:row>20</xdr:row>
      <xdr:rowOff>37320</xdr:rowOff>
    </xdr:to>
    <xdr:sp macro="" textlink="">
      <xdr:nvSpPr>
        <xdr:cNvPr id="11" name="Right Arrow 10"/>
        <xdr:cNvSpPr/>
      </xdr:nvSpPr>
      <xdr:spPr>
        <a:xfrm rot="12756572">
          <a:off x="7382410" y="3706859"/>
          <a:ext cx="419536" cy="140461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494639</xdr:colOff>
      <xdr:row>25</xdr:row>
      <xdr:rowOff>132984</xdr:rowOff>
    </xdr:from>
    <xdr:to>
      <xdr:col>10</xdr:col>
      <xdr:colOff>464363</xdr:colOff>
      <xdr:row>26</xdr:row>
      <xdr:rowOff>125657</xdr:rowOff>
    </xdr:to>
    <xdr:sp macro="" textlink="">
      <xdr:nvSpPr>
        <xdr:cNvPr id="12" name="Right Arrow 11"/>
        <xdr:cNvSpPr/>
      </xdr:nvSpPr>
      <xdr:spPr>
        <a:xfrm rot="8184353">
          <a:off x="6348851" y="4895484"/>
          <a:ext cx="577858" cy="183173"/>
        </a:xfrm>
        <a:prstGeom prst="rightArrow">
          <a:avLst>
            <a:gd name="adj1" fmla="val 21400"/>
            <a:gd name="adj2" fmla="val 50000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0.16802</cdr:x>
      <cdr:y>0.71599</cdr:y>
    </cdr:from>
    <cdr:to>
      <cdr:x>0.24224</cdr:x>
      <cdr:y>0.71599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127982" y="3842971"/>
          <a:ext cx="49823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0.24115</cdr:x>
      <cdr:y>0.71736</cdr:y>
    </cdr:from>
    <cdr:to>
      <cdr:x>0.24115</cdr:x>
      <cdr:y>0.88253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618885" y="3850298"/>
          <a:ext cx="0" cy="88655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" refreshedDate="43890.26437222222" createdVersion="4" refreshedVersion="4" minRefreshableVersion="3" recordCount="632">
  <cacheSource type="worksheet">
    <worksheetSource name="Table1"/>
  </cacheSource>
  <cacheFields count="29">
    <cacheField name="Part Number" numFmtId="0">
      <sharedItems count="632">
        <s v="A-0001"/>
        <s v="A-0002"/>
        <s v="A-0003"/>
        <s v="A-0004"/>
        <s v="A-0005"/>
        <s v="A-0006"/>
        <s v="A-0007"/>
        <s v="A-0008"/>
        <s v="A-0009"/>
        <s v="A-0010"/>
        <s v="A-0011"/>
        <s v="A-0012"/>
        <s v="A-0013"/>
        <s v="A-0014"/>
        <s v="A-0015"/>
        <s v="A-0016"/>
        <s v="A-0017"/>
        <s v="A-0018"/>
        <s v="A-0019"/>
        <s v="A-0020"/>
        <s v="A-0021"/>
        <s v="A-0022"/>
        <s v="A-0023"/>
        <s v="A-0024"/>
        <s v="A-0025"/>
        <s v="A-0026"/>
        <s v="A-0027"/>
        <s v="A-0028"/>
        <s v="A-0029"/>
        <s v="A-0030"/>
        <s v="A-0031"/>
        <s v="A-0032"/>
        <s v="A-0033"/>
        <s v="A-0034"/>
        <s v="A-0035"/>
        <s v="A-0036"/>
        <s v="A-0037"/>
        <s v="A-0038"/>
        <s v="A-0039"/>
        <s v="A-0040"/>
        <s v="A-0041"/>
        <s v="A-0042"/>
        <s v="A-0043"/>
        <s v="A-0044"/>
        <s v="A-0045"/>
        <s v="A-0046"/>
        <s v="A-0047"/>
        <s v="A-0048"/>
        <s v="A-0049"/>
        <s v="A-0050"/>
        <s v="A-0051"/>
        <s v="A-0052"/>
        <s v="A-0053"/>
        <s v="A-0054"/>
        <s v="A-0055"/>
        <s v="A-0056"/>
        <s v="A-0057"/>
        <s v="A-0058"/>
        <s v="A-0059"/>
        <s v="A-0060"/>
        <s v="A-0061"/>
        <s v="A-0062"/>
        <s v="A-0063"/>
        <s v="A-0064"/>
        <s v="A-0065"/>
        <s v="A-0066"/>
        <s v="A-0067"/>
        <s v="A-0068"/>
        <s v="A-0069"/>
        <s v="A-0070"/>
        <s v="A-0071"/>
        <s v="A-0072"/>
        <s v="A-0073"/>
        <s v="A-0074"/>
        <s v="A-0075"/>
        <s v="A-0076"/>
        <s v="A-0077"/>
        <s v="A-0078"/>
        <s v="A-0079"/>
        <s v="A-0080"/>
        <s v="A-0081"/>
        <s v="A-0082"/>
        <s v="A-0083"/>
        <s v="A-0084"/>
        <s v="A-0085"/>
        <s v="A-0086"/>
        <s v="A-0087"/>
        <s v="A-0088"/>
        <s v="A-0089"/>
        <s v="A-0090"/>
        <s v="A-0091"/>
        <s v="A-0092"/>
        <s v="A-0093"/>
        <s v="A-0094"/>
        <s v="A-0095"/>
        <s v="A-0096"/>
        <s v="A-0097"/>
        <s v="A-0098"/>
        <s v="A-0099"/>
        <s v="A-0100"/>
        <s v="A-0101"/>
        <s v="A-0102"/>
        <s v="A-0103"/>
        <s v="A-0104"/>
        <s v="A-0105"/>
        <s v="A-0106"/>
        <s v="A-0107"/>
        <s v="A-0108"/>
        <s v="A-0109"/>
        <s v="A-0110"/>
        <s v="A-0111"/>
        <s v="A-0112"/>
        <s v="A-0113"/>
        <s v="A-0114"/>
        <s v="A-0115"/>
        <s v="A-0116"/>
        <s v="A-0117"/>
        <s v="A-0118"/>
        <s v="A-0119"/>
        <s v="A-0120"/>
        <s v="A-0121"/>
        <s v="A-0122"/>
        <s v="A-0123"/>
        <s v="A-0124"/>
        <s v="A-0125"/>
        <s v="A-0126"/>
        <s v="A-0127"/>
        <s v="A-0128"/>
        <s v="A-0129"/>
        <s v="A-0130"/>
        <s v="A-0131"/>
        <s v="A-0132"/>
        <s v="A-0133"/>
        <s v="A-0134"/>
        <s v="A-0135"/>
        <s v="A-0136"/>
        <s v="A-0137"/>
        <s v="A-0138"/>
        <s v="A-0139"/>
        <s v="A-0140"/>
        <s v="A-0141"/>
        <s v="A-0142"/>
        <s v="A-0143"/>
        <s v="A-0144"/>
        <s v="A-0145"/>
        <s v="A-0146"/>
        <s v="A-0147"/>
        <s v="A-0148"/>
        <s v="A-0149"/>
        <s v="A-0150"/>
        <s v="A-0151"/>
        <s v="A-0152"/>
        <s v="A-0153"/>
        <s v="A-0154"/>
        <s v="A-0155"/>
        <s v="A-0156"/>
        <s v="A-0157"/>
        <s v="A-0158"/>
        <s v="A-0159"/>
        <s v="A-0160"/>
        <s v="A-0161"/>
        <s v="A-0162"/>
        <s v="A-0163"/>
        <s v="A-0164"/>
        <s v="A-0165"/>
        <s v="A-0166"/>
        <s v="A-0167"/>
        <s v="A-0168"/>
        <s v="A-0169"/>
        <s v="A-0170"/>
        <s v="A-0171"/>
        <s v="A-0172"/>
        <s v="A-0173"/>
        <s v="A-0174"/>
        <s v="A-0175"/>
        <s v="A-0176"/>
        <s v="A-0177"/>
        <s v="A-0178"/>
        <s v="A-0179"/>
        <s v="A-0180"/>
        <s v="A-0181"/>
        <s v="A-0182"/>
        <s v="A-0183"/>
        <s v="A-0184"/>
        <s v="A-0185"/>
        <s v="A-0186"/>
        <s v="A-0187"/>
        <s v="A-0188"/>
        <s v="A-0189"/>
        <s v="A-0190"/>
        <s v="A-0191"/>
        <s v="A-0192"/>
        <s v="A-0193"/>
        <s v="A-0194"/>
        <s v="A-0195"/>
        <s v="A-0196"/>
        <s v="A-0197"/>
        <s v="A-0198"/>
        <s v="A-0199"/>
        <s v="A-0200"/>
        <s v="A-0201"/>
        <s v="A-0202"/>
        <s v="A-0203"/>
        <s v="A-0204"/>
        <s v="A-0205"/>
        <s v="A-0206"/>
        <s v="A-0207"/>
        <s v="A-0208"/>
        <s v="A-0209"/>
        <s v="A-0210"/>
        <s v="A-0211"/>
        <s v="A-0212"/>
        <s v="A-0213"/>
        <s v="A-0214"/>
        <s v="A-0215"/>
        <s v="A-0216"/>
        <s v="A-0217"/>
        <s v="A-0218"/>
        <s v="A-0219"/>
        <s v="A-0220"/>
        <s v="A-0221"/>
        <s v="A-0222"/>
        <s v="A-0223"/>
        <s v="A-0224"/>
        <s v="A-0225"/>
        <s v="A-0226"/>
        <s v="A-0227"/>
        <s v="A-0228"/>
        <s v="A-0229"/>
        <s v="A-0230"/>
        <s v="A-0231"/>
        <s v="A-0232"/>
        <s v="A-0233"/>
        <s v="A-0234"/>
        <s v="A-0235"/>
        <s v="A-0236"/>
        <s v="A-0237"/>
        <s v="A-0238"/>
        <s v="A-0239"/>
        <s v="A-0240"/>
        <s v="A-0241"/>
        <s v="A-0242"/>
        <s v="A-0243"/>
        <s v="A-0244"/>
        <s v="A-0245"/>
        <s v="A-0246"/>
        <s v="A-0247"/>
        <s v="A-0248"/>
        <s v="A-0249"/>
        <s v="A-0250"/>
        <s v="A-0251"/>
        <s v="A-0252"/>
        <s v="A-0253"/>
        <s v="A-0254"/>
        <s v="A-0255"/>
        <s v="A-0256"/>
        <s v="A-0257"/>
        <s v="A-0258"/>
        <s v="A-0259"/>
        <s v="A-0260"/>
        <s v="A-0261"/>
        <s v="A-0262"/>
        <s v="A-0263"/>
        <s v="A-0264"/>
        <s v="A-0265"/>
        <s v="A-0266"/>
        <s v="A-0267"/>
        <s v="A-0268"/>
        <s v="A-0269"/>
        <s v="A-0270"/>
        <s v="A-0271"/>
        <s v="A-0272"/>
        <s v="A-0273"/>
        <s v="A-0274"/>
        <s v="A-0275"/>
        <s v="A-0276"/>
        <s v="A-0277"/>
        <s v="A-0278"/>
        <s v="A-0279"/>
        <s v="A-0280"/>
        <s v="A-0281"/>
        <s v="A-0282"/>
        <s v="A-0283"/>
        <s v="A-0284"/>
        <s v="A-0285"/>
        <s v="A-0286"/>
        <s v="A-0287"/>
        <s v="A-0288"/>
        <s v="A-0289"/>
        <s v="A-0290"/>
        <s v="A-0291"/>
        <s v="A-0292"/>
        <s v="A-0293"/>
        <s v="A-0294"/>
        <s v="A-0295"/>
        <s v="A-0296"/>
        <s v="A-0297"/>
        <s v="A-0298"/>
        <s v="A-0299"/>
        <s v="A-0300"/>
        <s v="A-0301"/>
        <s v="A-0302"/>
        <s v="A-0303"/>
        <s v="A-0304"/>
        <s v="A-0305"/>
        <s v="A-0306"/>
        <s v="A-0307"/>
        <s v="A-0308"/>
        <s v="A-0309"/>
        <s v="A-0310"/>
        <s v="A-0311"/>
        <s v="A-0312"/>
        <s v="A-0313"/>
        <s v="A-0314"/>
        <s v="A-0315"/>
        <s v="A-0316"/>
        <s v="A-0317"/>
        <s v="A-0318"/>
        <s v="A-0319"/>
        <s v="A-0320"/>
        <s v="A-0321"/>
        <s v="A-0322"/>
        <s v="A-0323"/>
        <s v="A-0324"/>
        <s v="A-0325"/>
        <s v="A-0326"/>
        <s v="A-0327"/>
        <s v="A-0328"/>
        <s v="A-0329"/>
        <s v="A-0330"/>
        <s v="A-0331"/>
        <s v="A-0332"/>
        <s v="A-0333"/>
        <s v="A-0334"/>
        <s v="A-0335"/>
        <s v="A-0336"/>
        <s v="A-0337"/>
        <s v="A-0338"/>
        <s v="A-0339"/>
        <s v="A-0340"/>
        <s v="A-0341"/>
        <s v="A-0342"/>
        <s v="A-0343"/>
        <s v="A-0344"/>
        <s v="A-0345"/>
        <s v="A-0346"/>
        <s v="A-0347"/>
        <s v="A-0348"/>
        <s v="A-0349"/>
        <s v="A-0350"/>
        <s v="A-0351"/>
        <s v="A-0352"/>
        <s v="A-0353"/>
        <s v="A-0354"/>
        <s v="A-0355"/>
        <s v="A-0356"/>
        <s v="A-0357"/>
        <s v="A-0358"/>
        <s v="A-0359"/>
        <s v="A-0360"/>
        <s v="A-0361"/>
        <s v="A-0362"/>
        <s v="A-0363"/>
        <s v="A-0364"/>
        <s v="A-0365"/>
        <s v="A-0366"/>
        <s v="A-0367"/>
        <s v="A-0368"/>
        <s v="A-0369"/>
        <s v="A-0370"/>
        <s v="A-0371"/>
        <s v="A-0372"/>
        <s v="A-0373"/>
        <s v="A-0374"/>
        <s v="A-0375"/>
        <s v="A-0376"/>
        <s v="A-0377"/>
        <s v="A-0378"/>
        <s v="A-0379"/>
        <s v="A-0380"/>
        <s v="A-0381"/>
        <s v="A-0382"/>
        <s v="A-0383"/>
        <s v="A-0384"/>
        <s v="A-0385"/>
        <s v="A-0386"/>
        <s v="A-0387"/>
        <s v="A-0388"/>
        <s v="A-0389"/>
        <s v="A-0390"/>
        <s v="A-0391"/>
        <s v="A-0392"/>
        <s v="A-0393"/>
        <s v="A-0394"/>
        <s v="A-0395"/>
        <s v="A-0396"/>
        <s v="A-0397"/>
        <s v="A-0398"/>
        <s v="A-0399"/>
        <s v="A-0400"/>
        <s v="A-0401"/>
        <s v="A-0402"/>
        <s v="A-0403"/>
        <s v="A-0404"/>
        <s v="A-0405"/>
        <s v="A-0406"/>
        <s v="A-0407"/>
        <s v="A-0408"/>
        <s v="A-0409"/>
        <s v="A-0410"/>
        <s v="A-0411"/>
        <s v="A-0412"/>
        <s v="A-0413"/>
        <s v="A-0414"/>
        <s v="A-0415"/>
        <s v="A-0416"/>
        <s v="A-0417"/>
        <s v="A-0418"/>
        <s v="A-0419"/>
        <s v="A-0420"/>
        <s v="A-0421"/>
        <s v="A-0422"/>
        <s v="A-0423"/>
        <s v="A-0424"/>
        <s v="A-0425"/>
        <s v="A-0426"/>
        <s v="A-0427"/>
        <s v="A-0428"/>
        <s v="A-0429"/>
        <s v="A-0430"/>
        <s v="A-0431"/>
        <s v="A-0432"/>
        <s v="A-0433"/>
        <s v="A-0434"/>
        <s v="A-0435"/>
        <s v="A-0436"/>
        <s v="A-0437"/>
        <s v="A-0438"/>
        <s v="A-0439"/>
        <s v="A-0440"/>
        <s v="A-0441"/>
        <s v="A-0442"/>
        <s v="A-0443"/>
        <s v="A-0444"/>
        <s v="A-0445"/>
        <s v="A-0446"/>
        <s v="A-0447"/>
        <s v="A-0448"/>
        <s v="A-0449"/>
        <s v="A-0450"/>
        <s v="A-0451"/>
        <s v="A-0452"/>
        <s v="A-0453"/>
        <s v="A-0454"/>
        <s v="A-0455"/>
        <s v="A-0456"/>
        <s v="A-0457"/>
        <s v="A-0458"/>
        <s v="A-0459"/>
        <s v="A-0460"/>
        <s v="A-0461"/>
        <s v="A-0462"/>
        <s v="A-0463"/>
        <s v="A-0464"/>
        <s v="A-0465"/>
        <s v="A-0466"/>
        <s v="A-0467"/>
        <s v="A-0468"/>
        <s v="A-0469"/>
        <s v="A-0470"/>
        <s v="A-0471"/>
        <s v="A-0472"/>
        <s v="A-0473"/>
        <s v="A-0474"/>
        <s v="A-0475"/>
        <s v="A-0476"/>
        <s v="A-0477"/>
        <s v="A-0478"/>
        <s v="A-0479"/>
        <s v="A-0480"/>
        <s v="A-0481"/>
        <s v="A-0482"/>
        <s v="A-0483"/>
        <s v="A-0484"/>
        <s v="A-0485"/>
        <s v="A-0486"/>
        <s v="A-0487"/>
        <s v="A-0488"/>
        <s v="A-0489"/>
        <s v="A-0490"/>
        <s v="A-0491"/>
        <s v="A-0492"/>
        <s v="A-0493"/>
        <s v="A-0494"/>
        <s v="A-0495"/>
        <s v="A-0496"/>
        <s v="A-0497"/>
        <s v="A-0498"/>
        <s v="A-0499"/>
        <s v="A-0500"/>
        <s v="A-0501"/>
        <s v="A-0502"/>
        <s v="A-0503"/>
        <s v="A-0504"/>
        <s v="A-0505"/>
        <s v="A-0506"/>
        <s v="A-0507"/>
        <s v="A-0508"/>
        <s v="A-0509"/>
        <s v="A-0510"/>
        <s v="A-0511"/>
        <s v="A-0512"/>
        <s v="A-0513"/>
        <s v="A-0514"/>
        <s v="A-0515"/>
        <s v="A-0516"/>
        <s v="A-0517"/>
        <s v="A-0518"/>
        <s v="A-0519"/>
        <s v="A-0520"/>
        <s v="A-0521"/>
        <s v="A-0522"/>
        <s v="A-0523"/>
        <s v="A-0524"/>
        <s v="A-0525"/>
        <s v="A-0526"/>
        <s v="A-0527"/>
        <s v="A-0528"/>
        <s v="A-0529"/>
        <s v="A-0530"/>
        <s v="A-0531"/>
        <s v="A-0532"/>
        <s v="A-0533"/>
        <s v="A-0534"/>
        <s v="A-0535"/>
        <s v="A-0536"/>
        <s v="A-0537"/>
        <s v="A-0538"/>
        <s v="A-0539"/>
        <s v="A-0540"/>
        <s v="A-0541"/>
        <s v="A-0542"/>
        <s v="A-0543"/>
        <s v="A-0544"/>
        <s v="A-0545"/>
        <s v="A-0546"/>
        <s v="A-0547"/>
        <s v="A-0548"/>
        <s v="A-0549"/>
        <s v="A-0550"/>
        <s v="A-0551"/>
        <s v="A-0552"/>
        <s v="A-0553"/>
        <s v="A-0554"/>
        <s v="A-0555"/>
        <s v="A-0556"/>
        <s v="A-0557"/>
        <s v="A-0558"/>
        <s v="A-0559"/>
        <s v="A-0560"/>
        <s v="A-0561"/>
        <s v="A-0562"/>
        <s v="A-0563"/>
        <s v="A-0564"/>
        <s v="A-0565"/>
        <s v="A-0566"/>
        <s v="A-0567"/>
        <s v="A-0568"/>
        <s v="A-0569"/>
        <s v="A-0570"/>
        <s v="A-0571"/>
        <s v="A-0572"/>
        <s v="A-0573"/>
        <s v="A-0574"/>
        <s v="A-0575"/>
        <s v="A-0576"/>
        <s v="A-0577"/>
        <s v="A-0578"/>
        <s v="A-0579"/>
        <s v="A-0580"/>
        <s v="A-0581"/>
        <s v="A-0582"/>
        <s v="A-0583"/>
        <s v="A-0584"/>
        <s v="A-0585"/>
        <s v="A-0586"/>
        <s v="A-0587"/>
        <s v="A-0588"/>
        <s v="A-0589"/>
        <s v="A-0590"/>
        <s v="A-0591"/>
        <s v="A-0592"/>
        <s v="A-0593"/>
        <s v="A-0594"/>
        <s v="A-0595"/>
        <s v="A-0596"/>
        <s v="A-0597"/>
        <s v="A-0598"/>
        <s v="A-0599"/>
        <s v="A-0600"/>
        <s v="A-0601"/>
        <s v="A-0602"/>
        <s v="A-0603"/>
        <s v="A-0604"/>
        <s v="A-0605"/>
        <s v="A-0606"/>
        <s v="A-0607"/>
        <s v="A-0608"/>
        <s v="A-0609"/>
        <s v="A-0610"/>
        <s v="A-0611"/>
        <s v="A-0612"/>
        <s v="A-0613"/>
        <s v="A-0614"/>
        <s v="A-0615"/>
        <s v="A-0616"/>
        <s v="A-0617"/>
        <s v="A-0618"/>
        <s v="A-0619"/>
        <s v="A-0620"/>
        <s v="A-0621"/>
        <s v="A-0622"/>
        <s v="A-0623"/>
        <s v="A-0624"/>
        <s v="A-0625"/>
        <s v="A-0626"/>
        <s v="A-0627"/>
        <s v="A-0628"/>
        <s v="A-0629"/>
        <s v="A-0630"/>
        <s v="A-0631"/>
        <s v="A-0632"/>
      </sharedItems>
    </cacheField>
    <cacheField name="Description" numFmtId="0">
      <sharedItems containsBlank="1" count="100">
        <s v="3/8&quot; thick Cast aluminum plate, 28&quot; x 24&quot; "/>
        <s v="3/8&quot; thick T6061 Aluminum plate, 28&quot; x 24&quot; "/>
        <s v="Bearing, Flange F606ZZ, 6mm x 17mm x 6mm "/>
        <s v="uxcell 6063 Aluminum Round Tube 300mm Length 12.7mm OD 6mm Inner Dia Seamless Aluminum Straight Tubing 2 Pcs"/>
        <s v="K &amp; S PRECISION METALS 251 .010x4x10 BRS SHT Metal "/>
        <s v="M6-1.0 x 60mmbutton head  Screw"/>
        <s v="Washer, M6, 304 stainless, OD 12mm, .9mm thick"/>
        <s v="0.9 deg Nema 23 Step Motor Bipolar 1.26Nm(178.4oz.in) 2.8A 4-lead, 6.35 shaft dia"/>
        <s v="uxcell 6063 Aluminum Round Tube 300mm Length 12mm OD 5mm Inner Dia Seamless Aluminum Straight Tubing"/>
        <s v="M5 x 65mm 12.9 Alloy Steel Hex Socket Head Cap Screws Bolt Black"/>
        <s v="_x000a_Machifit 500mm Length MGN15 Linear Rail Guide with MGN15H Linear Rail Block"/>
        <s v="M3-0.5x30mm Socket Head Cap Bolts Screws, 304 Stainless Steel 18-8, Allen Socket Drive, Fully Machine Thread, Bright Finish"/>
        <s v="BALITENSEN 4 pcs 2GT 20 teeth Timing Pulley bore 6.35 for GT2 belt width 10mm for CNC 3D printer(GT2 20teeth) "/>
        <s v="40x80 Aluminum Extrusion - 8 Series, Base 40, 625mm long, both ends tapped, with helicoil inserts"/>
        <s v="M8 x 1.25 socket cap screw, 30mm long"/>
        <s v="400mm MGN12 Linear Rail Guide with MGN12H Carriage Block"/>
        <s v="1/4&quot; cast aluminum plate 3&quot; x 22&quot;"/>
        <s v="M3 Thread T-Nut for 40 Series European Aluminium Profile Hammer Head"/>
        <s v="0.9deg Nema 17 Stepper Motor Bipolar 2A 46Ncm/65oz.in 42x42x48mm 4-Wires DIY CNC"/>
        <s v="8mm T8x2 Lead Screw Trapezoidal ACME w/ Small Delrin Anti-Backlash Nut kit"/>
        <s v="Machifit MGN12C Linear Rail Block for MGN12 Linear Rail Guide"/>
        <s v="M6 x 1.0mm Nylon Inserted Hex Lock Nuts 304 Stainless Steel "/>
        <s v="T6061 Al Angle extrusion 2.5&quot; x 2.5&quot; x .25 thick, 3&quot; long"/>
        <s v="Aluminum angle 2&quot; x 2&quot; x .25&quot; thick, 12&quot; long"/>
        <s v="T 6061 Al Angle extrusion 2&quot; x 2&quot; x .125&quot; 6&quot; aluminum (for side ball mount)"/>
        <s v="M5-0.8 x 16mm Button Head Socket Cap Screws"/>
        <s v="Sliding T Slot Nuts 4040 Series M5 26 Pack T Nuts Carbon Steel"/>
        <s v="M4-0.70 x 14mm Button Head Socket Cap Bolts Screws, 18-8 Stainless Steel, Allen Hex Drive"/>
        <s v="M6 x 65mm Button Head Cap Screws Metric, Grade 12.9 Alloy Steel Black Oxide"/>
        <s v="M5-0.8 X 75MM Socket Head Cap Screws,  Black Oxide Coated Steel"/>
        <s v="M6 Flat/Countersunk Head Socket Screws (M6 x 22mm)"/>
        <s v="M6-1.0 x 35mm Flat Head Socket  Screws"/>
        <s v="M3-0.5x20mm Socket Head Cap Bolts Screws, 304 Stainless Steel 18-8, Allen Socket Drive, Fully Machine Thread, Bright Finish"/>
        <s v="M3 x 0.5mm 304 Stainless Steel Self-Lock Nylon Inserted Hex Lock Nuts,"/>
        <s v="M3x6mmx0.5mm Stainless Steel Flat Washer"/>
        <s v="DIN 319 Ball Knob, .63&quot; diameter, M4 threaded hole"/>
        <s v="1/4&quot; thick Cast aluminum plate, 17&quot; x 19&quot;  Cut from top plate waste)"/>
        <s v="GT2x9 mm Kevlar-reinforced timing belt"/>
        <s v="Polycarbonate sheet (Heat Saver 3-Wall) 10mm, 2' x 2'"/>
        <s v="M4 x 0.7mm 304 Stainless Steel Nylon Lock Nuts"/>
        <s v="M4x12mmx1 mm Stainless Steel Round Flat Washer "/>
        <s v="2020 Series 3-Way End Corner Bracket Connector, with Screws"/>
        <s v="HFS5-2020 aluminum extrusion, 553mm"/>
        <s v="HFS5-2020 aluminum extrusion, 573mm"/>
        <s v="Aluminum angle 2.5&quot; x 2.5&quot; x .25&quot; x 100mm"/>
        <s v="HFS5-2020 aluminum extrusion, 200mm"/>
        <s v="Lexan Sheet - Polycarbonate - .236&quot; - 1/4&quot; Thick, Clear, 24&quot; x 12&quot;"/>
        <s v="Wisamic Silicone Rubber Heater 310x310mm 120V 750W, with 3M Tape Screw Holes for 3D Printer CR-10 CR-10S S3"/>
        <s v="Printer 3D Parts, FYSETC 12&quot; x 12&quot; x 0.3&quot; 3D Printer Heated Bed Insulation Lightweight Foam Foil Self-Adhesive Insulation Mat "/>
        <s v="406 x 406mm Flex Spring Steel Sheet Pre-Applied PEI"/>
        <s v="Redrex Dual Drive BMG Bowden Extruder High Performance Upgrading Parts (no motor)"/>
        <s v="Usongshine Nema 17 Stepper Motor Bipolar Step Motor for Titan Extruder 3D Printer 4.1V 1A 13Ncm"/>
        <s v="Mellow All Metal NF-Crazy Hotend V6 Copper Nozzle For Ender 3 CR10 Prusa I3 MK3S Alfawise Titan/Bmg Extruder 3D Printer Part"/>
        <s v="Cloned Duet 2 Wifi V1.04 DuetWifi Advanced 32 Bit Electronics "/>
        <s v="Cloned Duex5 Expansion Board Controller With TMC2660 Stepper Motor Driver Fit Thermocouple PT100 VS Duet 2 Wifi 3D Printer Parts"/>
        <s v="EAGWELL 24v 15a DC Universal Regulated Switching Power Supply 360w"/>
        <s v="Inkbird Solid State Relay 40DA DC SSR Black Heat Sink for PID Thermostat Temperature Controller"/>
        <s v="500mm T10 Lead Screw and Brass Nut Kit (Acme Thread, 2mm Pitch, 1 Start), with nut"/>
        <s v="Flexible Couplings 5mm to 8mm NEMA 17 Shaft Coupler"/>
        <s v="M4 x 10mm Alloy Steel Hex Bolt Socket Head Cap Screws "/>
        <s v="M5x10mmx1mm Stainless Steel Metric Round Flat Washer"/>
        <s v="M6 x 25mm button head screw"/>
        <s v="Aluminum bar .75 square, 12&quot; long"/>
        <s v="Aluminum plate (T6061).25 thick, 12&quot; x 5&quot; "/>
        <s v="M4 x 20mm Metric Hex Socket Countersunk Head Screw"/>
        <s v="Aluminum plate (T6061).25 thick, 4&quot; x 16&quot; "/>
        <s v="Aluminum angle 2&quot; x 1&quot; x .125 thick, 12&quot; long "/>
        <s v="12mm Diameter M5 Steel Threaded ball"/>
        <s v="1/2&quot; x 1/8&quot; Disc - SmCo - Samarium Cobalt Rare Earth Magnet, Grade N30"/>
        <s v="M8  flat washers, Stainless steel 18-8"/>
        <s v="SSR Thermal Pad"/>
        <s v="Cloned 7i PanelDue Touch Screen Controller For BLV MGN Cube"/>
        <s v="Heated Bed 10K Lug Ring Thermistor (PN NTC/BC2891-ND)"/>
        <s v="SSR Protective cover"/>
        <s v="NEMA 11 Stepper with gearing"/>
        <s v="Mechanical limit switch ( SS0750300F070P1A )"/>
        <s v="E3D High Precision Ceramic Heater Cartridge 24V 30W "/>
        <s v="FYSETC 3D Printer Ender 3 Parts 4010 DC 24V Cooling Fan"/>
        <s v="Cooling Fan for 3D Printer, 4020 DC 40×40×20mm Turbo Fan"/>
        <s v="Hotend thermistor"/>
        <s v="Z-height sensor"/>
        <s v=" AC 115/250VAC 10A Noise Suppressing Power Entry Module"/>
        <s v="AC Power cord"/>
        <s v="Dual Row 4 Position Covered Screw Terminal Strip 600V 25A"/>
        <s v="microswitch  (bridge)"/>
        <s v="Quick Disconnect Terminal, 0.25in x 0.032in, 14-16 AWG (Power Entry Module)"/>
        <s v="Ring Terminal Crimp Connector (24 VDC Terminals)"/>
        <s v="White Stranded #16 Insulated Wire (120VAC &amp; 24 VDC Distribution)(25 Feet)"/>
        <s v="Black Stranded #16 Insulated Wire (120VAC Distribution)(25 Feet)"/>
        <s v="Green Stranded #16 Insulated Wire (120VAC Distribution)(25 Feet)"/>
        <s v="Red Insulated Stranded #16 Wire (24 VDC Distribution)(25 Feet)"/>
        <s v="White Stranded #26 Insulated Wire (Thermistor, Limit Switches)(100 Feet)"/>
        <s v="4&quot; zip ties"/>
        <s v="Tie Mount 0.75 Inch 20mm Black Samll Squares Adhesive Mounting"/>
        <s v="1/4 inch PET Expandable Braided Sleeving – Black 25 ft"/>
        <s v="1/2 inch PET Expandable Braided Sleeving – Black 25 ft"/>
        <s v="RGB Wire Line Cord 22AWG 4pin 22 Gauge - 20M"/>
        <m/>
        <s v="500mm MGN12 Linear Rail Guide with MGN12H Carriage Block" u="1"/>
        <s v="Cloned Duet 2 Wifi V1.04 DuetWifi Advanced 32 Bit Electronics With 4.3&quot; 5&quot; 7&quot; PanelDue Touch Screen Controller" u="1"/>
      </sharedItems>
    </cacheField>
    <cacheField name="Supplier" numFmtId="0">
      <sharedItems containsBlank="1" count="16">
        <s v="midwest steel supply"/>
        <s v="Amazon.com"/>
        <s v="bolt depot"/>
        <s v="banggood"/>
        <s v="misumi"/>
        <s v="zyltech"/>
        <s v="online metals "/>
        <s v="jjwinco.com"/>
        <s v="reprapworld.com"/>
        <s v="Charleys grenhouse"/>
        <s v="aliexpress"/>
        <s v="ebay"/>
        <s v="digikey"/>
        <m/>
        <s v="mcmaster-carr"/>
        <s v="online metals" u="1"/>
      </sharedItems>
    </cacheField>
    <cacheField name="Cost " numFmtId="44">
      <sharedItems containsString="0" containsBlank="1" containsNumber="1" minValue="0" maxValue="106.51" count="94">
        <n v="106.51"/>
        <n v="65.510000000000005"/>
        <n v="1.349"/>
        <n v="1.6983333333333333E-2"/>
        <n v="0.21949999999999997"/>
        <n v="0.51"/>
        <n v="4.045E-2"/>
        <n v="35.18"/>
        <n v="3.3633333333333335E-2"/>
        <n v="0.35"/>
        <n v="26.94"/>
        <n v="9.1499999999999998E-2"/>
        <n v="2.875"/>
        <n v="38.68"/>
        <n v="0.24"/>
        <n v="16.989999999999998"/>
        <n v="0"/>
        <n v="0.2266"/>
        <n v="21.5"/>
        <n v="16.95"/>
        <n v="8.5500000000000007"/>
        <n v="4.9500000000000002E-2"/>
        <n v="3.6875"/>
        <n v="0.62583333333333335"/>
        <n v="2.2949999999999999"/>
        <n v="0.12"/>
        <n v="0.31115384615384617"/>
        <n v="8.8900000000000007E-2"/>
        <n v="0.37"/>
        <n v="0.44"/>
        <n v="0.18"/>
        <n v="0.2"/>
        <n v="5.8600000000000006E-2"/>
        <n v="3.1899999999999998E-2"/>
        <n v="1.1000000000000001E-2"/>
        <n v="5.69"/>
        <n v="2.2000000000000002"/>
        <n v="12.5"/>
        <n v="3.6000000000000004E-2"/>
        <n v="1.2500000000000001E-2"/>
        <n v="2.7475000000000001"/>
        <n v="3.48"/>
        <n v="3.6"/>
        <n v="4.083333333333333"/>
        <n v="3.03"/>
        <n v="34.1"/>
        <n v="17.05"/>
        <n v="39.99"/>
        <n v="10.99"/>
        <n v="46.71"/>
        <n v="22.99"/>
        <n v="8.85"/>
        <n v="48.96"/>
        <n v="73.959999999999994"/>
        <n v="69.08"/>
        <n v="28.68"/>
        <n v="13.99"/>
        <n v="20.99"/>
        <n v="3.95"/>
        <n v="0.1"/>
        <n v="1.77E-2"/>
        <n v="0.16"/>
        <n v="0.36076923076923079"/>
        <n v="14.78"/>
        <n v="0.1198"/>
        <n v="11.94"/>
        <m/>
        <n v="1.49"/>
        <n v="1.097"/>
        <n v="0.08"/>
        <n v="1.33"/>
        <n v="63.64"/>
        <n v="3.01"/>
        <n v="5.0999999999999996"/>
        <n v="1.1000000000000001"/>
        <n v="17.98"/>
        <n v="5.4950000000000001"/>
        <n v="4.6950000000000003"/>
        <n v="14.99"/>
        <n v="6.15"/>
        <n v="2.4700000000000002"/>
        <n v="2.84"/>
        <n v="0.27599999999999997"/>
        <n v="0.16999999999999998"/>
        <n v="6.8875000000000002"/>
        <n v="9.02"/>
        <n v="2.9950000000000001E-2"/>
        <n v="8.9900000000000008E-2"/>
        <n v="6.81"/>
        <n v="6.93"/>
        <n v="8.6999999999999993"/>
        <n v="1.798" u="1"/>
        <n v="25.91" u="1"/>
        <n v="30.5" u="1"/>
      </sharedItems>
    </cacheField>
    <cacheField name="shipping" numFmtId="44">
      <sharedItems containsString="0" containsBlank="1" containsNumber="1" minValue="0" maxValue="30.925000000000001" count="42">
        <n v="30.925000000000001"/>
        <n v="0"/>
        <n v="0.13379249835490237"/>
        <n v="9.1818381223952583E-2"/>
        <n v="2.4003948234261892E-2"/>
        <n v="5.5233333333333334"/>
        <n v="6.2961175696424634E-2"/>
        <n v="2.99"/>
        <n v="3.3617499999999993"/>
        <n v="2"/>
        <n v="1.2985742487387581E-2"/>
        <n v="0.75"/>
        <n v="0.25"/>
        <n v="2.0677949999999998"/>
        <n v="3.1480587848212317E-2"/>
        <n v="9.7065145865321306E-2"/>
        <n v="0.11542882211011184"/>
        <n v="4.7220881772318472E-2"/>
        <n v="5.2467646413687202E-2"/>
        <n v="1.537302039921035E-2"/>
        <n v="8.3685896029831071E-3"/>
        <n v="2.8857205527527963E-3"/>
        <n v="1"/>
        <n v="4.8600000000000003"/>
        <n v="5"/>
        <n v="9.4441763544636965E-3"/>
        <n v="3.2792279008554501E-3"/>
        <n v="1.25"/>
        <n v="6"/>
        <n v="10"/>
        <n v="15"/>
        <n v="0.78341666666666665"/>
        <n v="2.6233823206843601E-2"/>
        <n v="4.643386707611317E-3"/>
        <n v="4.1974117130949756E-2"/>
        <n v="3"/>
        <n v="2.0987058565474878E-2"/>
        <n v="1.7784"/>
        <n v="0.19871999999999998"/>
        <n v="0.12239999999999998"/>
        <n v="1.48"/>
        <m/>
      </sharedItems>
    </cacheField>
    <cacheField name="Tax" numFmtId="44">
      <sharedItems containsSemiMixedTypes="0" containsString="0" containsNumber="1" minValue="0" maxValue="7.47" count="87">
        <n v="0"/>
        <n v="0.12140999999999999"/>
        <n v="1.5284999999999999E-3"/>
        <n v="1.9754999999999998E-2"/>
        <n v="5.7946918183812028E-2"/>
        <n v="3.6404999999999996E-3"/>
        <n v="3.1661999999999999"/>
        <n v="3.0270000000000002E-3"/>
        <n v="3.9767492871243551E-2"/>
        <n v="3.0609607370037182"/>
        <n v="1.03963588506251E-2"/>
        <n v="0.25874999999999998"/>
        <n v="2.7269137968852719E-2"/>
        <n v="2.0393999999999999E-2"/>
        <n v="1.9349999999999998"/>
        <n v="1.5254999999999999"/>
        <n v="0.76950000000000007"/>
        <n v="5.6242597060758735E-3"/>
        <n v="0.33187499999999998"/>
        <n v="5.6325E-2"/>
        <n v="0.39265155000000002"/>
        <n v="1.363456898442636E-2"/>
        <n v="2.8003846153846153E-2"/>
        <n v="8.0010000000000012E-3"/>
        <n v="4.2039921035314613E-2"/>
        <n v="4.9993419609563321E-2"/>
        <n v="2.0451853476639539E-2"/>
        <n v="2.2724281640710602E-2"/>
        <n v="6.6582145207282062E-3"/>
        <n v="3.6245229216933404E-3"/>
        <n v="1.2498354902390832E-3"/>
        <n v="0.5121"/>
        <n v="0.19800000000000001"/>
        <n v="1.125"/>
        <n v="4.0903706953279084E-3"/>
        <n v="1.4202676025444126E-3"/>
        <n v="0.24727499999999999"/>
        <n v="0.31319999999999998"/>
        <n v="0.32400000000000001"/>
        <n v="0.36749999999999994"/>
        <n v="0.2727"/>
        <n v="3.069"/>
        <n v="1.5345"/>
        <n v="3.5991"/>
        <n v="0.98909999999999998"/>
        <n v="4.2039"/>
        <n v="2.0690999999999997"/>
        <n v="0.79649999999999999"/>
        <n v="2.5811999999999999"/>
        <n v="1.2590999999999999"/>
        <n v="1.8890999999999998"/>
        <n v="0.35549999999999998"/>
        <n v="1.1362140820355301E-2"/>
        <n v="2.0110989252028881E-3"/>
        <n v="1.8179425312568481E-2"/>
        <n v="3.2469230769230771E-2"/>
        <n v="1.3301999999999998"/>
        <n v="1.0782E-2"/>
        <n v="1.0746"/>
        <n v="0.1341"/>
        <n v="9.0897126562842403E-3"/>
        <n v="0.1197"/>
        <n v="0.27089999999999997"/>
        <n v="0.45899999999999996"/>
        <n v="9.9000000000000005E-2"/>
        <n v="1.6182000000000001"/>
        <n v="0.49454999999999999"/>
        <n v="0.42255000000000004"/>
        <n v="1.3491"/>
        <n v="0.55349999999999999"/>
        <n v="0.38038000000000005"/>
        <n v="0.25559999999999999"/>
        <n v="4.2503999999999993E-2"/>
        <n v="2.6179999999999998E-2"/>
        <n v="0.61987499999999995"/>
        <n v="7.47"/>
        <n v="2.6955E-3"/>
        <n v="8.091000000000001E-3"/>
        <n v="0.61289999999999989"/>
        <n v="0.62369999999999992"/>
        <n v="0.78299999999999992"/>
        <n v="0.16181999999999999" u="1"/>
        <n v="1.5299999999999998E-2" u="1"/>
        <n v="0.81179999999999997" u="1"/>
        <n v="2.4839999999999997E-2" u="1"/>
        <n v="0.2223" u="1"/>
        <n v="3.4654529502083666" u="1"/>
      </sharedItems>
    </cacheField>
    <cacheField name="Web-link" numFmtId="0">
      <sharedItems containsBlank="1" count="86" longText="1">
        <s v="https://www.midweststeelsupply.com/store/castaluminumplateatp5"/>
        <s v="https://www.amazon.com/gp/product/B07P3HNCCK"/>
        <s v="https://www.amazon.com/uxcell-Aluminum-12-13mm-Seamless-Straight/dp/B07YCHFN8F"/>
        <s v="https://www.amazon.com/PRECISION-METALS-251-010x4x10-Metal/dp/B004QB5Y3C"/>
        <s v="https://www.boltdepot.com/Product-Details.aspx?product=6653"/>
        <s v="https://www.amazon.com/gp/product/B018TG8B8E"/>
        <s v="https://www.amazon.com/STEPPERONLINE-Bipolar-1-26Nm-178-4oz-4-lead/dp/B07DV91Z2M"/>
        <s v="https://www.amazon.com/uxcell-Aluminum-12-13mm-Seamless-Straight/dp/B07YCGPLHV"/>
        <s v="https://www.boltdepot.com/Product-Details.aspx?product=6532"/>
        <s v="https://www.banggood.com/Machifit-500mm-Length-MGN15-Linear-Rail-Guide-with-MGN15H-Linear-Rail-Block-CNC-Tool-p-1239196.html?akmClientCountry=America&amp;cur_warehouse=US"/>
        <s v="https://www.boltdepot.com/Product-Details.aspx?product=13641"/>
        <s v="https://www.amazon.com/BALITENSEN-Timing-Pulley-printer-20teeth/dp/B079BNZDRZ"/>
        <s v="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"/>
        <s v="https://www.boltdepot.com/Product-Details.aspx?product=6563"/>
        <s v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"/>
        <s v="https://www.amazon.com/gp/product/B07CN161T5"/>
        <s v="https://www.amazon.com/gp/product/B00W9A2L3S"/>
        <s v="http://www.zyltech.com/8mm-t8x2-lead-screw-trapezoidal-acme-w-small-delrin-anti-backlash-nut-kit-custom-length-up-to-1000mm/"/>
        <s v="https://www.banggood.com/Machifit-MGN12C-Linear-Rail-Block-for-MGN12-Linear-Rail-Guide-CNC-Tool-p-1240120.html?rmmds=search&amp;cur_warehouse=CN"/>
        <s v="https://www.boltdepot.com/Product-Details.aspx?product=4795"/>
        <m/>
        <s v="https://www.onlinemetals.com/en/buy/angle?q=%3Aname-asc%3AAlloy%3A6061&amp;checkbox=on&amp;sort=name-asc#"/>
        <s v="https://www.boltdepot.com/Product-Details.aspx?product=13345"/>
        <s v="https://www.amazon.com/dp/B082F7B1QH"/>
        <s v="https://www.amazon.com/M4-0-70-Button-Stainless-Fullerkreg-Plastic/dp/B07H14FRRB"/>
        <s v="https://www.boltdepot.com/Product-Details.aspx?product=18967"/>
        <s v="https://www.boltdepot.com/Product-Details.aspx?product=6534"/>
        <s v="https://www.boltdepot.com/Product-Details.aspx?product=13282"/>
        <s v="https://www.boltdepot.com/Product-Details.aspx?product=13284"/>
        <s v="https://www.boltdepot.com/Product-Details.aspx?product=13639"/>
        <s v="https://www.boltdepot.com/Product-Details.aspx?product=4792"/>
        <s v="https://www.boltdepot.com/Product-Details.aspx?product=4513"/>
        <s v="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"/>
        <s v="https://reprapworld.com/products/mechanical/timing_belts/gt2x9_mm_kevlar_reinforced_timing_belt_per_meter/"/>
        <s v="http://www.charleysgreenhouse.com/B12900204-Heat-Saver-3-Wall-10mm---2--39-x-4--39.htm"/>
        <s v="https://www.boltdepot.com/Product-Details.aspx?product=4793"/>
        <s v="https://www.boltdepot.com/Product-Details.aspx?product=4514"/>
        <s v="https://www.amazon.com/PZRT-Connector-Standard-Aluminum-Extrusion/dp/B07BMQZZ2M"/>
        <s v="https://us.misumi-ec.com/vona2/detail/110302683830/?ProductCode=HFS5-2020-200"/>
        <s v="https://www.onlinemetals.com/en/buy/aluminum-angle"/>
        <s v="https://www.amazon.com/Lexan-Sheet-Polycarbonate-Thick-Nominal/dp/B006JP5MXK"/>
        <s v="https://www.amazon.com/Wisamic-310x310mm-Silicone-Rubber-Printer/dp/B07C7KBGBB"/>
        <s v="https://www.amazon.com/FYSETC-Insulation-Lightweight-Self-Adhesive-Ultimaker/dp/B07DWPYQDS"/>
        <s v="https://www.aliexpress.com/item/33058930261.html"/>
        <s v="https://www.amazon.com/Redrex-Extruder-Performance-Upgrading-Geeetech/dp/B07QPWWYYK"/>
        <s v="https://www.amazon.com/Usongshine-Stepper-Bipolar-Extruder-17HS4023/dp/B07TY4BFF2"/>
        <s v="https://www.aliexpress.com/item/4000088018308.html"/>
        <s v="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"/>
        <s v="https://www.amazon.com/FYSETC-Controller-Expansion-Thermocouple-Daughter/dp/B07SST65HQ"/>
        <s v="https://www.amazon.com/EAGWELL-Universal-Regulated-Switching-Computer/dp/B01IOK5FM0"/>
        <s v="https://www.amazon.com/dp/B01MCWO35P"/>
        <s v="https://www.amazon.com/ReliaBot-500mm-Thread-Printer-Machine/dp/B07PVJS888"/>
        <s v="http://www.zyltech.com/flexible-plum-coupler-shaft-various-combinations-from-5mm-to-12-7mm/"/>
        <s v="https://www.boltdepot.com/Product-Details.aspx?product=6506"/>
        <s v="https://www.boltdepot.com/Product-Details.aspx?product=4515"/>
        <s v="https://www.boltdepot.com/Product-Details.aspx?product=13353"/>
        <s v="https://www.onlinemetals.com/en/buy/aluminum-square-bar"/>
        <s v="https://www.amazon.com/Uxcell-a15100700ux0263-Metric-Socket-Countersunk/dp/B018RSSVJS"/>
        <s v="https://www.aliexpress.com/item/32829474364.html?spm=a2g0o.detail.1000060.1.24dd1a2fCW9QQG&amp;gps-id=pcDetailBottomMoreThisSeller&amp;scm=1007.13339.146401.0&amp;scm_id=1007.13339.146401.0&amp;scm-url=1007.13339.146401.0&amp;pvid=fb0378aa-b2ee-493b-bc08-703f824f9585"/>
        <s v="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"/>
        <s v="https://www.boltdepot.com/Product-Details.aspx?product=4518"/>
        <s v="https://www.digikey.com/product-detail/en/sensata-crydom/HSP-2/CC1810-ND/2638648"/>
        <s v="https://www.aliexpress.com/item/32896949230.html?src=google&amp;src=google&amp;albch=shopping&amp;acnt=494-037-"/>
        <s v="https://www.digikey.com/product-detail/en/vishay-bc-components/NTCALUG01A103F/BC2891-ND/4896928"/>
        <s v="https://www.digikey.com/product-detail/en/sensata-crydom/KS-100/CC1070-ND/140630"/>
        <s v="https://www.digikey.com/product-detail/en/e-switch/SS0750300F070P1A/SS0750300F070P1A-ND/3778167"/>
        <s v="https://www.filamentone.com/products/e3d-high-precision-ceramic-heater-cartridge-24v-30w?variant=12349726064734&amp;currency=USD&amp;utm_campaign=gs-2019-09-12&amp;utm_source=google&amp;utm_medium=smart_campaign&amp;gclid=EAIaIQobChMI04nqsJnZ5wIVtB-tBh2dPQnKEAQYAiABEgKLIPD_BwE"/>
        <s v="https://www.amazon.com/FYSETC-Printer-Extruder-Radiator-Creality/dp/B07TFFZ2BW"/>
        <s v="https://www.amazon.com/Zerone-Cooling-Printer-40×40×20mm-Accessories/dp/B07K7CB9Q6"/>
        <s v="https://www.amazon.com/Suppressor-Single-Phase-Line-Conditioner-JREle-CW2B-10A-T/dp/B073RLXRPB"/>
        <s v="https://www.amazon.com/10-Standard-Computer-Power-Cord/dp/B0002GRUIM"/>
        <s v="https://www.digikey.com/product-detail/en/te-connectivity-amp-connectors/1546306-4/A98505-ND/1277415"/>
        <s v="https://www.digikey.com/product-detail/en/omron-electronics-inc-emc-div/D2HW-C201H/SW1153-ND/1811903"/>
        <s v="https://www.digikey.com/product-detail/en/molex/0190160043/WM6911CT-ND/3044913"/>
        <s v="https://www.digikey.com/product-detail/en/3m/12-10/3M156232-ND/3837440"/>
        <s v="https://www.amazon.com/Remington-Industries-16UL1007STRKIT-Stranded-Diameter/dp/B00N51OJJ4"/>
        <s v="https://www.mcmaster.com/8054t11-8054T053"/>
        <s v="https://www.amazon.com/dp/B07ZWTT9BH"/>
        <s v="https://www.amazon.com/Adhesive-Pieces-perfect-Management-Durability-Pro-grade/dp/B07NYNVHZY"/>
        <s v="https://www.amazon.com/gp/product/B071JH14WZ"/>
        <s v="https://www.amazon.com/gp/product/B071ZV6MZ2"/>
        <s v="https://www.amazon.com/CARLITS-Connector-Electric-Conductor-Extension/dp/B07R7V4Z9Q"/>
        <s v="https://www.amazon.com/URBEST5-Position-Covered-Screw-Terminal/dp/B01CG2HI0E" u="1"/>
        <s v="https://www.banggood.com/Machifit-500mm-Length-MGN15-Linear-Rail-Guide-with-MGN15H-Linear-Rail-Block-CNC-Tool-p-1239196.html?akmClientCountry=America&amp;cur_warehouse=CN" u="1"/>
        <s v="https://www.banggood.com/Machifit-500mm-Length-MGN15-Linear-Rail-Guide-with-MGN15H-Linear-Rail-Block-CNC-Tool-p-1239196.html?cur_warehouse=CN" u="1"/>
        <s v="https://www.amazon.com/Miniature-Guide-Slide-Linear-Sliding/dp/B0797PM8XJ" u="1"/>
      </sharedItems>
    </cacheField>
    <cacheField name="Minimum order quantity" numFmtId="0">
      <sharedItems containsString="0" containsBlank="1" containsNumber="1" containsInteger="1" minValue="1" maxValue="300"/>
    </cacheField>
    <cacheField name="Comments" numFmtId="0">
      <sharedItems containsBlank="1" longText="1"/>
    </cacheField>
    <cacheField name="extended quantity" numFmtId="1">
      <sharedItems containsSemiMixedTypes="0" containsString="0" containsNumber="1" minValue="0" maxValue="353" count="22">
        <n v="1"/>
        <n v="28"/>
        <n v="313.8"/>
        <n v="14"/>
        <n v="4"/>
        <n v="36"/>
        <n v="2"/>
        <n v="353"/>
        <n v="5"/>
        <n v="65"/>
        <n v="3"/>
        <n v="12"/>
        <n v="39"/>
        <n v="22"/>
        <n v="0"/>
        <n v="8"/>
        <n v="9"/>
        <n v="20"/>
        <n v="46"/>
        <n v="6"/>
        <n v="30"/>
        <n v="10"/>
      </sharedItems>
    </cacheField>
    <cacheField name="Ideal cost" numFmtId="2">
      <sharedItems containsSemiMixedTypes="0" containsString="0" containsNumber="1" minValue="0" maxValue="150.0048036850186"/>
    </cacheField>
    <cacheField name="propose to buy now" numFmtId="2">
      <sharedItems count="2">
        <s v="X"/>
        <s v=""/>
      </sharedItems>
    </cacheField>
    <cacheField name="Quantity purchased" numFmtId="2">
      <sharedItems containsString="0" containsBlank="1" containsNumber="1" containsInteger="1" minValue="0" maxValue="600"/>
    </cacheField>
    <cacheField name="Quantity donated" numFmtId="2">
      <sharedItems containsString="0" containsBlank="1" containsNumber="1" containsInteger="1" minValue="1" maxValue="600" count="8">
        <m/>
        <n v="20"/>
        <n v="15"/>
        <n v="36"/>
        <n v="600"/>
        <n v="3"/>
        <n v="1"/>
        <n v="12"/>
      </sharedItems>
    </cacheField>
    <cacheField name="quantity on-hand" numFmtId="1">
      <sharedItems containsSemiMixedTypes="0" containsString="0" containsNumber="1" containsInteger="1" minValue="0" maxValue="600" count="24">
        <n v="0"/>
        <n v="20"/>
        <n v="314"/>
        <n v="15"/>
        <n v="4"/>
        <n v="36"/>
        <n v="2"/>
        <n v="353"/>
        <n v="3"/>
        <n v="65"/>
        <n v="12"/>
        <n v="1"/>
        <n v="39"/>
        <n v="22"/>
        <n v="8"/>
        <n v="9"/>
        <n v="46"/>
        <n v="6"/>
        <n v="30"/>
        <n v="10"/>
        <n v="100" u="1"/>
        <n v="600" u="1"/>
        <n v="50" u="1"/>
        <n v="26" u="1"/>
      </sharedItems>
    </cacheField>
    <cacheField name="Ideal cost of parts on hand" numFmtId="44">
      <sharedItems containsSemiMixedTypes="0" containsString="0" containsNumber="1" minValue="0" maxValue="132.61000000000001"/>
    </cacheField>
    <cacheField name="Quantity on order" numFmtId="1">
      <sharedItems containsString="0" containsBlank="1" containsNumber="1" containsInteger="1" minValue="0" maxValue="100" count="12">
        <n v="0"/>
        <m/>
        <n v="2"/>
        <n v="100" u="1"/>
        <n v="50" u="1"/>
        <n v="1" u="1"/>
        <n v="3" u="1"/>
        <n v="8" u="1"/>
        <n v="26" u="1"/>
        <n v="10" u="1"/>
        <n v="4" u="1"/>
        <n v="12" u="1"/>
      </sharedItems>
    </cacheField>
    <cacheField name="Ideal cost of parts on order" numFmtId="44">
      <sharedItems containsSemiMixedTypes="0" containsString="0" containsNumber="1" minValue="0" maxValue="47.96"/>
    </cacheField>
    <cacheField name="Quantity  to  purchase" numFmtId="1">
      <sharedItems containsSemiMixedTypes="0" containsString="0" containsNumber="1" containsInteger="1" minValue="0" maxValue="200" count="13">
        <n v="1"/>
        <n v="10"/>
        <n v="0"/>
        <n v="3"/>
        <n v="5"/>
        <n v="6"/>
        <n v="8"/>
        <n v="4"/>
        <n v="2"/>
        <n v="40"/>
        <n v="200"/>
        <n v="100"/>
        <n v="50" u="1"/>
      </sharedItems>
    </cacheField>
    <cacheField name="leftover material" numFmtId="1">
      <sharedItems containsSemiMixedTypes="0" containsString="0" containsNumber="1" minValue="0" maxValue="286.2"/>
    </cacheField>
    <cacheField name="Remaining ideal cost" numFmtId="44">
      <sharedItems containsSemiMixedTypes="0" containsString="0" containsNumber="1" minValue="0" maxValue="137.435"/>
    </cacheField>
    <cacheField name="Remaining Extended cost" numFmtId="44">
      <sharedItems containsSemiMixedTypes="0" containsString="0" containsNumber="1" minValue="0" maxValue="137.435"/>
    </cacheField>
    <cacheField name="Cost of excess material" numFmtId="44">
      <sharedItems containsSemiMixedTypes="0" containsString="0" containsNumber="1" minValue="0" maxValue="37.169000000000004"/>
    </cacheField>
    <cacheField name="Actual cost" numFmtId="44">
      <sharedItems containsString="0" containsBlank="1" containsNumber="1" minValue="0" maxValue="132.61000000000001"/>
    </cacheField>
    <cacheField name="Order date" numFmtId="14">
      <sharedItems containsNonDate="0" containsDate="1" containsString="0" containsBlank="1" minDate="2020-02-13T00:00:00" maxDate="2020-03-01T00:00:00" count="7">
        <m/>
        <d v="2020-02-14T00:00:00"/>
        <d v="2020-02-21T00:00:00"/>
        <d v="2020-02-29T00:00:00"/>
        <d v="2020-02-15T00:00:00"/>
        <d v="2020-02-16T00:00:00"/>
        <d v="2020-02-13T00:00:00"/>
      </sharedItems>
    </cacheField>
    <cacheField name="Due date" numFmtId="14">
      <sharedItems containsDate="1" containsBlank="1" containsMixedTypes="1" minDate="2020-02-24T00:00:00" maxDate="2020-03-24T00:00:00" count="10">
        <m/>
        <d v="2020-02-24T00:00:00"/>
        <s v="3/13 - 4/1"/>
        <s v="4/3 - 4/29"/>
        <d v="2020-02-28T00:00:00"/>
        <d v="2020-03-23T00:00:00"/>
        <d v="2020-03-15T00:00:00"/>
        <s v="2/26 - 3/2" u="1"/>
        <s v="shipped 2/22" u="1"/>
        <s v="ship on 2/22" u="1"/>
      </sharedItems>
    </cacheField>
    <cacheField name="received date" numFmtId="14">
      <sharedItems containsNonDate="0" containsDate="1" containsString="0" containsBlank="1" minDate="2020-02-18T00:00:00" maxDate="2020-02-29T00:00:00"/>
    </cacheField>
    <cacheField name="comments2" numFmtId="44">
      <sharedItems containsBlank="1"/>
    </cacheField>
    <cacheField name="Buy-now costs" numFmtId="44">
      <sharedItems containsSemiMixedTypes="0" containsString="0" containsNumber="1" minValue="0" maxValue="137.435" count="22">
        <n v="137.435"/>
        <n v="96.435000000000002"/>
        <n v="0"/>
        <n v="58.96"/>
        <n v="79.08"/>
        <n v="12.382399999999999"/>
        <n v="57.8" u="1"/>
        <n v="9.799100000000001" u="1"/>
        <n v="9.8317999999999994" u="1"/>
        <n v="1.853" u="1"/>
        <n v="4.6287799999999999" u="1"/>
        <n v="3.1857999999999995" u="1"/>
        <n v="3.0083999999999995" u="1"/>
        <n v="16.339100000000002" u="1"/>
        <n v="67.930905900416732" u="1"/>
        <n v="76.692399999999992" u="1"/>
        <n v="2.6923000000000004" u="1"/>
        <n v="60.001921474007439" u="1"/>
        <n v="6.7035" u="1"/>
        <n v="5.1722399999999986" u="1"/>
        <n v="7.5073749999999997" u="1"/>
        <n v="12.349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2">
  <r>
    <x v="0"/>
    <x v="0"/>
    <x v="0"/>
    <x v="0"/>
    <x v="0"/>
    <x v="0"/>
    <x v="0"/>
    <n v="1"/>
    <s v="$102.54 for 23 x 28 (minimum needed)"/>
    <x v="0"/>
    <n v="137.435"/>
    <x v="0"/>
    <m/>
    <x v="0"/>
    <x v="0"/>
    <n v="0"/>
    <x v="0"/>
    <n v="0"/>
    <x v="0"/>
    <n v="0"/>
    <n v="137.435"/>
    <n v="137.435"/>
    <n v="0"/>
    <m/>
    <x v="0"/>
    <x v="0"/>
    <m/>
    <m/>
    <x v="0"/>
  </r>
  <r>
    <x v="1"/>
    <x v="1"/>
    <x v="0"/>
    <x v="1"/>
    <x v="0"/>
    <x v="0"/>
    <x v="0"/>
    <n v="1"/>
    <m/>
    <x v="0"/>
    <n v="96.435000000000002"/>
    <x v="0"/>
    <m/>
    <x v="0"/>
    <x v="0"/>
    <n v="0"/>
    <x v="0"/>
    <n v="0"/>
    <x v="0"/>
    <n v="0"/>
    <n v="96.435000000000002"/>
    <n v="96.435000000000002"/>
    <n v="0"/>
    <m/>
    <x v="0"/>
    <x v="0"/>
    <m/>
    <m/>
    <x v="1"/>
  </r>
  <r>
    <x v="2"/>
    <x v="2"/>
    <x v="1"/>
    <x v="2"/>
    <x v="1"/>
    <x v="1"/>
    <x v="1"/>
    <n v="10"/>
    <s v="Purchase in packs of 10"/>
    <x v="1"/>
    <n v="41.171480000000003"/>
    <x v="1"/>
    <n v="0"/>
    <x v="1"/>
    <x v="1"/>
    <n v="29.408200000000001"/>
    <x v="0"/>
    <n v="0"/>
    <x v="1"/>
    <n v="2"/>
    <n v="11.76328"/>
    <n v="14.7041"/>
    <n v="2.94082"/>
    <m/>
    <x v="0"/>
    <x v="0"/>
    <m/>
    <s v="Mike donation - 20 pcs"/>
    <x v="2"/>
  </r>
  <r>
    <x v="3"/>
    <x v="3"/>
    <x v="1"/>
    <x v="3"/>
    <x v="1"/>
    <x v="2"/>
    <x v="2"/>
    <n v="300"/>
    <s v="Price per mm"/>
    <x v="2"/>
    <n v="5.8090132999999993"/>
    <x v="1"/>
    <n v="600"/>
    <x v="0"/>
    <x v="2"/>
    <n v="5.8127156666666657"/>
    <x v="0"/>
    <n v="0"/>
    <x v="2"/>
    <n v="286.2"/>
    <n v="0"/>
    <n v="0"/>
    <n v="5.2980866999999989"/>
    <n v="0"/>
    <x v="0"/>
    <x v="0"/>
    <m/>
    <s v="Mike donation"/>
    <x v="2"/>
  </r>
  <r>
    <x v="4"/>
    <x v="4"/>
    <x v="1"/>
    <x v="4"/>
    <x v="1"/>
    <x v="3"/>
    <x v="3"/>
    <n v="40"/>
    <s v="price per sq in"/>
    <x v="3"/>
    <n v="3.3495699999999995"/>
    <x v="1"/>
    <n v="0"/>
    <x v="2"/>
    <x v="3"/>
    <n v="3.5888249999999995"/>
    <x v="0"/>
    <n v="0"/>
    <x v="2"/>
    <n v="1"/>
    <n v="0"/>
    <n v="0"/>
    <n v="0.23925499999999997"/>
    <n v="0"/>
    <x v="0"/>
    <x v="0"/>
    <m/>
    <s v="Mike donation"/>
    <x v="2"/>
  </r>
  <r>
    <x v="5"/>
    <x v="5"/>
    <x v="2"/>
    <x v="5"/>
    <x v="2"/>
    <x v="4"/>
    <x v="4"/>
    <n v="1"/>
    <m/>
    <x v="4"/>
    <n v="2.8069576661548576"/>
    <x v="1"/>
    <n v="4"/>
    <x v="0"/>
    <x v="4"/>
    <n v="2.8069576661548576"/>
    <x v="1"/>
    <n v="0"/>
    <x v="2"/>
    <n v="0"/>
    <n v="0"/>
    <n v="0"/>
    <n v="0"/>
    <n v="2.8069576661548576"/>
    <x v="1"/>
    <x v="1"/>
    <d v="2020-02-24T00:00:00"/>
    <s v="on order 2/14"/>
    <x v="2"/>
  </r>
  <r>
    <x v="6"/>
    <x v="6"/>
    <x v="1"/>
    <x v="6"/>
    <x v="1"/>
    <x v="5"/>
    <x v="5"/>
    <n v="200"/>
    <m/>
    <x v="5"/>
    <n v="1.5872579999999998"/>
    <x v="1"/>
    <n v="0"/>
    <x v="3"/>
    <x v="5"/>
    <n v="1.5872579999999998"/>
    <x v="0"/>
    <n v="0"/>
    <x v="2"/>
    <n v="0"/>
    <n v="0"/>
    <n v="0"/>
    <n v="0"/>
    <n v="0"/>
    <x v="0"/>
    <x v="0"/>
    <m/>
    <s v="Mike donation"/>
    <x v="2"/>
  </r>
  <r>
    <x v="7"/>
    <x v="7"/>
    <x v="1"/>
    <x v="7"/>
    <x v="1"/>
    <x v="6"/>
    <x v="6"/>
    <n v="1"/>
    <m/>
    <x v="6"/>
    <n v="76.692399999999992"/>
    <x v="1"/>
    <n v="2"/>
    <x v="0"/>
    <x v="6"/>
    <n v="76.692399999999992"/>
    <x v="0"/>
    <n v="0"/>
    <x v="2"/>
    <n v="0"/>
    <n v="0"/>
    <n v="0"/>
    <n v="0"/>
    <n v="76.69"/>
    <x v="2"/>
    <x v="2"/>
    <d v="2020-02-28T00:00:00"/>
    <m/>
    <x v="2"/>
  </r>
  <r>
    <x v="8"/>
    <x v="8"/>
    <x v="1"/>
    <x v="8"/>
    <x v="1"/>
    <x v="7"/>
    <x v="7"/>
    <n v="300"/>
    <s v="Price per mm"/>
    <x v="7"/>
    <n v="12.941097666666668"/>
    <x v="1"/>
    <n v="0"/>
    <x v="4"/>
    <x v="7"/>
    <n v="12.941097666666668"/>
    <x v="0"/>
    <n v="0"/>
    <x v="2"/>
    <n v="247"/>
    <n v="0"/>
    <n v="0"/>
    <n v="9.055102333333334"/>
    <n v="0"/>
    <x v="0"/>
    <x v="0"/>
    <m/>
    <s v="Mike donation"/>
    <x v="2"/>
  </r>
  <r>
    <x v="9"/>
    <x v="9"/>
    <x v="2"/>
    <x v="9"/>
    <x v="3"/>
    <x v="8"/>
    <x v="8"/>
    <n v="1"/>
    <m/>
    <x v="4"/>
    <n v="1.9263434963807844"/>
    <x v="1"/>
    <n v="4"/>
    <x v="0"/>
    <x v="4"/>
    <n v="1.9263434963807844"/>
    <x v="1"/>
    <n v="0"/>
    <x v="2"/>
    <n v="0"/>
    <n v="0"/>
    <n v="0"/>
    <n v="0"/>
    <n v="1.9263434963807844"/>
    <x v="1"/>
    <x v="1"/>
    <d v="2020-02-24T00:00:00"/>
    <s v="on order 2/14"/>
    <x v="2"/>
  </r>
  <r>
    <x v="10"/>
    <x v="10"/>
    <x v="3"/>
    <x v="10"/>
    <x v="1"/>
    <x v="9"/>
    <x v="9"/>
    <n v="1"/>
    <s v="Free shipping"/>
    <x v="8"/>
    <n v="150.0048036850186"/>
    <x v="1"/>
    <n v="3"/>
    <x v="0"/>
    <x v="8"/>
    <n v="90.002882211011155"/>
    <x v="2"/>
    <n v="47.96"/>
    <x v="2"/>
    <n v="0"/>
    <n v="0"/>
    <n v="0"/>
    <n v="0"/>
    <n v="67.62"/>
    <x v="3"/>
    <x v="3"/>
    <m/>
    <s v="Purchased 12/19"/>
    <x v="2"/>
  </r>
  <r>
    <x v="11"/>
    <x v="11"/>
    <x v="2"/>
    <x v="11"/>
    <x v="4"/>
    <x v="10"/>
    <x v="10"/>
    <n v="100"/>
    <m/>
    <x v="9"/>
    <n v="8.1835199605176534"/>
    <x v="1"/>
    <n v="100"/>
    <x v="0"/>
    <x v="9"/>
    <n v="8.1835199605176534"/>
    <x v="1"/>
    <n v="0"/>
    <x v="2"/>
    <n v="35"/>
    <n v="0"/>
    <n v="0"/>
    <n v="4.4065107479710441"/>
    <n v="12.590030708488698"/>
    <x v="1"/>
    <x v="1"/>
    <d v="2020-02-24T00:00:00"/>
    <s v="on order 2/14"/>
    <x v="2"/>
  </r>
  <r>
    <x v="12"/>
    <x v="12"/>
    <x v="1"/>
    <x v="12"/>
    <x v="1"/>
    <x v="11"/>
    <x v="11"/>
    <n v="4"/>
    <m/>
    <x v="6"/>
    <n v="6.2675000000000001"/>
    <x v="1"/>
    <n v="4"/>
    <x v="0"/>
    <x v="6"/>
    <n v="6.2675000000000001"/>
    <x v="0"/>
    <n v="0"/>
    <x v="2"/>
    <n v="2"/>
    <n v="0"/>
    <n v="0"/>
    <n v="6.2675000000000001"/>
    <n v="12.54"/>
    <x v="4"/>
    <x v="0"/>
    <m/>
    <s v="ordered 2/15"/>
    <x v="2"/>
  </r>
  <r>
    <x v="13"/>
    <x v="13"/>
    <x v="4"/>
    <x v="13"/>
    <x v="5"/>
    <x v="0"/>
    <x v="12"/>
    <n v="1"/>
    <m/>
    <x v="10"/>
    <n v="132.61000000000001"/>
    <x v="1"/>
    <n v="3"/>
    <x v="0"/>
    <x v="8"/>
    <n v="132.61000000000001"/>
    <x v="0"/>
    <n v="0"/>
    <x v="2"/>
    <n v="0"/>
    <n v="0"/>
    <n v="0"/>
    <n v="0"/>
    <n v="132.61000000000001"/>
    <x v="5"/>
    <x v="4"/>
    <d v="2020-02-28T00:00:00"/>
    <s v="on order 2/16"/>
    <x v="2"/>
  </r>
  <r>
    <x v="14"/>
    <x v="14"/>
    <x v="2"/>
    <x v="14"/>
    <x v="6"/>
    <x v="12"/>
    <x v="13"/>
    <n v="1"/>
    <s v="Shipping estimated $5 total"/>
    <x v="11"/>
    <n v="3.962763763983328"/>
    <x v="1"/>
    <n v="12"/>
    <x v="0"/>
    <x v="10"/>
    <n v="3.962763763983328"/>
    <x v="1"/>
    <n v="0"/>
    <x v="2"/>
    <n v="0"/>
    <n v="0"/>
    <n v="0"/>
    <n v="0"/>
    <n v="3.962763763983328"/>
    <x v="1"/>
    <x v="1"/>
    <d v="2020-02-24T00:00:00"/>
    <s v="on order 2/14"/>
    <x v="2"/>
  </r>
  <r>
    <x v="15"/>
    <x v="15"/>
    <x v="3"/>
    <x v="15"/>
    <x v="7"/>
    <x v="0"/>
    <x v="14"/>
    <n v="1"/>
    <s v="ordered 2/13"/>
    <x v="0"/>
    <n v="19.979999999999997"/>
    <x v="1"/>
    <n v="1"/>
    <x v="0"/>
    <x v="11"/>
    <n v="19.979999999999997"/>
    <x v="0"/>
    <n v="0"/>
    <x v="2"/>
    <n v="0"/>
    <n v="0"/>
    <n v="0"/>
    <n v="0"/>
    <n v="19.98"/>
    <x v="1"/>
    <x v="0"/>
    <d v="2020-02-20T00:00:00"/>
    <s v="ordered 2/14, received 2/20"/>
    <x v="2"/>
  </r>
  <r>
    <x v="16"/>
    <x v="16"/>
    <x v="0"/>
    <x v="16"/>
    <x v="1"/>
    <x v="0"/>
    <x v="0"/>
    <n v="1"/>
    <s v="Get out of center offcut of part A-0001"/>
    <x v="0"/>
    <n v="0"/>
    <x v="1"/>
    <m/>
    <x v="0"/>
    <x v="0"/>
    <n v="0"/>
    <x v="0"/>
    <n v="0"/>
    <x v="0"/>
    <n v="0"/>
    <n v="0"/>
    <n v="0"/>
    <n v="0"/>
    <m/>
    <x v="0"/>
    <x v="0"/>
    <m/>
    <m/>
    <x v="2"/>
  </r>
  <r>
    <x v="17"/>
    <x v="17"/>
    <x v="1"/>
    <x v="17"/>
    <x v="1"/>
    <x v="13"/>
    <x v="15"/>
    <n v="50"/>
    <s v="Shipping estimated"/>
    <x v="12"/>
    <n v="9.6327660000000002"/>
    <x v="1"/>
    <n v="50"/>
    <x v="0"/>
    <x v="12"/>
    <n v="9.6327660000000002"/>
    <x v="0"/>
    <n v="0"/>
    <x v="2"/>
    <n v="11"/>
    <n v="0"/>
    <n v="0"/>
    <n v="2.7169339999999997"/>
    <n v="12.3497"/>
    <x v="2"/>
    <x v="5"/>
    <m/>
    <m/>
    <x v="2"/>
  </r>
  <r>
    <x v="18"/>
    <x v="18"/>
    <x v="1"/>
    <x v="18"/>
    <x v="1"/>
    <x v="14"/>
    <x v="16"/>
    <n v="1"/>
    <m/>
    <x v="10"/>
    <n v="70.304999999999993"/>
    <x v="1"/>
    <n v="3"/>
    <x v="0"/>
    <x v="8"/>
    <n v="70.304999999999993"/>
    <x v="0"/>
    <n v="0"/>
    <x v="2"/>
    <n v="0"/>
    <n v="0"/>
    <n v="0"/>
    <n v="0"/>
    <n v="45.7"/>
    <x v="0"/>
    <x v="0"/>
    <m/>
    <s v="Purchased 12/19. ordered 1 more 2/15"/>
    <x v="2"/>
  </r>
  <r>
    <x v="19"/>
    <x v="19"/>
    <x v="5"/>
    <x v="19"/>
    <x v="8"/>
    <x v="15"/>
    <x v="17"/>
    <n v="1"/>
    <m/>
    <x v="10"/>
    <n v="65.511750000000006"/>
    <x v="1"/>
    <n v="3"/>
    <x v="0"/>
    <x v="8"/>
    <n v="65.511750000000006"/>
    <x v="0"/>
    <n v="0"/>
    <x v="2"/>
    <n v="0"/>
    <n v="0"/>
    <n v="0"/>
    <n v="0"/>
    <n v="65.510000000000005"/>
    <x v="0"/>
    <x v="0"/>
    <m/>
    <s v="ordered 2/13, received 2/20"/>
    <x v="2"/>
  </r>
  <r>
    <x v="20"/>
    <x v="20"/>
    <x v="3"/>
    <x v="20"/>
    <x v="9"/>
    <x v="16"/>
    <x v="18"/>
    <n v="1"/>
    <s v="Shipping estimated"/>
    <x v="0"/>
    <n v="11.319500000000001"/>
    <x v="1"/>
    <n v="1"/>
    <x v="0"/>
    <x v="11"/>
    <n v="11.319500000000001"/>
    <x v="0"/>
    <n v="0"/>
    <x v="2"/>
    <n v="0"/>
    <n v="0"/>
    <n v="0"/>
    <n v="0"/>
    <m/>
    <x v="6"/>
    <x v="6"/>
    <m/>
    <s v="on order 2/13, shipped 2/19"/>
    <x v="2"/>
  </r>
  <r>
    <x v="21"/>
    <x v="21"/>
    <x v="2"/>
    <x v="21"/>
    <x v="10"/>
    <x v="17"/>
    <x v="19"/>
    <n v="100"/>
    <s v="5.9mm tall"/>
    <x v="13"/>
    <n v="1.498420048256196"/>
    <x v="1"/>
    <n v="100"/>
    <x v="0"/>
    <x v="13"/>
    <n v="1.498420048256196"/>
    <x v="1"/>
    <n v="0"/>
    <x v="2"/>
    <n v="78"/>
    <n v="0"/>
    <n v="0"/>
    <n v="5.3125801710901497"/>
    <n v="6.8110002193463455"/>
    <x v="1"/>
    <x v="1"/>
    <d v="2020-02-24T00:00:00"/>
    <s v="on order 2/14"/>
    <x v="2"/>
  </r>
  <r>
    <x v="22"/>
    <x v="22"/>
    <x v="6"/>
    <x v="22"/>
    <x v="11"/>
    <x v="18"/>
    <x v="20"/>
    <n v="4"/>
    <s v="For z-axis motor mounts, shipping estimated"/>
    <x v="6"/>
    <n v="9.5387500000000003"/>
    <x v="1"/>
    <n v="0"/>
    <x v="5"/>
    <x v="8"/>
    <n v="14.308125"/>
    <x v="0"/>
    <n v="0"/>
    <x v="2"/>
    <n v="1"/>
    <n v="0"/>
    <n v="0"/>
    <n v="4.7693750000000001"/>
    <n v="0"/>
    <x v="0"/>
    <x v="0"/>
    <m/>
    <s v="Mike donation"/>
    <x v="2"/>
  </r>
  <r>
    <x v="23"/>
    <x v="23"/>
    <x v="6"/>
    <x v="23"/>
    <x v="12"/>
    <x v="19"/>
    <x v="20"/>
    <n v="12"/>
    <s v="Shipping estimated"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4"/>
    <x v="24"/>
    <x v="6"/>
    <x v="24"/>
    <x v="13"/>
    <x v="20"/>
    <x v="21"/>
    <n v="2"/>
    <s v="For left and right kinematic ball holders on z-axis"/>
    <x v="6"/>
    <n v="9.5108931000000005"/>
    <x v="1"/>
    <n v="2"/>
    <x v="0"/>
    <x v="6"/>
    <n v="9.5108931000000005"/>
    <x v="0"/>
    <n v="0"/>
    <x v="2"/>
    <n v="0"/>
    <n v="0"/>
    <n v="0"/>
    <n v="0"/>
    <n v="9.51"/>
    <x v="0"/>
    <x v="0"/>
    <m/>
    <s v="on order 2/16"/>
    <x v="2"/>
  </r>
  <r>
    <x v="25"/>
    <x v="25"/>
    <x v="2"/>
    <x v="25"/>
    <x v="14"/>
    <x v="21"/>
    <x v="22"/>
    <n v="1"/>
    <m/>
    <x v="15"/>
    <n v="1.3209212546611093"/>
    <x v="1"/>
    <n v="8"/>
    <x v="0"/>
    <x v="14"/>
    <n v="1.3209212546611093"/>
    <x v="1"/>
    <n v="0"/>
    <x v="2"/>
    <n v="0"/>
    <n v="0"/>
    <n v="0"/>
    <n v="0"/>
    <n v="1.3209212546611093"/>
    <x v="1"/>
    <x v="1"/>
    <d v="2020-02-24T00:00:00"/>
    <s v="on order 2/14"/>
    <x v="2"/>
  </r>
  <r>
    <x v="26"/>
    <x v="26"/>
    <x v="1"/>
    <x v="26"/>
    <x v="1"/>
    <x v="22"/>
    <x v="23"/>
    <n v="26"/>
    <m/>
    <x v="16"/>
    <n v="3.0524192307692308"/>
    <x v="1"/>
    <n v="26"/>
    <x v="0"/>
    <x v="15"/>
    <n v="3.0524192307692308"/>
    <x v="0"/>
    <n v="0"/>
    <x v="2"/>
    <n v="17"/>
    <n v="0"/>
    <n v="0"/>
    <n v="5.7656807692307694"/>
    <n v="8.82"/>
    <x v="4"/>
    <x v="0"/>
    <d v="2020-02-18T00:00:00"/>
    <s v="ordered 2/15"/>
    <x v="2"/>
  </r>
  <r>
    <x v="27"/>
    <x v="27"/>
    <x v="1"/>
    <x v="27"/>
    <x v="1"/>
    <x v="23"/>
    <x v="24"/>
    <n v="100"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8"/>
    <x v="28"/>
    <x v="2"/>
    <x v="28"/>
    <x v="15"/>
    <x v="24"/>
    <x v="25"/>
    <n v="1"/>
    <m/>
    <x v="4"/>
    <n v="2.0364202676025438"/>
    <x v="1"/>
    <n v="4"/>
    <x v="0"/>
    <x v="4"/>
    <n v="2.0364202676025438"/>
    <x v="1"/>
    <n v="0"/>
    <x v="2"/>
    <n v="0"/>
    <n v="0"/>
    <n v="0"/>
    <n v="0"/>
    <n v="2.0364202676025438"/>
    <x v="1"/>
    <x v="1"/>
    <d v="2020-02-24T00:00:00"/>
    <s v="on order 2/14"/>
    <x v="2"/>
  </r>
  <r>
    <x v="29"/>
    <x v="29"/>
    <x v="2"/>
    <x v="29"/>
    <x v="16"/>
    <x v="25"/>
    <x v="26"/>
    <n v="1"/>
    <m/>
    <x v="4"/>
    <n v="2.4216889668787003"/>
    <x v="1"/>
    <n v="4"/>
    <x v="0"/>
    <x v="4"/>
    <n v="2.4216889668787003"/>
    <x v="1"/>
    <n v="0"/>
    <x v="2"/>
    <n v="0"/>
    <n v="0"/>
    <n v="0"/>
    <n v="0"/>
    <n v="2.4216889668787003"/>
    <x v="1"/>
    <x v="1"/>
    <d v="2020-02-24T00:00:00"/>
    <s v="on order 2/14"/>
    <x v="2"/>
  </r>
  <r>
    <x v="30"/>
    <x v="30"/>
    <x v="2"/>
    <x v="30"/>
    <x v="17"/>
    <x v="26"/>
    <x v="27"/>
    <n v="1"/>
    <m/>
    <x v="6"/>
    <n v="0.495345470497916"/>
    <x v="1"/>
    <n v="2"/>
    <x v="0"/>
    <x v="6"/>
    <n v="0.495345470497916"/>
    <x v="1"/>
    <n v="0"/>
    <x v="2"/>
    <n v="0"/>
    <n v="0"/>
    <n v="0"/>
    <n v="0"/>
    <n v="0.495345470497916"/>
    <x v="1"/>
    <x v="1"/>
    <d v="2020-02-24T00:00:00"/>
    <s v="on order 2/14"/>
    <x v="2"/>
  </r>
  <r>
    <x v="31"/>
    <x v="31"/>
    <x v="2"/>
    <x v="31"/>
    <x v="18"/>
    <x v="27"/>
    <x v="28"/>
    <n v="1"/>
    <m/>
    <x v="6"/>
    <n v="0.5503838561087957"/>
    <x v="1"/>
    <n v="2"/>
    <x v="0"/>
    <x v="6"/>
    <n v="0.5503838561087957"/>
    <x v="1"/>
    <n v="0"/>
    <x v="2"/>
    <n v="0"/>
    <n v="0"/>
    <n v="0"/>
    <n v="0"/>
    <n v="0.5503838561087957"/>
    <x v="1"/>
    <x v="1"/>
    <d v="2020-02-24T00:00:00"/>
    <s v="on order 2/14"/>
    <x v="2"/>
  </r>
  <r>
    <x v="32"/>
    <x v="32"/>
    <x v="2"/>
    <x v="32"/>
    <x v="19"/>
    <x v="28"/>
    <x v="29"/>
    <n v="100"/>
    <m/>
    <x v="17"/>
    <n v="1.6126246983987713"/>
    <x v="1"/>
    <n v="100"/>
    <x v="0"/>
    <x v="1"/>
    <n v="1.6126246983987713"/>
    <x v="1"/>
    <n v="0"/>
    <x v="2"/>
    <n v="80"/>
    <n v="0"/>
    <n v="0"/>
    <n v="6.4504987935950853"/>
    <n v="8.0631234919938564"/>
    <x v="1"/>
    <x v="1"/>
    <d v="2020-02-24T00:00:00"/>
    <s v="on order 2/14"/>
    <x v="2"/>
  </r>
  <r>
    <x v="33"/>
    <x v="33"/>
    <x v="2"/>
    <x v="33"/>
    <x v="20"/>
    <x v="29"/>
    <x v="30"/>
    <n v="100"/>
    <m/>
    <x v="18"/>
    <n v="2.019083176135116"/>
    <x v="1"/>
    <n v="100"/>
    <x v="0"/>
    <x v="16"/>
    <n v="2.019083176135116"/>
    <x v="1"/>
    <n v="0"/>
    <x v="2"/>
    <n v="54"/>
    <n v="0"/>
    <n v="0"/>
    <n v="2.3702280763325279"/>
    <n v="4.3893112524676443"/>
    <x v="1"/>
    <x v="1"/>
    <d v="2020-02-24T00:00:00"/>
    <s v="on order 2/14"/>
    <x v="2"/>
  </r>
  <r>
    <x v="34"/>
    <x v="34"/>
    <x v="2"/>
    <x v="34"/>
    <x v="21"/>
    <x v="30"/>
    <x v="31"/>
    <n v="100"/>
    <m/>
    <x v="18"/>
    <n v="0.69623557797762647"/>
    <x v="1"/>
    <n v="100"/>
    <x v="0"/>
    <x v="16"/>
    <n v="0.69623557797762647"/>
    <x v="1"/>
    <n v="0"/>
    <x v="2"/>
    <n v="54"/>
    <n v="0"/>
    <n v="0"/>
    <n v="0.81732002632156153"/>
    <n v="1.513555604299188"/>
    <x v="1"/>
    <x v="1"/>
    <d v="2020-02-24T00:00:00"/>
    <s v="on order 2/14"/>
    <x v="2"/>
  </r>
  <r>
    <x v="35"/>
    <x v="35"/>
    <x v="7"/>
    <x v="35"/>
    <x v="22"/>
    <x v="31"/>
    <x v="32"/>
    <n v="1"/>
    <s v="Shipping estimated"/>
    <x v="10"/>
    <n v="21.606300000000001"/>
    <x v="1"/>
    <m/>
    <x v="0"/>
    <x v="0"/>
    <n v="0"/>
    <x v="0"/>
    <n v="0"/>
    <x v="3"/>
    <n v="0"/>
    <n v="21.606300000000001"/>
    <n v="21.606300000000001"/>
    <n v="0"/>
    <m/>
    <x v="0"/>
    <x v="0"/>
    <m/>
    <m/>
    <x v="2"/>
  </r>
  <r>
    <x v="36"/>
    <x v="36"/>
    <x v="0"/>
    <x v="16"/>
    <x v="1"/>
    <x v="0"/>
    <x v="0"/>
    <n v="1"/>
    <s v="Shipping estimated"/>
    <x v="0"/>
    <n v="0"/>
    <x v="1"/>
    <m/>
    <x v="0"/>
    <x v="0"/>
    <n v="0"/>
    <x v="0"/>
    <n v="0"/>
    <x v="0"/>
    <n v="0"/>
    <n v="0"/>
    <n v="0"/>
    <n v="0"/>
    <m/>
    <x v="0"/>
    <x v="0"/>
    <m/>
    <m/>
    <x v="2"/>
  </r>
  <r>
    <x v="37"/>
    <x v="37"/>
    <x v="8"/>
    <x v="36"/>
    <x v="23"/>
    <x v="32"/>
    <x v="33"/>
    <n v="1"/>
    <s v="Outrageous shipping charge"/>
    <x v="8"/>
    <n v="36.290000000000006"/>
    <x v="1"/>
    <m/>
    <x v="0"/>
    <x v="0"/>
    <n v="0"/>
    <x v="0"/>
    <n v="0"/>
    <x v="4"/>
    <n v="0"/>
    <n v="36.290000000000006"/>
    <n v="36.290000000000006"/>
    <n v="0"/>
    <m/>
    <x v="0"/>
    <x v="0"/>
    <m/>
    <m/>
    <x v="2"/>
  </r>
  <r>
    <x v="38"/>
    <x v="38"/>
    <x v="9"/>
    <x v="37"/>
    <x v="24"/>
    <x v="33"/>
    <x v="34"/>
    <n v="2"/>
    <s v="Estimated shipping cost"/>
    <x v="8"/>
    <n v="93.125"/>
    <x v="1"/>
    <m/>
    <x v="0"/>
    <x v="0"/>
    <n v="0"/>
    <x v="0"/>
    <n v="0"/>
    <x v="5"/>
    <n v="1"/>
    <n v="93.125"/>
    <n v="111.75"/>
    <n v="18.625"/>
    <m/>
    <x v="0"/>
    <x v="0"/>
    <m/>
    <m/>
    <x v="2"/>
  </r>
  <r>
    <x v="39"/>
    <x v="39"/>
    <x v="2"/>
    <x v="38"/>
    <x v="25"/>
    <x v="34"/>
    <x v="35"/>
    <n v="100"/>
    <m/>
    <x v="19"/>
    <n v="0.29720728229874965"/>
    <x v="1"/>
    <n v="100"/>
    <x v="0"/>
    <x v="17"/>
    <n v="0.29720728229874965"/>
    <x v="1"/>
    <n v="0"/>
    <x v="2"/>
    <n v="94"/>
    <n v="0"/>
    <n v="0"/>
    <n v="4.6562474226804111"/>
    <n v="4.9534547049791611"/>
    <x v="1"/>
    <x v="1"/>
    <d v="2020-02-24T00:00:00"/>
    <s v="on order 2/14"/>
    <x v="2"/>
  </r>
  <r>
    <x v="40"/>
    <x v="40"/>
    <x v="2"/>
    <x v="39"/>
    <x v="26"/>
    <x v="35"/>
    <x v="36"/>
    <n v="100"/>
    <m/>
    <x v="20"/>
    <n v="0.51598486510199593"/>
    <x v="1"/>
    <n v="100"/>
    <x v="0"/>
    <x v="18"/>
    <n v="0.51598486510199593"/>
    <x v="1"/>
    <n v="0"/>
    <x v="2"/>
    <n v="70"/>
    <n v="0"/>
    <n v="0"/>
    <n v="1.2039646852379906"/>
    <n v="1.7199495503399866"/>
    <x v="1"/>
    <x v="1"/>
    <d v="2020-02-24T00:00:00"/>
    <s v="on order 2/14"/>
    <x v="2"/>
  </r>
  <r>
    <x v="41"/>
    <x v="41"/>
    <x v="1"/>
    <x v="40"/>
    <x v="1"/>
    <x v="36"/>
    <x v="37"/>
    <n v="4"/>
    <m/>
    <x v="15"/>
    <n v="23.958200000000001"/>
    <x v="1"/>
    <m/>
    <x v="0"/>
    <x v="0"/>
    <n v="0"/>
    <x v="0"/>
    <n v="0"/>
    <x v="6"/>
    <n v="0"/>
    <n v="23.958200000000001"/>
    <n v="23.958200000000001"/>
    <n v="0"/>
    <m/>
    <x v="0"/>
    <x v="0"/>
    <m/>
    <m/>
    <x v="2"/>
  </r>
  <r>
    <x v="42"/>
    <x v="42"/>
    <x v="4"/>
    <x v="41"/>
    <x v="27"/>
    <x v="37"/>
    <x v="38"/>
    <n v="1"/>
    <s v="Shipping estimated"/>
    <x v="4"/>
    <n v="20.172800000000002"/>
    <x v="1"/>
    <m/>
    <x v="0"/>
    <x v="0"/>
    <n v="0"/>
    <x v="0"/>
    <n v="0"/>
    <x v="7"/>
    <n v="0"/>
    <n v="20.172800000000002"/>
    <n v="20.172800000000002"/>
    <n v="0"/>
    <m/>
    <x v="0"/>
    <x v="0"/>
    <m/>
    <m/>
    <x v="2"/>
  </r>
  <r>
    <x v="43"/>
    <x v="43"/>
    <x v="4"/>
    <x v="42"/>
    <x v="27"/>
    <x v="38"/>
    <x v="38"/>
    <n v="1"/>
    <m/>
    <x v="4"/>
    <n v="20.695999999999998"/>
    <x v="1"/>
    <m/>
    <x v="0"/>
    <x v="0"/>
    <n v="0"/>
    <x v="0"/>
    <n v="0"/>
    <x v="7"/>
    <n v="0"/>
    <n v="20.695999999999998"/>
    <n v="20.695999999999998"/>
    <n v="0"/>
    <m/>
    <x v="0"/>
    <x v="0"/>
    <m/>
    <m/>
    <x v="2"/>
  </r>
  <r>
    <x v="44"/>
    <x v="44"/>
    <x v="6"/>
    <x v="43"/>
    <x v="22"/>
    <x v="39"/>
    <x v="39"/>
    <n v="3"/>
    <s v="Shipping estimated"/>
    <x v="10"/>
    <n v="16.352499999999999"/>
    <x v="1"/>
    <n v="0"/>
    <x v="5"/>
    <x v="8"/>
    <n v="16.352499999999999"/>
    <x v="0"/>
    <n v="0"/>
    <x v="2"/>
    <n v="0"/>
    <n v="0"/>
    <n v="0"/>
    <n v="0"/>
    <n v="0"/>
    <x v="0"/>
    <x v="0"/>
    <m/>
    <s v="Mike donation"/>
    <x v="2"/>
  </r>
  <r>
    <x v="45"/>
    <x v="45"/>
    <x v="4"/>
    <x v="44"/>
    <x v="27"/>
    <x v="40"/>
    <x v="38"/>
    <n v="1"/>
    <s v="Shipping estimated"/>
    <x v="4"/>
    <n v="18.210799999999999"/>
    <x v="1"/>
    <m/>
    <x v="0"/>
    <x v="0"/>
    <n v="0"/>
    <x v="0"/>
    <n v="0"/>
    <x v="7"/>
    <n v="0"/>
    <n v="18.210799999999999"/>
    <n v="18.210799999999999"/>
    <n v="0"/>
    <m/>
    <x v="0"/>
    <x v="0"/>
    <m/>
    <m/>
    <x v="2"/>
  </r>
  <r>
    <x v="46"/>
    <x v="46"/>
    <x v="1"/>
    <x v="45"/>
    <x v="1"/>
    <x v="41"/>
    <x v="40"/>
    <n v="2"/>
    <m/>
    <x v="0"/>
    <n v="37.169000000000004"/>
    <x v="1"/>
    <m/>
    <x v="0"/>
    <x v="0"/>
    <n v="0"/>
    <x v="0"/>
    <n v="0"/>
    <x v="8"/>
    <n v="1"/>
    <n v="37.169000000000004"/>
    <n v="74.338000000000008"/>
    <n v="37.169000000000004"/>
    <m/>
    <x v="0"/>
    <x v="0"/>
    <m/>
    <m/>
    <x v="2"/>
  </r>
  <r>
    <x v="47"/>
    <x v="46"/>
    <x v="1"/>
    <x v="46"/>
    <x v="1"/>
    <x v="42"/>
    <x v="40"/>
    <n v="2"/>
    <m/>
    <x v="4"/>
    <n v="74.338000000000008"/>
    <x v="1"/>
    <m/>
    <x v="0"/>
    <x v="0"/>
    <n v="0"/>
    <x v="0"/>
    <n v="0"/>
    <x v="7"/>
    <n v="0"/>
    <n v="74.338000000000008"/>
    <n v="74.338000000000008"/>
    <n v="0"/>
    <m/>
    <x v="0"/>
    <x v="0"/>
    <m/>
    <m/>
    <x v="2"/>
  </r>
  <r>
    <x v="48"/>
    <x v="47"/>
    <x v="1"/>
    <x v="47"/>
    <x v="1"/>
    <x v="43"/>
    <x v="41"/>
    <n v="1"/>
    <m/>
    <x v="0"/>
    <n v="43.589100000000002"/>
    <x v="1"/>
    <m/>
    <x v="0"/>
    <x v="0"/>
    <n v="0"/>
    <x v="0"/>
    <n v="0"/>
    <x v="0"/>
    <n v="0"/>
    <n v="43.589100000000002"/>
    <n v="43.589100000000002"/>
    <n v="0"/>
    <m/>
    <x v="0"/>
    <x v="0"/>
    <m/>
    <m/>
    <x v="2"/>
  </r>
  <r>
    <x v="49"/>
    <x v="48"/>
    <x v="1"/>
    <x v="48"/>
    <x v="1"/>
    <x v="44"/>
    <x v="42"/>
    <n v="2"/>
    <m/>
    <x v="0"/>
    <n v="11.979100000000001"/>
    <x v="1"/>
    <m/>
    <x v="0"/>
    <x v="0"/>
    <n v="0"/>
    <x v="0"/>
    <n v="0"/>
    <x v="8"/>
    <n v="1"/>
    <n v="11.979100000000001"/>
    <n v="23.958200000000001"/>
    <n v="11.979100000000001"/>
    <m/>
    <x v="0"/>
    <x v="0"/>
    <m/>
    <m/>
    <x v="2"/>
  </r>
  <r>
    <x v="50"/>
    <x v="49"/>
    <x v="10"/>
    <x v="49"/>
    <x v="28"/>
    <x v="45"/>
    <x v="43"/>
    <n v="1"/>
    <s v="Estimated shipping cost"/>
    <x v="0"/>
    <n v="56.913899999999998"/>
    <x v="1"/>
    <m/>
    <x v="0"/>
    <x v="0"/>
    <n v="0"/>
    <x v="0"/>
    <n v="0"/>
    <x v="0"/>
    <n v="0"/>
    <n v="56.913899999999998"/>
    <n v="56.913899999999998"/>
    <n v="0"/>
    <m/>
    <x v="0"/>
    <x v="0"/>
    <m/>
    <m/>
    <x v="2"/>
  </r>
  <r>
    <x v="51"/>
    <x v="50"/>
    <x v="1"/>
    <x v="50"/>
    <x v="1"/>
    <x v="46"/>
    <x v="44"/>
    <n v="1"/>
    <m/>
    <x v="0"/>
    <n v="25.059099999999997"/>
    <x v="1"/>
    <m/>
    <x v="0"/>
    <x v="0"/>
    <n v="0"/>
    <x v="0"/>
    <n v="0"/>
    <x v="0"/>
    <n v="0"/>
    <n v="25.059099999999997"/>
    <n v="25.059099999999997"/>
    <n v="0"/>
    <m/>
    <x v="0"/>
    <x v="0"/>
    <m/>
    <m/>
    <x v="2"/>
  </r>
  <r>
    <x v="52"/>
    <x v="51"/>
    <x v="1"/>
    <x v="51"/>
    <x v="1"/>
    <x v="47"/>
    <x v="45"/>
    <n v="1"/>
    <m/>
    <x v="0"/>
    <n v="9.6464999999999996"/>
    <x v="1"/>
    <m/>
    <x v="0"/>
    <x v="0"/>
    <n v="0"/>
    <x v="0"/>
    <n v="0"/>
    <x v="0"/>
    <n v="0"/>
    <n v="9.6464999999999996"/>
    <n v="9.6464999999999996"/>
    <n v="0"/>
    <m/>
    <x v="0"/>
    <x v="0"/>
    <m/>
    <m/>
    <x v="2"/>
  </r>
  <r>
    <x v="53"/>
    <x v="52"/>
    <x v="10"/>
    <x v="52"/>
    <x v="29"/>
    <x v="0"/>
    <x v="46"/>
    <n v="1"/>
    <s v="Estimated shipping cost"/>
    <x v="0"/>
    <n v="58.96"/>
    <x v="0"/>
    <m/>
    <x v="0"/>
    <x v="0"/>
    <n v="0"/>
    <x v="0"/>
    <n v="0"/>
    <x v="0"/>
    <n v="0"/>
    <n v="58.96"/>
    <n v="58.96"/>
    <n v="0"/>
    <m/>
    <x v="0"/>
    <x v="0"/>
    <m/>
    <m/>
    <x v="3"/>
  </r>
  <r>
    <x v="54"/>
    <x v="53"/>
    <x v="10"/>
    <x v="53"/>
    <x v="30"/>
    <x v="0"/>
    <x v="47"/>
    <n v="1"/>
    <s v="Shipping estimated"/>
    <x v="0"/>
    <n v="88.96"/>
    <x v="1"/>
    <n v="0"/>
    <x v="6"/>
    <x v="11"/>
    <n v="88.96"/>
    <x v="0"/>
    <n v="0"/>
    <x v="2"/>
    <n v="0"/>
    <n v="0"/>
    <n v="0"/>
    <n v="0"/>
    <n v="0"/>
    <x v="0"/>
    <x v="0"/>
    <m/>
    <s v="Mark Donation"/>
    <x v="2"/>
  </r>
  <r>
    <x v="55"/>
    <x v="54"/>
    <x v="10"/>
    <x v="54"/>
    <x v="29"/>
    <x v="0"/>
    <x v="48"/>
    <n v="1"/>
    <s v="Shipping estimated"/>
    <x v="0"/>
    <n v="79.08"/>
    <x v="0"/>
    <m/>
    <x v="0"/>
    <x v="0"/>
    <n v="0"/>
    <x v="0"/>
    <n v="0"/>
    <x v="0"/>
    <n v="0"/>
    <n v="79.08"/>
    <n v="79.08"/>
    <n v="0"/>
    <m/>
    <x v="0"/>
    <x v="0"/>
    <m/>
    <m/>
    <x v="4"/>
  </r>
  <r>
    <x v="56"/>
    <x v="55"/>
    <x v="1"/>
    <x v="55"/>
    <x v="1"/>
    <x v="48"/>
    <x v="49"/>
    <n v="1"/>
    <m/>
    <x v="0"/>
    <n v="31.261199999999999"/>
    <x v="1"/>
    <n v="1"/>
    <x v="0"/>
    <x v="11"/>
    <n v="31.261199999999999"/>
    <x v="0"/>
    <n v="0"/>
    <x v="2"/>
    <n v="0"/>
    <n v="0"/>
    <n v="0"/>
    <n v="0"/>
    <n v="31.26"/>
    <x v="0"/>
    <x v="0"/>
    <m/>
    <s v="ordered 2/15"/>
    <x v="2"/>
  </r>
  <r>
    <x v="57"/>
    <x v="56"/>
    <x v="1"/>
    <x v="56"/>
    <x v="1"/>
    <x v="49"/>
    <x v="50"/>
    <n v="1"/>
    <m/>
    <x v="0"/>
    <n v="15.2491"/>
    <x v="1"/>
    <m/>
    <x v="0"/>
    <x v="0"/>
    <n v="0"/>
    <x v="0"/>
    <n v="0"/>
    <x v="0"/>
    <n v="0"/>
    <n v="15.2491"/>
    <n v="15.2491"/>
    <n v="0"/>
    <m/>
    <x v="0"/>
    <x v="0"/>
    <m/>
    <m/>
    <x v="2"/>
  </r>
  <r>
    <x v="58"/>
    <x v="57"/>
    <x v="1"/>
    <x v="57"/>
    <x v="1"/>
    <x v="50"/>
    <x v="51"/>
    <n v="1"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9"/>
    <x v="58"/>
    <x v="5"/>
    <x v="58"/>
    <x v="31"/>
    <x v="51"/>
    <x v="52"/>
    <n v="1"/>
    <m/>
    <x v="10"/>
    <n v="15.266750000000002"/>
    <x v="1"/>
    <n v="3"/>
    <x v="0"/>
    <x v="8"/>
    <n v="15.266750000000002"/>
    <x v="0"/>
    <n v="0"/>
    <x v="2"/>
    <n v="0"/>
    <n v="0"/>
    <n v="0"/>
    <n v="0"/>
    <n v="15.27"/>
    <x v="0"/>
    <x v="0"/>
    <m/>
    <s v="ordered 2/13, received 2/20"/>
    <x v="2"/>
  </r>
  <r>
    <x v="60"/>
    <x v="59"/>
    <x v="2"/>
    <x v="59"/>
    <x v="32"/>
    <x v="52"/>
    <x v="53"/>
    <n v="1"/>
    <m/>
    <x v="11"/>
    <n v="1.6511515683263871"/>
    <x v="1"/>
    <n v="12"/>
    <x v="0"/>
    <x v="10"/>
    <n v="1.6511515683263871"/>
    <x v="1"/>
    <n v="0"/>
    <x v="2"/>
    <n v="0"/>
    <n v="0"/>
    <n v="0"/>
    <n v="0"/>
    <n v="1.6511515683263871"/>
    <x v="1"/>
    <x v="1"/>
    <d v="2020-02-24T00:00:00"/>
    <s v="on order 2/14"/>
    <x v="2"/>
  </r>
  <r>
    <x v="61"/>
    <x v="60"/>
    <x v="2"/>
    <x v="60"/>
    <x v="33"/>
    <x v="53"/>
    <x v="54"/>
    <n v="100"/>
    <m/>
    <x v="16"/>
    <n v="0.21919037069532785"/>
    <x v="1"/>
    <n v="100"/>
    <x v="0"/>
    <x v="15"/>
    <n v="0.21919037069532785"/>
    <x v="1"/>
    <n v="0"/>
    <x v="2"/>
    <n v="91"/>
    <n v="0"/>
    <n v="0"/>
    <n v="2.2162581925860927"/>
    <n v="2.4354485632814207"/>
    <x v="1"/>
    <x v="1"/>
    <d v="2020-02-24T00:00:00"/>
    <s v="on order 2/14"/>
    <x v="2"/>
  </r>
  <r>
    <x v="62"/>
    <x v="61"/>
    <x v="2"/>
    <x v="61"/>
    <x v="34"/>
    <x v="54"/>
    <x v="55"/>
    <n v="1"/>
    <m/>
    <x v="15"/>
    <n v="1.7612283395481458"/>
    <x v="1"/>
    <n v="8"/>
    <x v="0"/>
    <x v="14"/>
    <n v="1.7612283395481458"/>
    <x v="1"/>
    <n v="0"/>
    <x v="2"/>
    <n v="0"/>
    <n v="0"/>
    <n v="0"/>
    <n v="0"/>
    <n v="1.7612283395481458"/>
    <x v="1"/>
    <x v="1"/>
    <d v="2020-02-24T00:00:00"/>
    <s v="on order 2/14"/>
    <x v="2"/>
  </r>
  <r>
    <x v="63"/>
    <x v="62"/>
    <x v="6"/>
    <x v="62"/>
    <x v="1"/>
    <x v="55"/>
    <x v="56"/>
    <n v="12"/>
    <s v="cost epr inch"/>
    <x v="15"/>
    <n v="3.1459076923076923"/>
    <x v="1"/>
    <n v="0"/>
    <x v="7"/>
    <x v="10"/>
    <n v="4.7188615384615389"/>
    <x v="0"/>
    <n v="0"/>
    <x v="2"/>
    <n v="4"/>
    <n v="0"/>
    <n v="0"/>
    <n v="1.5729538461538461"/>
    <m/>
    <x v="0"/>
    <x v="0"/>
    <m/>
    <s v="Mike donation"/>
    <x v="2"/>
  </r>
  <r>
    <x v="64"/>
    <x v="63"/>
    <x v="6"/>
    <x v="63"/>
    <x v="35"/>
    <x v="56"/>
    <x v="20"/>
    <n v="1"/>
    <s v="Shipping estimated"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5"/>
    <x v="64"/>
    <x v="1"/>
    <x v="64"/>
    <x v="1"/>
    <x v="57"/>
    <x v="57"/>
    <n v="50"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6"/>
    <x v="65"/>
    <x v="6"/>
    <x v="65"/>
    <x v="9"/>
    <x v="58"/>
    <x v="20"/>
    <n v="3"/>
    <s v="Shipping estimated"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7"/>
    <x v="66"/>
    <x v="6"/>
    <x v="66"/>
    <x v="1"/>
    <x v="0"/>
    <x v="20"/>
    <n v="12"/>
    <m/>
    <x v="10"/>
    <n v="0"/>
    <x v="1"/>
    <n v="0"/>
    <x v="7"/>
    <x v="10"/>
    <n v="0"/>
    <x v="0"/>
    <n v="0"/>
    <x v="2"/>
    <n v="9"/>
    <n v="0"/>
    <n v="0"/>
    <n v="0"/>
    <n v="0"/>
    <x v="0"/>
    <x v="0"/>
    <m/>
    <s v="Mike donation"/>
    <x v="2"/>
  </r>
  <r>
    <x v="68"/>
    <x v="67"/>
    <x v="10"/>
    <x v="67"/>
    <x v="24"/>
    <x v="59"/>
    <x v="58"/>
    <n v="1"/>
    <s v="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"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9"/>
    <x v="68"/>
    <x v="11"/>
    <x v="68"/>
    <x v="12"/>
    <x v="0"/>
    <x v="59"/>
    <n v="10"/>
    <s v="Shipping estimated"/>
    <x v="5"/>
    <n v="48.491999999999997"/>
    <x v="1"/>
    <m/>
    <x v="0"/>
    <x v="0"/>
    <n v="0"/>
    <x v="0"/>
    <n v="0"/>
    <x v="9"/>
    <n v="4"/>
    <n v="48.491999999999997"/>
    <n v="53.879999999999995"/>
    <n v="5.3879999999999999"/>
    <m/>
    <x v="0"/>
    <x v="0"/>
    <m/>
    <m/>
    <x v="2"/>
  </r>
  <r>
    <x v="70"/>
    <x v="69"/>
    <x v="2"/>
    <x v="69"/>
    <x v="36"/>
    <x v="60"/>
    <x v="60"/>
    <n v="1"/>
    <m/>
    <x v="11"/>
    <n v="1.3209212546611093"/>
    <x v="1"/>
    <n v="12"/>
    <x v="0"/>
    <x v="10"/>
    <n v="1.3209212546611093"/>
    <x v="1"/>
    <n v="0"/>
    <x v="2"/>
    <n v="0"/>
    <n v="0"/>
    <n v="0"/>
    <n v="0"/>
    <n v="1.3209212546611093"/>
    <x v="1"/>
    <x v="1"/>
    <d v="2020-02-24T00:00:00"/>
    <s v="on order 2/14"/>
    <x v="2"/>
  </r>
  <r>
    <x v="71"/>
    <x v="70"/>
    <x v="12"/>
    <x v="70"/>
    <x v="1"/>
    <x v="61"/>
    <x v="61"/>
    <n v="1"/>
    <m/>
    <x v="0"/>
    <n v="1.4497"/>
    <x v="1"/>
    <m/>
    <x v="0"/>
    <x v="0"/>
    <n v="0"/>
    <x v="0"/>
    <n v="0"/>
    <x v="0"/>
    <n v="0"/>
    <n v="1.4497"/>
    <n v="1.4497"/>
    <n v="0"/>
    <m/>
    <x v="0"/>
    <x v="0"/>
    <m/>
    <m/>
    <x v="2"/>
  </r>
  <r>
    <x v="72"/>
    <x v="71"/>
    <x v="10"/>
    <x v="71"/>
    <x v="1"/>
    <x v="0"/>
    <x v="62"/>
    <n v="1"/>
    <m/>
    <x v="0"/>
    <n v="63.64"/>
    <x v="1"/>
    <m/>
    <x v="0"/>
    <x v="0"/>
    <n v="0"/>
    <x v="0"/>
    <n v="0"/>
    <x v="0"/>
    <n v="0"/>
    <n v="63.64"/>
    <n v="63.64"/>
    <n v="0"/>
    <m/>
    <x v="0"/>
    <x v="0"/>
    <m/>
    <m/>
    <x v="2"/>
  </r>
  <r>
    <x v="73"/>
    <x v="72"/>
    <x v="12"/>
    <x v="72"/>
    <x v="1"/>
    <x v="62"/>
    <x v="63"/>
    <n v="1"/>
    <m/>
    <x v="0"/>
    <n v="3.2808999999999999"/>
    <x v="1"/>
    <m/>
    <x v="0"/>
    <x v="0"/>
    <n v="0"/>
    <x v="0"/>
    <n v="0"/>
    <x v="0"/>
    <n v="0"/>
    <n v="3.2808999999999999"/>
    <n v="3.2808999999999999"/>
    <n v="0"/>
    <m/>
    <x v="0"/>
    <x v="0"/>
    <m/>
    <m/>
    <x v="2"/>
  </r>
  <r>
    <x v="74"/>
    <x v="73"/>
    <x v="12"/>
    <x v="73"/>
    <x v="1"/>
    <x v="63"/>
    <x v="64"/>
    <n v="1"/>
    <m/>
    <x v="0"/>
    <n v="5.5589999999999993"/>
    <x v="1"/>
    <m/>
    <x v="0"/>
    <x v="0"/>
    <n v="0"/>
    <x v="0"/>
    <n v="0"/>
    <x v="0"/>
    <n v="0"/>
    <n v="5.5589999999999993"/>
    <n v="5.5589999999999993"/>
    <n v="0"/>
    <m/>
    <x v="0"/>
    <x v="0"/>
    <m/>
    <m/>
    <x v="2"/>
  </r>
  <r>
    <x v="75"/>
    <x v="74"/>
    <x v="13"/>
    <x v="66"/>
    <x v="1"/>
    <x v="0"/>
    <x v="20"/>
    <n v="1"/>
    <m/>
    <x v="0"/>
    <n v="0"/>
    <x v="1"/>
    <m/>
    <x v="0"/>
    <x v="0"/>
    <n v="0"/>
    <x v="0"/>
    <n v="0"/>
    <x v="0"/>
    <n v="0"/>
    <n v="0"/>
    <n v="0"/>
    <n v="0"/>
    <m/>
    <x v="0"/>
    <x v="0"/>
    <m/>
    <m/>
    <x v="2"/>
  </r>
  <r>
    <x v="76"/>
    <x v="75"/>
    <x v="12"/>
    <x v="74"/>
    <x v="1"/>
    <x v="64"/>
    <x v="65"/>
    <n v="1"/>
    <m/>
    <x v="0"/>
    <n v="1.1990000000000001"/>
    <x v="1"/>
    <m/>
    <x v="0"/>
    <x v="0"/>
    <n v="0"/>
    <x v="0"/>
    <n v="0"/>
    <x v="0"/>
    <n v="0"/>
    <n v="1.1990000000000001"/>
    <n v="1.1990000000000001"/>
    <n v="0"/>
    <m/>
    <x v="0"/>
    <x v="0"/>
    <m/>
    <m/>
    <x v="2"/>
  </r>
  <r>
    <x v="77"/>
    <x v="76"/>
    <x v="13"/>
    <x v="75"/>
    <x v="1"/>
    <x v="65"/>
    <x v="66"/>
    <n v="1"/>
    <m/>
    <x v="0"/>
    <n v="19.598200000000002"/>
    <x v="1"/>
    <m/>
    <x v="0"/>
    <x v="0"/>
    <n v="0"/>
    <x v="0"/>
    <n v="0"/>
    <x v="0"/>
    <n v="0"/>
    <n v="19.598200000000002"/>
    <n v="19.598200000000002"/>
    <n v="0"/>
    <m/>
    <x v="0"/>
    <x v="0"/>
    <m/>
    <m/>
    <x v="2"/>
  </r>
  <r>
    <x v="78"/>
    <x v="77"/>
    <x v="1"/>
    <x v="76"/>
    <x v="1"/>
    <x v="66"/>
    <x v="67"/>
    <n v="2"/>
    <m/>
    <x v="0"/>
    <n v="5.9895500000000004"/>
    <x v="1"/>
    <m/>
    <x v="0"/>
    <x v="0"/>
    <n v="0"/>
    <x v="0"/>
    <n v="0"/>
    <x v="8"/>
    <n v="1"/>
    <n v="5.9895500000000004"/>
    <n v="11.979100000000001"/>
    <n v="5.9895500000000004"/>
    <m/>
    <x v="0"/>
    <x v="0"/>
    <m/>
    <m/>
    <x v="2"/>
  </r>
  <r>
    <x v="79"/>
    <x v="78"/>
    <x v="1"/>
    <x v="77"/>
    <x v="1"/>
    <x v="67"/>
    <x v="68"/>
    <n v="2"/>
    <m/>
    <x v="0"/>
    <n v="5.1175500000000005"/>
    <x v="1"/>
    <m/>
    <x v="0"/>
    <x v="0"/>
    <n v="0"/>
    <x v="0"/>
    <n v="0"/>
    <x v="8"/>
    <n v="1"/>
    <n v="5.1175500000000005"/>
    <n v="10.235100000000001"/>
    <n v="5.1175500000000005"/>
    <m/>
    <x v="0"/>
    <x v="0"/>
    <m/>
    <m/>
    <x v="2"/>
  </r>
  <r>
    <x v="80"/>
    <x v="79"/>
    <x v="13"/>
    <x v="66"/>
    <x v="1"/>
    <x v="0"/>
    <x v="20"/>
    <n v="1"/>
    <m/>
    <x v="0"/>
    <n v="0"/>
    <x v="1"/>
    <m/>
    <x v="0"/>
    <x v="0"/>
    <n v="0"/>
    <x v="0"/>
    <n v="0"/>
    <x v="0"/>
    <n v="0"/>
    <n v="0"/>
    <n v="0"/>
    <n v="0"/>
    <m/>
    <x v="0"/>
    <x v="0"/>
    <m/>
    <m/>
    <x v="2"/>
  </r>
  <r>
    <x v="81"/>
    <x v="80"/>
    <x v="13"/>
    <x v="66"/>
    <x v="1"/>
    <x v="0"/>
    <x v="20"/>
    <n v="1"/>
    <m/>
    <x v="0"/>
    <n v="0"/>
    <x v="1"/>
    <m/>
    <x v="0"/>
    <x v="0"/>
    <n v="0"/>
    <x v="0"/>
    <n v="0"/>
    <x v="0"/>
    <n v="0"/>
    <n v="0"/>
    <n v="0"/>
    <n v="0"/>
    <m/>
    <x v="0"/>
    <x v="0"/>
    <m/>
    <m/>
    <x v="2"/>
  </r>
  <r>
    <x v="82"/>
    <x v="81"/>
    <x v="1"/>
    <x v="78"/>
    <x v="1"/>
    <x v="68"/>
    <x v="69"/>
    <n v="1"/>
    <m/>
    <x v="0"/>
    <n v="16.339100000000002"/>
    <x v="1"/>
    <n v="1"/>
    <x v="0"/>
    <x v="11"/>
    <n v="16.339100000000002"/>
    <x v="1"/>
    <n v="0"/>
    <x v="2"/>
    <n v="0"/>
    <n v="0"/>
    <n v="0"/>
    <n v="0"/>
    <n v="16.339100000000002"/>
    <x v="2"/>
    <x v="5"/>
    <m/>
    <m/>
    <x v="2"/>
  </r>
  <r>
    <x v="83"/>
    <x v="82"/>
    <x v="1"/>
    <x v="79"/>
    <x v="1"/>
    <x v="69"/>
    <x v="70"/>
    <n v="1"/>
    <m/>
    <x v="0"/>
    <n v="6.7035"/>
    <x v="1"/>
    <n v="1"/>
    <x v="0"/>
    <x v="11"/>
    <n v="6.7035"/>
    <x v="0"/>
    <n v="0"/>
    <x v="2"/>
    <n v="0"/>
    <n v="0"/>
    <n v="0"/>
    <n v="0"/>
    <n v="6.7035"/>
    <x v="2"/>
    <x v="5"/>
    <m/>
    <m/>
    <x v="2"/>
  </r>
  <r>
    <x v="84"/>
    <x v="83"/>
    <x v="12"/>
    <x v="80"/>
    <x v="37"/>
    <x v="70"/>
    <x v="71"/>
    <n v="1"/>
    <m/>
    <x v="0"/>
    <n v="4.6287799999999999"/>
    <x v="1"/>
    <n v="1"/>
    <x v="0"/>
    <x v="11"/>
    <n v="4.6287799999999999"/>
    <x v="0"/>
    <n v="0"/>
    <x v="2"/>
    <n v="0"/>
    <n v="0"/>
    <n v="0"/>
    <n v="0"/>
    <n v="4.6287799999999999"/>
    <x v="2"/>
    <x v="0"/>
    <d v="2020-02-26T00:00:00"/>
    <m/>
    <x v="2"/>
  </r>
  <r>
    <x v="85"/>
    <x v="84"/>
    <x v="12"/>
    <x v="81"/>
    <x v="1"/>
    <x v="71"/>
    <x v="72"/>
    <n v="1"/>
    <m/>
    <x v="4"/>
    <n v="12.382399999999999"/>
    <x v="0"/>
    <m/>
    <x v="0"/>
    <x v="0"/>
    <n v="0"/>
    <x v="0"/>
    <n v="0"/>
    <x v="7"/>
    <n v="0"/>
    <n v="12.382399999999999"/>
    <n v="12.382399999999999"/>
    <n v="0"/>
    <m/>
    <x v="0"/>
    <x v="0"/>
    <m/>
    <s v="not available"/>
    <x v="5"/>
  </r>
  <r>
    <x v="86"/>
    <x v="85"/>
    <x v="12"/>
    <x v="82"/>
    <x v="38"/>
    <x v="72"/>
    <x v="73"/>
    <n v="10"/>
    <m/>
    <x v="21"/>
    <n v="5.1722399999999986"/>
    <x v="1"/>
    <n v="10"/>
    <x v="0"/>
    <x v="19"/>
    <n v="5.1722399999999986"/>
    <x v="0"/>
    <n v="0"/>
    <x v="2"/>
    <n v="0"/>
    <n v="0"/>
    <n v="0"/>
    <n v="0"/>
    <n v="5.1722399999999986"/>
    <x v="2"/>
    <x v="0"/>
    <d v="2020-02-26T00:00:00"/>
    <m/>
    <x v="2"/>
  </r>
  <r>
    <x v="87"/>
    <x v="86"/>
    <x v="12"/>
    <x v="83"/>
    <x v="39"/>
    <x v="73"/>
    <x v="74"/>
    <n v="10"/>
    <m/>
    <x v="21"/>
    <n v="3.1857999999999995"/>
    <x v="1"/>
    <n v="10"/>
    <x v="0"/>
    <x v="19"/>
    <n v="3.1857999999999995"/>
    <x v="0"/>
    <n v="0"/>
    <x v="2"/>
    <n v="0"/>
    <n v="0"/>
    <n v="0"/>
    <n v="0"/>
    <n v="3.1857999999999995"/>
    <x v="2"/>
    <x v="0"/>
    <d v="2020-02-26T00:00:00"/>
    <m/>
    <x v="2"/>
  </r>
  <r>
    <x v="88"/>
    <x v="87"/>
    <x v="1"/>
    <x v="84"/>
    <x v="1"/>
    <x v="74"/>
    <x v="75"/>
    <n v="1"/>
    <m/>
    <x v="0"/>
    <n v="7.5073749999999997"/>
    <x v="1"/>
    <n v="1"/>
    <x v="0"/>
    <x v="11"/>
    <n v="7.5073749999999997"/>
    <x v="0"/>
    <n v="0"/>
    <x v="2"/>
    <n v="0"/>
    <n v="0"/>
    <n v="0"/>
    <n v="0"/>
    <n v="7.5073749999999997"/>
    <x v="2"/>
    <x v="0"/>
    <d v="2020-02-26T00:00:00"/>
    <m/>
    <x v="2"/>
  </r>
  <r>
    <x v="89"/>
    <x v="88"/>
    <x v="1"/>
    <x v="84"/>
    <x v="1"/>
    <x v="74"/>
    <x v="75"/>
    <n v="1"/>
    <m/>
    <x v="0"/>
    <n v="7.5073749999999997"/>
    <x v="1"/>
    <n v="1"/>
    <x v="0"/>
    <x v="11"/>
    <n v="7.5073749999999997"/>
    <x v="0"/>
    <n v="0"/>
    <x v="2"/>
    <n v="0"/>
    <n v="0"/>
    <n v="0"/>
    <n v="0"/>
    <n v="7.5073749999999997"/>
    <x v="2"/>
    <x v="0"/>
    <d v="2020-02-26T00:00:00"/>
    <m/>
    <x v="2"/>
  </r>
  <r>
    <x v="90"/>
    <x v="89"/>
    <x v="1"/>
    <x v="84"/>
    <x v="1"/>
    <x v="74"/>
    <x v="75"/>
    <n v="1"/>
    <m/>
    <x v="0"/>
    <n v="7.5073749999999997"/>
    <x v="1"/>
    <n v="1"/>
    <x v="0"/>
    <x v="11"/>
    <n v="7.5073749999999997"/>
    <x v="0"/>
    <n v="0"/>
    <x v="2"/>
    <n v="0"/>
    <n v="0"/>
    <n v="0"/>
    <n v="0"/>
    <n v="7.5073749999999997"/>
    <x v="2"/>
    <x v="0"/>
    <d v="2020-02-26T00:00:00"/>
    <m/>
    <x v="2"/>
  </r>
  <r>
    <x v="91"/>
    <x v="90"/>
    <x v="1"/>
    <x v="84"/>
    <x v="1"/>
    <x v="74"/>
    <x v="75"/>
    <n v="1"/>
    <m/>
    <x v="0"/>
    <n v="7.5073749999999997"/>
    <x v="1"/>
    <n v="1"/>
    <x v="0"/>
    <x v="11"/>
    <n v="7.5073749999999997"/>
    <x v="0"/>
    <n v="0"/>
    <x v="2"/>
    <n v="0"/>
    <n v="0"/>
    <n v="0"/>
    <n v="0"/>
    <n v="7.5073749999999997"/>
    <x v="2"/>
    <x v="0"/>
    <d v="2020-02-26T00:00:00"/>
    <m/>
    <x v="2"/>
  </r>
  <r>
    <x v="92"/>
    <x v="91"/>
    <x v="14"/>
    <x v="85"/>
    <x v="40"/>
    <x v="75"/>
    <x v="76"/>
    <n v="1"/>
    <m/>
    <x v="0"/>
    <n v="17.97"/>
    <x v="1"/>
    <n v="1"/>
    <x v="0"/>
    <x v="11"/>
    <n v="17.97"/>
    <x v="0"/>
    <n v="0"/>
    <x v="2"/>
    <n v="0"/>
    <n v="0"/>
    <n v="0"/>
    <n v="0"/>
    <n v="17.97"/>
    <x v="2"/>
    <x v="0"/>
    <d v="2020-02-25T00:00:00"/>
    <m/>
    <x v="2"/>
  </r>
  <r>
    <x v="93"/>
    <x v="92"/>
    <x v="1"/>
    <x v="86"/>
    <x v="1"/>
    <x v="76"/>
    <x v="77"/>
    <n v="200"/>
    <m/>
    <x v="0"/>
    <n v="3.2645500000000001E-2"/>
    <x v="1"/>
    <m/>
    <x v="0"/>
    <x v="0"/>
    <n v="0"/>
    <x v="0"/>
    <n v="0"/>
    <x v="10"/>
    <n v="199"/>
    <n v="3.2645500000000001E-2"/>
    <n v="6.5291000000000006"/>
    <n v="6.4964545000000005"/>
    <m/>
    <x v="0"/>
    <x v="0"/>
    <m/>
    <m/>
    <x v="2"/>
  </r>
  <r>
    <x v="94"/>
    <x v="93"/>
    <x v="1"/>
    <x v="87"/>
    <x v="1"/>
    <x v="77"/>
    <x v="78"/>
    <n v="100"/>
    <m/>
    <x v="0"/>
    <n v="9.7991000000000009E-2"/>
    <x v="1"/>
    <m/>
    <x v="0"/>
    <x v="0"/>
    <n v="0"/>
    <x v="0"/>
    <n v="0"/>
    <x v="11"/>
    <n v="99"/>
    <n v="9.7991000000000009E-2"/>
    <n v="9.799100000000001"/>
    <n v="9.7011090000000006"/>
    <m/>
    <x v="0"/>
    <x v="0"/>
    <m/>
    <m/>
    <x v="2"/>
  </r>
  <r>
    <x v="95"/>
    <x v="94"/>
    <x v="1"/>
    <x v="88"/>
    <x v="1"/>
    <x v="78"/>
    <x v="79"/>
    <n v="1"/>
    <m/>
    <x v="0"/>
    <n v="7.4228999999999994"/>
    <x v="1"/>
    <m/>
    <x v="0"/>
    <x v="0"/>
    <n v="0"/>
    <x v="0"/>
    <n v="0"/>
    <x v="0"/>
    <n v="0"/>
    <n v="7.4228999999999994"/>
    <n v="7.4228999999999994"/>
    <n v="0"/>
    <m/>
    <x v="0"/>
    <x v="0"/>
    <m/>
    <m/>
    <x v="2"/>
  </r>
  <r>
    <x v="96"/>
    <x v="95"/>
    <x v="1"/>
    <x v="89"/>
    <x v="1"/>
    <x v="79"/>
    <x v="80"/>
    <n v="1"/>
    <m/>
    <x v="0"/>
    <n v="7.5536999999999992"/>
    <x v="1"/>
    <m/>
    <x v="0"/>
    <x v="0"/>
    <n v="0"/>
    <x v="0"/>
    <n v="0"/>
    <x v="0"/>
    <n v="0"/>
    <n v="7.5536999999999992"/>
    <n v="7.5536999999999992"/>
    <n v="0"/>
    <m/>
    <x v="0"/>
    <x v="0"/>
    <m/>
    <m/>
    <x v="2"/>
  </r>
  <r>
    <x v="97"/>
    <x v="96"/>
    <x v="1"/>
    <x v="90"/>
    <x v="1"/>
    <x v="80"/>
    <x v="81"/>
    <n v="1"/>
    <m/>
    <x v="0"/>
    <n v="9.4829999999999988"/>
    <x v="1"/>
    <m/>
    <x v="0"/>
    <x v="0"/>
    <n v="0"/>
    <x v="0"/>
    <n v="0"/>
    <x v="0"/>
    <n v="0"/>
    <n v="9.4829999999999988"/>
    <n v="9.4829999999999988"/>
    <n v="0"/>
    <m/>
    <x v="0"/>
    <x v="0"/>
    <m/>
    <m/>
    <x v="2"/>
  </r>
  <r>
    <x v="9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9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0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0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0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0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0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0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0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0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0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0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1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1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1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1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1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1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1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1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1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1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2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2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2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2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2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2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2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2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2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2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3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3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3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3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3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3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3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3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3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3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4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4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4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4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4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4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4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4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4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4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5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5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5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5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5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5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5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5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5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5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6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6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6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6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6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6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6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6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6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6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7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7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7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7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7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7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7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7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7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7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8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8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8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8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8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8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8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8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8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8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9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9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9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9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9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9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9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9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9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9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0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0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0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0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0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0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0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0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0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0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1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1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1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1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1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1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1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1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1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1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2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2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2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2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2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2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2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2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2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2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3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3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3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3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3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3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3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3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3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3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4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4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4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4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4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4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4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4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4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4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5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5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5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5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5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5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5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5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5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5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6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6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6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6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6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6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6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6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6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6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7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7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7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7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7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7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7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7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7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7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8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8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8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8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8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8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8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8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8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8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9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9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9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9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9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9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9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9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9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9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0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0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0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0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0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0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0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0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0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0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1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1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1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1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1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1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1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1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1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1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2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2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2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2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2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2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2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2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2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2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3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3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3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3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3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3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3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3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3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3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4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4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4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4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4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4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4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4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4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4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5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5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5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5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5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5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5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5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5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5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6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6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6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6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6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6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6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6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6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6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7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7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7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7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7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7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7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7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7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7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8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8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8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8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8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8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8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8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8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8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9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9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9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9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9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9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9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9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9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9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0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0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0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0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0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0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0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0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0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0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1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1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1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1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1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1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1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1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1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1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2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2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2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2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2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2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2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2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2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2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3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3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3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3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3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3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3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3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3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3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4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4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4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4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4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4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4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4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4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4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5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5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5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5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5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5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5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5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5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5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6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6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6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6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6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6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6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6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6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6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7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7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7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7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7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7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7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7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7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7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8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8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8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8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8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8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8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8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8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8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9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9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9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9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9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9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9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9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9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9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0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0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0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0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0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0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0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0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0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0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1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1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1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1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1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1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1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1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1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1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2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2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2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2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2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2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2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2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2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2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3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3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3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3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3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3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3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3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3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3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4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4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4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4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4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4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4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4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4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4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5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5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5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5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5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5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5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5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5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5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6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6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6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6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6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6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6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6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6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6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7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7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7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7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7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7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7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7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7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7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8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8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8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8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8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8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8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8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8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8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9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9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9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9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9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9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9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9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9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9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0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0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0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0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0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0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0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0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0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0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1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1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1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1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1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1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1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1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1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1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2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2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2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2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2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2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2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2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2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2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3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3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5:L11" firstHeaderRow="0" firstDataRow="1" firstDataCol="10" rowPageCount="1" colPageCount="1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0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m="1" x="98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9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  <item x="15"/>
        <item x="53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name="Cost each" axis="axisRow" compact="0" outline="0" showAll="0" defaultSubtotal="0">
      <items count="94">
        <item x="16"/>
        <item x="34"/>
        <item x="39"/>
        <item x="3"/>
        <item x="60"/>
        <item x="86"/>
        <item x="33"/>
        <item x="8"/>
        <item x="38"/>
        <item x="6"/>
        <item x="21"/>
        <item x="32"/>
        <item x="69"/>
        <item x="27"/>
        <item x="87"/>
        <item x="11"/>
        <item x="59"/>
        <item x="64"/>
        <item x="25"/>
        <item x="61"/>
        <item x="83"/>
        <item x="30"/>
        <item x="31"/>
        <item x="4"/>
        <item x="17"/>
        <item x="14"/>
        <item x="82"/>
        <item x="26"/>
        <item x="9"/>
        <item x="62"/>
        <item x="28"/>
        <item x="29"/>
        <item x="5"/>
        <item x="23"/>
        <item x="68"/>
        <item x="74"/>
        <item x="70"/>
        <item x="2"/>
        <item x="67"/>
        <item m="1" x="91"/>
        <item x="36"/>
        <item x="24"/>
        <item x="40"/>
        <item x="81"/>
        <item x="12"/>
        <item x="72"/>
        <item x="44"/>
        <item x="41"/>
        <item x="42"/>
        <item x="22"/>
        <item x="58"/>
        <item x="43"/>
        <item x="77"/>
        <item x="73"/>
        <item x="76"/>
        <item x="35"/>
        <item x="79"/>
        <item x="88"/>
        <item x="84"/>
        <item x="89"/>
        <item x="20"/>
        <item x="90"/>
        <item x="51"/>
        <item x="85"/>
        <item x="48"/>
        <item x="65"/>
        <item x="37"/>
        <item x="56"/>
        <item x="63"/>
        <item x="78"/>
        <item x="19"/>
        <item x="15"/>
        <item x="46"/>
        <item x="75"/>
        <item x="57"/>
        <item x="18"/>
        <item x="50"/>
        <item m="1" x="92"/>
        <item x="55"/>
        <item x="45"/>
        <item x="7"/>
        <item x="13"/>
        <item x="47"/>
        <item x="49"/>
        <item x="52"/>
        <item x="71"/>
        <item x="1"/>
        <item x="54"/>
        <item x="53"/>
        <item x="0"/>
        <item x="66"/>
        <item m="1" x="93"/>
        <item x="80"/>
        <item x="10"/>
      </items>
    </pivotField>
    <pivotField axis="axisRow" compact="0" outline="0" showAll="0" defaultSubtotal="0">
      <items count="42">
        <item x="1"/>
        <item x="21"/>
        <item x="26"/>
        <item x="33"/>
        <item x="20"/>
        <item x="25"/>
        <item x="10"/>
        <item x="19"/>
        <item x="36"/>
        <item x="4"/>
        <item x="32"/>
        <item x="14"/>
        <item x="34"/>
        <item x="17"/>
        <item x="18"/>
        <item x="6"/>
        <item x="3"/>
        <item x="15"/>
        <item x="16"/>
        <item x="2"/>
        <item x="12"/>
        <item x="11"/>
        <item x="31"/>
        <item x="22"/>
        <item x="27"/>
        <item x="9"/>
        <item x="13"/>
        <item x="7"/>
        <item x="35"/>
        <item x="8"/>
        <item x="23"/>
        <item x="24"/>
        <item x="5"/>
        <item x="28"/>
        <item x="29"/>
        <item x="30"/>
        <item x="0"/>
        <item x="41"/>
        <item x="37"/>
        <item x="38"/>
        <item x="39"/>
        <item x="40"/>
      </items>
    </pivotField>
    <pivotField axis="axisRow" compact="0" numFmtId="44" outline="0" showAll="0" defaultSubtotal="0">
      <items count="87">
        <item x="0"/>
        <item x="30"/>
        <item x="35"/>
        <item x="2"/>
        <item x="53"/>
        <item x="76"/>
        <item x="7"/>
        <item x="29"/>
        <item x="5"/>
        <item x="34"/>
        <item x="17"/>
        <item x="28"/>
        <item x="23"/>
        <item x="77"/>
        <item x="60"/>
        <item x="10"/>
        <item x="57"/>
        <item x="52"/>
        <item x="21"/>
        <item m="1" x="82"/>
        <item x="54"/>
        <item x="3"/>
        <item x="13"/>
        <item x="26"/>
        <item x="27"/>
        <item m="1" x="84"/>
        <item x="12"/>
        <item x="22"/>
        <item x="55"/>
        <item x="8"/>
        <item x="24"/>
        <item x="25"/>
        <item x="19"/>
        <item x="4"/>
        <item x="64"/>
        <item x="61"/>
        <item x="1"/>
        <item x="59"/>
        <item m="1" x="81"/>
        <item x="32"/>
        <item x="36"/>
        <item x="71"/>
        <item x="11"/>
        <item x="62"/>
        <item x="40"/>
        <item x="37"/>
        <item x="38"/>
        <item x="18"/>
        <item x="51"/>
        <item x="39"/>
        <item x="20"/>
        <item x="67"/>
        <item x="63"/>
        <item x="66"/>
        <item x="31"/>
        <item x="69"/>
        <item x="78"/>
        <item x="74"/>
        <item x="79"/>
        <item x="16"/>
        <item x="80"/>
        <item x="47"/>
        <item m="1" x="83"/>
        <item x="44"/>
        <item x="58"/>
        <item x="33"/>
        <item x="49"/>
        <item x="56"/>
        <item x="68"/>
        <item x="15"/>
        <item x="42"/>
        <item x="65"/>
        <item x="50"/>
        <item x="14"/>
        <item x="46"/>
        <item x="48"/>
        <item x="41"/>
        <item x="6"/>
        <item x="43"/>
        <item x="45"/>
        <item m="1" x="86"/>
        <item m="1" x="85"/>
        <item x="70"/>
        <item x="72"/>
        <item x="73"/>
        <item x="9"/>
        <item x="75"/>
      </items>
    </pivotField>
    <pivotField axis="axisRow" compact="0" outline="0" showAll="0" defaultSubtotal="0">
      <items count="86">
        <item x="59"/>
        <item x="34"/>
        <item x="17"/>
        <item x="52"/>
        <item x="33"/>
        <item x="38"/>
        <item x="12"/>
        <item x="58"/>
        <item x="62"/>
        <item x="47"/>
        <item x="43"/>
        <item x="46"/>
        <item x="70"/>
        <item x="78"/>
        <item x="11"/>
        <item x="81"/>
        <item x="50"/>
        <item x="77"/>
        <item x="23"/>
        <item x="49"/>
        <item x="48"/>
        <item x="42"/>
        <item x="67"/>
        <item x="16"/>
        <item x="5"/>
        <item x="79"/>
        <item x="80"/>
        <item x="15"/>
        <item x="1"/>
        <item x="40"/>
        <item x="24"/>
        <item x="3"/>
        <item x="37"/>
        <item x="44"/>
        <item x="51"/>
        <item x="75"/>
        <item x="6"/>
        <item x="69"/>
        <item m="1" x="82"/>
        <item x="45"/>
        <item x="57"/>
        <item x="7"/>
        <item x="2"/>
        <item x="41"/>
        <item x="68"/>
        <item m="1" x="84"/>
        <item x="14"/>
        <item x="18"/>
        <item x="27"/>
        <item x="28"/>
        <item x="22"/>
        <item x="55"/>
        <item x="29"/>
        <item x="10"/>
        <item x="25"/>
        <item x="31"/>
        <item x="36"/>
        <item x="54"/>
        <item x="60"/>
        <item x="30"/>
        <item x="35"/>
        <item x="19"/>
        <item x="53"/>
        <item x="8"/>
        <item x="26"/>
        <item x="13"/>
        <item x="4"/>
        <item x="74"/>
        <item x="65"/>
        <item x="73"/>
        <item x="72"/>
        <item x="61"/>
        <item x="64"/>
        <item x="63"/>
        <item x="66"/>
        <item x="32"/>
        <item x="76"/>
        <item x="0"/>
        <item x="39"/>
        <item x="56"/>
        <item x="21"/>
        <item x="20"/>
        <item m="1" x="85"/>
        <item x="71"/>
        <item m="1" x="83"/>
        <item x="9"/>
      </items>
    </pivotField>
    <pivotField compact="0" outline="0" showAll="0" defaultSubtotal="0"/>
    <pivotField compact="0" outline="0" showAll="0" defaultSubtotal="0"/>
    <pivotField axis="axisRow" compact="0" numFmtId="1" outline="0" showAll="0" defaultSubtotal="0">
      <items count="22">
        <item x="14"/>
        <item x="0"/>
        <item x="6"/>
        <item x="10"/>
        <item x="4"/>
        <item x="8"/>
        <item x="19"/>
        <item x="15"/>
        <item x="16"/>
        <item x="21"/>
        <item x="11"/>
        <item x="3"/>
        <item x="17"/>
        <item x="13"/>
        <item x="1"/>
        <item x="20"/>
        <item x="5"/>
        <item x="12"/>
        <item x="18"/>
        <item x="9"/>
        <item x="2"/>
        <item x="7"/>
      </items>
    </pivotField>
    <pivotField compact="0" numFmtId="2" outline="0" showAll="0" defaultSubtota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24">
        <item x="0"/>
        <item x="11"/>
        <item x="6"/>
        <item x="8"/>
        <item x="10"/>
        <item x="3"/>
        <item x="1"/>
        <item m="1" x="22"/>
        <item m="1" x="21"/>
        <item x="4"/>
        <item m="1" x="23"/>
        <item m="1" x="20"/>
        <item x="14"/>
        <item x="19"/>
        <item x="2"/>
        <item x="5"/>
        <item x="7"/>
        <item x="9"/>
        <item x="12"/>
        <item x="13"/>
        <item x="15"/>
        <item x="16"/>
        <item x="17"/>
        <item x="18"/>
      </items>
    </pivotField>
    <pivotField compact="0" numFmtId="44" outline="0" showAll="0" defaultSubtotal="0"/>
    <pivotField compact="0" outline="0" showAll="0" defaultSubtotal="0"/>
    <pivotField compact="0" numFmtId="44" outline="0" showAll="0" defaultSubtotal="0"/>
    <pivotField axis="axisRow" compact="0" outline="0" showAll="0" defaultSubtotal="0">
      <items count="13">
        <item x="2"/>
        <item x="0"/>
        <item x="8"/>
        <item x="3"/>
        <item x="7"/>
        <item x="4"/>
        <item x="5"/>
        <item x="6"/>
        <item x="1"/>
        <item x="9"/>
        <item m="1" x="12"/>
        <item x="11"/>
        <item x="10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44" outline="0" showAll="0" defaultSubtotal="0">
      <items count="22">
        <item h="1" x="2"/>
        <item m="1" x="9"/>
        <item m="1" x="12"/>
        <item m="1" x="18"/>
        <item m="1" x="20"/>
        <item m="1" x="7"/>
        <item m="1" x="8"/>
        <item m="1" x="21"/>
        <item x="5"/>
        <item m="1" x="13"/>
        <item m="1" x="6"/>
        <item h="1" m="1" x="15"/>
        <item h="1" m="1" x="14"/>
        <item h="1" m="1" x="16"/>
        <item h="1" m="1" x="10"/>
        <item h="1" m="1" x="19"/>
        <item h="1" m="1" x="11"/>
        <item h="1" m="1" x="17"/>
        <item h="1" x="0"/>
        <item h="1" x="1"/>
        <item h="1" x="3"/>
        <item h="1" x="4"/>
      </items>
    </pivotField>
  </pivotFields>
  <rowFields count="10">
    <field x="2"/>
    <field x="0"/>
    <field x="1"/>
    <field x="14"/>
    <field x="9"/>
    <field x="18"/>
    <field x="3"/>
    <field x="4"/>
    <field x="5"/>
    <field x="6"/>
  </rowFields>
  <rowItems count="6">
    <i>
      <x/>
      <x v="53"/>
      <x v="73"/>
      <x/>
      <x v="1"/>
      <x v="1"/>
      <x v="84"/>
      <x v="34"/>
      <x/>
      <x v="11"/>
    </i>
    <i r="1">
      <x v="55"/>
      <x v="31"/>
      <x/>
      <x v="1"/>
      <x v="1"/>
      <x v="87"/>
      <x v="34"/>
      <x/>
      <x v="20"/>
    </i>
    <i>
      <x v="5"/>
      <x v="85"/>
      <x v="74"/>
      <x/>
      <x v="4"/>
      <x v="4"/>
      <x v="43"/>
      <x/>
      <x v="41"/>
      <x v="70"/>
    </i>
    <i>
      <x v="9"/>
      <x/>
      <x v="11"/>
      <x/>
      <x v="1"/>
      <x v="1"/>
      <x v="89"/>
      <x v="36"/>
      <x/>
      <x v="77"/>
    </i>
    <i r="1">
      <x v="1"/>
      <x v="12"/>
      <x/>
      <x v="1"/>
      <x v="1"/>
      <x v="86"/>
      <x v="36"/>
      <x/>
      <x v="77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m of Buy-now costs" fld="28" baseField="0" baseItem="0"/>
    <dataField name="Sum of Cost of excess material" fld="22" baseField="0" baseItem="0"/>
  </dataFields>
  <formats count="68">
    <format dxfId="1156">
      <pivotArea field="14" type="button" dataOnly="0" labelOnly="1" outline="0" axis="axisRow" fieldPosition="3"/>
    </format>
    <format dxfId="1155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1154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1153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1152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1151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1150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1149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1148">
      <pivotArea grandRow="1" outline="0" collapsedLevelsAreSubtotals="1" fieldPosition="0"/>
    </format>
    <format dxfId="1147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1146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1145">
      <pivotArea dataOnly="0" labelOnly="1" outline="0" fieldPosition="0">
        <references count="1">
          <reference field="1" count="0"/>
        </references>
      </pivotArea>
    </format>
    <format dxfId="1144">
      <pivotArea field="14" type="button" dataOnly="0" labelOnly="1" outline="0" axis="axisRow" fieldPosition="3"/>
    </format>
    <format dxfId="1143">
      <pivotArea dataOnly="0" labelOnly="1" grandRow="1" outline="0" fieldPosition="0"/>
    </format>
    <format dxfId="1142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14" count="1">
            <x v="1"/>
          </reference>
        </references>
      </pivotArea>
    </format>
    <format dxfId="114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4" count="1">
            <x v="6"/>
          </reference>
        </references>
      </pivotArea>
    </format>
    <format dxfId="114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113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4" count="1">
            <x v="5"/>
          </reference>
        </references>
      </pivotArea>
    </format>
    <format dxfId="1138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4" count="1">
            <x v="7"/>
          </reference>
        </references>
      </pivotArea>
    </format>
    <format dxfId="1137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1136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4" count="1">
            <x v="3"/>
          </reference>
        </references>
      </pivotArea>
    </format>
    <format dxfId="1135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4" count="1">
            <x v="1"/>
          </reference>
        </references>
      </pivotArea>
    </format>
    <format dxfId="1134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4" count="1">
            <x v="3"/>
          </reference>
        </references>
      </pivotArea>
    </format>
    <format dxfId="1133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1132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4" count="1">
            <x v="2"/>
          </reference>
        </references>
      </pivotArea>
    </format>
    <format dxfId="1131">
      <pivotArea dataOnly="0" labelOnly="1" outline="0" fieldPosition="0">
        <references count="4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1130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1129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1128">
      <pivotArea dataOnly="0" labelOnly="1" outline="0" axis="axisValues" fieldPosition="0"/>
    </format>
    <format dxfId="1127">
      <pivotArea outline="0" collapsedLevelsAreSubtotals="1" fieldPosition="0"/>
    </format>
    <format dxfId="11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25">
      <pivotArea dataOnly="0" outline="0" fieldPosition="0">
        <references count="1">
          <reference field="4294967294" count="1">
            <x v="1"/>
          </reference>
        </references>
      </pivotArea>
    </format>
    <format dxfId="1124">
      <pivotArea field="2" type="button" dataOnly="0" labelOnly="1" outline="0" axis="axisRow" fieldPosition="0"/>
    </format>
    <format dxfId="1123">
      <pivotArea field="0" type="button" dataOnly="0" labelOnly="1" outline="0" axis="axisRow" fieldPosition="1"/>
    </format>
    <format dxfId="1122">
      <pivotArea field="1" type="button" dataOnly="0" labelOnly="1" outline="0" axis="axisRow" fieldPosition="2"/>
    </format>
    <format dxfId="1121">
      <pivotArea field="14" type="button" dataOnly="0" labelOnly="1" outline="0" axis="axisRow" fieldPosition="3"/>
    </format>
    <format dxfId="11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19">
      <pivotArea type="all" dataOnly="0" outline="0" fieldPosition="0"/>
    </format>
    <format dxfId="1118">
      <pivotArea type="all" dataOnly="0" outline="0" fieldPosition="0"/>
    </format>
    <format dxfId="1117">
      <pivotArea field="1" type="button" dataOnly="0" labelOnly="1" outline="0" axis="axisRow" fieldPosition="2"/>
    </format>
    <format dxfId="1116">
      <pivotArea field="28" type="button" dataOnly="0" labelOnly="1" outline="0"/>
    </format>
    <format dxfId="1115">
      <pivotArea dataOnly="0" labelOnly="1" outline="0" fieldPosition="0">
        <references count="3">
          <reference field="0" count="1" selected="0">
            <x v="17"/>
          </reference>
          <reference field="1" count="1">
            <x v="49"/>
          </reference>
          <reference field="2" count="1" selected="0">
            <x v="1"/>
          </reference>
        </references>
      </pivotArea>
    </format>
    <format dxfId="1114">
      <pivotArea dataOnly="0" labelOnly="1" outline="0" fieldPosition="0">
        <references count="3">
          <reference field="0" count="1" selected="0">
            <x v="82"/>
          </reference>
          <reference field="1" count="1">
            <x v="0"/>
          </reference>
          <reference field="2" count="1" selected="0">
            <x v="1"/>
          </reference>
        </references>
      </pivotArea>
    </format>
    <format dxfId="1113">
      <pivotArea dataOnly="0" labelOnly="1" outline="0" fieldPosition="0">
        <references count="3">
          <reference field="0" count="1" selected="0">
            <x v="83"/>
          </reference>
          <reference field="1" count="1">
            <x v="19"/>
          </reference>
          <reference field="2" count="1" selected="0">
            <x v="1"/>
          </reference>
        </references>
      </pivotArea>
    </format>
    <format dxfId="1112">
      <pivotArea dataOnly="0" labelOnly="1" outline="0" fieldPosition="0">
        <references count="3">
          <reference field="0" count="1" selected="0">
            <x v="84"/>
          </reference>
          <reference field="1" count="1">
            <x v="34"/>
          </reference>
          <reference field="2" count="1" selected="0">
            <x v="1"/>
          </reference>
        </references>
      </pivotArea>
    </format>
    <format dxfId="1111">
      <pivotArea dataOnly="0" labelOnly="1" outline="0" fieldPosition="0">
        <references count="3">
          <reference field="0" count="1" selected="0">
            <x v="88"/>
          </reference>
          <reference field="1" count="1">
            <x v="93"/>
          </reference>
          <reference field="2" count="1" selected="0">
            <x v="1"/>
          </reference>
        </references>
      </pivotArea>
    </format>
    <format dxfId="1110">
      <pivotArea dataOnly="0" labelOnly="1" outline="0" fieldPosition="0">
        <references count="3">
          <reference field="0" count="1" selected="0">
            <x v="85"/>
          </reference>
          <reference field="1" count="1">
            <x v="74"/>
          </reference>
          <reference field="2" count="1" selected="0">
            <x v="5"/>
          </reference>
        </references>
      </pivotArea>
    </format>
    <format dxfId="1109">
      <pivotArea dataOnly="0" labelOnly="1" outline="0" fieldPosition="0">
        <references count="3">
          <reference field="0" count="1" selected="0">
            <x v="86"/>
          </reference>
          <reference field="1" count="1">
            <x v="78"/>
          </reference>
          <reference field="2" count="1" selected="0">
            <x v="5"/>
          </reference>
        </references>
      </pivotArea>
    </format>
    <format dxfId="1108">
      <pivotArea dataOnly="0" labelOnly="1" outline="0" fieldPosition="0">
        <references count="3">
          <reference field="0" count="1" selected="0">
            <x v="87"/>
          </reference>
          <reference field="1" count="1">
            <x v="82"/>
          </reference>
          <reference field="2" count="1" selected="0">
            <x v="5"/>
          </reference>
        </references>
      </pivotArea>
    </format>
    <format dxfId="1107">
      <pivotArea dataOnly="0" labelOnly="1" outline="0" fieldPosition="0">
        <references count="3">
          <reference field="0" count="1" selected="0">
            <x v="92"/>
          </reference>
          <reference field="1" count="1">
            <x v="94"/>
          </reference>
          <reference field="2" count="1" selected="0">
            <x v="8"/>
          </reference>
        </references>
      </pivotArea>
    </format>
    <format dxfId="1106">
      <pivotArea dataOnly="0" outline="0" fieldPosition="0">
        <references count="1">
          <reference field="4294967294" count="1">
            <x v="0"/>
          </reference>
        </references>
      </pivotArea>
    </format>
    <format dxfId="1105">
      <pivotArea field="9" type="button" dataOnly="0" labelOnly="1" outline="0" axis="axisRow" fieldPosition="4"/>
    </format>
    <format dxfId="1104">
      <pivotArea field="18" type="button" dataOnly="0" labelOnly="1" outline="0" axis="axisRow" fieldPosition="5"/>
    </format>
    <format dxfId="1103">
      <pivotArea dataOnly="0" labelOnly="1" outline="0" fieldPosition="0">
        <references count="3">
          <reference field="0" count="1" selected="0">
            <x v="1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1102">
      <pivotArea dataOnly="0" labelOnly="1" outline="0" fieldPosition="0">
        <references count="3">
          <reference field="0" count="1" selected="0">
            <x v="1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1101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80"/>
          </reference>
          <reference field="9" count="1" selected="0">
            <x v="2"/>
          </reference>
          <reference field="14" count="1" selected="0">
            <x v="0"/>
          </reference>
          <reference field="18" count="1" selected="0">
            <x v="2"/>
          </reference>
        </references>
      </pivotArea>
    </format>
    <format dxfId="1100">
      <pivotArea dataOnly="0" labelOnly="1" outline="0" fieldPosition="0">
        <references count="7">
          <reference field="0" count="1" selected="0">
            <x v="17"/>
          </reference>
          <reference field="1" count="1" selected="0">
            <x v="49"/>
          </reference>
          <reference field="2" count="1" selected="0">
            <x v="1"/>
          </reference>
          <reference field="3" count="1">
            <x v="24"/>
          </reference>
          <reference field="9" count="1" selected="0">
            <x v="17"/>
          </reference>
          <reference field="14" count="1" selected="0">
            <x v="0"/>
          </reference>
          <reference field="18" count="1" selected="0">
            <x v="10"/>
          </reference>
        </references>
      </pivotArea>
    </format>
    <format dxfId="1099">
      <pivotArea dataOnly="0" labelOnly="1" outline="0" fieldPosition="0">
        <references count="7">
          <reference field="0" count="1" selected="0">
            <x v="82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69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1098">
      <pivotArea dataOnly="0" labelOnly="1" outline="0" fieldPosition="0">
        <references count="7">
          <reference field="0" count="1" selected="0">
            <x v="83"/>
          </reference>
          <reference field="1" count="1" selected="0">
            <x v="19"/>
          </reference>
          <reference field="2" count="1" selected="0">
            <x v="1"/>
          </reference>
          <reference field="3" count="1">
            <x v="56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1097">
      <pivotArea dataOnly="0" labelOnly="1" outline="0" fieldPosition="0">
        <references count="7">
          <reference field="0" count="1" selected="0">
            <x v="84"/>
          </reference>
          <reference field="1" count="1" selected="0">
            <x v="34"/>
          </reference>
          <reference field="2" count="1" selected="0">
            <x v="1"/>
          </reference>
          <reference field="3" count="1">
            <x v="39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5"/>
          </reference>
        </references>
      </pivotArea>
    </format>
    <format dxfId="1096">
      <pivotArea dataOnly="0" labelOnly="1" outline="0" fieldPosition="0">
        <references count="7">
          <reference field="0" count="1" selected="0">
            <x v="88"/>
          </reference>
          <reference field="1" count="1" selected="0">
            <x v="93"/>
          </reference>
          <reference field="2" count="1" selected="0">
            <x v="1"/>
          </reference>
          <reference field="3" count="1">
            <x v="58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1095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3" count="1">
            <x v="77"/>
          </reference>
          <reference field="9" count="1" selected="0">
            <x v="5"/>
          </reference>
          <reference field="14" count="1" selected="0">
            <x v="3"/>
          </reference>
          <reference field="18" count="1" selected="0">
            <x v="2"/>
          </reference>
        </references>
      </pivotArea>
    </format>
    <format dxfId="1094">
      <pivotArea dataOnly="0" labelOnly="1" outline="0" fieldPosition="0">
        <references count="7">
          <reference field="0" count="1" selected="0">
            <x v="85"/>
          </reference>
          <reference field="1" count="1" selected="0">
            <x v="74"/>
          </reference>
          <reference field="2" count="1" selected="0">
            <x v="5"/>
          </reference>
          <reference field="3" count="1">
            <x v="43"/>
          </reference>
          <reference field="9" count="1" selected="0">
            <x v="4"/>
          </reference>
          <reference field="14" count="1" selected="0">
            <x v="0"/>
          </reference>
          <reference field="18" count="1" selected="0">
            <x v="4"/>
          </reference>
        </references>
      </pivotArea>
    </format>
    <format dxfId="1093">
      <pivotArea dataOnly="0" labelOnly="1" outline="0" fieldPosition="0">
        <references count="7">
          <reference field="0" count="1" selected="0">
            <x v="86"/>
          </reference>
          <reference field="1" count="1" selected="0">
            <x v="78"/>
          </reference>
          <reference field="2" count="1" selected="0">
            <x v="5"/>
          </reference>
          <reference field="3" count="1">
            <x v="26"/>
          </reference>
          <reference field="9" count="1" selected="0">
            <x v="9"/>
          </reference>
          <reference field="14" count="1" selected="0">
            <x v="0"/>
          </reference>
          <reference field="18" count="1" selected="0">
            <x v="8"/>
          </reference>
        </references>
      </pivotArea>
    </format>
    <format dxfId="1092">
      <pivotArea dataOnly="0" labelOnly="1" outline="0" fieldPosition="0">
        <references count="7">
          <reference field="0" count="1" selected="0">
            <x v="87"/>
          </reference>
          <reference field="1" count="1" selected="0">
            <x v="82"/>
          </reference>
          <reference field="2" count="1" selected="0">
            <x v="5"/>
          </reference>
          <reference field="3" count="1">
            <x v="20"/>
          </reference>
          <reference field="9" count="1" selected="0">
            <x v="9"/>
          </reference>
          <reference field="14" count="1" selected="0">
            <x v="0"/>
          </reference>
          <reference field="18" count="1" selected="0">
            <x v="8"/>
          </reference>
        </references>
      </pivotArea>
    </format>
    <format dxfId="1091">
      <pivotArea dataOnly="0" labelOnly="1" outline="0" fieldPosition="0">
        <references count="7">
          <reference field="0" count="1" selected="0">
            <x v="92"/>
          </reference>
          <reference field="1" count="1" selected="0">
            <x v="94"/>
          </reference>
          <reference field="2" count="1" selected="0">
            <x v="8"/>
          </reference>
          <reference field="3" count="1">
            <x v="63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1090">
      <pivotArea field="3" type="button" dataOnly="0" labelOnly="1" outline="0" axis="axisRow" fieldPosition="6"/>
    </format>
    <format dxfId="1089">
      <pivotArea field="3" type="button" dataOnly="0" labelOnly="1" outline="0" axis="axisRow" fieldPosition="6"/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4:I40" firstHeaderRow="0" firstDataRow="1" firstDataCol="7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0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m="1" x="98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9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  <item x="15"/>
        <item x="53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numFmtId="1" outline="0" showAll="0" defaultSubtotal="0">
      <items count="22">
        <item x="14"/>
        <item x="0"/>
        <item x="6"/>
        <item x="10"/>
        <item x="4"/>
        <item x="8"/>
        <item x="19"/>
        <item x="15"/>
        <item x="16"/>
        <item x="21"/>
        <item x="11"/>
        <item x="3"/>
        <item x="17"/>
        <item x="13"/>
        <item x="1"/>
        <item x="20"/>
        <item x="5"/>
        <item x="12"/>
        <item x="18"/>
        <item x="9"/>
        <item x="2"/>
        <item x="7"/>
      </items>
    </pivotField>
    <pivotField compact="0" numFmtId="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24">
        <item x="0"/>
        <item x="11"/>
        <item x="6"/>
        <item x="8"/>
        <item x="10"/>
        <item x="3"/>
        <item x="1"/>
        <item m="1" x="22"/>
        <item m="1" x="21"/>
        <item x="4"/>
        <item m="1" x="23"/>
        <item m="1" x="20"/>
        <item x="14"/>
        <item x="19"/>
        <item x="2"/>
        <item x="5"/>
        <item x="7"/>
        <item x="9"/>
        <item x="12"/>
        <item x="13"/>
        <item x="15"/>
        <item x="16"/>
        <item x="17"/>
        <item x="18"/>
      </items>
    </pivotField>
    <pivotField compact="0" numFmtId="44" outline="0" showAll="0" defaultSubtotal="0"/>
    <pivotField axis="axisRow" compact="0" outline="0" showAll="0" defaultSubtotal="0">
      <items count="12">
        <item m="1" x="5"/>
        <item x="2"/>
        <item m="1" x="6"/>
        <item m="1" x="10"/>
        <item m="1" x="7"/>
        <item m="1" x="11"/>
        <item m="1" x="8"/>
        <item m="1" x="3"/>
        <item x="0"/>
        <item m="1" x="4"/>
        <item m="1" x="9"/>
        <item x="1"/>
      </items>
    </pivotField>
    <pivotField compact="0" numFmtId="44" outline="0" showAll="0" defaultSubtotal="0"/>
    <pivotField axis="axisRow" compact="0" outline="0" showAll="0" measureFilter="1" defaultSubtotal="0">
      <items count="13">
        <item x="2"/>
        <item x="0"/>
        <item x="8"/>
        <item x="3"/>
        <item x="7"/>
        <item x="4"/>
        <item x="5"/>
        <item x="6"/>
        <item x="1"/>
        <item x="9"/>
        <item m="1" x="12"/>
        <item x="11"/>
        <item x="10"/>
      </items>
    </pivotField>
    <pivotField compact="0" outline="0" showAll="0" defaultSubtotal="0"/>
    <pivotField dataField="1"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</pivotFields>
  <rowFields count="7">
    <field x="2"/>
    <field x="1"/>
    <field x="0"/>
    <field x="9"/>
    <field x="14"/>
    <field x="16"/>
    <field x="18"/>
  </rowFields>
  <rowItems count="36">
    <i>
      <x/>
      <x v="14"/>
      <x v="50"/>
      <x v="1"/>
      <x/>
      <x v="8"/>
      <x v="1"/>
    </i>
    <i r="1">
      <x v="29"/>
      <x v="72"/>
      <x v="1"/>
      <x/>
      <x v="8"/>
      <x v="1"/>
    </i>
    <i r="1">
      <x v="31"/>
      <x v="55"/>
      <x v="1"/>
      <x/>
      <x v="8"/>
      <x v="1"/>
    </i>
    <i r="1">
      <x v="73"/>
      <x v="53"/>
      <x v="1"/>
      <x/>
      <x v="8"/>
      <x v="1"/>
    </i>
    <i>
      <x v="1"/>
      <x v="4"/>
      <x v="96"/>
      <x v="1"/>
      <x/>
      <x v="8"/>
      <x v="1"/>
    </i>
    <i r="1">
      <x v="6"/>
      <x v="95"/>
      <x v="1"/>
      <x/>
      <x v="8"/>
      <x v="1"/>
    </i>
    <i r="1">
      <x v="10"/>
      <x v="41"/>
      <x v="7"/>
      <x/>
      <x v="8"/>
      <x v="7"/>
    </i>
    <i r="1">
      <x v="13"/>
      <x v="93"/>
      <x v="1"/>
      <x/>
      <x v="8"/>
      <x v="12"/>
    </i>
    <i r="1">
      <x v="27"/>
      <x v="2"/>
      <x v="14"/>
      <x v="6"/>
      <x v="8"/>
      <x v="8"/>
    </i>
    <i r="1">
      <x v="32"/>
      <x v="79"/>
      <x v="1"/>
      <x/>
      <x v="8"/>
      <x v="2"/>
    </i>
    <i r="1">
      <x v="38"/>
      <x v="78"/>
      <x v="1"/>
      <x/>
      <x v="8"/>
      <x v="2"/>
    </i>
    <i r="1">
      <x v="46"/>
      <x v="57"/>
      <x v="1"/>
      <x/>
      <x v="8"/>
      <x v="1"/>
    </i>
    <i r="1">
      <x v="48"/>
      <x v="46"/>
      <x v="1"/>
      <x/>
      <x v="8"/>
      <x v="2"/>
    </i>
    <i r="2">
      <x v="47"/>
      <x v="4"/>
      <x/>
      <x v="8"/>
      <x v="4"/>
    </i>
    <i r="1">
      <x v="77"/>
      <x v="49"/>
      <x v="1"/>
      <x/>
      <x v="8"/>
      <x v="2"/>
    </i>
    <i r="1">
      <x v="80"/>
      <x v="51"/>
      <x v="1"/>
      <x/>
      <x v="8"/>
      <x v="1"/>
    </i>
    <i r="1">
      <x v="81"/>
      <x v="97"/>
      <x v="1"/>
      <x/>
      <x v="8"/>
      <x v="1"/>
    </i>
    <i r="1">
      <x v="88"/>
      <x v="94"/>
      <x v="1"/>
      <x/>
      <x v="8"/>
      <x v="11"/>
    </i>
    <i r="1">
      <x v="89"/>
      <x v="52"/>
      <x v="1"/>
      <x/>
      <x v="8"/>
      <x v="1"/>
    </i>
    <i r="1">
      <x v="95"/>
      <x v="48"/>
      <x v="1"/>
      <x/>
      <x v="8"/>
      <x v="1"/>
    </i>
    <i>
      <x v="4"/>
      <x v="76"/>
      <x v="38"/>
      <x v="5"/>
      <x/>
      <x v="8"/>
      <x v="6"/>
    </i>
    <i>
      <x v="5"/>
      <x v="41"/>
      <x v="73"/>
      <x v="1"/>
      <x/>
      <x v="8"/>
      <x v="1"/>
    </i>
    <i r="1">
      <x v="72"/>
      <x v="76"/>
      <x v="1"/>
      <x/>
      <x v="8"/>
      <x v="1"/>
    </i>
    <i r="1">
      <x v="74"/>
      <x v="85"/>
      <x v="4"/>
      <x/>
      <x v="8"/>
      <x v="4"/>
    </i>
    <i r="1">
      <x v="84"/>
      <x v="74"/>
      <x v="1"/>
      <x/>
      <x v="8"/>
      <x v="1"/>
    </i>
    <i r="1">
      <x v="85"/>
      <x v="71"/>
      <x v="1"/>
      <x/>
      <x v="8"/>
      <x v="1"/>
    </i>
    <i>
      <x v="6"/>
      <x v="5"/>
      <x v="69"/>
      <x v="16"/>
      <x/>
      <x v="8"/>
      <x v="9"/>
    </i>
    <i>
      <x v="7"/>
      <x v="33"/>
      <x v="35"/>
      <x v="3"/>
      <x/>
      <x v="8"/>
      <x v="3"/>
    </i>
    <i>
      <x v="9"/>
      <x v="11"/>
      <x/>
      <x v="1"/>
      <x/>
      <x v="8"/>
      <x v="1"/>
    </i>
    <i r="1">
      <x v="12"/>
      <x v="1"/>
      <x v="1"/>
      <x/>
      <x v="8"/>
      <x v="1"/>
    </i>
    <i>
      <x v="10"/>
      <x v="42"/>
      <x v="45"/>
      <x v="4"/>
      <x/>
      <x v="8"/>
      <x v="4"/>
    </i>
    <i r="1">
      <x v="43"/>
      <x v="42"/>
      <x v="4"/>
      <x/>
      <x v="8"/>
      <x v="4"/>
    </i>
    <i r="1">
      <x v="44"/>
      <x v="43"/>
      <x v="4"/>
      <x/>
      <x v="8"/>
      <x v="4"/>
    </i>
    <i>
      <x v="13"/>
      <x v="40"/>
      <x v="37"/>
      <x v="5"/>
      <x/>
      <x v="8"/>
      <x v="5"/>
    </i>
    <i>
      <x v="15"/>
      <x v="35"/>
      <x v="77"/>
      <x v="1"/>
      <x/>
      <x v="8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maining ideal cost" fld="20" baseField="14" baseItem="2"/>
    <dataField name="Sum of Cost of excess material" fld="22" baseField="0" baseItem="0"/>
  </dataFields>
  <formats count="92">
    <format dxfId="1088">
      <pivotArea field="14" type="button" dataOnly="0" labelOnly="1" outline="0" axis="axisRow" fieldPosition="4"/>
    </format>
    <format dxfId="1087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1086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1085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1084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1083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1082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1081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1080">
      <pivotArea grandRow="1" outline="0" collapsedLevelsAreSubtotals="1" fieldPosition="0"/>
    </format>
    <format dxfId="1079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1078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1077">
      <pivotArea dataOnly="0" labelOnly="1" outline="0" fieldPosition="0">
        <references count="1">
          <reference field="1" count="0"/>
        </references>
      </pivotArea>
    </format>
    <format dxfId="1076">
      <pivotArea field="2" type="button" dataOnly="0" labelOnly="1" outline="0" axis="axisRow" fieldPosition="0"/>
    </format>
    <format dxfId="1075">
      <pivotArea field="1" type="button" dataOnly="0" labelOnly="1" outline="0" axis="axisRow" fieldPosition="1"/>
    </format>
    <format dxfId="1074">
      <pivotArea field="0" type="button" dataOnly="0" labelOnly="1" outline="0" axis="axisRow" fieldPosition="2"/>
    </format>
    <format dxfId="1073">
      <pivotArea dataOnly="0" labelOnly="1" outline="0" axis="axisValues" fieldPosition="0"/>
    </format>
    <format dxfId="10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71">
      <pivotArea outline="0" collapsedLevelsAreSubtotals="1" fieldPosition="0"/>
    </format>
    <format dxfId="1070">
      <pivotArea field="9" type="button" dataOnly="0" labelOnly="1" outline="0" axis="axisRow" fieldPosition="3"/>
    </format>
    <format dxfId="1069">
      <pivotArea field="14" type="button" dataOnly="0" labelOnly="1" outline="0" axis="axisRow" fieldPosition="4"/>
    </format>
    <format dxfId="1068">
      <pivotArea field="16" type="button" dataOnly="0" labelOnly="1" outline="0" axis="axisRow" fieldPosition="5"/>
    </format>
    <format dxfId="1067">
      <pivotArea field="18" type="button" dataOnly="0" labelOnly="1" outline="0" axis="axisRow" fieldPosition="6"/>
    </format>
    <format dxfId="1066">
      <pivotArea dataOnly="0" labelOnly="1" outline="0" fieldPosition="0">
        <references count="7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1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065">
      <pivotArea dataOnly="0" labelOnly="1" outline="0" fieldPosition="0">
        <references count="7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9" count="1" selected="0">
            <x v="3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064">
      <pivotArea dataOnly="0" labelOnly="1" outline="0" fieldPosition="0">
        <references count="7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1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063">
      <pivotArea dataOnly="0" labelOnly="1" outline="0" fieldPosition="0">
        <references count="7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9" count="1" selected="0">
            <x v="11"/>
          </reference>
          <reference field="14" count="1" selected="0">
            <x v="5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062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9" count="1" selected="0">
            <x v="20"/>
          </reference>
          <reference field="14" count="1" selected="0">
            <x v="8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061">
      <pivotArea dataOnly="0" labelOnly="1" outline="0" fieldPosition="0">
        <references count="7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9" count="1" selected="0">
            <x v="21"/>
          </reference>
          <reference field="14" count="1" selected="0">
            <x v="8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060">
      <pivotArea dataOnly="0" labelOnly="1" outline="0" fieldPosition="0">
        <references count="7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9" count="1" selected="0">
            <x v="16"/>
          </reference>
          <reference field="14" count="1" selected="0">
            <x v="7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059">
      <pivotArea dataOnly="0" labelOnly="1" outline="0" fieldPosition="0">
        <references count="7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9" count="1" selected="0">
            <x v="3"/>
          </reference>
          <reference field="14" count="1" selected="0">
            <x v="4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058">
      <pivotArea dataOnly="0" labelOnly="1" outline="0" fieldPosition="0">
        <references count="7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9" count="1" selected="0">
            <x v="3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057">
      <pivotArea dataOnly="0" labelOnly="1" outline="0" fieldPosition="0">
        <references count="7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9" count="1" selected="0">
            <x v="7"/>
          </reference>
          <reference field="14" count="1" selected="0">
            <x v="4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056">
      <pivotArea dataOnly="0" labelOnly="1" outline="0" fieldPosition="0">
        <references count="7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9" count="1" selected="0">
            <x v="2"/>
          </reference>
          <reference field="14" count="1" selected="0">
            <x v="2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055">
      <pivotArea dataOnly="0" labelOnly="1" outline="0" fieldPosition="0">
        <references count="7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9" count="1" selected="0">
            <x v="2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054">
      <pivotArea field="2" type="button" dataOnly="0" labelOnly="1" outline="0" axis="axisRow" fieldPosition="0"/>
    </format>
    <format dxfId="1053">
      <pivotArea field="1" type="button" dataOnly="0" labelOnly="1" outline="0" axis="axisRow" fieldPosition="1"/>
    </format>
    <format dxfId="1052">
      <pivotArea field="0" type="button" dataOnly="0" labelOnly="1" outline="0" axis="axisRow" fieldPosition="2"/>
    </format>
    <format dxfId="1051">
      <pivotArea field="9" type="button" dataOnly="0" labelOnly="1" outline="0" axis="axisRow" fieldPosition="3"/>
    </format>
    <format dxfId="1050">
      <pivotArea field="14" type="button" dataOnly="0" labelOnly="1" outline="0" axis="axisRow" fieldPosition="4"/>
    </format>
    <format dxfId="1049">
      <pivotArea field="16" type="button" dataOnly="0" labelOnly="1" outline="0" axis="axisRow" fieldPosition="5"/>
    </format>
    <format dxfId="10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47">
      <pivotArea field="2" type="button" dataOnly="0" labelOnly="1" outline="0" axis="axisRow" fieldPosition="0"/>
    </format>
    <format dxfId="1046">
      <pivotArea field="1" type="button" dataOnly="0" labelOnly="1" outline="0" axis="axisRow" fieldPosition="1"/>
    </format>
    <format dxfId="1045">
      <pivotArea field="0" type="button" dataOnly="0" labelOnly="1" outline="0" axis="axisRow" fieldPosition="2"/>
    </format>
    <format dxfId="1044">
      <pivotArea field="9" type="button" dataOnly="0" labelOnly="1" outline="0" axis="axisRow" fieldPosition="3"/>
    </format>
    <format dxfId="1043">
      <pivotArea field="14" type="button" dataOnly="0" labelOnly="1" outline="0" axis="axisRow" fieldPosition="4"/>
    </format>
    <format dxfId="1042">
      <pivotArea field="16" type="button" dataOnly="0" labelOnly="1" outline="0" axis="axisRow" fieldPosition="5"/>
    </format>
    <format dxfId="1041">
      <pivotArea field="18" type="button" dataOnly="0" labelOnly="1" outline="0" axis="axisRow" fieldPosition="6"/>
    </format>
    <format dxfId="10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36">
      <pivotArea field="18" type="button" dataOnly="0" labelOnly="1" outline="0" axis="axisRow" fieldPosition="6"/>
    </format>
    <format dxfId="1035">
      <pivotArea dataOnly="0" labelOnly="1" grandRow="1" outline="0" fieldPosition="0"/>
    </format>
    <format dxfId="1034">
      <pivotArea dataOnly="0" labelOnly="1" outline="0" fieldPosition="0">
        <references count="7">
          <reference field="0" count="1" selected="0">
            <x v="50"/>
          </reference>
          <reference field="1" count="1" selected="0">
            <x v="14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033">
      <pivotArea dataOnly="0" labelOnly="1" outline="0" fieldPosition="0">
        <references count="7">
          <reference field="0" count="1" selected="0">
            <x v="72"/>
          </reference>
          <reference field="1" count="1" selected="0">
            <x v="29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032">
      <pivotArea dataOnly="0" labelOnly="1" outline="0" fieldPosition="0">
        <references count="7">
          <reference field="0" count="1" selected="0">
            <x v="55"/>
          </reference>
          <reference field="1" count="1" selected="0">
            <x v="31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031">
      <pivotArea dataOnly="0" labelOnly="1" outline="0" fieldPosition="0">
        <references count="7">
          <reference field="0" count="1" selected="0">
            <x v="53"/>
          </reference>
          <reference field="1" count="1" selected="0">
            <x v="73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030">
      <pivotArea dataOnly="0" labelOnly="1" outline="0" fieldPosition="0">
        <references count="7">
          <reference field="0" count="1" selected="0">
            <x v="96"/>
          </reference>
          <reference field="1" count="1" selected="0">
            <x v="4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029">
      <pivotArea dataOnly="0" labelOnly="1" outline="0" fieldPosition="0">
        <references count="7">
          <reference field="0" count="1" selected="0">
            <x v="95"/>
          </reference>
          <reference field="1" count="1" selected="0">
            <x v="6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028">
      <pivotArea dataOnly="0" labelOnly="1" outline="0" fieldPosition="0">
        <references count="7">
          <reference field="0" count="1" selected="0">
            <x v="41"/>
          </reference>
          <reference field="1" count="1" selected="0">
            <x v="10"/>
          </reference>
          <reference field="2" count="1" selected="0">
            <x v="1"/>
          </reference>
          <reference field="9" count="1" selected="0">
            <x v="7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7"/>
          </reference>
        </references>
      </pivotArea>
    </format>
    <format dxfId="1027">
      <pivotArea dataOnly="0" labelOnly="1" outline="0" fieldPosition="0">
        <references count="7">
          <reference field="0" count="1" selected="0">
            <x v="93"/>
          </reference>
          <reference field="1" count="1" selected="0">
            <x v="13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2"/>
          </reference>
        </references>
      </pivotArea>
    </format>
    <format dxfId="1026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9" count="1" selected="0">
            <x v="14"/>
          </reference>
          <reference field="14" count="1" selected="0">
            <x v="6"/>
          </reference>
          <reference field="16" count="1" selected="0">
            <x v="8"/>
          </reference>
          <reference field="18" count="1">
            <x v="8"/>
          </reference>
        </references>
      </pivotArea>
    </format>
    <format dxfId="1025">
      <pivotArea dataOnly="0" labelOnly="1" outline="0" fieldPosition="0">
        <references count="7">
          <reference field="0" count="1" selected="0">
            <x v="79"/>
          </reference>
          <reference field="1" count="1" selected="0">
            <x v="32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1024">
      <pivotArea dataOnly="0" labelOnly="1" outline="0" fieldPosition="0">
        <references count="7">
          <reference field="0" count="1" selected="0">
            <x v="78"/>
          </reference>
          <reference field="1" count="1" selected="0">
            <x v="38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1023">
      <pivotArea dataOnly="0" labelOnly="1" outline="0" fieldPosition="0">
        <references count="7">
          <reference field="0" count="1" selected="0">
            <x v="57"/>
          </reference>
          <reference field="1" count="1" selected="0">
            <x v="46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022">
      <pivotArea dataOnly="0" labelOnly="1" outline="0" fieldPosition="0">
        <references count="7">
          <reference field="0" count="1" selected="0">
            <x v="46"/>
          </reference>
          <reference field="1" count="1" selected="0">
            <x v="48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1021">
      <pivotArea dataOnly="0" labelOnly="1" outline="0" fieldPosition="0">
        <references count="7">
          <reference field="0" count="1" selected="0">
            <x v="47"/>
          </reference>
          <reference field="1" count="1" selected="0">
            <x v="48"/>
          </reference>
          <reference field="2" count="1" selected="0">
            <x v="1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1020">
      <pivotArea dataOnly="0" labelOnly="1" outline="0" fieldPosition="0">
        <references count="7">
          <reference field="0" count="1" selected="0">
            <x v="49"/>
          </reference>
          <reference field="1" count="1" selected="0">
            <x v="77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1019">
      <pivotArea dataOnly="0" labelOnly="1" outline="0" fieldPosition="0">
        <references count="7">
          <reference field="0" count="1" selected="0">
            <x v="51"/>
          </reference>
          <reference field="1" count="1" selected="0">
            <x v="80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018">
      <pivotArea dataOnly="0" labelOnly="1" outline="0" fieldPosition="0">
        <references count="7">
          <reference field="0" count="1" selected="0">
            <x v="97"/>
          </reference>
          <reference field="1" count="1" selected="0">
            <x v="81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017">
      <pivotArea dataOnly="0" labelOnly="1" outline="0" fieldPosition="0">
        <references count="7">
          <reference field="0" count="1" selected="0">
            <x v="94"/>
          </reference>
          <reference field="1" count="1" selected="0">
            <x v="88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1"/>
          </reference>
        </references>
      </pivotArea>
    </format>
    <format dxfId="1016">
      <pivotArea dataOnly="0" labelOnly="1" outline="0" fieldPosition="0">
        <references count="7">
          <reference field="0" count="1" selected="0">
            <x v="52"/>
          </reference>
          <reference field="1" count="1" selected="0">
            <x v="89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015">
      <pivotArea dataOnly="0" labelOnly="1" outline="0" fieldPosition="0">
        <references count="7">
          <reference field="0" count="1" selected="0">
            <x v="48"/>
          </reference>
          <reference field="1" count="1" selected="0">
            <x v="95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014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9" count="1" selected="0">
            <x v="5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1013">
      <pivotArea dataOnly="0" labelOnly="1" outline="0" fieldPosition="0">
        <references count="7">
          <reference field="0" count="1" selected="0">
            <x v="38"/>
          </reference>
          <reference field="1" count="1" selected="0">
            <x v="76"/>
          </reference>
          <reference field="2" count="1" selected="0">
            <x v="4"/>
          </reference>
          <reference field="9" count="1" selected="0">
            <x v="5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6"/>
          </reference>
        </references>
      </pivotArea>
    </format>
    <format dxfId="1012">
      <pivotArea dataOnly="0" labelOnly="1" outline="0" fieldPosition="0">
        <references count="7">
          <reference field="0" count="1" selected="0">
            <x v="73"/>
          </reference>
          <reference field="1" count="1" selected="0">
            <x v="41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011">
      <pivotArea dataOnly="0" labelOnly="1" outline="0" fieldPosition="0">
        <references count="7">
          <reference field="0" count="1" selected="0">
            <x v="76"/>
          </reference>
          <reference field="1" count="1" selected="0">
            <x v="72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010">
      <pivotArea dataOnly="0" labelOnly="1" outline="0" fieldPosition="0">
        <references count="7">
          <reference field="0" count="1" selected="0">
            <x v="85"/>
          </reference>
          <reference field="1" count="1" selected="0">
            <x v="74"/>
          </reference>
          <reference field="2" count="1" selected="0">
            <x v="5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1009">
      <pivotArea dataOnly="0" labelOnly="1" outline="0" fieldPosition="0">
        <references count="7">
          <reference field="0" count="1" selected="0">
            <x v="74"/>
          </reference>
          <reference field="1" count="1" selected="0">
            <x v="84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008">
      <pivotArea dataOnly="0" labelOnly="1" outline="0" fieldPosition="0">
        <references count="7">
          <reference field="0" count="1" selected="0">
            <x v="71"/>
          </reference>
          <reference field="1" count="1" selected="0">
            <x v="85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007">
      <pivotArea dataOnly="0" labelOnly="1" outline="0" fieldPosition="0">
        <references count="7">
          <reference field="0" count="1" selected="0">
            <x v="69"/>
          </reference>
          <reference field="1" count="1" selected="0">
            <x v="5"/>
          </reference>
          <reference field="2" count="1" selected="0">
            <x v="6"/>
          </reference>
          <reference field="9" count="1" selected="0">
            <x v="16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9"/>
          </reference>
        </references>
      </pivotArea>
    </format>
    <format dxfId="1006">
      <pivotArea dataOnly="0" labelOnly="1" outline="0" fieldPosition="0">
        <references count="7">
          <reference field="0" count="1" selected="0">
            <x v="35"/>
          </reference>
          <reference field="1" count="1" selected="0">
            <x v="33"/>
          </reference>
          <reference field="2" count="1" selected="0">
            <x v="7"/>
          </reference>
          <reference field="9" count="1" selected="0">
            <x v="3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3"/>
          </reference>
        </references>
      </pivotArea>
    </format>
    <format dxfId="1005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1"/>
          </reference>
          <reference field="2" count="1" selected="0">
            <x v="9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004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003">
      <pivotArea dataOnly="0" labelOnly="1" outline="0" fieldPosition="0">
        <references count="7">
          <reference field="0" count="1" selected="0">
            <x v="45"/>
          </reference>
          <reference field="1" count="1" selected="0">
            <x v="42"/>
          </reference>
          <reference field="2" count="1" selected="0">
            <x v="10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1002">
      <pivotArea dataOnly="0" labelOnly="1" outline="0" fieldPosition="0">
        <references count="7">
          <reference field="0" count="1" selected="0">
            <x v="42"/>
          </reference>
          <reference field="1" count="1" selected="0">
            <x v="43"/>
          </reference>
          <reference field="2" count="1" selected="0">
            <x v="10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1001">
      <pivotArea dataOnly="0" labelOnly="1" outline="0" fieldPosition="0">
        <references count="7">
          <reference field="0" count="1" selected="0">
            <x v="43"/>
          </reference>
          <reference field="1" count="1" selected="0">
            <x v="44"/>
          </reference>
          <reference field="2" count="1" selected="0">
            <x v="10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1000">
      <pivotArea dataOnly="0" labelOnly="1" outline="0" fieldPosition="0">
        <references count="7">
          <reference field="0" count="1" selected="0">
            <x v="37"/>
          </reference>
          <reference field="1" count="1" selected="0">
            <x v="40"/>
          </reference>
          <reference field="2" count="1" selected="0">
            <x v="13"/>
          </reference>
          <reference field="9" count="1" selected="0">
            <x v="5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5"/>
          </reference>
        </references>
      </pivotArea>
    </format>
    <format dxfId="999">
      <pivotArea dataOnly="0" labelOnly="1" outline="0" fieldPosition="0">
        <references count="7">
          <reference field="0" count="1" selected="0">
            <x v="77"/>
          </reference>
          <reference field="1" count="1" selected="0">
            <x v="35"/>
          </reference>
          <reference field="2" count="1" selected="0">
            <x v="1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998">
      <pivotArea dataOnly="0" labelOnly="1" outline="0" fieldPosition="0">
        <references count="2">
          <reference field="1" count="2">
            <x v="31"/>
            <x v="73"/>
          </reference>
          <reference field="2" count="1" selected="0">
            <x v="0"/>
          </reference>
        </references>
      </pivotArea>
    </format>
    <format dxfId="997">
      <pivotArea dataOnly="0" labelOnly="1" outline="0" fieldPosition="0">
        <references count="2">
          <reference field="1" count="2">
            <x v="11"/>
            <x v="12"/>
          </reference>
          <reference field="2" count="1" selected="0">
            <x v="9"/>
          </reference>
        </references>
      </pivotArea>
    </format>
  </formats>
  <pivotTableStyleInfo name="PivotStyleLight16" showRowHeaders="0" showColHeaders="1" showRowStripes="1" showColStripes="0" showLastColumn="1"/>
  <filters count="1">
    <filter fld="18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3:I5" firstHeaderRow="0" firstDataRow="1" firstDataCol="7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0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m="1" x="98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9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  <item x="15"/>
        <item x="53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24">
        <item x="0"/>
        <item x="11"/>
        <item x="6"/>
        <item x="8"/>
        <item x="10"/>
        <item x="3"/>
        <item x="1"/>
        <item m="1" x="22"/>
        <item m="1" x="21"/>
        <item x="4"/>
        <item m="1" x="23"/>
        <item m="1" x="20"/>
        <item x="14"/>
        <item x="19"/>
        <item x="2"/>
        <item x="5"/>
        <item x="7"/>
        <item x="9"/>
        <item x="12"/>
        <item x="13"/>
        <item x="15"/>
        <item x="16"/>
        <item x="17"/>
        <item x="18"/>
      </items>
    </pivotField>
    <pivotField compact="0" numFmtId="44" outline="0" showAll="0" defaultSubtotal="0"/>
    <pivotField axis="axisRow" compact="0" outline="0" multipleItemSelectionAllowed="1" showAll="0" measureFilter="1" defaultSubtotal="0">
      <items count="12">
        <item m="1" x="5"/>
        <item x="2"/>
        <item m="1" x="6"/>
        <item m="1" x="10"/>
        <item m="1" x="7"/>
        <item m="1" x="11"/>
        <item m="1" x="8"/>
        <item m="1" x="3"/>
        <item x="0"/>
        <item m="1" x="4"/>
        <item m="1" x="9"/>
        <item x="1"/>
      </items>
    </pivotField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axis="axisRow" compact="0" outline="0" showAll="0" defaultSubtotal="0">
      <items count="7">
        <item x="6"/>
        <item x="1"/>
        <item x="4"/>
        <item x="5"/>
        <item x="0"/>
        <item x="2"/>
        <item x="3"/>
      </items>
    </pivotField>
    <pivotField axis="axisRow" compact="0" outline="0" showAll="0" defaultSubtotal="0">
      <items count="10">
        <item m="1" x="7"/>
        <item x="2"/>
        <item x="3"/>
        <item m="1" x="9"/>
        <item x="1"/>
        <item x="4"/>
        <item x="6"/>
        <item x="5"/>
        <item x="0"/>
        <item m="1" x="8"/>
      </items>
    </pivotField>
    <pivotField compact="0" outline="0" showAll="0" defaultSubtotal="0"/>
    <pivotField compact="0" outline="0" showAll="0" defaultSubtotal="0"/>
    <pivotField compact="0" numFmtId="44" outline="0" showAll="0" defaultSubtotal="0"/>
  </pivotFields>
  <rowFields count="7">
    <field x="2"/>
    <field x="1"/>
    <field x="0"/>
    <field x="16"/>
    <field x="14"/>
    <field x="24"/>
    <field x="25"/>
  </rowFields>
  <rowItems count="2">
    <i>
      <x v="2"/>
      <x v="1"/>
      <x v="10"/>
      <x v="1"/>
      <x v="3"/>
      <x v="6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eal cost of parts on order" fld="17" baseField="0" baseItem="0"/>
    <dataField name="Sum of Cost of excess material" fld="22" baseField="0" baseItem="0"/>
  </dataFields>
  <formats count="60">
    <format dxfId="996">
      <pivotArea field="14" type="button" dataOnly="0" labelOnly="1" outline="0" axis="axisRow" fieldPosition="4"/>
    </format>
    <format dxfId="995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994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993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992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991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990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989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988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987">
      <pivotArea grandRow="1" outline="0" collapsedLevelsAreSubtotals="1" fieldPosition="0"/>
    </format>
    <format dxfId="986">
      <pivotArea outline="0" collapsedLevelsAreSubtotals="1" fieldPosition="0">
        <references count="3">
          <reference field="0" count="9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6"/>
            <x v="78"/>
            <x v="79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  <reference field="1" count="93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6"/>
            <x v="37"/>
            <x v="38"/>
            <x v="39"/>
            <x v="40"/>
            <x v="41"/>
            <x v="42"/>
            <x v="43"/>
            <x v="44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</reference>
          <reference field="2" count="1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</reference>
        </references>
      </pivotArea>
    </format>
    <format dxfId="985">
      <pivotArea outline="0" collapsedLevelsAreSubtotals="1" fieldPosition="0">
        <references count="3">
          <reference field="0" count="25" selected="0">
            <x v="75"/>
            <x v="77"/>
            <x v="80"/>
            <x v="81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</reference>
          <reference field="1" count="5" selected="0">
            <x v="35"/>
            <x v="45"/>
            <x v="75"/>
            <x v="96"/>
            <x v="97"/>
          </reference>
          <reference field="2" count="1" selected="0">
            <x v="15"/>
          </reference>
        </references>
      </pivotArea>
    </format>
    <format dxfId="984">
      <pivotArea outline="0" collapsedLevelsAreSubtotals="1" fieldPosition="0"/>
    </format>
    <format dxfId="983">
      <pivotArea dataOnly="0" labelOnly="1" outline="0" fieldPosition="0">
        <references count="1">
          <reference field="2" count="2">
            <x v="1"/>
            <x v="2"/>
          </reference>
        </references>
      </pivotArea>
    </format>
    <format dxfId="982">
      <pivotArea dataOnly="0" labelOnly="1" outline="0" offset="IV1" fieldPosition="0">
        <references count="1">
          <reference field="2" count="1">
            <x v="3"/>
          </reference>
        </references>
      </pivotArea>
    </format>
    <format dxfId="981">
      <pivotArea field="2" type="button" dataOnly="0" labelOnly="1" outline="0" axis="axisRow" fieldPosition="0"/>
    </format>
    <format dxfId="980">
      <pivotArea field="0" type="button" dataOnly="0" labelOnly="1" outline="0" axis="axisRow" fieldPosition="2"/>
    </format>
    <format dxfId="9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78">
      <pivotArea dataOnly="0" labelOnly="1" outline="0" fieldPosition="0">
        <references count="1">
          <reference field="16" count="0"/>
        </references>
      </pivotArea>
    </format>
    <format dxfId="977">
      <pivotArea dataOnly="0" labelOnly="1" grandRow="1" outline="0" fieldPosition="0"/>
    </format>
    <format dxfId="976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4" count="1">
            <x v="0"/>
          </reference>
        </references>
      </pivotArea>
    </format>
    <format dxfId="975">
      <pivotArea dataOnly="0" labelOnly="1" outline="0" fieldPosition="0">
        <references count="4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4" count="1">
            <x v="0"/>
          </reference>
        </references>
      </pivotArea>
    </format>
    <format dxfId="974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16"/>
          </reference>
          <reference field="2" count="1" selected="0">
            <x v="2"/>
          </reference>
          <reference field="14" count="1">
            <x v="0"/>
          </reference>
        </references>
      </pivotArea>
    </format>
    <format dxfId="973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71"/>
          </reference>
          <reference field="2" count="1" selected="0">
            <x v="2"/>
          </reference>
          <reference field="14" count="1">
            <x v="0"/>
          </reference>
        </references>
      </pivotArea>
    </format>
    <format dxfId="972">
      <pivotArea dataOnly="0" labelOnly="1" outline="0" fieldPosition="0">
        <references count="4">
          <reference field="0" count="1" selected="0">
            <x v="33"/>
          </reference>
          <reference field="1" count="1" selected="0">
            <x v="50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971">
      <pivotArea dataOnly="0" labelOnly="1" outline="0" fieldPosition="0">
        <references count="4">
          <reference field="0" count="1" selected="0">
            <x v="32"/>
          </reference>
          <reference field="1" count="1" selected="0">
            <x v="51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970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52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969">
      <pivotArea dataOnly="0" labelOnly="1" outline="0" fieldPosition="0">
        <references count="4">
          <reference field="0" count="1" selected="0">
            <x v="34"/>
          </reference>
          <reference field="1" count="1" selected="0">
            <x v="53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968">
      <pivotArea dataOnly="0" labelOnly="1" outline="0" fieldPosition="0">
        <references count="4">
          <reference field="0" count="1" selected="0">
            <x v="39"/>
          </reference>
          <reference field="1" count="1" selected="0">
            <x v="54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967">
      <pivotArea dataOnly="0" labelOnly="1" outline="0" fieldPosition="0">
        <references count="4">
          <reference field="0" count="1" selected="0">
            <x v="60"/>
          </reference>
          <reference field="1" count="1" selected="0">
            <x v="55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966">
      <pivotArea dataOnly="0" labelOnly="1" outline="0" fieldPosition="0">
        <references count="4">
          <reference field="0" count="1" selected="0">
            <x v="40"/>
          </reference>
          <reference field="1" count="1" selected="0">
            <x v="58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965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59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964">
      <pivotArea dataOnly="0" labelOnly="1" outline="0" fieldPosition="0">
        <references count="4">
          <reference field="0" count="1" selected="0">
            <x v="25"/>
          </reference>
          <reference field="1" count="1" selected="0">
            <x v="60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963">
      <pivotArea dataOnly="0" labelOnly="1" outline="0" fieldPosition="0">
        <references count="4">
          <reference field="0" count="1" selected="0">
            <x v="29"/>
          </reference>
          <reference field="1" count="1" selected="0">
            <x v="61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962">
      <pivotArea dataOnly="0" labelOnly="1" outline="0" fieldPosition="0">
        <references count="4">
          <reference field="0" count="1" selected="0">
            <x v="61"/>
          </reference>
          <reference field="1" count="1" selected="0">
            <x v="62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961">
      <pivotArea dataOnly="0" labelOnly="1" outline="0" fieldPosition="0">
        <references count="4">
          <reference field="0" count="1" selected="0">
            <x v="30"/>
          </reference>
          <reference field="1" count="1" selected="0">
            <x v="63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960">
      <pivotArea dataOnly="0" labelOnly="1" outline="0" fieldPosition="0">
        <references count="4">
          <reference field="0" count="1" selected="0">
            <x v="21"/>
          </reference>
          <reference field="1" count="1" selected="0">
            <x v="64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959">
      <pivotArea dataOnly="0" labelOnly="1" outline="0" fieldPosition="0">
        <references count="4">
          <reference field="0" count="1" selected="0">
            <x v="62"/>
          </reference>
          <reference field="1" count="1" selected="0">
            <x v="65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958">
      <pivotArea dataOnly="0" labelOnly="1" outline="0" fieldPosition="0">
        <references count="4">
          <reference field="0" count="1" selected="0">
            <x v="28"/>
          </reference>
          <reference field="1" count="1" selected="0">
            <x v="66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957">
      <pivotArea dataOnly="0" labelOnly="1" outline="0" fieldPosition="0">
        <references count="4">
          <reference field="0" count="1" selected="0">
            <x v="31"/>
          </reference>
          <reference field="1" count="1" selected="0">
            <x v="67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95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8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955">
      <pivotArea dataOnly="0" labelOnly="1" outline="0" fieldPosition="0">
        <references count="4">
          <reference field="0" count="1" selected="0">
            <x v="70"/>
          </reference>
          <reference field="1" count="1" selected="0">
            <x v="69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954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70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953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15"/>
          </reference>
          <reference field="2" count="1" selected="0">
            <x v="10"/>
          </reference>
          <reference field="14" count="1">
            <x v="0"/>
          </reference>
        </references>
      </pivotArea>
    </format>
    <format dxfId="952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4" count="1">
            <x v="0"/>
          </reference>
        </references>
      </pivotArea>
    </format>
    <format dxfId="951">
      <pivotArea dataOnly="0" labelOnly="1" outline="0" fieldPosition="0">
        <references count="4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4" count="1">
            <x v="0"/>
          </reference>
        </references>
      </pivotArea>
    </format>
    <format dxfId="950">
      <pivotArea field="2" type="button" dataOnly="0" labelOnly="1" outline="0" axis="axisRow" fieldPosition="0"/>
    </format>
    <format dxfId="949">
      <pivotArea field="1" type="button" dataOnly="0" labelOnly="1" outline="0" axis="axisRow" fieldPosition="1"/>
    </format>
    <format dxfId="948">
      <pivotArea field="0" type="button" dataOnly="0" labelOnly="1" outline="0" axis="axisRow" fieldPosition="2"/>
    </format>
    <format dxfId="9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46">
      <pivotArea field="16" type="button" dataOnly="0" labelOnly="1" outline="0" axis="axisRow" fieldPosition="3"/>
    </format>
    <format dxfId="945">
      <pivotArea field="1" type="button" dataOnly="0" labelOnly="1" outline="0" axis="axisRow" fieldPosition="1"/>
    </format>
    <format dxfId="944">
      <pivotArea type="all" dataOnly="0" outline="0" fieldPosition="0"/>
    </format>
    <format dxfId="943">
      <pivotArea dataOnly="0" labelOnly="1" outline="0" fieldPosition="0">
        <references count="1">
          <reference field="2" count="1">
            <x v="2"/>
          </reference>
        </references>
      </pivotArea>
    </format>
    <format dxfId="942">
      <pivotArea dataOnly="0" labelOnly="1" outline="0" offset="IV1" fieldPosition="0">
        <references count="1">
          <reference field="2" count="1">
            <x v="3"/>
          </reference>
        </references>
      </pivotArea>
    </format>
    <format dxfId="941">
      <pivotArea field="24" type="button" dataOnly="0" labelOnly="1" outline="0" axis="axisRow" fieldPosition="5"/>
    </format>
    <format dxfId="940">
      <pivotArea field="25" type="button" dataOnly="0" labelOnly="1" outline="0" axis="axisRow" fieldPosition="6"/>
    </format>
    <format dxfId="9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38">
      <pivotArea field="16" type="button" dataOnly="0" labelOnly="1" outline="0" axis="axisRow" fieldPosition="3"/>
    </format>
    <format dxfId="937">
      <pivotArea field="14" type="button" dataOnly="0" labelOnly="1" outline="0" axis="axisRow" fieldPosition="4"/>
    </format>
  </formats>
  <pivotTableStyleInfo name="PivotStyleLight16" showRowHeaders="0" showColHeaders="1" showRowStripes="1" showColStripes="0" showLastColumn="1"/>
  <filters count="1">
    <filter fld="16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showMissing="0" updatedVersion="4" minRefreshableVersion="3" showDrill="0" itemPrintTitles="1" createdVersion="4" indent="0" compact="0" compactData="0" multipleFieldFilters="0">
  <location ref="A3:H55" firstHeaderRow="0" firstDataRow="1" firstDataCol="5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0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m="1" x="98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9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  <item x="15"/>
        <item x="53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2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6"/>
        <item x="5"/>
        <item x="7"/>
        <item x="2"/>
        <item x="1"/>
        <item x="3"/>
        <item x="4"/>
        <item x="0"/>
      </items>
    </pivotField>
    <pivotField axis="axisRow" compact="0" outline="0" multipleItemSelectionAllowed="1" showAll="0" measureFilter="1" defaultSubtotal="0">
      <items count="24">
        <item x="0"/>
        <item x="11"/>
        <item x="6"/>
        <item x="8"/>
        <item x="10"/>
        <item x="3"/>
        <item x="1"/>
        <item m="1" x="22"/>
        <item m="1" x="21"/>
        <item x="4"/>
        <item m="1" x="23"/>
        <item m="1" x="20"/>
        <item x="14"/>
        <item x="19"/>
        <item x="2"/>
        <item x="5"/>
        <item x="7"/>
        <item x="9"/>
        <item x="12"/>
        <item x="13"/>
        <item x="15"/>
        <item x="16"/>
        <item x="17"/>
        <item x="18"/>
      </items>
    </pivotField>
    <pivotField dataField="1" compact="0" numFmtId="44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</pivotFields>
  <rowFields count="5">
    <field x="2"/>
    <field x="0"/>
    <field x="1"/>
    <field x="14"/>
    <field x="13"/>
  </rowFields>
  <rowItems count="52">
    <i>
      <x/>
      <x v="54"/>
      <x v="99"/>
      <x v="1"/>
      <x/>
    </i>
    <i>
      <x v="1"/>
      <x v="2"/>
      <x v="27"/>
      <x v="6"/>
      <x v="4"/>
    </i>
    <i r="1">
      <x v="3"/>
      <x v="90"/>
      <x v="14"/>
      <x v="7"/>
    </i>
    <i r="1">
      <x v="4"/>
      <x v="47"/>
      <x v="5"/>
      <x v="3"/>
    </i>
    <i r="1">
      <x v="6"/>
      <x v="92"/>
      <x v="15"/>
      <x v="5"/>
    </i>
    <i r="1">
      <x v="7"/>
      <x v="2"/>
      <x v="2"/>
      <x v="7"/>
    </i>
    <i r="1">
      <x v="8"/>
      <x v="91"/>
      <x v="16"/>
      <x v="6"/>
    </i>
    <i r="1">
      <x v="12"/>
      <x v="26"/>
      <x v="2"/>
      <x v="7"/>
    </i>
    <i r="1">
      <x v="17"/>
      <x v="49"/>
      <x v="18"/>
      <x v="7"/>
    </i>
    <i r="1">
      <x v="18"/>
      <x v="3"/>
      <x v="3"/>
      <x v="7"/>
    </i>
    <i r="1">
      <x v="26"/>
      <x v="83"/>
      <x v="20"/>
      <x v="7"/>
    </i>
    <i r="1">
      <x v="56"/>
      <x v="36"/>
      <x v="1"/>
      <x v="7"/>
    </i>
    <i r="1">
      <x v="82"/>
      <x/>
      <x v="1"/>
      <x v="7"/>
    </i>
    <i r="1">
      <x v="83"/>
      <x v="19"/>
      <x v="1"/>
      <x v="7"/>
    </i>
    <i r="1">
      <x v="88"/>
      <x v="93"/>
      <x v="1"/>
      <x v="7"/>
    </i>
    <i r="1">
      <x v="89"/>
      <x v="28"/>
      <x v="1"/>
      <x v="7"/>
    </i>
    <i r="1">
      <x v="90"/>
      <x v="39"/>
      <x v="1"/>
      <x v="7"/>
    </i>
    <i r="1">
      <x v="91"/>
      <x v="79"/>
      <x v="1"/>
      <x v="7"/>
    </i>
    <i>
      <x v="2"/>
      <x v="10"/>
      <x v="1"/>
      <x v="3"/>
      <x v="7"/>
    </i>
    <i r="1">
      <x v="15"/>
      <x v="98"/>
      <x v="1"/>
      <x v="7"/>
    </i>
    <i r="1">
      <x v="20"/>
      <x v="71"/>
      <x v="1"/>
      <x v="7"/>
    </i>
    <i>
      <x v="3"/>
      <x v="5"/>
      <x v="68"/>
      <x v="9"/>
      <x v="7"/>
    </i>
    <i r="1">
      <x v="9"/>
      <x v="59"/>
      <x v="9"/>
      <x v="7"/>
    </i>
    <i r="1">
      <x v="11"/>
      <x v="52"/>
      <x v="17"/>
      <x v="7"/>
    </i>
    <i r="1">
      <x v="14"/>
      <x v="70"/>
      <x v="4"/>
      <x v="7"/>
    </i>
    <i r="1">
      <x v="21"/>
      <x v="64"/>
      <x v="19"/>
      <x v="7"/>
    </i>
    <i r="1">
      <x v="25"/>
      <x v="60"/>
      <x v="12"/>
      <x v="7"/>
    </i>
    <i r="1">
      <x v="28"/>
      <x v="66"/>
      <x v="9"/>
      <x v="7"/>
    </i>
    <i r="1">
      <x v="29"/>
      <x v="61"/>
      <x v="9"/>
      <x v="7"/>
    </i>
    <i r="1">
      <x v="30"/>
      <x v="63"/>
      <x v="2"/>
      <x v="7"/>
    </i>
    <i r="1">
      <x v="31"/>
      <x v="67"/>
      <x v="2"/>
      <x v="7"/>
    </i>
    <i r="1">
      <x v="32"/>
      <x v="51"/>
      <x v="6"/>
      <x v="7"/>
    </i>
    <i r="1">
      <x v="33"/>
      <x v="50"/>
      <x v="21"/>
      <x v="7"/>
    </i>
    <i r="1">
      <x v="34"/>
      <x v="53"/>
      <x v="21"/>
      <x v="7"/>
    </i>
    <i r="1">
      <x v="39"/>
      <x v="54"/>
      <x v="22"/>
      <x v="7"/>
    </i>
    <i r="1">
      <x v="40"/>
      <x v="58"/>
      <x v="23"/>
      <x v="7"/>
    </i>
    <i r="1">
      <x v="60"/>
      <x v="55"/>
      <x v="4"/>
      <x v="7"/>
    </i>
    <i r="1">
      <x v="61"/>
      <x v="62"/>
      <x v="20"/>
      <x v="7"/>
    </i>
    <i r="1">
      <x v="62"/>
      <x v="65"/>
      <x v="12"/>
      <x v="7"/>
    </i>
    <i r="1">
      <x v="70"/>
      <x v="69"/>
      <x v="4"/>
      <x v="7"/>
    </i>
    <i>
      <x v="5"/>
      <x v="84"/>
      <x v="34"/>
      <x v="1"/>
      <x v="7"/>
    </i>
    <i r="1">
      <x v="86"/>
      <x v="78"/>
      <x v="13"/>
      <x v="7"/>
    </i>
    <i r="1">
      <x v="87"/>
      <x v="82"/>
      <x v="13"/>
      <x v="7"/>
    </i>
    <i>
      <x v="8"/>
      <x v="92"/>
      <x v="94"/>
      <x v="1"/>
      <x v="7"/>
    </i>
    <i>
      <x v="10"/>
      <x v="13"/>
      <x v="15"/>
      <x v="3"/>
      <x v="7"/>
    </i>
    <i>
      <x v="12"/>
      <x v="22"/>
      <x v="87"/>
      <x v="3"/>
      <x v="1"/>
    </i>
    <i r="1">
      <x v="24"/>
      <x v="86"/>
      <x v="2"/>
      <x v="7"/>
    </i>
    <i r="1">
      <x v="44"/>
      <x v="22"/>
      <x v="3"/>
      <x v="1"/>
    </i>
    <i r="1">
      <x v="63"/>
      <x v="23"/>
      <x v="4"/>
      <x v="2"/>
    </i>
    <i>
      <x v="14"/>
      <x v="19"/>
      <x v="18"/>
      <x v="3"/>
      <x v="7"/>
    </i>
    <i r="1">
      <x v="59"/>
      <x v="37"/>
      <x v="3"/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deal cost of parts on hand" fld="15" baseField="0" baseItem="0"/>
    <dataField name="Sum of Cost of excess material" fld="22" baseField="0" baseItem="0"/>
    <dataField name="Sum of Actual cost" fld="23" baseField="12" baseItem="8"/>
  </dataFields>
  <formats count="103">
    <format dxfId="936">
      <pivotArea field="14" type="button" dataOnly="0" labelOnly="1" outline="0" axis="axisRow" fieldPosition="3"/>
    </format>
    <format dxfId="935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934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933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932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931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930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929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928">
      <pivotArea grandRow="1" outline="0" collapsedLevelsAreSubtotals="1" fieldPosition="0"/>
    </format>
    <format dxfId="927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926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925">
      <pivotArea dataOnly="0" labelOnly="1" outline="0" fieldPosition="0">
        <references count="1">
          <reference field="1" count="0"/>
        </references>
      </pivotArea>
    </format>
    <format dxfId="924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14" count="1">
            <x v="1"/>
          </reference>
        </references>
      </pivotArea>
    </format>
    <format dxfId="923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922">
      <pivotArea dataOnly="0" labelOnly="1" outline="0" axis="axisValues" fieldPosition="0"/>
    </format>
    <format dxfId="921">
      <pivotArea outline="0" collapsedLevelsAreSubtotals="1" fieldPosition="0"/>
    </format>
    <format dxfId="9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19">
      <pivotArea dataOnly="0" outline="0" fieldPosition="0">
        <references count="1">
          <reference field="4294967294" count="1">
            <x v="1"/>
          </reference>
        </references>
      </pivotArea>
    </format>
    <format dxfId="918">
      <pivotArea field="2" type="button" dataOnly="0" labelOnly="1" outline="0" axis="axisRow" fieldPosition="0"/>
    </format>
    <format dxfId="917">
      <pivotArea field="0" type="button" dataOnly="0" labelOnly="1" outline="0" axis="axisRow" fieldPosition="1"/>
    </format>
    <format dxfId="916">
      <pivotArea field="1" type="button" dataOnly="0" labelOnly="1" outline="0" axis="axisRow" fieldPosition="2"/>
    </format>
    <format dxfId="915">
      <pivotArea field="14" type="button" dataOnly="0" labelOnly="1" outline="0" axis="axisRow" fieldPosition="3"/>
    </format>
    <format dxfId="9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13">
      <pivotArea dataOnly="0" labelOnly="1" outline="0" fieldPosition="0">
        <references count="3">
          <reference field="0" count="1" selected="0">
            <x v="8"/>
          </reference>
          <reference field="1" count="1">
            <x v="91"/>
          </reference>
          <reference field="2" count="1" selected="0">
            <x v="1"/>
          </reference>
        </references>
      </pivotArea>
    </format>
    <format dxfId="912">
      <pivotArea dataOnly="0" outline="0" fieldPosition="0">
        <references count="1">
          <reference field="4294967294" count="1">
            <x v="2"/>
          </reference>
        </references>
      </pivotArea>
    </format>
    <format dxfId="9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10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99"/>
          </reference>
          <reference field="2" count="1" selected="0">
            <x v="0"/>
          </reference>
          <reference field="14" count="1">
            <x v="1"/>
          </reference>
        </references>
      </pivotArea>
    </format>
    <format dxfId="90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4" count="1">
            <x v="6"/>
          </reference>
        </references>
      </pivotArea>
    </format>
    <format dxfId="90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90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4" count="1">
            <x v="5"/>
          </reference>
        </references>
      </pivotArea>
    </format>
    <format dxfId="906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4" count="1">
            <x v="7"/>
          </reference>
        </references>
      </pivotArea>
    </format>
    <format dxfId="905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904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4" count="1">
            <x v="9"/>
          </reference>
        </references>
      </pivotArea>
    </format>
    <format dxfId="903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4" count="1">
            <x v="3"/>
          </reference>
        </references>
      </pivotArea>
    </format>
    <format dxfId="902">
      <pivotArea dataOnly="0" labelOnly="1" outline="0" fieldPosition="0">
        <references count="4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4" count="1">
            <x v="10"/>
          </reference>
        </references>
      </pivotArea>
    </format>
    <format dxfId="901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4" count="1">
            <x v="1"/>
          </reference>
        </references>
      </pivotArea>
    </format>
    <format dxfId="900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4" count="1">
            <x v="3"/>
          </reference>
        </references>
      </pivotArea>
    </format>
    <format dxfId="899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98"/>
          </reference>
          <reference field="2" count="1" selected="0">
            <x v="2"/>
          </reference>
          <reference field="14" count="1">
            <x v="1"/>
          </reference>
        </references>
      </pivotArea>
    </format>
    <format dxfId="898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897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4" count="1">
            <x v="2"/>
          </reference>
        </references>
      </pivotArea>
    </format>
    <format dxfId="896">
      <pivotArea dataOnly="0" labelOnly="1" outline="0" fieldPosition="0">
        <references count="4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895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894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4" count="1">
            <x v="3"/>
          </reference>
        </references>
      </pivotArea>
    </format>
    <format dxfId="893">
      <pivotArea dataOnly="0" labelOnly="1" outline="0" fieldPosition="0">
        <references count="4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4" count="1">
            <x v="3"/>
          </reference>
        </references>
      </pivotArea>
    </format>
    <format dxfId="892">
      <pivotArea field="13" type="button" dataOnly="0" labelOnly="1" outline="0" axis="axisRow" fieldPosition="4"/>
    </format>
    <format dxfId="891">
      <pivotArea field="2" type="button" dataOnly="0" labelOnly="1" outline="0" axis="axisRow" fieldPosition="0"/>
    </format>
    <format dxfId="890">
      <pivotArea field="0" type="button" dataOnly="0" labelOnly="1" outline="0" axis="axisRow" fieldPosition="1"/>
    </format>
    <format dxfId="889">
      <pivotArea field="1" type="button" dataOnly="0" labelOnly="1" outline="0" axis="axisRow" fieldPosition="2"/>
    </format>
    <format dxfId="888">
      <pivotArea field="14" type="button" dataOnly="0" labelOnly="1" outline="0" axis="axisRow" fieldPosition="3"/>
    </format>
    <format dxfId="887">
      <pivotArea field="13" type="button" dataOnly="0" labelOnly="1" outline="0" axis="axisRow" fieldPosition="4"/>
    </format>
    <format dxfId="88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85">
      <pivotArea field="14" type="button" dataOnly="0" labelOnly="1" outline="0" axis="axisRow" fieldPosition="3"/>
    </format>
    <format dxfId="884">
      <pivotArea field="13" type="button" dataOnly="0" labelOnly="1" outline="0" axis="axisRow" fieldPosition="4"/>
    </format>
    <format dxfId="883">
      <pivotArea dataOnly="0" labelOnly="1" grandRow="1" outline="0" fieldPosition="0"/>
    </format>
    <format dxfId="882">
      <pivotArea dataOnly="0" labelOnly="1" outline="0" fieldPosition="0">
        <references count="5">
          <reference field="0" count="1" selected="0">
            <x v="54"/>
          </reference>
          <reference field="1" count="1" selected="0">
            <x v="99"/>
          </reference>
          <reference field="2" count="1" selected="0">
            <x v="0"/>
          </reference>
          <reference field="13" count="1">
            <x v="0"/>
          </reference>
          <reference field="14" count="1" selected="0">
            <x v="1"/>
          </reference>
        </references>
      </pivotArea>
    </format>
    <format dxfId="881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3" count="1">
            <x v="4"/>
          </reference>
          <reference field="14" count="1" selected="0">
            <x v="6"/>
          </reference>
        </references>
      </pivotArea>
    </format>
    <format dxfId="88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4"/>
          </reference>
        </references>
      </pivotArea>
    </format>
    <format dxfId="879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3" count="1">
            <x v="3"/>
          </reference>
          <reference field="14" count="1" selected="0">
            <x v="5"/>
          </reference>
        </references>
      </pivotArea>
    </format>
    <format dxfId="878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3" count="1">
            <x v="5"/>
          </reference>
          <reference field="14" count="1" selected="0">
            <x v="15"/>
          </reference>
        </references>
      </pivotArea>
    </format>
    <format dxfId="877">
      <pivotArea dataOnly="0" labelOnly="1" outline="0" fieldPosition="0">
        <references count="5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3" count="1">
            <x v="6"/>
          </reference>
          <reference field="14" count="1" selected="0">
            <x v="16"/>
          </reference>
        </references>
      </pivotArea>
    </format>
    <format dxfId="876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875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4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8"/>
          </reference>
        </references>
      </pivotArea>
    </format>
    <format dxfId="874">
      <pivotArea dataOnly="0" labelOnly="1" outline="0" fieldPosition="0">
        <references count="5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3"/>
          </reference>
        </references>
      </pivotArea>
    </format>
    <format dxfId="873">
      <pivotArea dataOnly="0" labelOnly="1" outline="0" fieldPosition="0">
        <references count="5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20"/>
          </reference>
        </references>
      </pivotArea>
    </format>
    <format dxfId="872">
      <pivotArea dataOnly="0" labelOnly="1" outline="0" fieldPosition="0">
        <references count="5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871">
      <pivotArea dataOnly="0" labelOnly="1" outline="0" fieldPosition="0">
        <references count="5">
          <reference field="0" count="1" selected="0">
            <x v="82"/>
          </reference>
          <reference field="1" count="1" selected="0">
            <x v="0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870">
      <pivotArea dataOnly="0" labelOnly="1" outline="0" fieldPosition="0">
        <references count="5">
          <reference field="0" count="1" selected="0">
            <x v="83"/>
          </reference>
          <reference field="1" count="1" selected="0">
            <x v="1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869">
      <pivotArea dataOnly="0" labelOnly="1" outline="0" fieldPosition="0">
        <references count="5">
          <reference field="0" count="1" selected="0">
            <x v="88"/>
          </reference>
          <reference field="1" count="1" selected="0">
            <x v="93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868">
      <pivotArea dataOnly="0" labelOnly="1" outline="0" fieldPosition="0">
        <references count="5">
          <reference field="0" count="1" selected="0">
            <x v="89"/>
          </reference>
          <reference field="1" count="1" selected="0">
            <x v="28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867">
      <pivotArea dataOnly="0" labelOnly="1" outline="0" fieldPosition="0">
        <references count="5">
          <reference field="0" count="1" selected="0">
            <x v="90"/>
          </reference>
          <reference field="1" count="1" selected="0">
            <x v="3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866">
      <pivotArea dataOnly="0" labelOnly="1" outline="0" fieldPosition="0">
        <references count="5">
          <reference field="0" count="1" selected="0">
            <x v="91"/>
          </reference>
          <reference field="1" count="1" selected="0">
            <x v="7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865">
      <pivotArea dataOnly="0" labelOnly="1" outline="0" fieldPosition="0">
        <references count="5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3" count="1">
            <x v="7"/>
          </reference>
          <reference field="14" count="1" selected="0">
            <x v="3"/>
          </reference>
        </references>
      </pivotArea>
    </format>
    <format dxfId="864">
      <pivotArea dataOnly="0" labelOnly="1" outline="0" fieldPosition="0">
        <references count="5">
          <reference field="0" count="1" selected="0">
            <x v="15"/>
          </reference>
          <reference field="1" count="1" selected="0">
            <x v="98"/>
          </reference>
          <reference field="2" count="1" selected="0">
            <x v="2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863">
      <pivotArea dataOnly="0" labelOnly="1" outline="0" fieldPosition="0">
        <references count="5">
          <reference field="0" count="1" selected="0">
            <x v="20"/>
          </reference>
          <reference field="1" count="1" selected="0">
            <x v="71"/>
          </reference>
          <reference field="2" count="1" selected="0">
            <x v="2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862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68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861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59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860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52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7"/>
          </reference>
        </references>
      </pivotArea>
    </format>
    <format dxfId="859">
      <pivotArea dataOnly="0" labelOnly="1" outline="0" fieldPosition="0">
        <references count="5">
          <reference field="0" count="1" selected="0">
            <x v="14"/>
          </reference>
          <reference field="1" count="1" selected="0">
            <x v="70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4"/>
          </reference>
        </references>
      </pivotArea>
    </format>
    <format dxfId="858">
      <pivotArea dataOnly="0" labelOnly="1" outline="0" fieldPosition="0">
        <references count="5">
          <reference field="0" count="1" selected="0">
            <x v="21"/>
          </reference>
          <reference field="1" count="1" selected="0">
            <x v="64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9"/>
          </reference>
        </references>
      </pivotArea>
    </format>
    <format dxfId="857">
      <pivotArea dataOnly="0" labelOnly="1" outline="0" fieldPosition="0">
        <references count="5">
          <reference field="0" count="1" selected="0">
            <x v="25"/>
          </reference>
          <reference field="1" count="1" selected="0">
            <x v="60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2"/>
          </reference>
        </references>
      </pivotArea>
    </format>
    <format dxfId="856">
      <pivotArea dataOnly="0" labelOnly="1" outline="0" fieldPosition="0">
        <references count="5">
          <reference field="0" count="1" selected="0">
            <x v="28"/>
          </reference>
          <reference field="1" count="1" selected="0">
            <x v="66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855">
      <pivotArea dataOnly="0" labelOnly="1" outline="0" fieldPosition="0">
        <references count="5">
          <reference field="0" count="1" selected="0">
            <x v="29"/>
          </reference>
          <reference field="1" count="1" selected="0">
            <x v="61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854">
      <pivotArea dataOnly="0" labelOnly="1" outline="0" fieldPosition="0">
        <references count="5">
          <reference field="0" count="1" selected="0">
            <x v="30"/>
          </reference>
          <reference field="1" count="1" selected="0">
            <x v="63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853">
      <pivotArea dataOnly="0" labelOnly="1" outline="0" fieldPosition="0">
        <references count="5">
          <reference field="0" count="1" selected="0">
            <x v="31"/>
          </reference>
          <reference field="1" count="1" selected="0">
            <x v="67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852">
      <pivotArea dataOnly="0" labelOnly="1" outline="0" fieldPosition="0">
        <references count="5">
          <reference field="0" count="1" selected="0">
            <x v="32"/>
          </reference>
          <reference field="1" count="1" selected="0">
            <x v="51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6"/>
          </reference>
        </references>
      </pivotArea>
    </format>
    <format dxfId="851">
      <pivotArea dataOnly="0" labelOnly="1" outline="0" fieldPosition="0">
        <references count="5">
          <reference field="0" count="1" selected="0">
            <x v="33"/>
          </reference>
          <reference field="1" count="1" selected="0">
            <x v="50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1"/>
          </reference>
        </references>
      </pivotArea>
    </format>
    <format dxfId="850">
      <pivotArea dataOnly="0" labelOnly="1" outline="0" fieldPosition="0">
        <references count="5">
          <reference field="0" count="1" selected="0">
            <x v="34"/>
          </reference>
          <reference field="1" count="1" selected="0">
            <x v="53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1"/>
          </reference>
        </references>
      </pivotArea>
    </format>
    <format dxfId="849">
      <pivotArea dataOnly="0" labelOnly="1" outline="0" fieldPosition="0">
        <references count="5">
          <reference field="0" count="1" selected="0">
            <x v="39"/>
          </reference>
          <reference field="1" count="1" selected="0">
            <x v="54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2"/>
          </reference>
        </references>
      </pivotArea>
    </format>
    <format dxfId="848">
      <pivotArea dataOnly="0" labelOnly="1" outline="0" fieldPosition="0">
        <references count="5">
          <reference field="0" count="1" selected="0">
            <x v="40"/>
          </reference>
          <reference field="1" count="1" selected="0">
            <x v="58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3"/>
          </reference>
        </references>
      </pivotArea>
    </format>
    <format dxfId="847">
      <pivotArea dataOnly="0" labelOnly="1" outline="0" fieldPosition="0">
        <references count="5">
          <reference field="0" count="1" selected="0">
            <x v="60"/>
          </reference>
          <reference field="1" count="1" selected="0">
            <x v="55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4"/>
          </reference>
        </references>
      </pivotArea>
    </format>
    <format dxfId="846">
      <pivotArea dataOnly="0" labelOnly="1" outline="0" fieldPosition="0">
        <references count="5">
          <reference field="0" count="1" selected="0">
            <x v="61"/>
          </reference>
          <reference field="1" count="1" selected="0">
            <x v="62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0"/>
          </reference>
        </references>
      </pivotArea>
    </format>
    <format dxfId="845">
      <pivotArea dataOnly="0" labelOnly="1" outline="0" fieldPosition="0">
        <references count="5">
          <reference field="0" count="1" selected="0">
            <x v="62"/>
          </reference>
          <reference field="1" count="1" selected="0">
            <x v="65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2"/>
          </reference>
        </references>
      </pivotArea>
    </format>
    <format dxfId="844">
      <pivotArea dataOnly="0" labelOnly="1" outline="0" fieldPosition="0">
        <references count="5">
          <reference field="0" count="1" selected="0">
            <x v="70"/>
          </reference>
          <reference field="1" count="1" selected="0">
            <x v="69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4"/>
          </reference>
        </references>
      </pivotArea>
    </format>
    <format dxfId="843">
      <pivotArea dataOnly="0" labelOnly="1" outline="0" fieldPosition="0">
        <references count="5">
          <reference field="0" count="1" selected="0">
            <x v="84"/>
          </reference>
          <reference field="1" count="1" selected="0">
            <x v="34"/>
          </reference>
          <reference field="2" count="1" selected="0">
            <x v="5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842">
      <pivotArea dataOnly="0" labelOnly="1" outline="0" fieldPosition="0">
        <references count="5">
          <reference field="0" count="1" selected="0">
            <x v="86"/>
          </reference>
          <reference field="1" count="1" selected="0">
            <x v="78"/>
          </reference>
          <reference field="2" count="1" selected="0">
            <x v="5"/>
          </reference>
          <reference field="13" count="1">
            <x v="7"/>
          </reference>
          <reference field="14" count="1" selected="0">
            <x v="13"/>
          </reference>
        </references>
      </pivotArea>
    </format>
    <format dxfId="841">
      <pivotArea dataOnly="0" labelOnly="1" outline="0" fieldPosition="0">
        <references count="5">
          <reference field="0" count="1" selected="0">
            <x v="87"/>
          </reference>
          <reference field="1" count="1" selected="0">
            <x v="82"/>
          </reference>
          <reference field="2" count="1" selected="0">
            <x v="5"/>
          </reference>
          <reference field="13" count="1">
            <x v="7"/>
          </reference>
          <reference field="14" count="1" selected="0">
            <x v="13"/>
          </reference>
        </references>
      </pivotArea>
    </format>
    <format dxfId="840">
      <pivotArea dataOnly="0" labelOnly="1" outline="0" fieldPosition="0">
        <references count="5">
          <reference field="0" count="1" selected="0">
            <x v="92"/>
          </reference>
          <reference field="1" count="1" selected="0">
            <x v="94"/>
          </reference>
          <reference field="2" count="1" selected="0">
            <x v="8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839">
      <pivotArea dataOnly="0" labelOnly="1" outline="0" fieldPosition="0">
        <references count="5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3" count="1">
            <x v="1"/>
          </reference>
          <reference field="14" count="1" selected="0">
            <x v="3"/>
          </reference>
        </references>
      </pivotArea>
    </format>
    <format dxfId="838">
      <pivotArea dataOnly="0" labelOnly="1" outline="0" fieldPosition="0">
        <references count="5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837">
      <pivotArea dataOnly="0" labelOnly="1" outline="0" fieldPosition="0">
        <references count="5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3" count="1">
            <x v="1"/>
          </reference>
          <reference field="14" count="1" selected="0">
            <x v="3"/>
          </reference>
        </references>
      </pivotArea>
    </format>
    <format dxfId="836">
      <pivotArea dataOnly="0" labelOnly="1" outline="0" fieldPosition="0">
        <references count="5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3" count="1">
            <x v="2"/>
          </reference>
          <reference field="14" count="1" selected="0">
            <x v="4"/>
          </reference>
        </references>
      </pivotArea>
    </format>
    <format dxfId="835">
      <pivotArea dataOnly="0" labelOnly="1" outline="0" fieldPosition="0">
        <references count="5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3" count="1">
            <x v="7"/>
          </reference>
          <reference field="14" count="1" selected="0">
            <x v="3"/>
          </reference>
        </references>
      </pivotArea>
    </format>
    <format dxfId="834">
      <pivotArea dataOnly="0" labelOnly="1" outline="0" fieldPosition="0">
        <references count="5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3" count="1">
            <x v="7"/>
          </reference>
          <reference field="14" count="1" selected="0">
            <x v="3"/>
          </reference>
        </references>
      </pivotArea>
    </format>
  </formats>
  <pivotTableStyleInfo name="PivotStyleLight16" showRowHeaders="0" showColHeaders="1" showRowStripes="1" showColStripes="0" showLastColumn="1"/>
  <filters count="1">
    <filter fld="14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AC635" totalsRowShown="0" headerRowDxfId="676" dataDxfId="675" headerRowCellStyle="Currency" dataCellStyle="Currency">
  <autoFilter ref="A3:AC635"/>
  <tableColumns count="29">
    <tableColumn id="1" name="Part Number" dataDxfId="674"/>
    <tableColumn id="2" name="Description" dataDxfId="673"/>
    <tableColumn id="3" name="Supplier" dataDxfId="672"/>
    <tableColumn id="4" name="Cost " dataDxfId="671" dataCellStyle="Currency"/>
    <tableColumn id="5" name="shipping" dataDxfId="670" dataCellStyle="Currency"/>
    <tableColumn id="6" name="Tax" dataDxfId="669" dataCellStyle="Currency">
      <calculatedColumnFormula>9%*Table1[[#This Row],[Cost ]]</calculatedColumnFormula>
    </tableColumn>
    <tableColumn id="7" name="Web-link" dataDxfId="668"/>
    <tableColumn id="9" name="Minimum order quantity" dataDxfId="667"/>
    <tableColumn id="8" name="Comments" dataDxfId="666"/>
    <tableColumn id="10" name="extended quantity" dataDxfId="665" dataCellStyle="Currency">
      <calculatedColumnFormula>SUMIF('Multi-level BOM'!D$4:D$467,Table1[[#This Row],[Part Number]],'Multi-level BOM'!H$4:H$467)</calculatedColumnFormula>
    </tableColumn>
    <tableColumn id="15" name="Ideal cost" dataDxfId="664" dataCellStyle="Currency">
      <calculatedColumnFormula>Table1[[#This Row],[extended quantity]]*(Table1[[#This Row],[Cost ]]+Table1[[#This Row],[shipping]]+Table1[[#This Row],[Tax]])</calculatedColumnFormula>
    </tableColumn>
    <tableColumn id="16" name="propose to buy now" dataDxfId="663" dataCellStyle="Currency">
      <calculatedColumnFormula>IF(Table1[[#This Row],[Buy-now costs]]&gt;0,"X","")</calculatedColumnFormula>
    </tableColumn>
    <tableColumn id="28" name="Quantity purchased" dataDxfId="662" dataCellStyle="Currency"/>
    <tableColumn id="29" name="Quantity donated" dataDxfId="661" dataCellStyle="Currency"/>
    <tableColumn id="17" name="quantity on-hand" dataDxfId="660" dataCellStyle="Currency"/>
    <tableColumn id="26" name="Ideal cost of parts on hand" dataDxfId="659" dataCellStyle="Currency">
      <calculatedColumnFormula>Table1[[#This Row],[quantity on-hand]]*(Table1[[#This Row],[Cost ]]+Table1[[#This Row],[shipping]]+Table1[[#This Row],[Tax]])</calculatedColumnFormula>
    </tableColumn>
    <tableColumn id="20" name="Quantity on order" dataDxfId="658" dataCellStyle="Currency"/>
    <tableColumn id="27" name="Ideal cost of parts on order" dataDxfId="657" dataCellStyle="Currency">
      <calculatedColumnFormula>Table1[[#This Row],[Quantity on order]]*(Table1[[#This Row],[Cost ]]+Table1[[#This Row],[shipping]]+Table1[[#This Row],[Tax]])</calculatedColumnFormula>
    </tableColumn>
    <tableColumn id="11" name="Quantity  to  purchase" dataDxfId="656" dataCellStyle="Currency">
      <calculatedColumnFormula>IFERROR(CEILING((Table1[[#This Row],[extended quantity]]-Table1[[#This Row],[quantity on-hand]]-Table1[[#This Row],[Quantity on order]])/Table1[[#This Row],[Minimum order quantity]],1)*Table1[[#This Row],[Minimum order quantity]],0)</calculatedColumnFormula>
    </tableColumn>
    <tableColumn id="12" name="leftover material" dataDxfId="655" dataCellStyle="Currency">
      <calculatedColumnFormula>Table1[[#This Row],[Quantity  to  purchase]]+Table1[[#This Row],[Quantity purchased]]+Table1[[#This Row],[Quantity on order]]+Table1[[#This Row],[Quantity donated]]-Table1[[#This Row],[extended quantity]]</calculatedColumnFormula>
    </tableColumn>
    <tableColumn id="22" name="Remaining ideal cost" dataDxfId="654" dataCellStyle="Currency">
      <calculatedColumnFormula>IF(Table1[[#This Row],[Quantity  to  purchase]]=0,0,(Table1[[#This Row],[extended quantity]]-Table1[[#This Row],[quantity on-hand]]-Table1[[#This Row],[Quantity on order]])*(Table1[[#This Row],[Cost ]]+Table1[[#This Row],[shipping]]+Table1[[#This Row],[Tax]]))</calculatedColumnFormula>
    </tableColumn>
    <tableColumn id="13" name="Remaining Extended cost" dataDxfId="653" dataCellStyle="Currency">
      <calculatedColumnFormula>IFERROR(Table1[[#This Row],[Quantity  to  purchase]]*(Table1[[#This Row],[Cost ]]+Table1[[#This Row],[shipping]]+Table1[[#This Row],[Tax]]),0)</calculatedColumnFormula>
    </tableColumn>
    <tableColumn id="14" name="Cost of excess material" dataDxfId="652" dataCellStyle="Currency">
      <calculatedColumnFormula>IFERROR(Table1[[#This Row],[leftover material]]*(Table1[[#This Row],[Cost ]]+Table1[[#This Row],[shipping]]+Table1[[#This Row],[Tax]]),0)</calculatedColumnFormula>
    </tableColumn>
    <tableColumn id="21" name="Actual cost" dataDxfId="651" dataCellStyle="Currency">
      <calculatedColumnFormula>IF(#REF!="x",0,"FRED")</calculatedColumnFormula>
    </tableColumn>
    <tableColumn id="23" name="Order date" dataDxfId="650" dataCellStyle="Currency"/>
    <tableColumn id="25" name="Due date" dataDxfId="649" dataCellStyle="Currency"/>
    <tableColumn id="24" name="received date" dataDxfId="648" dataCellStyle="Currency"/>
    <tableColumn id="19" name="comments2" dataDxfId="647" dataCellStyle="Currency"/>
    <tableColumn id="18" name="Buy-now costs" dataDxfId="646" dataCellStyle="Currency">
      <calculatedColumnFormula>IF(ISNA(VLOOKUP(Table1[[#This Row],[Part Number]],'Multi-level BOM'!V$4:V$449,1,FALSE)),0,Table1[[#This Row],[Remaining Extended cost]])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110302683830/?ProductCode=HFS5-2020-200" TargetMode="External"/><Relationship Id="rId13" Type="http://schemas.openxmlformats.org/officeDocument/2006/relationships/hyperlink" Target="http://www.charleysgreenhouse.com/B12900204-Heat-Saver-3-Wall-10mm---2--39-x-4--39.htm" TargetMode="External"/><Relationship Id="rId18" Type="http://schemas.openxmlformats.org/officeDocument/2006/relationships/hyperlink" Target="https://www.boltdepot.com/Product-Details.aspx?product=18967" TargetMode="External"/><Relationship Id="rId26" Type="http://schemas.openxmlformats.org/officeDocument/2006/relationships/hyperlink" Target="https://www.digikey.com/product-detail/en/molex/0190160043/WM6911CT-ND/3044913" TargetMode="External"/><Relationship Id="rId3" Type="http://schemas.openxmlformats.org/officeDocument/2006/relationships/hyperlink" Target="https://www.amazon.com/uxcell-Aluminum-12-13mm-Seamless-Straight/dp/B07YCHFN8F" TargetMode="External"/><Relationship Id="rId21" Type="http://schemas.openxmlformats.org/officeDocument/2006/relationships/hyperlink" Target="https://www.amazon.com/dp/B082F7B1QH" TargetMode="External"/><Relationship Id="rId7" Type="http://schemas.openxmlformats.org/officeDocument/2006/relationships/hyperlink" Target="https://www.amazon.com/Usongshine-Stepper-Bipolar-Extruder-17HS4023/dp/B07TY4BFF2" TargetMode="External"/><Relationship Id="rId12" Type="http://schemas.openxmlformats.org/officeDocument/2006/relationships/hyperlink" Target="https://www.aliexpress.com/item/4000088018308.html" TargetMode="External"/><Relationship Id="rId17" Type="http://schemas.openxmlformats.org/officeDocument/2006/relationships/hyperlink" Target="https://www.boltdepot.com/Product-Details.aspx?product=13639" TargetMode="External"/><Relationship Id="rId25" Type="http://schemas.openxmlformats.org/officeDocument/2006/relationships/hyperlink" Target="https://www.digikey.com/product-detail/en/omron-electronics-inc-emc-div/D2HW-C201H/SW1153-ND/1811903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www.midweststeelsupply.com/store/castaluminumplateatp5" TargetMode="External"/><Relationship Id="rId16" Type="http://schemas.openxmlformats.org/officeDocument/2006/relationships/hyperlink" Target="https://www.boltdepot.com/Product-Details.aspx?product=6532" TargetMode="External"/><Relationship Id="rId20" Type="http://schemas.openxmlformats.org/officeDocument/2006/relationships/hyperlink" Target="https://www.amazon.com/gp/product/B00W9A2L3S" TargetMode="External"/><Relationship Id="rId29" Type="http://schemas.openxmlformats.org/officeDocument/2006/relationships/hyperlink" Target="https://www.banggood.com/Machifit-500mm-Length-MGN15-Linear-Rail-Guide-with-MGN15H-Linear-Rail-Block-CNC-Tool-p-1239196.html?akmClientCountry=America&amp;cur_warehouse=US" TargetMode="External"/><Relationship Id="rId1" Type="http://schemas.openxmlformats.org/officeDocument/2006/relationships/hyperlink" Target="https://www.midweststeelsupply.com/store/castaluminumplateatp5" TargetMode="External"/><Relationship Id="rId6" Type="http://schemas.openxmlformats.org/officeDocument/2006/relationships/hyperlink" Target="https://www.midweststeelsupply.com/store/castaluminumplateatp5" TargetMode="External"/><Relationship Id="rId11" Type="http://schemas.openxmlformats.org/officeDocument/2006/relationships/hyperlink" Target="https://www.boltdepot.com/Product-Details.aspx?product=4793" TargetMode="External"/><Relationship Id="rId24" Type="http://schemas.openxmlformats.org/officeDocument/2006/relationships/hyperlink" Target="https://www.amazon.com/STEPPERONLINE-Bipolar-1-26Nm-178-4oz-4-lead/dp/B07DV91Z2M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www.amazon.com/PRECISION-METALS-251-010x4x10-Metal/dp/B004QB5Y3C" TargetMode="External"/><Relationship Id="rId15" Type="http://schemas.openxmlformats.org/officeDocument/2006/relationships/hyperlink" Target="http://www.zyltech.com/flexible-plum-coupler-shaft-various-combinations-from-5mm-to-12-7mm/" TargetMode="External"/><Relationship Id="rId23" Type="http://schemas.openxmlformats.org/officeDocument/2006/relationships/hyperlink" Target="https://www.onlinemetals.com/en/buy/angle?q=%3Aname-asc%3AAlloy%3A6061&amp;checkbox=on&amp;sort=name-asc" TargetMode="External"/><Relationship Id="rId28" Type="http://schemas.openxmlformats.org/officeDocument/2006/relationships/hyperlink" Target="https://www.mcmaster.com/8054t11-8054T053" TargetMode="External"/><Relationship Id="rId10" Type="http://schemas.openxmlformats.org/officeDocument/2006/relationships/hyperlink" Target="https://www.boltdepot.com/Product-Details.aspx?product=13641" TargetMode="External"/><Relationship Id="rId19" Type="http://schemas.openxmlformats.org/officeDocument/2006/relationships/hyperlink" Target="https://www.amazon.com/BALITENSEN-Timing-Pulley-printer-20teeth/dp/B079BNZDRZ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www.midweststeelsupply.com/store/castaluminumplateatp5" TargetMode="External"/><Relationship Id="rId9" Type="http://schemas.openxmlformats.org/officeDocument/2006/relationships/hyperlink" Target="https://www.boltdepot.com/Product-Details.aspx?product=13345" TargetMode="External"/><Relationship Id="rId14" Type="http://schemas.openxmlformats.org/officeDocument/2006/relationships/hyperlink" Target="https://www.amazon.com/Wisamic-310x310mm-Silicone-Rubber-Printer/dp/B07C7KBGBB" TargetMode="External"/><Relationship Id="rId22" Type="http://schemas.openxmlformats.org/officeDocument/2006/relationships/hyperlink" Target="https://www.amazon.com/EAGWELL-Universal-Regulated-Switching-Computer/dp/B01IOK5FM0" TargetMode="External"/><Relationship Id="rId27" Type="http://schemas.openxmlformats.org/officeDocument/2006/relationships/hyperlink" Target="https://www.digikey.com/product-detail/en/3m/12-10/3M156232-ND/3837440" TargetMode="External"/><Relationship Id="rId30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"/>
  <sheetViews>
    <sheetView workbookViewId="0">
      <selection activeCell="B12" sqref="B12"/>
    </sheetView>
  </sheetViews>
  <sheetFormatPr defaultRowHeight="15" x14ac:dyDescent="0.25"/>
  <cols>
    <col min="1" max="1" width="18.85546875" customWidth="1"/>
    <col min="2" max="2" width="14.5703125" customWidth="1"/>
    <col min="3" max="4" width="14.5703125" style="61" customWidth="1"/>
    <col min="5" max="5" width="105.42578125" customWidth="1"/>
  </cols>
  <sheetData>
    <row r="1" spans="1:5" ht="57.75" x14ac:dyDescent="0.25">
      <c r="B1" s="92" t="s">
        <v>1085</v>
      </c>
      <c r="C1" s="92" t="s">
        <v>1087</v>
      </c>
      <c r="D1" s="92" t="s">
        <v>1084</v>
      </c>
      <c r="E1" s="66" t="s">
        <v>1088</v>
      </c>
    </row>
    <row r="2" spans="1:5" x14ac:dyDescent="0.25">
      <c r="A2" t="s">
        <v>1083</v>
      </c>
      <c r="B2" s="65">
        <f>Parts!K2</f>
        <v>1974.8073070589467</v>
      </c>
      <c r="C2" s="65">
        <f>Parts!W2</f>
        <v>166.52507926453279</v>
      </c>
      <c r="D2" s="65">
        <f>SUM(D4:D6)</f>
        <v>1878.9599199999996</v>
      </c>
    </row>
    <row r="4" spans="1:5" x14ac:dyDescent="0.25">
      <c r="A4" t="s">
        <v>1086</v>
      </c>
      <c r="B4" s="65">
        <f>GETPIVOTDATA("Sum of Ideal cost of parts on hand",'Parts on-hand'!$A$3)</f>
        <v>838.41595529776043</v>
      </c>
      <c r="C4" s="65">
        <f>GETPIVOTDATA("Sum of Cost of excess material",'Parts on-hand'!$A$3)</f>
        <v>66.059315764532812</v>
      </c>
      <c r="D4" s="93">
        <f>GETPIVOTDATA("Sum of Actual cost",'Parts on-hand'!$A$3)</f>
        <v>644.61861999999996</v>
      </c>
      <c r="E4" s="65"/>
    </row>
    <row r="5" spans="1:5" x14ac:dyDescent="0.25">
      <c r="A5" t="s">
        <v>1089</v>
      </c>
      <c r="B5" s="65">
        <f>GETPIVOTDATA("Sum of Ideal cost of parts on order",'Parts on-order'!$A$3)</f>
        <v>47.96</v>
      </c>
      <c r="C5" s="65">
        <f>GETPIVOTDATA("Sum of Cost of excess material",'Parts on-order'!$A$3)</f>
        <v>0</v>
      </c>
      <c r="D5" s="65">
        <f>B5+C5</f>
        <v>47.96</v>
      </c>
    </row>
    <row r="6" spans="1:5" x14ac:dyDescent="0.25">
      <c r="A6" t="s">
        <v>1090</v>
      </c>
      <c r="B6" s="93">
        <f>GETPIVOTDATA("Sum of Remaining ideal cost",'Not yet ordered'!$A$4)</f>
        <v>1082.9747164999997</v>
      </c>
      <c r="C6" s="93">
        <f>GETPIVOTDATA("Sum of Cost of excess material",'Not yet ordered'!$A$4)</f>
        <v>103.40658350000001</v>
      </c>
      <c r="D6" s="93">
        <f>B6+C6</f>
        <v>1186.3812999999996</v>
      </c>
    </row>
    <row r="10" spans="1:5" x14ac:dyDescent="0.25">
      <c r="B10" s="65"/>
    </row>
    <row r="15" spans="1:5" x14ac:dyDescent="0.25">
      <c r="B15" s="65"/>
    </row>
  </sheetData>
  <pageMargins left="0.7" right="0.7" top="0.75" bottom="0.75" header="0.3" footer="0.3"/>
  <pageSetup scale="7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7" sqref="C7"/>
    </sheetView>
  </sheetViews>
  <sheetFormatPr defaultColWidth="9.140625" defaultRowHeight="15" x14ac:dyDescent="0.25"/>
  <cols>
    <col min="1" max="1" width="14.85546875" style="61" customWidth="1"/>
    <col min="2" max="2" width="10.28515625" style="61" customWidth="1"/>
    <col min="3" max="3" width="44.42578125" style="64" customWidth="1"/>
    <col min="4" max="4" width="9.5703125" style="2" customWidth="1"/>
    <col min="5" max="5" width="10.7109375" style="1" customWidth="1"/>
    <col min="6" max="6" width="10.140625" style="61" customWidth="1"/>
    <col min="7" max="7" width="9.85546875" style="86" customWidth="1"/>
    <col min="8" max="8" width="11.28515625" style="61" customWidth="1"/>
    <col min="9" max="9" width="8.5703125" style="61" customWidth="1"/>
    <col min="10" max="10" width="13.85546875" style="61" customWidth="1"/>
    <col min="11" max="11" width="10" style="61" customWidth="1"/>
    <col min="12" max="16384" width="9.140625" style="61"/>
  </cols>
  <sheetData>
    <row r="1" spans="1:12" ht="18.75" x14ac:dyDescent="0.3">
      <c r="A1" s="72" t="s">
        <v>1065</v>
      </c>
    </row>
    <row r="2" spans="1:12" ht="18.75" x14ac:dyDescent="0.3">
      <c r="A2" s="72"/>
    </row>
    <row r="3" spans="1:12" x14ac:dyDescent="0.25">
      <c r="A3" s="75" t="s">
        <v>915</v>
      </c>
      <c r="B3" s="2" t="s">
        <v>1066</v>
      </c>
    </row>
    <row r="5" spans="1:12" s="63" customFormat="1" ht="60" x14ac:dyDescent="0.25">
      <c r="A5" s="70" t="s">
        <v>3</v>
      </c>
      <c r="B5" s="70" t="s">
        <v>1</v>
      </c>
      <c r="C5" s="79" t="s">
        <v>2</v>
      </c>
      <c r="D5" s="74" t="s">
        <v>869</v>
      </c>
      <c r="E5" s="70" t="s">
        <v>694</v>
      </c>
      <c r="F5" s="70" t="s">
        <v>1067</v>
      </c>
      <c r="G5" s="85" t="s">
        <v>1068</v>
      </c>
      <c r="H5" s="75" t="s">
        <v>652</v>
      </c>
      <c r="I5" s="75" t="s">
        <v>653</v>
      </c>
      <c r="J5" s="75" t="s">
        <v>4</v>
      </c>
      <c r="K5" s="98" t="s">
        <v>1064</v>
      </c>
      <c r="L5" s="78" t="s">
        <v>1060</v>
      </c>
    </row>
    <row r="6" spans="1:12" s="2" customFormat="1" ht="45" x14ac:dyDescent="0.25">
      <c r="A6" s="76" t="s">
        <v>847</v>
      </c>
      <c r="B6" s="2" t="s">
        <v>60</v>
      </c>
      <c r="C6" s="98" t="s">
        <v>846</v>
      </c>
      <c r="D6" s="2">
        <v>0</v>
      </c>
      <c r="E6" s="38">
        <v>1</v>
      </c>
      <c r="F6" s="2">
        <v>1</v>
      </c>
      <c r="G6" s="2">
        <v>48.96</v>
      </c>
      <c r="H6" s="2">
        <v>10</v>
      </c>
      <c r="I6" s="77">
        <v>0</v>
      </c>
      <c r="J6" s="2" t="s">
        <v>848</v>
      </c>
      <c r="K6" s="78">
        <v>58.96</v>
      </c>
      <c r="L6" s="78">
        <v>0</v>
      </c>
    </row>
    <row r="7" spans="1:12" s="2" customFormat="1" ht="60" x14ac:dyDescent="0.25">
      <c r="A7" s="76"/>
      <c r="B7" s="2" t="s">
        <v>62</v>
      </c>
      <c r="C7" s="98" t="s">
        <v>853</v>
      </c>
      <c r="D7" s="2">
        <v>0</v>
      </c>
      <c r="E7" s="38">
        <v>1</v>
      </c>
      <c r="F7" s="2">
        <v>1</v>
      </c>
      <c r="G7" s="2">
        <v>69.08</v>
      </c>
      <c r="H7" s="2">
        <v>10</v>
      </c>
      <c r="I7" s="77">
        <v>0</v>
      </c>
      <c r="J7" s="2" t="s">
        <v>850</v>
      </c>
      <c r="K7" s="78">
        <v>79.08</v>
      </c>
      <c r="L7" s="78">
        <v>0</v>
      </c>
    </row>
    <row r="8" spans="1:12" s="2" customFormat="1" x14ac:dyDescent="0.25">
      <c r="A8" s="2" t="s">
        <v>1000</v>
      </c>
      <c r="B8" s="2" t="s">
        <v>92</v>
      </c>
      <c r="C8" s="80" t="s">
        <v>1023</v>
      </c>
      <c r="D8" s="2">
        <v>0</v>
      </c>
      <c r="E8" s="38">
        <v>4</v>
      </c>
      <c r="F8" s="2">
        <v>4</v>
      </c>
      <c r="G8" s="77">
        <v>2.84</v>
      </c>
      <c r="H8" s="2">
        <v>0</v>
      </c>
      <c r="I8" s="77">
        <v>0.25559999999999999</v>
      </c>
      <c r="J8" s="2" t="s">
        <v>1022</v>
      </c>
      <c r="K8" s="78">
        <v>12.382399999999999</v>
      </c>
      <c r="L8" s="78">
        <v>0</v>
      </c>
    </row>
    <row r="9" spans="1:12" s="2" customFormat="1" x14ac:dyDescent="0.25">
      <c r="A9" s="2" t="s">
        <v>648</v>
      </c>
      <c r="B9" s="2" t="s">
        <v>7</v>
      </c>
      <c r="C9" s="98" t="s">
        <v>720</v>
      </c>
      <c r="D9" s="2">
        <v>0</v>
      </c>
      <c r="E9" s="38">
        <v>1</v>
      </c>
      <c r="F9" s="2">
        <v>1</v>
      </c>
      <c r="G9" s="2">
        <v>106.51</v>
      </c>
      <c r="H9" s="2">
        <v>30.925000000000001</v>
      </c>
      <c r="I9" s="77">
        <v>0</v>
      </c>
      <c r="J9" s="2" t="s">
        <v>649</v>
      </c>
      <c r="K9" s="78">
        <v>137.435</v>
      </c>
      <c r="L9" s="78">
        <v>0</v>
      </c>
    </row>
    <row r="10" spans="1:12" s="2" customFormat="1" x14ac:dyDescent="0.25">
      <c r="B10" s="2" t="s">
        <v>8</v>
      </c>
      <c r="C10" s="98" t="s">
        <v>721</v>
      </c>
      <c r="D10" s="2">
        <v>0</v>
      </c>
      <c r="E10" s="38">
        <v>1</v>
      </c>
      <c r="F10" s="2">
        <v>1</v>
      </c>
      <c r="G10" s="2">
        <v>65.510000000000005</v>
      </c>
      <c r="H10" s="2">
        <v>30.925000000000001</v>
      </c>
      <c r="I10" s="77">
        <v>0</v>
      </c>
      <c r="J10" s="2" t="s">
        <v>649</v>
      </c>
      <c r="K10" s="78">
        <v>96.435000000000002</v>
      </c>
      <c r="L10" s="78">
        <v>0</v>
      </c>
    </row>
    <row r="11" spans="1:12" s="2" customFormat="1" x14ac:dyDescent="0.25">
      <c r="A11" s="2" t="s">
        <v>1058</v>
      </c>
      <c r="K11" s="78">
        <v>384.29239999999999</v>
      </c>
      <c r="L11" s="78">
        <v>0</v>
      </c>
    </row>
    <row r="12" spans="1:12" s="2" customFormat="1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2" s="2" customForma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s="2" customForma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s="2" customForma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s="2" customForma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s="2" customForma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s="2" customForma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s="2" customForma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7"/>
  <sheetViews>
    <sheetView tabSelected="1" workbookViewId="0">
      <selection activeCell="B24" sqref="B24"/>
    </sheetView>
  </sheetViews>
  <sheetFormatPr defaultColWidth="9.140625" defaultRowHeight="15" x14ac:dyDescent="0.25"/>
  <cols>
    <col min="1" max="1" width="22" style="61" bestFit="1" customWidth="1"/>
    <col min="2" max="2" width="58.85546875" style="61" customWidth="1"/>
    <col min="3" max="3" width="16.85546875" style="66" customWidth="1"/>
    <col min="4" max="4" width="10" style="68" customWidth="1"/>
    <col min="5" max="5" width="9.28515625" style="68" customWidth="1"/>
    <col min="6" max="6" width="16" style="68" customWidth="1"/>
    <col min="7" max="7" width="11.7109375" style="68" customWidth="1"/>
    <col min="8" max="8" width="12.42578125" style="61" customWidth="1"/>
    <col min="9" max="9" width="12.5703125" style="61" customWidth="1"/>
    <col min="10" max="16384" width="9.140625" style="61"/>
  </cols>
  <sheetData>
    <row r="1" spans="1:10" ht="18.75" x14ac:dyDescent="0.3">
      <c r="A1" s="72" t="s">
        <v>1061</v>
      </c>
      <c r="B1"/>
    </row>
    <row r="2" spans="1:10" x14ac:dyDescent="0.25">
      <c r="A2"/>
      <c r="B2"/>
    </row>
    <row r="3" spans="1:10" x14ac:dyDescent="0.25">
      <c r="A3"/>
      <c r="B3"/>
    </row>
    <row r="4" spans="1:10" s="63" customFormat="1" ht="62.25" customHeight="1" x14ac:dyDescent="0.25">
      <c r="A4" s="70" t="s">
        <v>3</v>
      </c>
      <c r="B4" s="70" t="s">
        <v>2</v>
      </c>
      <c r="C4" s="70" t="s">
        <v>1</v>
      </c>
      <c r="D4" s="70" t="s">
        <v>694</v>
      </c>
      <c r="E4" s="74" t="s">
        <v>869</v>
      </c>
      <c r="F4" s="70" t="s">
        <v>1053</v>
      </c>
      <c r="G4" s="70" t="s">
        <v>1067</v>
      </c>
      <c r="H4" s="98" t="s">
        <v>1092</v>
      </c>
      <c r="I4" s="98" t="s">
        <v>1060</v>
      </c>
      <c r="J4"/>
    </row>
    <row r="5" spans="1:10" x14ac:dyDescent="0.25">
      <c r="A5" s="23" t="s">
        <v>847</v>
      </c>
      <c r="B5" s="66" t="s">
        <v>902</v>
      </c>
      <c r="C5" s="61" t="s">
        <v>57</v>
      </c>
      <c r="D5" s="84">
        <v>1</v>
      </c>
      <c r="E5" s="61">
        <v>0</v>
      </c>
      <c r="F5" s="61">
        <v>0</v>
      </c>
      <c r="G5" s="68">
        <v>1</v>
      </c>
      <c r="H5" s="65">
        <v>56.913899999999998</v>
      </c>
      <c r="I5" s="65">
        <v>0</v>
      </c>
      <c r="J5"/>
    </row>
    <row r="6" spans="1:10" x14ac:dyDescent="0.25">
      <c r="A6" s="23"/>
      <c r="B6" s="66" t="s">
        <v>996</v>
      </c>
      <c r="C6" s="61" t="s">
        <v>79</v>
      </c>
      <c r="D6" s="84">
        <v>1</v>
      </c>
      <c r="E6" s="61">
        <v>0</v>
      </c>
      <c r="F6" s="61">
        <v>0</v>
      </c>
      <c r="G6" s="68">
        <v>1</v>
      </c>
      <c r="H6" s="65">
        <v>63.64</v>
      </c>
      <c r="I6" s="65">
        <v>0</v>
      </c>
      <c r="J6"/>
    </row>
    <row r="7" spans="1:10" ht="45" x14ac:dyDescent="0.25">
      <c r="A7" s="23"/>
      <c r="B7" s="99" t="s">
        <v>853</v>
      </c>
      <c r="C7" s="61" t="s">
        <v>62</v>
      </c>
      <c r="D7" s="84">
        <v>1</v>
      </c>
      <c r="E7" s="61">
        <v>0</v>
      </c>
      <c r="F7" s="61">
        <v>0</v>
      </c>
      <c r="G7" s="68">
        <v>1</v>
      </c>
      <c r="H7" s="65">
        <v>79.08</v>
      </c>
      <c r="I7" s="65">
        <v>0</v>
      </c>
      <c r="J7"/>
    </row>
    <row r="8" spans="1:10" ht="45" x14ac:dyDescent="0.25">
      <c r="A8" s="23"/>
      <c r="B8" s="99" t="s">
        <v>846</v>
      </c>
      <c r="C8" s="61" t="s">
        <v>60</v>
      </c>
      <c r="D8" s="84">
        <v>1</v>
      </c>
      <c r="E8" s="61">
        <v>0</v>
      </c>
      <c r="F8" s="61">
        <v>0</v>
      </c>
      <c r="G8" s="68">
        <v>1</v>
      </c>
      <c r="H8" s="65">
        <v>58.96</v>
      </c>
      <c r="I8" s="65">
        <v>0</v>
      </c>
      <c r="J8"/>
    </row>
    <row r="9" spans="1:10" x14ac:dyDescent="0.25">
      <c r="A9" s="23" t="s">
        <v>656</v>
      </c>
      <c r="B9" s="66" t="s">
        <v>1044</v>
      </c>
      <c r="C9" s="61" t="s">
        <v>103</v>
      </c>
      <c r="D9" s="84">
        <v>1</v>
      </c>
      <c r="E9" s="61">
        <v>0</v>
      </c>
      <c r="F9" s="61">
        <v>0</v>
      </c>
      <c r="G9" s="68">
        <v>1</v>
      </c>
      <c r="H9" s="65">
        <v>7.5536999999999992</v>
      </c>
      <c r="I9" s="65">
        <v>0</v>
      </c>
      <c r="J9"/>
    </row>
    <row r="10" spans="1:10" x14ac:dyDescent="0.25">
      <c r="A10" s="23"/>
      <c r="B10" s="66" t="s">
        <v>1043</v>
      </c>
      <c r="C10" s="61" t="s">
        <v>102</v>
      </c>
      <c r="D10" s="84">
        <v>1</v>
      </c>
      <c r="E10" s="61">
        <v>0</v>
      </c>
      <c r="F10" s="61">
        <v>0</v>
      </c>
      <c r="G10" s="68">
        <v>1</v>
      </c>
      <c r="H10" s="65">
        <v>7.4228999999999994</v>
      </c>
      <c r="I10" s="65">
        <v>0</v>
      </c>
      <c r="J10"/>
    </row>
    <row r="11" spans="1:10" x14ac:dyDescent="0.25">
      <c r="A11" s="23"/>
      <c r="B11" s="66" t="s">
        <v>817</v>
      </c>
      <c r="C11" s="61" t="s">
        <v>48</v>
      </c>
      <c r="D11" s="84">
        <v>8</v>
      </c>
      <c r="E11" s="61">
        <v>0</v>
      </c>
      <c r="F11" s="61">
        <v>0</v>
      </c>
      <c r="G11" s="68">
        <v>8</v>
      </c>
      <c r="H11" s="65">
        <v>23.958200000000001</v>
      </c>
      <c r="I11" s="65">
        <v>0</v>
      </c>
      <c r="J11"/>
    </row>
    <row r="12" spans="1:10" x14ac:dyDescent="0.25">
      <c r="A12" s="23"/>
      <c r="B12" s="66" t="s">
        <v>1036</v>
      </c>
      <c r="C12" s="61" t="s">
        <v>100</v>
      </c>
      <c r="D12" s="84">
        <v>1</v>
      </c>
      <c r="E12" s="61">
        <v>0</v>
      </c>
      <c r="F12" s="61">
        <v>0</v>
      </c>
      <c r="G12" s="68">
        <v>200</v>
      </c>
      <c r="H12" s="65">
        <v>3.2645500000000001E-2</v>
      </c>
      <c r="I12" s="65">
        <v>6.4964545000000005</v>
      </c>
      <c r="J12"/>
    </row>
    <row r="13" spans="1:10" x14ac:dyDescent="0.25">
      <c r="A13" s="23"/>
      <c r="B13" s="67" t="s">
        <v>654</v>
      </c>
      <c r="C13" s="61" t="s">
        <v>9</v>
      </c>
      <c r="D13" s="84">
        <v>28</v>
      </c>
      <c r="E13" s="61">
        <v>20</v>
      </c>
      <c r="F13" s="61">
        <v>0</v>
      </c>
      <c r="G13" s="68">
        <v>10</v>
      </c>
      <c r="H13" s="65">
        <v>11.76328</v>
      </c>
      <c r="I13" s="65">
        <v>2.94082</v>
      </c>
      <c r="J13"/>
    </row>
    <row r="14" spans="1:10" x14ac:dyDescent="0.25">
      <c r="A14" s="23"/>
      <c r="B14" s="66" t="s">
        <v>1012</v>
      </c>
      <c r="C14" s="61" t="s">
        <v>86</v>
      </c>
      <c r="D14" s="84">
        <v>1</v>
      </c>
      <c r="E14" s="61">
        <v>0</v>
      </c>
      <c r="F14" s="61">
        <v>0</v>
      </c>
      <c r="G14" s="68">
        <v>2</v>
      </c>
      <c r="H14" s="65">
        <v>5.1175500000000005</v>
      </c>
      <c r="I14" s="65">
        <v>5.1175500000000005</v>
      </c>
      <c r="J14"/>
    </row>
    <row r="15" spans="1:10" x14ac:dyDescent="0.25">
      <c r="A15" s="23"/>
      <c r="B15" s="66" t="s">
        <v>1011</v>
      </c>
      <c r="C15" s="61" t="s">
        <v>85</v>
      </c>
      <c r="D15" s="84">
        <v>1</v>
      </c>
      <c r="E15" s="61">
        <v>0</v>
      </c>
      <c r="F15" s="61">
        <v>0</v>
      </c>
      <c r="G15" s="68">
        <v>2</v>
      </c>
      <c r="H15" s="65">
        <v>5.9895500000000004</v>
      </c>
      <c r="I15" s="65">
        <v>5.9895500000000004</v>
      </c>
      <c r="J15"/>
    </row>
    <row r="16" spans="1:10" ht="30" x14ac:dyDescent="0.25">
      <c r="A16" s="23"/>
      <c r="B16" s="66" t="s">
        <v>975</v>
      </c>
      <c r="C16" s="61" t="s">
        <v>64</v>
      </c>
      <c r="D16" s="84">
        <v>1</v>
      </c>
      <c r="E16" s="61">
        <v>0</v>
      </c>
      <c r="F16" s="61">
        <v>0</v>
      </c>
      <c r="G16" s="68">
        <v>1</v>
      </c>
      <c r="H16" s="65">
        <v>15.2491</v>
      </c>
      <c r="I16" s="65">
        <v>0</v>
      </c>
      <c r="J16"/>
    </row>
    <row r="17" spans="1:10" x14ac:dyDescent="0.25">
      <c r="A17" s="23"/>
      <c r="B17" s="66" t="s">
        <v>831</v>
      </c>
      <c r="C17" s="61" t="s">
        <v>53</v>
      </c>
      <c r="D17" s="84">
        <v>1</v>
      </c>
      <c r="E17" s="61">
        <v>0</v>
      </c>
      <c r="F17" s="61">
        <v>0</v>
      </c>
      <c r="G17" s="68">
        <v>2</v>
      </c>
      <c r="H17" s="65">
        <v>37.169000000000004</v>
      </c>
      <c r="I17" s="65">
        <v>37.169000000000004</v>
      </c>
      <c r="J17"/>
    </row>
    <row r="18" spans="1:10" x14ac:dyDescent="0.25">
      <c r="A18" s="23"/>
      <c r="B18" s="66"/>
      <c r="C18" s="61" t="s">
        <v>54</v>
      </c>
      <c r="D18" s="84">
        <v>4</v>
      </c>
      <c r="E18" s="61">
        <v>0</v>
      </c>
      <c r="F18" s="61">
        <v>0</v>
      </c>
      <c r="G18" s="68">
        <v>4</v>
      </c>
      <c r="H18" s="65">
        <v>74.338000000000008</v>
      </c>
      <c r="I18" s="65">
        <v>0</v>
      </c>
      <c r="J18"/>
    </row>
    <row r="19" spans="1:10" ht="30" x14ac:dyDescent="0.25">
      <c r="A19" s="23"/>
      <c r="B19" s="66" t="s">
        <v>836</v>
      </c>
      <c r="C19" s="61" t="s">
        <v>56</v>
      </c>
      <c r="D19" s="84">
        <v>1</v>
      </c>
      <c r="E19" s="61">
        <v>0</v>
      </c>
      <c r="F19" s="61">
        <v>0</v>
      </c>
      <c r="G19" s="68">
        <v>2</v>
      </c>
      <c r="H19" s="65">
        <v>11.979100000000001</v>
      </c>
      <c r="I19" s="65">
        <v>11.979100000000001</v>
      </c>
      <c r="J19"/>
    </row>
    <row r="20" spans="1:10" ht="30" x14ac:dyDescent="0.25">
      <c r="A20" s="23"/>
      <c r="B20" s="66" t="s">
        <v>838</v>
      </c>
      <c r="C20" s="61" t="s">
        <v>58</v>
      </c>
      <c r="D20" s="84">
        <v>1</v>
      </c>
      <c r="E20" s="61">
        <v>0</v>
      </c>
      <c r="F20" s="61">
        <v>0</v>
      </c>
      <c r="G20" s="68">
        <v>1</v>
      </c>
      <c r="H20" s="65">
        <v>25.059099999999997</v>
      </c>
      <c r="I20" s="65">
        <v>0</v>
      </c>
      <c r="J20"/>
    </row>
    <row r="21" spans="1:10" x14ac:dyDescent="0.25">
      <c r="A21" s="23"/>
      <c r="B21" s="66" t="s">
        <v>1041</v>
      </c>
      <c r="C21" s="61" t="s">
        <v>104</v>
      </c>
      <c r="D21" s="84">
        <v>1</v>
      </c>
      <c r="E21" s="61">
        <v>0</v>
      </c>
      <c r="F21" s="61">
        <v>0</v>
      </c>
      <c r="G21" s="68">
        <v>1</v>
      </c>
      <c r="H21" s="65">
        <v>9.4829999999999988</v>
      </c>
      <c r="I21" s="65">
        <v>0</v>
      </c>
      <c r="J21"/>
    </row>
    <row r="22" spans="1:10" ht="30" x14ac:dyDescent="0.25">
      <c r="A22" s="23"/>
      <c r="B22" s="66" t="s">
        <v>1038</v>
      </c>
      <c r="C22" s="61" t="s">
        <v>101</v>
      </c>
      <c r="D22" s="84">
        <v>1</v>
      </c>
      <c r="E22" s="61">
        <v>0</v>
      </c>
      <c r="F22" s="61">
        <v>0</v>
      </c>
      <c r="G22" s="68">
        <v>100</v>
      </c>
      <c r="H22" s="65">
        <v>9.7991000000000009E-2</v>
      </c>
      <c r="I22" s="65">
        <v>9.7011090000000006</v>
      </c>
      <c r="J22"/>
    </row>
    <row r="23" spans="1:10" ht="30" x14ac:dyDescent="0.25">
      <c r="A23" s="23"/>
      <c r="B23" s="66" t="s">
        <v>841</v>
      </c>
      <c r="C23" s="61" t="s">
        <v>59</v>
      </c>
      <c r="D23" s="84">
        <v>1</v>
      </c>
      <c r="E23" s="61">
        <v>0</v>
      </c>
      <c r="F23" s="61">
        <v>0</v>
      </c>
      <c r="G23" s="68">
        <v>1</v>
      </c>
      <c r="H23" s="65">
        <v>9.6464999999999996</v>
      </c>
      <c r="I23" s="65">
        <v>0</v>
      </c>
      <c r="J23"/>
    </row>
    <row r="24" spans="1:10" ht="30" x14ac:dyDescent="0.25">
      <c r="A24" s="23"/>
      <c r="B24" s="66" t="s">
        <v>833</v>
      </c>
      <c r="C24" s="61" t="s">
        <v>55</v>
      </c>
      <c r="D24" s="84">
        <v>1</v>
      </c>
      <c r="E24" s="61">
        <v>0</v>
      </c>
      <c r="F24" s="61">
        <v>0</v>
      </c>
      <c r="G24" s="68">
        <v>1</v>
      </c>
      <c r="H24" s="65">
        <v>43.589100000000002</v>
      </c>
      <c r="I24" s="65">
        <v>0</v>
      </c>
      <c r="J24"/>
    </row>
    <row r="25" spans="1:10" x14ac:dyDescent="0.25">
      <c r="A25" s="61" t="s">
        <v>802</v>
      </c>
      <c r="B25" s="66" t="s">
        <v>801</v>
      </c>
      <c r="C25" s="61" t="s">
        <v>45</v>
      </c>
      <c r="D25" s="84">
        <v>5</v>
      </c>
      <c r="E25" s="61">
        <v>0</v>
      </c>
      <c r="F25" s="61">
        <v>0</v>
      </c>
      <c r="G25" s="68">
        <v>6</v>
      </c>
      <c r="H25" s="65">
        <v>93.125</v>
      </c>
      <c r="I25" s="65">
        <v>18.625</v>
      </c>
      <c r="J25"/>
    </row>
    <row r="26" spans="1:10" x14ac:dyDescent="0.25">
      <c r="A26" s="61" t="s">
        <v>1000</v>
      </c>
      <c r="B26" s="66" t="s">
        <v>998</v>
      </c>
      <c r="C26" s="61" t="s">
        <v>80</v>
      </c>
      <c r="D26" s="84">
        <v>1</v>
      </c>
      <c r="E26" s="61">
        <v>0</v>
      </c>
      <c r="F26" s="61">
        <v>0</v>
      </c>
      <c r="G26" s="68">
        <v>1</v>
      </c>
      <c r="H26" s="65">
        <v>3.2808999999999999</v>
      </c>
      <c r="I26" s="65">
        <v>0</v>
      </c>
      <c r="J26"/>
    </row>
    <row r="27" spans="1:10" x14ac:dyDescent="0.25">
      <c r="A27"/>
      <c r="B27" s="66" t="s">
        <v>1007</v>
      </c>
      <c r="C27" s="61" t="s">
        <v>83</v>
      </c>
      <c r="D27" s="84">
        <v>1</v>
      </c>
      <c r="E27" s="61">
        <v>0</v>
      </c>
      <c r="F27" s="61">
        <v>0</v>
      </c>
      <c r="G27" s="68">
        <v>1</v>
      </c>
      <c r="H27" s="65">
        <v>1.1990000000000001</v>
      </c>
      <c r="I27" s="65">
        <v>0</v>
      </c>
      <c r="J27"/>
    </row>
    <row r="28" spans="1:10" x14ac:dyDescent="0.25">
      <c r="A28"/>
      <c r="B28" s="66" t="s">
        <v>1023</v>
      </c>
      <c r="C28" s="61" t="s">
        <v>92</v>
      </c>
      <c r="D28" s="84">
        <v>4</v>
      </c>
      <c r="E28" s="61">
        <v>0</v>
      </c>
      <c r="F28" s="61">
        <v>0</v>
      </c>
      <c r="G28" s="68">
        <v>4</v>
      </c>
      <c r="H28" s="65">
        <v>12.382399999999999</v>
      </c>
      <c r="I28" s="65">
        <v>0</v>
      </c>
      <c r="J28"/>
    </row>
    <row r="29" spans="1:10" x14ac:dyDescent="0.25">
      <c r="A29"/>
      <c r="B29" s="66" t="s">
        <v>1003</v>
      </c>
      <c r="C29" s="61" t="s">
        <v>81</v>
      </c>
      <c r="D29" s="84">
        <v>1</v>
      </c>
      <c r="E29" s="61">
        <v>0</v>
      </c>
      <c r="F29" s="61">
        <v>0</v>
      </c>
      <c r="G29" s="68">
        <v>1</v>
      </c>
      <c r="H29" s="65">
        <v>5.5589999999999993</v>
      </c>
      <c r="I29" s="65">
        <v>0</v>
      </c>
      <c r="J29"/>
    </row>
    <row r="30" spans="1:10" x14ac:dyDescent="0.25">
      <c r="A30"/>
      <c r="B30" s="66" t="s">
        <v>1002</v>
      </c>
      <c r="C30" s="61" t="s">
        <v>78</v>
      </c>
      <c r="D30" s="84">
        <v>1</v>
      </c>
      <c r="E30" s="61">
        <v>0</v>
      </c>
      <c r="F30" s="61">
        <v>0</v>
      </c>
      <c r="G30" s="68">
        <v>1</v>
      </c>
      <c r="H30" s="65">
        <v>1.4497</v>
      </c>
      <c r="I30" s="65">
        <v>0</v>
      </c>
      <c r="J30"/>
    </row>
    <row r="31" spans="1:10" ht="30" x14ac:dyDescent="0.25">
      <c r="A31" s="61" t="s">
        <v>933</v>
      </c>
      <c r="B31" s="66" t="s">
        <v>932</v>
      </c>
      <c r="C31" s="61" t="s">
        <v>76</v>
      </c>
      <c r="D31" s="84">
        <v>36</v>
      </c>
      <c r="E31" s="61">
        <v>0</v>
      </c>
      <c r="F31" s="61">
        <v>0</v>
      </c>
      <c r="G31" s="68">
        <v>40</v>
      </c>
      <c r="H31" s="65">
        <v>48.491999999999997</v>
      </c>
      <c r="I31" s="65">
        <v>5.3879999999999999</v>
      </c>
      <c r="J31"/>
    </row>
    <row r="32" spans="1:10" x14ac:dyDescent="0.25">
      <c r="A32" s="61" t="s">
        <v>767</v>
      </c>
      <c r="B32" s="66" t="s">
        <v>766</v>
      </c>
      <c r="C32" s="61" t="s">
        <v>42</v>
      </c>
      <c r="D32" s="84">
        <v>3</v>
      </c>
      <c r="E32" s="61">
        <v>0</v>
      </c>
      <c r="F32" s="61">
        <v>0</v>
      </c>
      <c r="G32" s="68">
        <v>3</v>
      </c>
      <c r="H32" s="65">
        <v>21.606300000000001</v>
      </c>
      <c r="I32" s="65">
        <v>0</v>
      </c>
      <c r="J32"/>
    </row>
    <row r="33" spans="1:10" x14ac:dyDescent="0.25">
      <c r="A33" s="61" t="s">
        <v>648</v>
      </c>
      <c r="B33" s="99" t="s">
        <v>720</v>
      </c>
      <c r="C33" s="61" t="s">
        <v>7</v>
      </c>
      <c r="D33" s="84">
        <v>1</v>
      </c>
      <c r="E33" s="61">
        <v>0</v>
      </c>
      <c r="F33" s="61">
        <v>0</v>
      </c>
      <c r="G33" s="68">
        <v>1</v>
      </c>
      <c r="H33" s="65">
        <v>137.435</v>
      </c>
      <c r="I33" s="65">
        <v>0</v>
      </c>
      <c r="J33"/>
    </row>
    <row r="34" spans="1:10" x14ac:dyDescent="0.25">
      <c r="A34"/>
      <c r="B34" s="99" t="s">
        <v>721</v>
      </c>
      <c r="C34" s="61" t="s">
        <v>8</v>
      </c>
      <c r="D34" s="84">
        <v>1</v>
      </c>
      <c r="E34" s="61">
        <v>0</v>
      </c>
      <c r="F34" s="61">
        <v>0</v>
      </c>
      <c r="G34" s="68">
        <v>1</v>
      </c>
      <c r="H34" s="65">
        <v>96.435000000000002</v>
      </c>
      <c r="I34" s="65">
        <v>0</v>
      </c>
      <c r="J34"/>
    </row>
    <row r="35" spans="1:10" x14ac:dyDescent="0.25">
      <c r="A35" s="61" t="s">
        <v>693</v>
      </c>
      <c r="B35" s="66" t="s">
        <v>828</v>
      </c>
      <c r="C35" s="61" t="s">
        <v>52</v>
      </c>
      <c r="D35" s="84">
        <v>4</v>
      </c>
      <c r="E35" s="61">
        <v>0</v>
      </c>
      <c r="F35" s="61">
        <v>0</v>
      </c>
      <c r="G35" s="68">
        <v>4</v>
      </c>
      <c r="H35" s="65">
        <v>18.210799999999999</v>
      </c>
      <c r="I35" s="65">
        <v>0</v>
      </c>
      <c r="J35"/>
    </row>
    <row r="36" spans="1:10" x14ac:dyDescent="0.25">
      <c r="A36"/>
      <c r="B36" s="66" t="s">
        <v>829</v>
      </c>
      <c r="C36" s="61" t="s">
        <v>49</v>
      </c>
      <c r="D36" s="84">
        <v>4</v>
      </c>
      <c r="E36" s="61">
        <v>0</v>
      </c>
      <c r="F36" s="61">
        <v>0</v>
      </c>
      <c r="G36" s="68">
        <v>4</v>
      </c>
      <c r="H36" s="65">
        <v>20.172800000000002</v>
      </c>
      <c r="I36" s="65">
        <v>0</v>
      </c>
      <c r="J36"/>
    </row>
    <row r="37" spans="1:10" x14ac:dyDescent="0.25">
      <c r="A37"/>
      <c r="B37" s="66" t="s">
        <v>830</v>
      </c>
      <c r="C37" s="61" t="s">
        <v>50</v>
      </c>
      <c r="D37" s="84">
        <v>4</v>
      </c>
      <c r="E37" s="61">
        <v>0</v>
      </c>
      <c r="F37" s="61">
        <v>0</v>
      </c>
      <c r="G37" s="68">
        <v>4</v>
      </c>
      <c r="H37" s="65">
        <v>20.695999999999998</v>
      </c>
      <c r="I37" s="65">
        <v>0</v>
      </c>
      <c r="J37"/>
    </row>
    <row r="38" spans="1:10" x14ac:dyDescent="0.25">
      <c r="A38" s="61" t="s">
        <v>781</v>
      </c>
      <c r="B38" s="66" t="s">
        <v>780</v>
      </c>
      <c r="C38" s="61" t="s">
        <v>44</v>
      </c>
      <c r="D38" s="84">
        <v>5</v>
      </c>
      <c r="E38" s="61">
        <v>0</v>
      </c>
      <c r="F38" s="61">
        <v>0</v>
      </c>
      <c r="G38" s="68">
        <v>5</v>
      </c>
      <c r="H38" s="65">
        <v>36.290000000000006</v>
      </c>
      <c r="I38" s="65">
        <v>0</v>
      </c>
      <c r="J38"/>
    </row>
    <row r="39" spans="1:10" x14ac:dyDescent="0.25">
      <c r="A39" s="61" t="s">
        <v>1059</v>
      </c>
      <c r="B39" s="66" t="s">
        <v>1008</v>
      </c>
      <c r="C39" s="61" t="s">
        <v>84</v>
      </c>
      <c r="D39" s="84">
        <v>1</v>
      </c>
      <c r="E39" s="61">
        <v>0</v>
      </c>
      <c r="F39" s="61">
        <v>0</v>
      </c>
      <c r="G39" s="68">
        <v>1</v>
      </c>
      <c r="H39" s="65">
        <v>19.598200000000002</v>
      </c>
      <c r="I39" s="65">
        <v>0</v>
      </c>
      <c r="J39"/>
    </row>
    <row r="40" spans="1:10" x14ac:dyDescent="0.25">
      <c r="A40" s="68" t="s">
        <v>1058</v>
      </c>
      <c r="B40" s="68"/>
      <c r="C40" s="68"/>
      <c r="H40" s="65">
        <v>1082.9747164999997</v>
      </c>
      <c r="I40" s="65">
        <v>103.40658350000001</v>
      </c>
      <c r="J40"/>
    </row>
    <row r="41" spans="1:10" x14ac:dyDescent="0.25">
      <c r="A41"/>
      <c r="B41"/>
      <c r="C41"/>
      <c r="D41"/>
      <c r="E41"/>
      <c r="F41"/>
      <c r="G41"/>
      <c r="H41"/>
      <c r="I41"/>
      <c r="J41"/>
    </row>
    <row r="42" spans="1:10" x14ac:dyDescent="0.25">
      <c r="A42"/>
      <c r="B42"/>
      <c r="C42"/>
      <c r="D42"/>
      <c r="E42"/>
      <c r="F42"/>
      <c r="H42"/>
      <c r="I42"/>
      <c r="J42"/>
    </row>
    <row r="43" spans="1:10" x14ac:dyDescent="0.25">
      <c r="A43"/>
      <c r="B43"/>
      <c r="C43"/>
      <c r="D43"/>
      <c r="E43"/>
      <c r="F43"/>
      <c r="H43"/>
      <c r="I43"/>
      <c r="J43"/>
    </row>
    <row r="44" spans="1:10" x14ac:dyDescent="0.25">
      <c r="A44"/>
      <c r="B44"/>
      <c r="C44"/>
      <c r="D44"/>
      <c r="E44"/>
      <c r="F44"/>
      <c r="H44"/>
      <c r="I44"/>
      <c r="J44"/>
    </row>
    <row r="45" spans="1:10" x14ac:dyDescent="0.25">
      <c r="A45"/>
      <c r="B45"/>
      <c r="C45"/>
      <c r="D45"/>
      <c r="E45"/>
      <c r="F45"/>
      <c r="H45"/>
      <c r="I45"/>
      <c r="J45"/>
    </row>
    <row r="46" spans="1:10" x14ac:dyDescent="0.25">
      <c r="A46"/>
      <c r="B46"/>
      <c r="C46"/>
      <c r="D46"/>
      <c r="E46"/>
      <c r="F46"/>
      <c r="H46"/>
      <c r="I46"/>
      <c r="J46"/>
    </row>
    <row r="47" spans="1:10" x14ac:dyDescent="0.25">
      <c r="A47"/>
      <c r="B47"/>
      <c r="C47"/>
      <c r="D47"/>
      <c r="E47"/>
      <c r="F47"/>
      <c r="H47"/>
      <c r="I47"/>
    </row>
    <row r="48" spans="1:10" x14ac:dyDescent="0.25">
      <c r="A48"/>
      <c r="B48"/>
      <c r="C48"/>
      <c r="D48"/>
      <c r="E48"/>
      <c r="F48"/>
      <c r="H48"/>
      <c r="I48"/>
    </row>
    <row r="49" spans="1:9" x14ac:dyDescent="0.25">
      <c r="A49"/>
      <c r="B49"/>
      <c r="C49"/>
      <c r="D49"/>
      <c r="E49"/>
      <c r="F49"/>
      <c r="H49"/>
      <c r="I49"/>
    </row>
    <row r="50" spans="1:9" x14ac:dyDescent="0.25">
      <c r="A50"/>
      <c r="B50"/>
      <c r="C50"/>
      <c r="D50"/>
      <c r="E50"/>
      <c r="F50"/>
      <c r="H50"/>
      <c r="I50"/>
    </row>
    <row r="51" spans="1:9" x14ac:dyDescent="0.25">
      <c r="A51"/>
      <c r="B51"/>
      <c r="C51"/>
      <c r="D51"/>
      <c r="E51"/>
      <c r="F51"/>
      <c r="H51"/>
      <c r="I51"/>
    </row>
    <row r="52" spans="1:9" x14ac:dyDescent="0.25">
      <c r="A52"/>
      <c r="B52"/>
      <c r="C52"/>
      <c r="D52"/>
      <c r="E52"/>
      <c r="F52"/>
      <c r="H52"/>
      <c r="I52"/>
    </row>
    <row r="53" spans="1:9" x14ac:dyDescent="0.25">
      <c r="A53"/>
      <c r="B53"/>
      <c r="C53"/>
      <c r="D53"/>
      <c r="E53"/>
      <c r="F53"/>
      <c r="H53"/>
      <c r="I53"/>
    </row>
    <row r="54" spans="1:9" x14ac:dyDescent="0.25">
      <c r="A54"/>
      <c r="B54"/>
      <c r="C54"/>
      <c r="D54"/>
      <c r="E54"/>
      <c r="F54"/>
      <c r="H54"/>
      <c r="I54"/>
    </row>
    <row r="55" spans="1:9" x14ac:dyDescent="0.25">
      <c r="A55"/>
      <c r="B55"/>
      <c r="C55"/>
      <c r="D55"/>
      <c r="E55"/>
      <c r="F55"/>
      <c r="H55"/>
      <c r="I55"/>
    </row>
    <row r="56" spans="1:9" x14ac:dyDescent="0.25">
      <c r="A56"/>
      <c r="B56"/>
      <c r="C56"/>
      <c r="D56"/>
      <c r="E56"/>
      <c r="F56"/>
      <c r="H56"/>
      <c r="I56"/>
    </row>
    <row r="57" spans="1:9" x14ac:dyDescent="0.25">
      <c r="A57"/>
      <c r="B57"/>
      <c r="C57"/>
      <c r="D57"/>
      <c r="E57"/>
      <c r="F57"/>
      <c r="H57"/>
      <c r="I57"/>
    </row>
    <row r="58" spans="1:9" x14ac:dyDescent="0.25">
      <c r="A58"/>
      <c r="B58"/>
      <c r="C58"/>
      <c r="D58"/>
      <c r="E58"/>
      <c r="F58"/>
      <c r="H58"/>
      <c r="I58"/>
    </row>
    <row r="59" spans="1:9" x14ac:dyDescent="0.25">
      <c r="A59"/>
      <c r="B59"/>
      <c r="C59"/>
      <c r="D59"/>
      <c r="E59"/>
      <c r="F59"/>
      <c r="H59"/>
      <c r="I59"/>
    </row>
    <row r="60" spans="1:9" x14ac:dyDescent="0.25">
      <c r="A60"/>
      <c r="B60"/>
      <c r="C60"/>
      <c r="D60"/>
      <c r="E60"/>
      <c r="F60"/>
      <c r="H60"/>
      <c r="I60"/>
    </row>
    <row r="61" spans="1:9" x14ac:dyDescent="0.25">
      <c r="A61"/>
      <c r="B61"/>
      <c r="C61"/>
      <c r="D61"/>
      <c r="E61"/>
      <c r="F61"/>
      <c r="H61"/>
      <c r="I61"/>
    </row>
    <row r="62" spans="1:9" x14ac:dyDescent="0.25">
      <c r="A62"/>
      <c r="B62"/>
      <c r="C62"/>
      <c r="D62"/>
      <c r="E62"/>
      <c r="F62"/>
      <c r="H62"/>
      <c r="I62"/>
    </row>
    <row r="63" spans="1:9" x14ac:dyDescent="0.25">
      <c r="A63"/>
      <c r="B63"/>
      <c r="C63"/>
      <c r="D63"/>
      <c r="E63"/>
      <c r="F63"/>
      <c r="H63"/>
      <c r="I63"/>
    </row>
    <row r="64" spans="1:9" x14ac:dyDescent="0.25">
      <c r="A64"/>
      <c r="B64"/>
      <c r="C64"/>
      <c r="D64"/>
      <c r="E64"/>
      <c r="F64"/>
      <c r="H64"/>
      <c r="I64"/>
    </row>
    <row r="65" spans="1:9" x14ac:dyDescent="0.25">
      <c r="A65"/>
      <c r="B65"/>
      <c r="C65"/>
      <c r="D65"/>
      <c r="E65"/>
      <c r="F65"/>
      <c r="H65"/>
      <c r="I65"/>
    </row>
    <row r="66" spans="1:9" x14ac:dyDescent="0.25">
      <c r="A66"/>
      <c r="B66"/>
      <c r="C66"/>
      <c r="D66"/>
      <c r="E66"/>
      <c r="F66"/>
      <c r="H66"/>
      <c r="I66"/>
    </row>
    <row r="67" spans="1:9" x14ac:dyDescent="0.25">
      <c r="A67"/>
      <c r="B67"/>
      <c r="C67"/>
      <c r="D67"/>
      <c r="E67"/>
      <c r="F67"/>
      <c r="H67"/>
      <c r="I67"/>
    </row>
    <row r="68" spans="1:9" x14ac:dyDescent="0.25">
      <c r="A68"/>
      <c r="B68"/>
      <c r="C68"/>
      <c r="D68"/>
      <c r="E68"/>
      <c r="F68"/>
      <c r="H68"/>
      <c r="I68"/>
    </row>
    <row r="69" spans="1:9" x14ac:dyDescent="0.25">
      <c r="A69"/>
      <c r="B69"/>
      <c r="C69"/>
      <c r="D69"/>
      <c r="E69"/>
      <c r="F69"/>
      <c r="H69"/>
      <c r="I69"/>
    </row>
    <row r="70" spans="1:9" x14ac:dyDescent="0.25">
      <c r="A70"/>
      <c r="B70"/>
      <c r="C70"/>
      <c r="D70"/>
      <c r="E70"/>
      <c r="F70"/>
      <c r="H70"/>
      <c r="I70"/>
    </row>
    <row r="71" spans="1:9" x14ac:dyDescent="0.25">
      <c r="A71"/>
      <c r="B71"/>
      <c r="C71"/>
      <c r="D71"/>
      <c r="E71"/>
      <c r="F71"/>
      <c r="H71"/>
      <c r="I71"/>
    </row>
    <row r="72" spans="1:9" x14ac:dyDescent="0.25">
      <c r="A72"/>
      <c r="B72"/>
      <c r="C72"/>
      <c r="D72"/>
      <c r="E72"/>
      <c r="F72"/>
      <c r="H72"/>
      <c r="I72"/>
    </row>
    <row r="73" spans="1:9" x14ac:dyDescent="0.25">
      <c r="A73"/>
      <c r="B73"/>
      <c r="C73"/>
      <c r="D73"/>
      <c r="E73"/>
      <c r="F73"/>
      <c r="H73"/>
      <c r="I73"/>
    </row>
    <row r="74" spans="1:9" x14ac:dyDescent="0.25">
      <c r="A74"/>
      <c r="B74"/>
      <c r="C74"/>
      <c r="D74"/>
      <c r="E74"/>
      <c r="F74"/>
      <c r="H74"/>
      <c r="I74"/>
    </row>
    <row r="75" spans="1:9" x14ac:dyDescent="0.25">
      <c r="A75"/>
      <c r="B75"/>
      <c r="C75"/>
      <c r="D75"/>
      <c r="E75"/>
      <c r="F75"/>
      <c r="H75"/>
      <c r="I75"/>
    </row>
    <row r="76" spans="1:9" x14ac:dyDescent="0.25">
      <c r="A76"/>
      <c r="B76"/>
      <c r="C76"/>
      <c r="D76"/>
      <c r="E76"/>
      <c r="F76"/>
      <c r="H76"/>
      <c r="I76"/>
    </row>
    <row r="77" spans="1:9" x14ac:dyDescent="0.25">
      <c r="A77"/>
      <c r="B77"/>
      <c r="C77"/>
      <c r="D77"/>
      <c r="E77"/>
      <c r="F77"/>
      <c r="H77"/>
      <c r="I77"/>
    </row>
    <row r="78" spans="1:9" x14ac:dyDescent="0.25">
      <c r="A78"/>
      <c r="B78"/>
      <c r="C78"/>
      <c r="D78"/>
      <c r="E78"/>
      <c r="F78"/>
      <c r="H78"/>
      <c r="I78"/>
    </row>
    <row r="79" spans="1:9" x14ac:dyDescent="0.25">
      <c r="A79"/>
      <c r="B79"/>
      <c r="C79"/>
      <c r="D79"/>
      <c r="E79"/>
      <c r="F79"/>
      <c r="H79"/>
      <c r="I79"/>
    </row>
    <row r="80" spans="1:9" x14ac:dyDescent="0.25">
      <c r="A80"/>
      <c r="B80"/>
      <c r="C80"/>
      <c r="D80"/>
      <c r="E80"/>
      <c r="F80"/>
      <c r="H80"/>
      <c r="I80"/>
    </row>
    <row r="81" spans="1:9" x14ac:dyDescent="0.25">
      <c r="A81"/>
      <c r="B81"/>
      <c r="C81"/>
      <c r="D81"/>
      <c r="E81"/>
      <c r="F81"/>
      <c r="H81"/>
      <c r="I81"/>
    </row>
    <row r="82" spans="1:9" x14ac:dyDescent="0.25">
      <c r="A82"/>
      <c r="B82"/>
      <c r="C82"/>
      <c r="D82"/>
      <c r="E82"/>
      <c r="F82"/>
      <c r="H82"/>
      <c r="I82"/>
    </row>
    <row r="83" spans="1:9" x14ac:dyDescent="0.25">
      <c r="A83"/>
      <c r="B83"/>
      <c r="C83"/>
      <c r="D83"/>
      <c r="E83"/>
      <c r="F83"/>
      <c r="H83"/>
      <c r="I83"/>
    </row>
    <row r="84" spans="1:9" x14ac:dyDescent="0.25">
      <c r="A84"/>
      <c r="B84"/>
      <c r="C84"/>
      <c r="D84"/>
      <c r="E84"/>
      <c r="F84"/>
      <c r="H84"/>
      <c r="I84"/>
    </row>
    <row r="85" spans="1:9" x14ac:dyDescent="0.25">
      <c r="A85"/>
      <c r="B85"/>
      <c r="C85"/>
      <c r="D85"/>
      <c r="E85"/>
      <c r="F85"/>
      <c r="H85"/>
      <c r="I85"/>
    </row>
    <row r="86" spans="1:9" x14ac:dyDescent="0.25">
      <c r="A86"/>
      <c r="B86"/>
      <c r="C86"/>
      <c r="D86"/>
      <c r="E86"/>
      <c r="F86"/>
      <c r="H86"/>
      <c r="I86"/>
    </row>
    <row r="87" spans="1:9" x14ac:dyDescent="0.25">
      <c r="A87"/>
      <c r="B87"/>
      <c r="C87"/>
      <c r="D87"/>
      <c r="E87"/>
      <c r="F87"/>
      <c r="H87"/>
      <c r="I87"/>
    </row>
    <row r="88" spans="1:9" x14ac:dyDescent="0.25">
      <c r="A88"/>
      <c r="B88"/>
      <c r="C88"/>
      <c r="D88"/>
      <c r="E88"/>
      <c r="F88"/>
      <c r="H88"/>
      <c r="I88"/>
    </row>
    <row r="89" spans="1:9" x14ac:dyDescent="0.25">
      <c r="A89"/>
      <c r="B89"/>
      <c r="C89"/>
      <c r="D89"/>
      <c r="E89"/>
      <c r="F89"/>
      <c r="H89"/>
      <c r="I89"/>
    </row>
    <row r="90" spans="1:9" x14ac:dyDescent="0.25">
      <c r="A90"/>
      <c r="B90"/>
      <c r="C90"/>
      <c r="D90"/>
      <c r="E90"/>
      <c r="F90"/>
      <c r="H90"/>
      <c r="I90"/>
    </row>
    <row r="91" spans="1:9" x14ac:dyDescent="0.25">
      <c r="A91"/>
      <c r="B91"/>
      <c r="C91"/>
      <c r="D91"/>
      <c r="E91"/>
      <c r="F91"/>
      <c r="H91"/>
      <c r="I91"/>
    </row>
    <row r="92" spans="1:9" x14ac:dyDescent="0.25">
      <c r="A92"/>
      <c r="B92"/>
      <c r="C92"/>
      <c r="D92"/>
      <c r="E92"/>
      <c r="F92"/>
      <c r="H92"/>
      <c r="I92"/>
    </row>
    <row r="93" spans="1:9" x14ac:dyDescent="0.25">
      <c r="A93"/>
      <c r="B93"/>
      <c r="C93"/>
      <c r="D93"/>
      <c r="E93"/>
      <c r="F93"/>
      <c r="H93"/>
      <c r="I93"/>
    </row>
    <row r="94" spans="1:9" x14ac:dyDescent="0.25">
      <c r="A94"/>
      <c r="B94"/>
      <c r="C94"/>
      <c r="D94"/>
      <c r="E94"/>
      <c r="F94"/>
      <c r="H94"/>
      <c r="I94"/>
    </row>
    <row r="95" spans="1:9" x14ac:dyDescent="0.25">
      <c r="A95"/>
      <c r="B95"/>
      <c r="C95"/>
      <c r="D95"/>
      <c r="E95"/>
      <c r="F95"/>
      <c r="H95"/>
      <c r="I95"/>
    </row>
    <row r="96" spans="1:9" x14ac:dyDescent="0.25">
      <c r="A96"/>
      <c r="B96"/>
      <c r="C96"/>
      <c r="D96"/>
      <c r="E96"/>
      <c r="F96"/>
      <c r="H96"/>
      <c r="I96"/>
    </row>
    <row r="97" spans="1:9" x14ac:dyDescent="0.25">
      <c r="A97"/>
      <c r="B97"/>
      <c r="C97"/>
      <c r="D97"/>
      <c r="E97"/>
      <c r="F97"/>
      <c r="H97"/>
      <c r="I97"/>
    </row>
    <row r="98" spans="1:9" x14ac:dyDescent="0.25">
      <c r="A98"/>
      <c r="B98"/>
      <c r="C98"/>
      <c r="D98"/>
      <c r="E98"/>
      <c r="F98"/>
      <c r="H98"/>
      <c r="I98"/>
    </row>
    <row r="99" spans="1:9" x14ac:dyDescent="0.25">
      <c r="A99"/>
      <c r="B99"/>
      <c r="C99"/>
      <c r="D99"/>
      <c r="E99"/>
      <c r="F99"/>
      <c r="H99"/>
      <c r="I99"/>
    </row>
    <row r="100" spans="1:9" x14ac:dyDescent="0.25">
      <c r="A100"/>
      <c r="B100"/>
      <c r="C100"/>
      <c r="D100"/>
      <c r="E100"/>
      <c r="F100"/>
      <c r="H100"/>
      <c r="I100"/>
    </row>
    <row r="101" spans="1:9" x14ac:dyDescent="0.25">
      <c r="A101"/>
      <c r="B101"/>
      <c r="C101"/>
      <c r="D101"/>
      <c r="E101"/>
      <c r="F101"/>
      <c r="H101"/>
      <c r="I101"/>
    </row>
    <row r="102" spans="1:9" x14ac:dyDescent="0.25">
      <c r="A102"/>
      <c r="B102"/>
      <c r="C102"/>
      <c r="D102"/>
      <c r="E102"/>
      <c r="F102"/>
      <c r="H102"/>
      <c r="I102"/>
    </row>
    <row r="103" spans="1:9" x14ac:dyDescent="0.25">
      <c r="A103"/>
      <c r="B103"/>
      <c r="C103"/>
      <c r="D103"/>
      <c r="E103"/>
      <c r="F103"/>
      <c r="H103"/>
      <c r="I103"/>
    </row>
    <row r="104" spans="1:9" x14ac:dyDescent="0.25">
      <c r="A104"/>
      <c r="B104"/>
      <c r="C104"/>
      <c r="D104"/>
      <c r="E104"/>
      <c r="F104"/>
      <c r="H104"/>
      <c r="I104"/>
    </row>
    <row r="105" spans="1:9" x14ac:dyDescent="0.25">
      <c r="A105"/>
      <c r="B105"/>
      <c r="C105"/>
      <c r="D105"/>
      <c r="E105"/>
      <c r="F105"/>
      <c r="H105"/>
      <c r="I105"/>
    </row>
    <row r="106" spans="1:9" x14ac:dyDescent="0.25">
      <c r="A106"/>
      <c r="B106"/>
      <c r="C106"/>
      <c r="D106"/>
      <c r="E106"/>
      <c r="F106"/>
      <c r="H106"/>
      <c r="I106"/>
    </row>
    <row r="107" spans="1:9" x14ac:dyDescent="0.25">
      <c r="A107"/>
      <c r="B107"/>
      <c r="C107"/>
      <c r="D107"/>
      <c r="E107"/>
      <c r="F107"/>
      <c r="H107"/>
      <c r="I107"/>
    </row>
    <row r="108" spans="1:9" x14ac:dyDescent="0.25">
      <c r="A108"/>
      <c r="B108"/>
      <c r="C108"/>
      <c r="D108"/>
      <c r="E108"/>
      <c r="F108"/>
      <c r="H108"/>
      <c r="I108"/>
    </row>
    <row r="109" spans="1:9" x14ac:dyDescent="0.25">
      <c r="A109"/>
      <c r="B109"/>
      <c r="C109"/>
      <c r="D109"/>
      <c r="E109"/>
      <c r="F109"/>
      <c r="H109"/>
      <c r="I109"/>
    </row>
    <row r="110" spans="1:9" x14ac:dyDescent="0.25">
      <c r="A110"/>
      <c r="B110"/>
      <c r="C110"/>
      <c r="D110"/>
      <c r="E110"/>
      <c r="F110"/>
      <c r="H110"/>
      <c r="I110"/>
    </row>
    <row r="111" spans="1:9" x14ac:dyDescent="0.25">
      <c r="A111"/>
      <c r="B111"/>
      <c r="C111"/>
      <c r="D111"/>
      <c r="E111"/>
      <c r="F111"/>
      <c r="H111"/>
      <c r="I111"/>
    </row>
    <row r="112" spans="1:9" x14ac:dyDescent="0.25">
      <c r="A112"/>
      <c r="B112"/>
      <c r="C112"/>
      <c r="D112"/>
      <c r="E112"/>
      <c r="F112"/>
      <c r="H112"/>
      <c r="I112"/>
    </row>
    <row r="113" spans="1:9" x14ac:dyDescent="0.25">
      <c r="A113"/>
      <c r="B113"/>
      <c r="C113"/>
      <c r="D113"/>
      <c r="E113"/>
      <c r="F113"/>
      <c r="H113"/>
      <c r="I113"/>
    </row>
    <row r="114" spans="1:9" x14ac:dyDescent="0.25">
      <c r="A114"/>
      <c r="B114"/>
      <c r="C114"/>
      <c r="D114"/>
      <c r="E114"/>
      <c r="F114"/>
      <c r="H114"/>
      <c r="I114"/>
    </row>
    <row r="115" spans="1:9" x14ac:dyDescent="0.25">
      <c r="A115"/>
      <c r="B115"/>
      <c r="C115"/>
      <c r="D115"/>
      <c r="E115"/>
      <c r="F115"/>
      <c r="H115"/>
      <c r="I115"/>
    </row>
    <row r="116" spans="1:9" x14ac:dyDescent="0.25">
      <c r="A116"/>
      <c r="B116"/>
      <c r="C116"/>
      <c r="D116"/>
      <c r="E116"/>
      <c r="F116"/>
      <c r="H116"/>
      <c r="I116"/>
    </row>
    <row r="117" spans="1:9" x14ac:dyDescent="0.25">
      <c r="A117"/>
      <c r="B117"/>
      <c r="C117"/>
      <c r="D117"/>
      <c r="E117"/>
      <c r="F117"/>
      <c r="H117"/>
      <c r="I117"/>
    </row>
    <row r="118" spans="1:9" x14ac:dyDescent="0.25">
      <c r="A118"/>
      <c r="B118"/>
      <c r="C118"/>
      <c r="D118"/>
      <c r="E118"/>
      <c r="F118"/>
      <c r="H118"/>
      <c r="I118"/>
    </row>
    <row r="119" spans="1:9" x14ac:dyDescent="0.25">
      <c r="A119"/>
      <c r="B119"/>
      <c r="C119"/>
      <c r="D119"/>
      <c r="E119"/>
      <c r="F119"/>
      <c r="H119"/>
      <c r="I119"/>
    </row>
    <row r="120" spans="1:9" x14ac:dyDescent="0.25">
      <c r="A120"/>
      <c r="B120"/>
      <c r="C120"/>
      <c r="D120"/>
      <c r="E120"/>
      <c r="F120"/>
      <c r="H120"/>
      <c r="I120"/>
    </row>
    <row r="121" spans="1:9" x14ac:dyDescent="0.25">
      <c r="A121"/>
      <c r="B121"/>
      <c r="C121"/>
      <c r="D121"/>
      <c r="E121"/>
      <c r="F121"/>
      <c r="H121"/>
      <c r="I121"/>
    </row>
    <row r="122" spans="1:9" x14ac:dyDescent="0.25">
      <c r="A122"/>
      <c r="B122"/>
      <c r="C122"/>
      <c r="D122"/>
      <c r="E122"/>
      <c r="F122"/>
      <c r="H122"/>
      <c r="I122"/>
    </row>
    <row r="123" spans="1:9" x14ac:dyDescent="0.25">
      <c r="A123"/>
      <c r="B123"/>
      <c r="C123"/>
      <c r="D123"/>
      <c r="E123"/>
      <c r="F123"/>
      <c r="H123"/>
      <c r="I123"/>
    </row>
    <row r="124" spans="1:9" x14ac:dyDescent="0.25">
      <c r="A124"/>
      <c r="B124"/>
      <c r="C124"/>
      <c r="D124"/>
      <c r="E124"/>
      <c r="F124"/>
      <c r="H124"/>
      <c r="I124"/>
    </row>
    <row r="125" spans="1:9" x14ac:dyDescent="0.25">
      <c r="A125"/>
      <c r="B125"/>
      <c r="C125"/>
      <c r="D125"/>
      <c r="E125"/>
      <c r="F125"/>
      <c r="H125"/>
      <c r="I125"/>
    </row>
    <row r="126" spans="1:9" x14ac:dyDescent="0.25">
      <c r="A126"/>
      <c r="B126"/>
      <c r="C126"/>
      <c r="D126"/>
      <c r="E126"/>
      <c r="F126"/>
      <c r="H126"/>
      <c r="I126"/>
    </row>
    <row r="127" spans="1:9" x14ac:dyDescent="0.25">
      <c r="A127"/>
      <c r="B127"/>
      <c r="C127"/>
      <c r="D127"/>
      <c r="E127"/>
      <c r="F127"/>
      <c r="H127"/>
      <c r="I127"/>
    </row>
    <row r="128" spans="1:9" x14ac:dyDescent="0.25">
      <c r="A128"/>
      <c r="B128"/>
      <c r="C128"/>
      <c r="D128"/>
      <c r="E128"/>
      <c r="F128"/>
      <c r="H128"/>
      <c r="I128"/>
    </row>
    <row r="129" spans="1:9" x14ac:dyDescent="0.25">
      <c r="A129"/>
      <c r="B129"/>
      <c r="C129"/>
      <c r="D129"/>
      <c r="E129"/>
      <c r="F129"/>
      <c r="H129"/>
      <c r="I129"/>
    </row>
    <row r="130" spans="1:9" x14ac:dyDescent="0.25">
      <c r="A130"/>
      <c r="B130"/>
      <c r="C130"/>
      <c r="D130"/>
      <c r="E130"/>
      <c r="F130"/>
      <c r="H130"/>
      <c r="I130"/>
    </row>
    <row r="131" spans="1:9" x14ac:dyDescent="0.25">
      <c r="A131"/>
      <c r="B131"/>
      <c r="C131"/>
      <c r="D131"/>
      <c r="E131"/>
      <c r="F131"/>
      <c r="H131"/>
      <c r="I131"/>
    </row>
    <row r="132" spans="1:9" x14ac:dyDescent="0.25">
      <c r="A132"/>
      <c r="B132"/>
      <c r="C132"/>
      <c r="D132"/>
      <c r="E132"/>
      <c r="F132"/>
      <c r="H132"/>
      <c r="I132"/>
    </row>
    <row r="133" spans="1:9" x14ac:dyDescent="0.25">
      <c r="A133"/>
      <c r="B133"/>
      <c r="C133"/>
      <c r="D133"/>
      <c r="E133"/>
      <c r="F133"/>
      <c r="H133"/>
      <c r="I133"/>
    </row>
    <row r="134" spans="1:9" x14ac:dyDescent="0.25">
      <c r="A134"/>
      <c r="B134"/>
      <c r="C134"/>
      <c r="D134"/>
      <c r="E134"/>
      <c r="F134"/>
      <c r="H134"/>
      <c r="I134"/>
    </row>
    <row r="135" spans="1:9" x14ac:dyDescent="0.25">
      <c r="A135"/>
      <c r="B135"/>
      <c r="C135"/>
      <c r="D135"/>
      <c r="E135"/>
      <c r="F135"/>
      <c r="H135"/>
      <c r="I135"/>
    </row>
    <row r="136" spans="1:9" x14ac:dyDescent="0.25">
      <c r="A136"/>
      <c r="B136"/>
      <c r="C136"/>
      <c r="D136"/>
      <c r="E136"/>
      <c r="F136"/>
      <c r="H136"/>
      <c r="I136"/>
    </row>
    <row r="137" spans="1:9" x14ac:dyDescent="0.25">
      <c r="A137"/>
      <c r="B137"/>
      <c r="C137"/>
      <c r="D137"/>
      <c r="E137"/>
      <c r="F137"/>
      <c r="H137"/>
      <c r="I137"/>
    </row>
    <row r="138" spans="1:9" x14ac:dyDescent="0.25">
      <c r="A138"/>
      <c r="B138"/>
      <c r="C138"/>
      <c r="D138"/>
      <c r="E138"/>
      <c r="F138"/>
      <c r="H138"/>
      <c r="I138"/>
    </row>
    <row r="139" spans="1:9" x14ac:dyDescent="0.25">
      <c r="A139"/>
      <c r="B139"/>
      <c r="C139"/>
      <c r="D139"/>
      <c r="E139"/>
      <c r="F139"/>
      <c r="H139"/>
      <c r="I139"/>
    </row>
    <row r="140" spans="1:9" x14ac:dyDescent="0.25">
      <c r="A140"/>
      <c r="B140"/>
      <c r="C140"/>
      <c r="D140"/>
      <c r="E140"/>
      <c r="F140"/>
      <c r="H140"/>
      <c r="I140"/>
    </row>
    <row r="141" spans="1:9" x14ac:dyDescent="0.25">
      <c r="A141"/>
      <c r="B141"/>
      <c r="C141"/>
      <c r="D141"/>
      <c r="E141"/>
      <c r="F141"/>
      <c r="H141"/>
      <c r="I141"/>
    </row>
    <row r="142" spans="1:9" x14ac:dyDescent="0.25">
      <c r="A142"/>
      <c r="B142"/>
      <c r="C142"/>
      <c r="D142"/>
      <c r="E142"/>
      <c r="F142"/>
      <c r="H142"/>
      <c r="I142"/>
    </row>
    <row r="143" spans="1:9" x14ac:dyDescent="0.25">
      <c r="A143"/>
      <c r="B143"/>
      <c r="C143"/>
      <c r="D143"/>
      <c r="E143"/>
      <c r="F143"/>
      <c r="H143"/>
      <c r="I143"/>
    </row>
    <row r="144" spans="1:9" x14ac:dyDescent="0.25">
      <c r="A144"/>
      <c r="B144"/>
      <c r="C144"/>
      <c r="D144"/>
      <c r="E144"/>
      <c r="F144"/>
      <c r="H144"/>
      <c r="I144"/>
    </row>
    <row r="145" spans="1:9" x14ac:dyDescent="0.25">
      <c r="A145"/>
      <c r="B145"/>
      <c r="C145"/>
      <c r="D145"/>
      <c r="E145"/>
      <c r="F145"/>
      <c r="H145"/>
      <c r="I145"/>
    </row>
    <row r="146" spans="1:9" x14ac:dyDescent="0.25">
      <c r="A146"/>
      <c r="B146"/>
      <c r="C146"/>
      <c r="D146"/>
      <c r="E146"/>
      <c r="F146"/>
      <c r="H146"/>
      <c r="I146"/>
    </row>
    <row r="147" spans="1:9" x14ac:dyDescent="0.25">
      <c r="A147"/>
      <c r="B147"/>
      <c r="C147"/>
      <c r="D147"/>
      <c r="E147"/>
      <c r="F147"/>
      <c r="H147"/>
      <c r="I147"/>
    </row>
    <row r="148" spans="1:9" x14ac:dyDescent="0.25">
      <c r="A148"/>
      <c r="B148"/>
      <c r="C148"/>
      <c r="D148"/>
      <c r="E148"/>
      <c r="F148"/>
      <c r="H148"/>
      <c r="I148"/>
    </row>
    <row r="149" spans="1:9" x14ac:dyDescent="0.25">
      <c r="A149"/>
      <c r="B149"/>
      <c r="C149"/>
      <c r="D149"/>
      <c r="E149"/>
      <c r="F149"/>
      <c r="H149"/>
      <c r="I149"/>
    </row>
    <row r="150" spans="1:9" x14ac:dyDescent="0.25">
      <c r="A150"/>
      <c r="B150"/>
      <c r="C150"/>
      <c r="D150"/>
      <c r="E150"/>
      <c r="F150"/>
      <c r="H150"/>
      <c r="I150"/>
    </row>
    <row r="151" spans="1:9" x14ac:dyDescent="0.25">
      <c r="A151"/>
      <c r="B151"/>
      <c r="C151"/>
      <c r="D151"/>
      <c r="E151"/>
      <c r="F151"/>
      <c r="H151"/>
      <c r="I151"/>
    </row>
    <row r="152" spans="1:9" x14ac:dyDescent="0.25">
      <c r="A152"/>
      <c r="B152"/>
      <c r="C152"/>
      <c r="D152"/>
      <c r="E152"/>
      <c r="F152"/>
      <c r="H152"/>
      <c r="I152"/>
    </row>
    <row r="153" spans="1:9" x14ac:dyDescent="0.25">
      <c r="A153"/>
      <c r="B153"/>
      <c r="C153"/>
      <c r="D153"/>
      <c r="E153"/>
      <c r="F153"/>
      <c r="H153"/>
      <c r="I153"/>
    </row>
    <row r="154" spans="1:9" x14ac:dyDescent="0.25">
      <c r="A154"/>
      <c r="B154"/>
      <c r="C154"/>
      <c r="D154"/>
      <c r="E154"/>
      <c r="F154"/>
      <c r="H154"/>
      <c r="I154"/>
    </row>
    <row r="155" spans="1:9" x14ac:dyDescent="0.25">
      <c r="A155"/>
      <c r="B155"/>
      <c r="C155"/>
      <c r="D155"/>
      <c r="E155"/>
      <c r="F155"/>
      <c r="H155"/>
      <c r="I155"/>
    </row>
    <row r="156" spans="1:9" x14ac:dyDescent="0.25">
      <c r="A156"/>
      <c r="B156"/>
      <c r="C156"/>
      <c r="D156"/>
      <c r="E156"/>
      <c r="F156"/>
      <c r="H156"/>
      <c r="I156"/>
    </row>
    <row r="157" spans="1:9" x14ac:dyDescent="0.25">
      <c r="A157"/>
      <c r="B157"/>
      <c r="C157"/>
      <c r="D157"/>
      <c r="E157"/>
      <c r="F157"/>
      <c r="H157"/>
      <c r="I157"/>
    </row>
    <row r="158" spans="1:9" x14ac:dyDescent="0.25">
      <c r="A158"/>
      <c r="B158"/>
      <c r="C158"/>
      <c r="D158"/>
      <c r="E158"/>
      <c r="F158"/>
      <c r="H158"/>
      <c r="I158"/>
    </row>
    <row r="159" spans="1:9" x14ac:dyDescent="0.25">
      <c r="A159"/>
      <c r="B159"/>
      <c r="C159"/>
      <c r="D159"/>
      <c r="E159"/>
      <c r="F159"/>
      <c r="H159"/>
      <c r="I159"/>
    </row>
    <row r="160" spans="1:9" x14ac:dyDescent="0.25">
      <c r="A160"/>
      <c r="B160"/>
      <c r="C160"/>
      <c r="D160"/>
      <c r="E160"/>
      <c r="F160"/>
      <c r="H160"/>
      <c r="I160"/>
    </row>
    <row r="161" spans="1:9" x14ac:dyDescent="0.25">
      <c r="A161"/>
      <c r="B161"/>
      <c r="C161"/>
      <c r="D161"/>
      <c r="E161"/>
      <c r="F161"/>
      <c r="H161"/>
      <c r="I161"/>
    </row>
    <row r="162" spans="1:9" x14ac:dyDescent="0.25">
      <c r="A162"/>
      <c r="B162"/>
      <c r="C162"/>
      <c r="D162"/>
      <c r="E162"/>
      <c r="F162"/>
      <c r="H162"/>
      <c r="I162"/>
    </row>
    <row r="163" spans="1:9" x14ac:dyDescent="0.25">
      <c r="A163"/>
      <c r="B163"/>
      <c r="C163"/>
      <c r="D163"/>
      <c r="E163"/>
      <c r="F163"/>
      <c r="H163"/>
      <c r="I163"/>
    </row>
    <row r="164" spans="1:9" x14ac:dyDescent="0.25">
      <c r="A164"/>
      <c r="B164"/>
      <c r="C164"/>
      <c r="D164"/>
      <c r="E164"/>
      <c r="F164"/>
      <c r="H164"/>
      <c r="I164"/>
    </row>
    <row r="165" spans="1:9" x14ac:dyDescent="0.25">
      <c r="A165"/>
      <c r="B165"/>
      <c r="C165"/>
      <c r="D165"/>
      <c r="E165"/>
      <c r="F165"/>
      <c r="H165"/>
      <c r="I165"/>
    </row>
    <row r="166" spans="1:9" x14ac:dyDescent="0.25">
      <c r="A166"/>
      <c r="B166"/>
      <c r="C166"/>
      <c r="D166"/>
      <c r="E166"/>
      <c r="F166"/>
      <c r="H166"/>
      <c r="I166"/>
    </row>
    <row r="167" spans="1:9" x14ac:dyDescent="0.25">
      <c r="A167"/>
      <c r="B167"/>
      <c r="C167"/>
      <c r="D167"/>
      <c r="E167"/>
      <c r="F167"/>
      <c r="H167"/>
      <c r="I167"/>
    </row>
    <row r="168" spans="1:9" x14ac:dyDescent="0.25">
      <c r="A168"/>
      <c r="B168"/>
      <c r="C168"/>
      <c r="D168"/>
      <c r="E168"/>
      <c r="F168"/>
      <c r="H168"/>
      <c r="I168"/>
    </row>
    <row r="169" spans="1:9" x14ac:dyDescent="0.25">
      <c r="A169"/>
      <c r="B169"/>
      <c r="C169"/>
      <c r="D169"/>
      <c r="E169"/>
      <c r="F169"/>
      <c r="H169"/>
      <c r="I169"/>
    </row>
    <row r="170" spans="1:9" x14ac:dyDescent="0.25">
      <c r="A170"/>
      <c r="B170"/>
      <c r="C170"/>
      <c r="D170"/>
      <c r="E170"/>
      <c r="F170"/>
      <c r="H170"/>
      <c r="I170"/>
    </row>
    <row r="171" spans="1:9" x14ac:dyDescent="0.25">
      <c r="A171"/>
      <c r="B171"/>
      <c r="C171"/>
      <c r="D171"/>
      <c r="E171"/>
      <c r="F171"/>
      <c r="H171"/>
      <c r="I171"/>
    </row>
    <row r="172" spans="1:9" x14ac:dyDescent="0.25">
      <c r="A172"/>
      <c r="B172"/>
      <c r="C172"/>
      <c r="D172"/>
      <c r="E172"/>
      <c r="F172"/>
      <c r="H172"/>
      <c r="I172"/>
    </row>
    <row r="173" spans="1:9" x14ac:dyDescent="0.25">
      <c r="A173"/>
      <c r="B173"/>
      <c r="C173"/>
      <c r="D173"/>
      <c r="E173"/>
      <c r="F173"/>
      <c r="H173"/>
      <c r="I173"/>
    </row>
    <row r="174" spans="1:9" x14ac:dyDescent="0.25">
      <c r="A174"/>
      <c r="B174"/>
      <c r="C174"/>
      <c r="D174"/>
      <c r="E174"/>
      <c r="F174"/>
      <c r="H174"/>
      <c r="I174"/>
    </row>
    <row r="175" spans="1:9" x14ac:dyDescent="0.25">
      <c r="A175"/>
      <c r="B175"/>
      <c r="C175"/>
      <c r="D175"/>
      <c r="E175"/>
      <c r="F175"/>
      <c r="H175"/>
      <c r="I175"/>
    </row>
    <row r="176" spans="1:9" x14ac:dyDescent="0.25">
      <c r="A176"/>
      <c r="B176"/>
      <c r="C176"/>
      <c r="D176"/>
      <c r="E176"/>
      <c r="F176"/>
      <c r="H176"/>
      <c r="I176"/>
    </row>
    <row r="177" spans="1:9" x14ac:dyDescent="0.25">
      <c r="A177"/>
      <c r="B177"/>
      <c r="C177"/>
      <c r="D177"/>
      <c r="E177"/>
      <c r="F177"/>
      <c r="H177"/>
      <c r="I177"/>
    </row>
    <row r="178" spans="1:9" x14ac:dyDescent="0.25">
      <c r="A178"/>
      <c r="B178"/>
      <c r="C178"/>
      <c r="D178"/>
      <c r="E178"/>
      <c r="F178"/>
      <c r="H178"/>
      <c r="I178"/>
    </row>
    <row r="179" spans="1:9" x14ac:dyDescent="0.25">
      <c r="A179"/>
      <c r="B179"/>
      <c r="C179"/>
      <c r="D179"/>
      <c r="E179"/>
      <c r="F179"/>
      <c r="H179"/>
      <c r="I179"/>
    </row>
    <row r="180" spans="1:9" x14ac:dyDescent="0.25">
      <c r="A180"/>
      <c r="B180"/>
      <c r="C180"/>
      <c r="D180"/>
      <c r="E180"/>
      <c r="F180"/>
      <c r="H180"/>
      <c r="I180"/>
    </row>
    <row r="181" spans="1:9" x14ac:dyDescent="0.25">
      <c r="A181"/>
      <c r="B181"/>
      <c r="C181"/>
      <c r="D181"/>
      <c r="E181"/>
      <c r="F181"/>
      <c r="H181"/>
      <c r="I181"/>
    </row>
    <row r="182" spans="1:9" x14ac:dyDescent="0.25">
      <c r="A182"/>
      <c r="B182"/>
      <c r="C182"/>
      <c r="D182"/>
      <c r="E182"/>
      <c r="F182"/>
      <c r="H182"/>
      <c r="I182"/>
    </row>
    <row r="183" spans="1:9" x14ac:dyDescent="0.25">
      <c r="A183"/>
      <c r="B183"/>
      <c r="C183"/>
      <c r="D183"/>
      <c r="E183"/>
      <c r="F183"/>
      <c r="H183"/>
      <c r="I183"/>
    </row>
    <row r="184" spans="1:9" x14ac:dyDescent="0.25">
      <c r="A184"/>
      <c r="B184"/>
      <c r="C184"/>
      <c r="D184"/>
      <c r="E184"/>
      <c r="F184"/>
      <c r="H184"/>
      <c r="I184"/>
    </row>
    <row r="185" spans="1:9" x14ac:dyDescent="0.25">
      <c r="A185"/>
      <c r="B185"/>
      <c r="C185"/>
      <c r="D185"/>
      <c r="E185"/>
      <c r="F185"/>
      <c r="H185"/>
      <c r="I185"/>
    </row>
    <row r="186" spans="1:9" x14ac:dyDescent="0.25">
      <c r="A186"/>
      <c r="B186"/>
      <c r="C186"/>
      <c r="D186"/>
      <c r="E186"/>
      <c r="F186"/>
      <c r="H186"/>
      <c r="I186"/>
    </row>
    <row r="187" spans="1:9" x14ac:dyDescent="0.25">
      <c r="A187"/>
      <c r="B187"/>
      <c r="C187"/>
      <c r="D187"/>
      <c r="E187"/>
      <c r="F187"/>
      <c r="H187"/>
      <c r="I187"/>
    </row>
    <row r="188" spans="1:9" x14ac:dyDescent="0.25">
      <c r="A188"/>
      <c r="B188"/>
      <c r="C188"/>
      <c r="D188"/>
      <c r="E188"/>
      <c r="F188"/>
      <c r="H188"/>
      <c r="I188"/>
    </row>
    <row r="189" spans="1:9" x14ac:dyDescent="0.25">
      <c r="A189"/>
      <c r="B189"/>
      <c r="C189"/>
      <c r="D189"/>
      <c r="E189"/>
      <c r="F189"/>
      <c r="H189"/>
      <c r="I189"/>
    </row>
    <row r="190" spans="1:9" x14ac:dyDescent="0.25">
      <c r="A190"/>
      <c r="B190"/>
      <c r="C190"/>
      <c r="D190"/>
      <c r="E190"/>
      <c r="F190"/>
      <c r="H190"/>
      <c r="I190"/>
    </row>
    <row r="191" spans="1:9" x14ac:dyDescent="0.25">
      <c r="A191"/>
      <c r="B191"/>
      <c r="C191"/>
      <c r="D191"/>
      <c r="E191"/>
      <c r="F191"/>
      <c r="H191"/>
      <c r="I191"/>
    </row>
    <row r="192" spans="1:9" x14ac:dyDescent="0.25">
      <c r="A192"/>
      <c r="B192"/>
      <c r="C192"/>
      <c r="D192"/>
      <c r="E192"/>
      <c r="F192"/>
      <c r="H192"/>
      <c r="I192"/>
    </row>
    <row r="193" spans="1:9" x14ac:dyDescent="0.25">
      <c r="A193"/>
      <c r="B193"/>
      <c r="C193"/>
      <c r="D193"/>
      <c r="E193"/>
      <c r="F193"/>
      <c r="H193"/>
      <c r="I193"/>
    </row>
    <row r="194" spans="1:9" x14ac:dyDescent="0.25">
      <c r="A194"/>
      <c r="B194"/>
      <c r="C194"/>
      <c r="D194"/>
      <c r="E194"/>
      <c r="F194"/>
      <c r="H194"/>
      <c r="I194"/>
    </row>
    <row r="195" spans="1:9" x14ac:dyDescent="0.25">
      <c r="A195"/>
      <c r="B195"/>
      <c r="C195"/>
      <c r="D195"/>
      <c r="E195"/>
      <c r="F195"/>
      <c r="H195"/>
      <c r="I195"/>
    </row>
    <row r="196" spans="1:9" x14ac:dyDescent="0.25">
      <c r="A196"/>
      <c r="B196"/>
      <c r="C196"/>
      <c r="D196"/>
      <c r="E196"/>
      <c r="F196"/>
      <c r="H196"/>
      <c r="I196"/>
    </row>
    <row r="197" spans="1:9" x14ac:dyDescent="0.25">
      <c r="A197"/>
      <c r="B197"/>
      <c r="C197"/>
      <c r="D197"/>
      <c r="E197"/>
      <c r="F197"/>
      <c r="H197"/>
      <c r="I197"/>
    </row>
    <row r="198" spans="1:9" x14ac:dyDescent="0.25">
      <c r="A198"/>
      <c r="B198"/>
      <c r="C198"/>
      <c r="D198"/>
      <c r="E198"/>
      <c r="F198"/>
      <c r="H198"/>
      <c r="I198"/>
    </row>
    <row r="199" spans="1:9" x14ac:dyDescent="0.25">
      <c r="A199"/>
      <c r="B199"/>
      <c r="C199"/>
      <c r="D199"/>
      <c r="E199"/>
      <c r="F199"/>
      <c r="H199"/>
      <c r="I199"/>
    </row>
    <row r="200" spans="1:9" x14ac:dyDescent="0.25">
      <c r="A200"/>
      <c r="B200"/>
      <c r="C200"/>
      <c r="D200"/>
      <c r="E200"/>
      <c r="F200"/>
      <c r="H200"/>
      <c r="I200"/>
    </row>
    <row r="201" spans="1:9" x14ac:dyDescent="0.25">
      <c r="A201"/>
      <c r="B201"/>
      <c r="C201"/>
      <c r="D201"/>
      <c r="E201"/>
      <c r="F201"/>
      <c r="H201"/>
      <c r="I201"/>
    </row>
    <row r="202" spans="1:9" x14ac:dyDescent="0.25">
      <c r="A202"/>
      <c r="B202"/>
      <c r="C202"/>
      <c r="D202"/>
      <c r="E202"/>
      <c r="F202"/>
      <c r="H202"/>
      <c r="I202"/>
    </row>
    <row r="203" spans="1:9" x14ac:dyDescent="0.25">
      <c r="A203"/>
      <c r="B203"/>
      <c r="C203"/>
      <c r="D203"/>
      <c r="E203"/>
      <c r="F203"/>
      <c r="H203"/>
      <c r="I203"/>
    </row>
    <row r="204" spans="1:9" x14ac:dyDescent="0.25">
      <c r="A204"/>
      <c r="B204"/>
      <c r="C204"/>
      <c r="D204"/>
      <c r="E204"/>
      <c r="F204"/>
      <c r="H204"/>
      <c r="I204"/>
    </row>
    <row r="205" spans="1:9" x14ac:dyDescent="0.25">
      <c r="A205"/>
      <c r="B205"/>
      <c r="C205"/>
      <c r="D205"/>
      <c r="E205"/>
      <c r="F205"/>
      <c r="H205"/>
      <c r="I205"/>
    </row>
    <row r="206" spans="1:9" x14ac:dyDescent="0.25">
      <c r="A206"/>
      <c r="B206"/>
      <c r="C206"/>
      <c r="D206"/>
      <c r="E206"/>
      <c r="F206"/>
      <c r="H206"/>
      <c r="I206"/>
    </row>
    <row r="207" spans="1:9" x14ac:dyDescent="0.25">
      <c r="A207"/>
      <c r="B207"/>
      <c r="C207"/>
      <c r="D207"/>
      <c r="E207"/>
      <c r="F207"/>
      <c r="H207"/>
      <c r="I207"/>
    </row>
    <row r="208" spans="1:9" x14ac:dyDescent="0.25">
      <c r="A208"/>
      <c r="B208"/>
      <c r="C208"/>
      <c r="D208"/>
      <c r="E208"/>
      <c r="F208"/>
      <c r="H208"/>
      <c r="I208"/>
    </row>
    <row r="209" spans="1:9" x14ac:dyDescent="0.25">
      <c r="A209"/>
      <c r="B209"/>
      <c r="C209"/>
      <c r="D209"/>
      <c r="E209"/>
      <c r="F209"/>
      <c r="H209"/>
      <c r="I209"/>
    </row>
    <row r="210" spans="1:9" x14ac:dyDescent="0.25">
      <c r="A210"/>
      <c r="B210"/>
      <c r="C210"/>
      <c r="D210"/>
      <c r="E210"/>
      <c r="F210"/>
      <c r="H210"/>
      <c r="I210"/>
    </row>
    <row r="211" spans="1:9" x14ac:dyDescent="0.25">
      <c r="A211"/>
      <c r="B211"/>
      <c r="C211"/>
      <c r="D211"/>
      <c r="E211"/>
      <c r="F211"/>
      <c r="H211"/>
      <c r="I211"/>
    </row>
    <row r="212" spans="1:9" x14ac:dyDescent="0.25">
      <c r="A212"/>
      <c r="B212"/>
      <c r="C212"/>
      <c r="D212"/>
      <c r="E212"/>
      <c r="F212"/>
      <c r="H212"/>
      <c r="I212"/>
    </row>
    <row r="213" spans="1:9" x14ac:dyDescent="0.25">
      <c r="A213"/>
      <c r="B213"/>
      <c r="C213"/>
      <c r="D213"/>
      <c r="E213"/>
      <c r="F213"/>
      <c r="H213"/>
      <c r="I213"/>
    </row>
    <row r="214" spans="1:9" x14ac:dyDescent="0.25">
      <c r="A214"/>
      <c r="B214"/>
      <c r="C214"/>
      <c r="D214"/>
      <c r="E214"/>
      <c r="F214"/>
      <c r="H214"/>
      <c r="I214"/>
    </row>
    <row r="215" spans="1:9" x14ac:dyDescent="0.25">
      <c r="A215"/>
      <c r="B215"/>
      <c r="C215"/>
      <c r="D215"/>
      <c r="E215"/>
      <c r="F215"/>
      <c r="H215"/>
      <c r="I215"/>
    </row>
    <row r="216" spans="1:9" x14ac:dyDescent="0.25">
      <c r="A216"/>
      <c r="B216"/>
      <c r="C216"/>
      <c r="D216"/>
      <c r="E216"/>
      <c r="F216"/>
      <c r="H216"/>
      <c r="I216"/>
    </row>
    <row r="217" spans="1:9" x14ac:dyDescent="0.25">
      <c r="A217"/>
      <c r="B217"/>
      <c r="C217"/>
      <c r="D217"/>
      <c r="E217"/>
      <c r="F217"/>
      <c r="H217"/>
      <c r="I217"/>
    </row>
    <row r="218" spans="1:9" x14ac:dyDescent="0.25">
      <c r="A218"/>
      <c r="B218"/>
      <c r="C218"/>
      <c r="D218"/>
      <c r="E218"/>
      <c r="F218"/>
      <c r="H218"/>
      <c r="I218"/>
    </row>
    <row r="219" spans="1:9" x14ac:dyDescent="0.25">
      <c r="A219"/>
      <c r="B219"/>
      <c r="C219"/>
      <c r="D219"/>
      <c r="E219"/>
      <c r="F219"/>
      <c r="H219"/>
      <c r="I219"/>
    </row>
    <row r="220" spans="1:9" x14ac:dyDescent="0.25">
      <c r="A220"/>
      <c r="B220"/>
      <c r="C220"/>
      <c r="D220"/>
      <c r="E220"/>
      <c r="F220"/>
      <c r="H220"/>
      <c r="I220"/>
    </row>
    <row r="221" spans="1:9" x14ac:dyDescent="0.25">
      <c r="A221"/>
      <c r="B221"/>
      <c r="C221"/>
      <c r="D221"/>
      <c r="E221"/>
      <c r="F221"/>
      <c r="H221"/>
      <c r="I221"/>
    </row>
    <row r="222" spans="1:9" x14ac:dyDescent="0.25">
      <c r="A222"/>
      <c r="B222"/>
      <c r="C222"/>
      <c r="D222"/>
      <c r="E222"/>
      <c r="F222"/>
      <c r="H222"/>
      <c r="I222"/>
    </row>
    <row r="223" spans="1:9" x14ac:dyDescent="0.25">
      <c r="A223"/>
      <c r="B223"/>
      <c r="C223"/>
      <c r="D223"/>
      <c r="E223"/>
      <c r="F223"/>
      <c r="H223"/>
      <c r="I223"/>
    </row>
    <row r="224" spans="1:9" x14ac:dyDescent="0.25">
      <c r="A224"/>
      <c r="B224"/>
      <c r="C224"/>
      <c r="D224"/>
      <c r="E224"/>
      <c r="F224"/>
      <c r="H224"/>
      <c r="I224"/>
    </row>
    <row r="225" spans="1:9" x14ac:dyDescent="0.25">
      <c r="A225"/>
      <c r="B225"/>
      <c r="C225"/>
      <c r="D225"/>
      <c r="E225"/>
      <c r="F225"/>
      <c r="H225"/>
      <c r="I225"/>
    </row>
    <row r="226" spans="1:9" x14ac:dyDescent="0.25">
      <c r="A226"/>
      <c r="B226"/>
      <c r="C226"/>
      <c r="D226"/>
      <c r="E226"/>
      <c r="F226"/>
      <c r="H226"/>
      <c r="I226"/>
    </row>
    <row r="227" spans="1:9" x14ac:dyDescent="0.25">
      <c r="A227"/>
      <c r="B227"/>
      <c r="C227"/>
      <c r="D227"/>
      <c r="E227"/>
      <c r="F227"/>
      <c r="H227"/>
      <c r="I227"/>
    </row>
    <row r="228" spans="1:9" x14ac:dyDescent="0.25">
      <c r="A228"/>
      <c r="B228"/>
      <c r="C228"/>
      <c r="D228"/>
      <c r="E228"/>
      <c r="F228"/>
      <c r="H228"/>
      <c r="I228"/>
    </row>
    <row r="229" spans="1:9" x14ac:dyDescent="0.25">
      <c r="A229"/>
      <c r="B229"/>
      <c r="C229"/>
      <c r="D229"/>
      <c r="E229"/>
      <c r="F229"/>
      <c r="H229"/>
      <c r="I229"/>
    </row>
    <row r="230" spans="1:9" x14ac:dyDescent="0.25">
      <c r="A230"/>
      <c r="B230"/>
      <c r="C230"/>
      <c r="D230"/>
      <c r="E230"/>
      <c r="F230"/>
      <c r="H230"/>
      <c r="I230"/>
    </row>
    <row r="231" spans="1:9" x14ac:dyDescent="0.25">
      <c r="A231"/>
      <c r="B231"/>
      <c r="C231"/>
      <c r="D231"/>
      <c r="E231"/>
      <c r="F231"/>
      <c r="H231"/>
      <c r="I231"/>
    </row>
    <row r="232" spans="1:9" x14ac:dyDescent="0.25">
      <c r="A232"/>
      <c r="B232"/>
      <c r="C232"/>
      <c r="D232"/>
      <c r="E232"/>
      <c r="F232"/>
      <c r="H232"/>
      <c r="I232"/>
    </row>
    <row r="233" spans="1:9" x14ac:dyDescent="0.25">
      <c r="A233"/>
      <c r="B233"/>
      <c r="C233"/>
      <c r="D233"/>
      <c r="E233"/>
      <c r="F233"/>
      <c r="H233"/>
      <c r="I233"/>
    </row>
    <row r="234" spans="1:9" x14ac:dyDescent="0.25">
      <c r="A234"/>
      <c r="B234"/>
      <c r="C234"/>
      <c r="D234"/>
      <c r="E234"/>
      <c r="F234"/>
      <c r="H234"/>
      <c r="I234"/>
    </row>
    <row r="235" spans="1:9" x14ac:dyDescent="0.25">
      <c r="A235"/>
      <c r="B235"/>
      <c r="C235"/>
      <c r="D235"/>
      <c r="E235"/>
      <c r="F235"/>
      <c r="H235"/>
      <c r="I235"/>
    </row>
    <row r="236" spans="1:9" x14ac:dyDescent="0.25">
      <c r="A236"/>
      <c r="B236"/>
      <c r="C236"/>
      <c r="D236"/>
      <c r="E236"/>
      <c r="F236"/>
      <c r="H236"/>
      <c r="I236"/>
    </row>
    <row r="237" spans="1:9" x14ac:dyDescent="0.25">
      <c r="A237"/>
      <c r="B237"/>
      <c r="C237"/>
      <c r="D237"/>
      <c r="E237"/>
      <c r="F237"/>
      <c r="H237"/>
      <c r="I237"/>
    </row>
    <row r="238" spans="1:9" x14ac:dyDescent="0.25">
      <c r="A238"/>
      <c r="B238"/>
      <c r="C238"/>
      <c r="D238"/>
      <c r="E238"/>
      <c r="F238"/>
      <c r="H238"/>
      <c r="I238"/>
    </row>
    <row r="239" spans="1:9" x14ac:dyDescent="0.25">
      <c r="A239"/>
      <c r="B239"/>
      <c r="C239"/>
      <c r="D239"/>
      <c r="E239"/>
      <c r="F239"/>
      <c r="H239"/>
      <c r="I239"/>
    </row>
    <row r="240" spans="1:9" x14ac:dyDescent="0.25">
      <c r="A240"/>
      <c r="B240"/>
      <c r="C240"/>
      <c r="D240"/>
      <c r="E240"/>
      <c r="F240"/>
      <c r="H240"/>
      <c r="I240"/>
    </row>
    <row r="241" spans="1:9" x14ac:dyDescent="0.25">
      <c r="A241"/>
      <c r="B241"/>
      <c r="C241"/>
      <c r="D241"/>
      <c r="E241"/>
      <c r="F241"/>
      <c r="H241"/>
      <c r="I241"/>
    </row>
    <row r="242" spans="1:9" x14ac:dyDescent="0.25">
      <c r="A242"/>
      <c r="B242"/>
      <c r="C242"/>
      <c r="D242"/>
      <c r="E242"/>
      <c r="F242"/>
      <c r="H242"/>
      <c r="I242"/>
    </row>
    <row r="243" spans="1:9" x14ac:dyDescent="0.25">
      <c r="A243"/>
      <c r="B243"/>
      <c r="C243"/>
      <c r="D243"/>
      <c r="E243"/>
      <c r="F243"/>
      <c r="H243"/>
      <c r="I243"/>
    </row>
    <row r="244" spans="1:9" x14ac:dyDescent="0.25">
      <c r="A244"/>
      <c r="B244"/>
      <c r="C244"/>
      <c r="D244"/>
      <c r="E244"/>
      <c r="F244"/>
      <c r="H244"/>
      <c r="I244"/>
    </row>
    <row r="245" spans="1:9" x14ac:dyDescent="0.25">
      <c r="A245"/>
      <c r="B245"/>
      <c r="C245"/>
      <c r="D245"/>
      <c r="E245"/>
      <c r="F245"/>
      <c r="H245"/>
      <c r="I245"/>
    </row>
    <row r="246" spans="1:9" x14ac:dyDescent="0.25">
      <c r="A246"/>
      <c r="B246"/>
      <c r="C246"/>
      <c r="D246"/>
      <c r="E246"/>
      <c r="F246"/>
      <c r="H246"/>
      <c r="I246"/>
    </row>
    <row r="247" spans="1:9" x14ac:dyDescent="0.25">
      <c r="A247"/>
      <c r="B247"/>
      <c r="C247"/>
      <c r="D247"/>
      <c r="E247"/>
      <c r="F247"/>
      <c r="H247"/>
      <c r="I247"/>
    </row>
    <row r="248" spans="1:9" x14ac:dyDescent="0.25">
      <c r="A248"/>
      <c r="B248"/>
      <c r="C248"/>
      <c r="D248"/>
      <c r="E248"/>
      <c r="F248"/>
      <c r="H248"/>
      <c r="I248"/>
    </row>
    <row r="249" spans="1:9" x14ac:dyDescent="0.25">
      <c r="A249"/>
      <c r="B249"/>
      <c r="C249"/>
      <c r="D249"/>
      <c r="E249"/>
      <c r="F249"/>
      <c r="H249"/>
      <c r="I249"/>
    </row>
    <row r="250" spans="1:9" x14ac:dyDescent="0.25">
      <c r="A250"/>
      <c r="B250"/>
      <c r="C250"/>
      <c r="D250"/>
      <c r="E250"/>
      <c r="F250"/>
      <c r="H250"/>
      <c r="I250"/>
    </row>
    <row r="251" spans="1:9" x14ac:dyDescent="0.25">
      <c r="A251"/>
      <c r="B251"/>
      <c r="C251"/>
      <c r="D251"/>
      <c r="E251"/>
      <c r="F251"/>
      <c r="H251"/>
      <c r="I251"/>
    </row>
    <row r="252" spans="1:9" x14ac:dyDescent="0.25">
      <c r="A252"/>
      <c r="B252"/>
      <c r="C252"/>
      <c r="D252"/>
      <c r="E252"/>
      <c r="F252"/>
      <c r="H252"/>
      <c r="I252"/>
    </row>
    <row r="253" spans="1:9" x14ac:dyDescent="0.25">
      <c r="A253"/>
      <c r="B253"/>
      <c r="C253"/>
      <c r="D253"/>
      <c r="E253"/>
      <c r="F253"/>
      <c r="H253"/>
      <c r="I253"/>
    </row>
    <row r="254" spans="1:9" x14ac:dyDescent="0.25">
      <c r="A254"/>
      <c r="B254"/>
      <c r="C254"/>
      <c r="D254"/>
      <c r="E254"/>
      <c r="F254"/>
      <c r="H254"/>
      <c r="I254"/>
    </row>
    <row r="255" spans="1:9" x14ac:dyDescent="0.25">
      <c r="A255"/>
      <c r="B255"/>
      <c r="C255"/>
      <c r="D255"/>
      <c r="E255"/>
      <c r="F255"/>
      <c r="H255"/>
      <c r="I255"/>
    </row>
    <row r="256" spans="1:9" x14ac:dyDescent="0.25">
      <c r="A256"/>
      <c r="B256"/>
      <c r="C256"/>
      <c r="D256"/>
      <c r="E256"/>
      <c r="F256"/>
      <c r="H256"/>
      <c r="I256"/>
    </row>
    <row r="257" spans="1:9" x14ac:dyDescent="0.25">
      <c r="A257"/>
      <c r="B257"/>
      <c r="C257"/>
      <c r="D257"/>
      <c r="E257"/>
      <c r="F257"/>
      <c r="H257"/>
      <c r="I257"/>
    </row>
    <row r="258" spans="1:9" x14ac:dyDescent="0.25">
      <c r="A258"/>
      <c r="B258"/>
      <c r="C258"/>
      <c r="D258"/>
      <c r="E258"/>
      <c r="F258"/>
      <c r="H258"/>
      <c r="I258"/>
    </row>
    <row r="259" spans="1:9" x14ac:dyDescent="0.25">
      <c r="A259"/>
      <c r="B259"/>
      <c r="C259"/>
      <c r="D259"/>
      <c r="E259"/>
      <c r="F259"/>
      <c r="H259"/>
      <c r="I259"/>
    </row>
    <row r="260" spans="1:9" x14ac:dyDescent="0.25">
      <c r="A260"/>
      <c r="B260"/>
      <c r="C260"/>
      <c r="D260"/>
      <c r="E260"/>
      <c r="F260"/>
      <c r="H260"/>
      <c r="I260"/>
    </row>
    <row r="261" spans="1:9" x14ac:dyDescent="0.25">
      <c r="A261"/>
      <c r="B261"/>
      <c r="C261"/>
      <c r="D261"/>
      <c r="E261"/>
      <c r="F261"/>
      <c r="H261"/>
      <c r="I261"/>
    </row>
    <row r="262" spans="1:9" x14ac:dyDescent="0.25">
      <c r="A262"/>
      <c r="B262"/>
      <c r="C262"/>
      <c r="D262"/>
      <c r="E262"/>
      <c r="F262"/>
      <c r="H262"/>
      <c r="I262"/>
    </row>
    <row r="263" spans="1:9" x14ac:dyDescent="0.25">
      <c r="A263"/>
      <c r="B263"/>
      <c r="C263"/>
      <c r="D263"/>
      <c r="E263"/>
      <c r="F263"/>
      <c r="H263"/>
      <c r="I263"/>
    </row>
    <row r="264" spans="1:9" x14ac:dyDescent="0.25">
      <c r="A264"/>
      <c r="B264"/>
      <c r="C264"/>
      <c r="D264"/>
      <c r="E264"/>
      <c r="F264"/>
      <c r="H264"/>
      <c r="I264"/>
    </row>
    <row r="265" spans="1:9" x14ac:dyDescent="0.25">
      <c r="A265"/>
      <c r="B265"/>
      <c r="C265"/>
      <c r="D265"/>
      <c r="E265"/>
      <c r="F265"/>
      <c r="H265"/>
      <c r="I265"/>
    </row>
    <row r="266" spans="1:9" x14ac:dyDescent="0.25">
      <c r="A266"/>
      <c r="B266"/>
      <c r="C266"/>
      <c r="D266"/>
      <c r="E266"/>
      <c r="F266"/>
      <c r="H266"/>
      <c r="I266"/>
    </row>
    <row r="267" spans="1:9" x14ac:dyDescent="0.25">
      <c r="A267"/>
      <c r="B267"/>
      <c r="C267"/>
      <c r="D267"/>
      <c r="E267"/>
      <c r="F267"/>
      <c r="H267"/>
      <c r="I267"/>
    </row>
    <row r="268" spans="1:9" x14ac:dyDescent="0.25">
      <c r="A268"/>
      <c r="B268"/>
      <c r="C268"/>
      <c r="D268"/>
      <c r="E268"/>
      <c r="F268"/>
      <c r="H268"/>
      <c r="I268"/>
    </row>
    <row r="269" spans="1:9" x14ac:dyDescent="0.25">
      <c r="A269"/>
      <c r="B269"/>
      <c r="C269"/>
      <c r="D269"/>
      <c r="E269"/>
      <c r="F269"/>
      <c r="H269"/>
      <c r="I269"/>
    </row>
    <row r="270" spans="1:9" x14ac:dyDescent="0.25">
      <c r="A270"/>
      <c r="B270"/>
      <c r="C270"/>
      <c r="D270"/>
      <c r="E270"/>
      <c r="F270"/>
      <c r="H270"/>
      <c r="I270"/>
    </row>
    <row r="271" spans="1:9" x14ac:dyDescent="0.25">
      <c r="A271"/>
      <c r="B271"/>
      <c r="C271"/>
      <c r="D271"/>
      <c r="E271"/>
      <c r="F271"/>
      <c r="H271"/>
      <c r="I271"/>
    </row>
    <row r="272" spans="1:9" x14ac:dyDescent="0.25">
      <c r="A272"/>
      <c r="B272"/>
      <c r="C272"/>
      <c r="D272"/>
      <c r="E272"/>
      <c r="F272"/>
      <c r="H272"/>
      <c r="I272"/>
    </row>
    <row r="273" spans="1:9" x14ac:dyDescent="0.25">
      <c r="A273"/>
      <c r="B273"/>
      <c r="C273"/>
      <c r="D273"/>
      <c r="E273"/>
      <c r="F273"/>
      <c r="H273"/>
      <c r="I273"/>
    </row>
    <row r="274" spans="1:9" x14ac:dyDescent="0.25">
      <c r="A274"/>
      <c r="B274"/>
      <c r="C274"/>
      <c r="D274"/>
      <c r="E274"/>
      <c r="F274"/>
      <c r="H274"/>
      <c r="I274"/>
    </row>
    <row r="275" spans="1:9" x14ac:dyDescent="0.25">
      <c r="A275"/>
      <c r="B275"/>
      <c r="C275"/>
      <c r="D275"/>
      <c r="E275"/>
      <c r="F275"/>
      <c r="H275"/>
      <c r="I275"/>
    </row>
    <row r="276" spans="1:9" x14ac:dyDescent="0.25">
      <c r="A276"/>
      <c r="B276"/>
      <c r="C276"/>
      <c r="D276"/>
      <c r="E276"/>
      <c r="F276"/>
      <c r="H276"/>
      <c r="I276"/>
    </row>
    <row r="277" spans="1:9" x14ac:dyDescent="0.25">
      <c r="A277"/>
      <c r="B277"/>
      <c r="C277"/>
      <c r="D277"/>
      <c r="E277"/>
      <c r="F277"/>
      <c r="H277"/>
      <c r="I277"/>
    </row>
    <row r="278" spans="1:9" x14ac:dyDescent="0.25">
      <c r="A278"/>
      <c r="B278"/>
      <c r="C278"/>
      <c r="D278"/>
      <c r="E278"/>
      <c r="F278"/>
      <c r="H278"/>
      <c r="I278"/>
    </row>
    <row r="279" spans="1:9" x14ac:dyDescent="0.25">
      <c r="A279"/>
      <c r="B279"/>
      <c r="C279"/>
      <c r="D279"/>
      <c r="E279"/>
      <c r="F279"/>
      <c r="H279"/>
      <c r="I279"/>
    </row>
    <row r="280" spans="1:9" x14ac:dyDescent="0.25">
      <c r="A280"/>
      <c r="B280"/>
      <c r="C280"/>
      <c r="D280"/>
      <c r="E280"/>
      <c r="F280"/>
      <c r="H280"/>
      <c r="I280"/>
    </row>
    <row r="281" spans="1:9" x14ac:dyDescent="0.25">
      <c r="A281"/>
      <c r="B281"/>
      <c r="C281"/>
      <c r="D281"/>
      <c r="E281"/>
      <c r="F281"/>
      <c r="H281"/>
      <c r="I281"/>
    </row>
    <row r="282" spans="1:9" x14ac:dyDescent="0.25">
      <c r="A282"/>
      <c r="B282"/>
      <c r="C282"/>
      <c r="D282"/>
      <c r="E282"/>
      <c r="F282"/>
      <c r="H282"/>
      <c r="I282"/>
    </row>
    <row r="283" spans="1:9" x14ac:dyDescent="0.25">
      <c r="A283"/>
      <c r="B283"/>
      <c r="C283"/>
      <c r="D283"/>
      <c r="E283"/>
      <c r="F283"/>
      <c r="H283"/>
      <c r="I283"/>
    </row>
    <row r="284" spans="1:9" x14ac:dyDescent="0.25">
      <c r="A284"/>
      <c r="B284"/>
      <c r="C284"/>
      <c r="D284"/>
      <c r="E284"/>
      <c r="F284"/>
      <c r="H284"/>
      <c r="I284"/>
    </row>
    <row r="285" spans="1:9" x14ac:dyDescent="0.25">
      <c r="A285"/>
      <c r="B285"/>
      <c r="C285"/>
      <c r="D285"/>
      <c r="E285"/>
      <c r="F285"/>
      <c r="H285"/>
      <c r="I285"/>
    </row>
    <row r="286" spans="1:9" x14ac:dyDescent="0.25">
      <c r="A286"/>
      <c r="B286"/>
      <c r="C286"/>
      <c r="D286"/>
      <c r="E286"/>
      <c r="F286"/>
      <c r="H286"/>
      <c r="I286"/>
    </row>
    <row r="287" spans="1:9" x14ac:dyDescent="0.25">
      <c r="A287"/>
      <c r="B287"/>
      <c r="C287"/>
      <c r="D287"/>
      <c r="E287"/>
      <c r="F287"/>
      <c r="H287"/>
      <c r="I287"/>
    </row>
    <row r="288" spans="1:9" x14ac:dyDescent="0.25">
      <c r="A288"/>
      <c r="B288"/>
      <c r="C288"/>
      <c r="D288"/>
      <c r="E288"/>
      <c r="F288"/>
      <c r="H288"/>
      <c r="I288"/>
    </row>
    <row r="289" spans="1:9" x14ac:dyDescent="0.25">
      <c r="A289"/>
      <c r="B289"/>
      <c r="C289"/>
      <c r="D289"/>
      <c r="E289"/>
      <c r="F289"/>
      <c r="H289"/>
      <c r="I289"/>
    </row>
    <row r="290" spans="1:9" x14ac:dyDescent="0.25">
      <c r="A290"/>
      <c r="B290"/>
      <c r="C290"/>
      <c r="D290"/>
      <c r="E290"/>
      <c r="F290"/>
      <c r="H290"/>
      <c r="I290"/>
    </row>
    <row r="291" spans="1:9" x14ac:dyDescent="0.25">
      <c r="A291"/>
      <c r="B291"/>
      <c r="C291"/>
      <c r="D291"/>
      <c r="E291"/>
      <c r="F291"/>
      <c r="H291"/>
      <c r="I291"/>
    </row>
    <row r="292" spans="1:9" x14ac:dyDescent="0.25">
      <c r="A292"/>
      <c r="B292"/>
      <c r="C292"/>
      <c r="D292"/>
      <c r="E292"/>
      <c r="F292"/>
      <c r="H292"/>
      <c r="I292"/>
    </row>
    <row r="293" spans="1:9" x14ac:dyDescent="0.25">
      <c r="A293"/>
      <c r="B293"/>
      <c r="C293"/>
      <c r="D293"/>
      <c r="E293"/>
      <c r="F293"/>
      <c r="H293"/>
      <c r="I293"/>
    </row>
    <row r="294" spans="1:9" x14ac:dyDescent="0.25">
      <c r="A294"/>
      <c r="B294"/>
      <c r="C294"/>
      <c r="D294"/>
      <c r="E294"/>
      <c r="F294"/>
      <c r="H294"/>
      <c r="I294"/>
    </row>
    <row r="295" spans="1:9" x14ac:dyDescent="0.25">
      <c r="A295"/>
      <c r="B295"/>
      <c r="C295"/>
      <c r="D295"/>
      <c r="E295"/>
      <c r="F295"/>
      <c r="H295"/>
      <c r="I295"/>
    </row>
    <row r="296" spans="1:9" x14ac:dyDescent="0.25">
      <c r="A296"/>
      <c r="B296"/>
      <c r="C296"/>
      <c r="D296"/>
      <c r="E296"/>
      <c r="F296"/>
      <c r="H296"/>
      <c r="I296"/>
    </row>
    <row r="297" spans="1:9" x14ac:dyDescent="0.25">
      <c r="A297"/>
      <c r="B297"/>
      <c r="C297"/>
      <c r="D297"/>
      <c r="E297"/>
      <c r="F297"/>
      <c r="H297"/>
      <c r="I297"/>
    </row>
    <row r="298" spans="1:9" x14ac:dyDescent="0.25">
      <c r="A298"/>
      <c r="B298"/>
      <c r="C298"/>
      <c r="D298"/>
      <c r="E298"/>
      <c r="F298"/>
      <c r="H298"/>
      <c r="I298"/>
    </row>
    <row r="299" spans="1:9" x14ac:dyDescent="0.25">
      <c r="A299"/>
      <c r="B299"/>
      <c r="C299"/>
      <c r="D299"/>
      <c r="E299"/>
      <c r="F299"/>
      <c r="H299"/>
      <c r="I299"/>
    </row>
    <row r="300" spans="1:9" x14ac:dyDescent="0.25">
      <c r="A300"/>
      <c r="B300"/>
      <c r="C300"/>
      <c r="D300"/>
      <c r="E300"/>
      <c r="F300"/>
      <c r="H300"/>
      <c r="I300"/>
    </row>
    <row r="301" spans="1:9" x14ac:dyDescent="0.25">
      <c r="A301"/>
      <c r="B301"/>
      <c r="C301"/>
      <c r="D301"/>
      <c r="E301"/>
      <c r="F301"/>
      <c r="H301"/>
      <c r="I301"/>
    </row>
    <row r="302" spans="1:9" x14ac:dyDescent="0.25">
      <c r="A302"/>
      <c r="B302"/>
      <c r="C302"/>
      <c r="D302"/>
      <c r="E302"/>
      <c r="F302"/>
      <c r="H302"/>
      <c r="I302"/>
    </row>
    <row r="303" spans="1:9" x14ac:dyDescent="0.25">
      <c r="A303"/>
      <c r="B303"/>
      <c r="C303"/>
      <c r="D303"/>
      <c r="E303"/>
      <c r="F303"/>
      <c r="H303"/>
      <c r="I303"/>
    </row>
    <row r="304" spans="1:9" x14ac:dyDescent="0.25">
      <c r="A304"/>
      <c r="B304"/>
      <c r="C304"/>
      <c r="D304"/>
      <c r="E304"/>
      <c r="F304"/>
      <c r="H304"/>
      <c r="I304"/>
    </row>
    <row r="305" spans="1:9" x14ac:dyDescent="0.25">
      <c r="A305"/>
      <c r="B305"/>
      <c r="C305"/>
      <c r="D305"/>
      <c r="E305"/>
      <c r="F305"/>
      <c r="H305"/>
      <c r="I305"/>
    </row>
    <row r="306" spans="1:9" x14ac:dyDescent="0.25">
      <c r="A306"/>
      <c r="B306"/>
      <c r="C306"/>
      <c r="D306"/>
      <c r="E306"/>
      <c r="F306"/>
      <c r="H306"/>
      <c r="I306"/>
    </row>
    <row r="307" spans="1:9" x14ac:dyDescent="0.25">
      <c r="A307"/>
      <c r="B307"/>
      <c r="C307"/>
      <c r="D307"/>
      <c r="E307"/>
      <c r="F307"/>
      <c r="H307"/>
      <c r="I307"/>
    </row>
    <row r="308" spans="1:9" x14ac:dyDescent="0.25">
      <c r="A308"/>
      <c r="B308"/>
      <c r="C308"/>
      <c r="D308"/>
      <c r="E308"/>
      <c r="F308"/>
      <c r="H308"/>
      <c r="I308"/>
    </row>
    <row r="309" spans="1:9" x14ac:dyDescent="0.25">
      <c r="A309"/>
      <c r="B309"/>
      <c r="C309"/>
      <c r="D309"/>
      <c r="E309"/>
      <c r="F309"/>
      <c r="H309"/>
      <c r="I309"/>
    </row>
    <row r="310" spans="1:9" x14ac:dyDescent="0.25">
      <c r="A310"/>
      <c r="B310"/>
      <c r="C310"/>
      <c r="D310"/>
      <c r="E310"/>
      <c r="F310"/>
      <c r="H310"/>
      <c r="I310"/>
    </row>
    <row r="311" spans="1:9" x14ac:dyDescent="0.25">
      <c r="A311"/>
      <c r="B311"/>
      <c r="C311"/>
      <c r="D311"/>
      <c r="E311"/>
      <c r="F311"/>
      <c r="H311"/>
      <c r="I311"/>
    </row>
    <row r="312" spans="1:9" x14ac:dyDescent="0.25">
      <c r="A312"/>
      <c r="B312"/>
      <c r="C312"/>
      <c r="D312"/>
      <c r="E312"/>
      <c r="F312"/>
      <c r="H312"/>
      <c r="I312"/>
    </row>
    <row r="313" spans="1:9" x14ac:dyDescent="0.25">
      <c r="A313"/>
      <c r="B313"/>
      <c r="C313"/>
      <c r="D313"/>
      <c r="E313"/>
      <c r="F313"/>
      <c r="H313"/>
      <c r="I313"/>
    </row>
    <row r="314" spans="1:9" x14ac:dyDescent="0.25">
      <c r="A314"/>
      <c r="B314"/>
      <c r="C314"/>
      <c r="D314"/>
      <c r="E314"/>
      <c r="F314"/>
      <c r="H314"/>
      <c r="I314"/>
    </row>
    <row r="315" spans="1:9" x14ac:dyDescent="0.25">
      <c r="A315"/>
      <c r="B315"/>
      <c r="C315"/>
      <c r="D315"/>
      <c r="E315"/>
      <c r="F315"/>
      <c r="H315"/>
      <c r="I315"/>
    </row>
    <row r="316" spans="1:9" x14ac:dyDescent="0.25">
      <c r="A316"/>
      <c r="B316"/>
      <c r="C316"/>
      <c r="D316"/>
      <c r="E316"/>
      <c r="F316"/>
      <c r="H316"/>
      <c r="I316"/>
    </row>
    <row r="317" spans="1:9" x14ac:dyDescent="0.25">
      <c r="A317"/>
      <c r="B317"/>
      <c r="C317"/>
      <c r="D317"/>
      <c r="E317"/>
      <c r="F317"/>
      <c r="H317"/>
      <c r="I317"/>
    </row>
    <row r="318" spans="1:9" x14ac:dyDescent="0.25">
      <c r="A318"/>
      <c r="B318"/>
      <c r="C318"/>
      <c r="D318"/>
      <c r="E318"/>
      <c r="F318"/>
      <c r="H318"/>
      <c r="I318"/>
    </row>
    <row r="319" spans="1:9" x14ac:dyDescent="0.25">
      <c r="A319"/>
      <c r="B319"/>
      <c r="C319"/>
      <c r="D319"/>
      <c r="E319"/>
      <c r="F319"/>
      <c r="H319"/>
      <c r="I319"/>
    </row>
    <row r="320" spans="1:9" x14ac:dyDescent="0.25">
      <c r="A320"/>
      <c r="B320"/>
      <c r="C320"/>
      <c r="D320"/>
      <c r="E320"/>
      <c r="F320"/>
      <c r="H320"/>
      <c r="I320"/>
    </row>
    <row r="321" spans="1:9" x14ac:dyDescent="0.25">
      <c r="A321"/>
      <c r="B321"/>
      <c r="C321"/>
      <c r="D321"/>
      <c r="E321"/>
      <c r="F321"/>
      <c r="H321"/>
      <c r="I321"/>
    </row>
    <row r="322" spans="1:9" x14ac:dyDescent="0.25">
      <c r="A322"/>
      <c r="B322"/>
      <c r="C322"/>
      <c r="D322"/>
      <c r="E322"/>
      <c r="F322"/>
      <c r="H322"/>
      <c r="I322"/>
    </row>
    <row r="323" spans="1:9" x14ac:dyDescent="0.25">
      <c r="A323"/>
      <c r="B323"/>
      <c r="C323"/>
      <c r="D323"/>
      <c r="E323"/>
      <c r="F323"/>
      <c r="H323"/>
      <c r="I323"/>
    </row>
    <row r="324" spans="1:9" x14ac:dyDescent="0.25">
      <c r="A324"/>
      <c r="B324"/>
      <c r="C324"/>
      <c r="D324"/>
      <c r="E324"/>
      <c r="F324"/>
      <c r="H324"/>
      <c r="I324"/>
    </row>
    <row r="325" spans="1:9" x14ac:dyDescent="0.25">
      <c r="A325"/>
      <c r="B325"/>
      <c r="C325"/>
      <c r="D325"/>
      <c r="E325"/>
      <c r="F325"/>
      <c r="H325"/>
      <c r="I325"/>
    </row>
    <row r="326" spans="1:9" x14ac:dyDescent="0.25">
      <c r="A326"/>
      <c r="B326"/>
      <c r="C326"/>
      <c r="D326"/>
      <c r="E326"/>
      <c r="F326"/>
      <c r="H326"/>
      <c r="I326"/>
    </row>
    <row r="327" spans="1:9" x14ac:dyDescent="0.25">
      <c r="A327"/>
      <c r="B327"/>
      <c r="C327"/>
      <c r="D327"/>
      <c r="E327"/>
      <c r="F327"/>
      <c r="H327"/>
      <c r="I327"/>
    </row>
    <row r="328" spans="1:9" x14ac:dyDescent="0.25">
      <c r="A328"/>
      <c r="B328"/>
      <c r="C328"/>
      <c r="D328"/>
      <c r="E328"/>
      <c r="F328"/>
      <c r="H328"/>
      <c r="I328"/>
    </row>
    <row r="329" spans="1:9" x14ac:dyDescent="0.25">
      <c r="A329"/>
      <c r="B329"/>
      <c r="C329"/>
      <c r="D329"/>
      <c r="E329"/>
      <c r="F329"/>
      <c r="H329"/>
      <c r="I329"/>
    </row>
    <row r="330" spans="1:9" x14ac:dyDescent="0.25">
      <c r="A330"/>
      <c r="B330"/>
      <c r="C330"/>
      <c r="D330"/>
      <c r="E330"/>
      <c r="F330"/>
      <c r="H330"/>
      <c r="I330"/>
    </row>
    <row r="331" spans="1:9" x14ac:dyDescent="0.25">
      <c r="A331"/>
      <c r="B331"/>
      <c r="C331"/>
      <c r="D331"/>
      <c r="E331"/>
      <c r="F331"/>
      <c r="H331"/>
      <c r="I331"/>
    </row>
    <row r="332" spans="1:9" x14ac:dyDescent="0.25">
      <c r="A332"/>
      <c r="B332"/>
      <c r="C332"/>
      <c r="D332"/>
      <c r="E332"/>
      <c r="F332"/>
      <c r="H332"/>
      <c r="I332"/>
    </row>
    <row r="333" spans="1:9" x14ac:dyDescent="0.25">
      <c r="A333"/>
      <c r="B333"/>
      <c r="C333"/>
      <c r="D333"/>
      <c r="E333"/>
      <c r="F333"/>
      <c r="H333"/>
      <c r="I333"/>
    </row>
    <row r="334" spans="1:9" x14ac:dyDescent="0.25">
      <c r="A334"/>
      <c r="B334"/>
      <c r="C334"/>
      <c r="D334"/>
      <c r="E334"/>
      <c r="F334"/>
      <c r="H334"/>
      <c r="I334"/>
    </row>
    <row r="335" spans="1:9" x14ac:dyDescent="0.25">
      <c r="A335"/>
      <c r="B335"/>
      <c r="C335"/>
      <c r="D335"/>
      <c r="E335"/>
      <c r="F335"/>
      <c r="H335"/>
      <c r="I335"/>
    </row>
    <row r="336" spans="1:9" x14ac:dyDescent="0.25">
      <c r="A336"/>
      <c r="B336"/>
      <c r="C336"/>
      <c r="D336"/>
      <c r="E336"/>
      <c r="F336"/>
      <c r="H336"/>
      <c r="I336"/>
    </row>
    <row r="337" spans="1:9" x14ac:dyDescent="0.25">
      <c r="A337"/>
      <c r="B337"/>
      <c r="C337"/>
      <c r="D337"/>
      <c r="E337"/>
      <c r="F337"/>
      <c r="H337"/>
      <c r="I337"/>
    </row>
    <row r="338" spans="1:9" x14ac:dyDescent="0.25">
      <c r="A338"/>
      <c r="B338"/>
      <c r="C338"/>
      <c r="D338"/>
      <c r="E338"/>
      <c r="F338"/>
      <c r="H338"/>
      <c r="I338"/>
    </row>
    <row r="339" spans="1:9" x14ac:dyDescent="0.25">
      <c r="A339"/>
      <c r="B339"/>
      <c r="C339"/>
      <c r="D339"/>
      <c r="E339"/>
      <c r="F339"/>
      <c r="H339"/>
      <c r="I339"/>
    </row>
    <row r="340" spans="1:9" x14ac:dyDescent="0.25">
      <c r="A340"/>
      <c r="B340"/>
      <c r="C340"/>
      <c r="D340"/>
      <c r="E340"/>
      <c r="F340"/>
      <c r="H340"/>
      <c r="I340"/>
    </row>
    <row r="341" spans="1:9" x14ac:dyDescent="0.25">
      <c r="A341"/>
      <c r="B341"/>
      <c r="C341"/>
      <c r="D341"/>
      <c r="E341"/>
      <c r="F341"/>
      <c r="H341"/>
      <c r="I341"/>
    </row>
    <row r="342" spans="1:9" x14ac:dyDescent="0.25">
      <c r="A342"/>
      <c r="B342"/>
      <c r="C342"/>
      <c r="D342"/>
      <c r="E342"/>
      <c r="F342"/>
      <c r="H342"/>
      <c r="I342"/>
    </row>
    <row r="343" spans="1:9" x14ac:dyDescent="0.25">
      <c r="A343"/>
      <c r="B343"/>
      <c r="C343"/>
      <c r="D343"/>
      <c r="E343"/>
      <c r="F343"/>
      <c r="H343"/>
      <c r="I343"/>
    </row>
    <row r="344" spans="1:9" x14ac:dyDescent="0.25">
      <c r="A344"/>
      <c r="B344"/>
      <c r="C344"/>
      <c r="D344"/>
      <c r="E344"/>
      <c r="F344"/>
      <c r="H344"/>
      <c r="I344"/>
    </row>
    <row r="345" spans="1:9" x14ac:dyDescent="0.25">
      <c r="A345"/>
      <c r="B345"/>
      <c r="C345"/>
      <c r="D345"/>
      <c r="E345"/>
      <c r="F345"/>
      <c r="H345"/>
      <c r="I345"/>
    </row>
    <row r="346" spans="1:9" x14ac:dyDescent="0.25">
      <c r="A346"/>
      <c r="B346"/>
      <c r="C346"/>
      <c r="D346"/>
      <c r="E346"/>
      <c r="F346"/>
      <c r="H346"/>
      <c r="I346"/>
    </row>
    <row r="347" spans="1:9" x14ac:dyDescent="0.25">
      <c r="A347"/>
      <c r="B347"/>
      <c r="C347"/>
      <c r="D347"/>
      <c r="E347"/>
      <c r="F347"/>
      <c r="H347"/>
      <c r="I347"/>
    </row>
    <row r="348" spans="1:9" x14ac:dyDescent="0.25">
      <c r="A348"/>
      <c r="B348"/>
      <c r="C348"/>
      <c r="D348"/>
      <c r="E348"/>
      <c r="F348"/>
      <c r="H348"/>
      <c r="I348"/>
    </row>
    <row r="349" spans="1:9" x14ac:dyDescent="0.25">
      <c r="A349"/>
      <c r="B349"/>
      <c r="C349"/>
      <c r="D349"/>
      <c r="E349"/>
      <c r="F349"/>
      <c r="H349"/>
      <c r="I349"/>
    </row>
    <row r="350" spans="1:9" x14ac:dyDescent="0.25">
      <c r="A350"/>
      <c r="B350"/>
      <c r="C350"/>
      <c r="D350"/>
      <c r="E350"/>
      <c r="F350"/>
      <c r="H350"/>
      <c r="I350"/>
    </row>
    <row r="351" spans="1:9" x14ac:dyDescent="0.25">
      <c r="A351"/>
      <c r="B351"/>
      <c r="C351"/>
      <c r="D351"/>
      <c r="E351"/>
      <c r="F351"/>
      <c r="H351"/>
      <c r="I351"/>
    </row>
    <row r="352" spans="1:9" x14ac:dyDescent="0.25">
      <c r="A352"/>
      <c r="B352"/>
      <c r="C352"/>
      <c r="D352"/>
      <c r="E352"/>
      <c r="F352"/>
      <c r="H352"/>
      <c r="I352"/>
    </row>
    <row r="353" spans="1:9" x14ac:dyDescent="0.25">
      <c r="A353"/>
      <c r="B353"/>
      <c r="C353"/>
      <c r="D353"/>
      <c r="E353"/>
      <c r="F353"/>
      <c r="H353"/>
      <c r="I353"/>
    </row>
    <row r="354" spans="1:9" x14ac:dyDescent="0.25">
      <c r="A354"/>
      <c r="B354"/>
      <c r="C354"/>
      <c r="D354"/>
      <c r="E354"/>
      <c r="F354"/>
      <c r="H354"/>
      <c r="I354"/>
    </row>
    <row r="355" spans="1:9" x14ac:dyDescent="0.25">
      <c r="A355"/>
      <c r="B355"/>
      <c r="C355"/>
      <c r="D355"/>
      <c r="E355"/>
      <c r="F355"/>
      <c r="H355"/>
      <c r="I355"/>
    </row>
    <row r="356" spans="1:9" x14ac:dyDescent="0.25">
      <c r="A356"/>
      <c r="B356"/>
      <c r="C356"/>
      <c r="D356"/>
      <c r="E356"/>
      <c r="F356"/>
      <c r="H356"/>
      <c r="I356"/>
    </row>
    <row r="357" spans="1:9" x14ac:dyDescent="0.25">
      <c r="A357"/>
      <c r="B357"/>
      <c r="C357"/>
      <c r="D357"/>
      <c r="E357"/>
      <c r="F357"/>
      <c r="H357"/>
      <c r="I357"/>
    </row>
    <row r="358" spans="1:9" x14ac:dyDescent="0.25">
      <c r="A358"/>
      <c r="B358"/>
      <c r="C358"/>
      <c r="D358"/>
      <c r="E358"/>
      <c r="F358"/>
      <c r="H358"/>
      <c r="I358"/>
    </row>
    <row r="359" spans="1:9" x14ac:dyDescent="0.25">
      <c r="A359"/>
      <c r="B359"/>
      <c r="C359"/>
      <c r="D359"/>
      <c r="E359"/>
      <c r="F359"/>
      <c r="H359"/>
      <c r="I359"/>
    </row>
    <row r="360" spans="1:9" x14ac:dyDescent="0.25">
      <c r="A360"/>
      <c r="B360"/>
      <c r="C360"/>
      <c r="D360"/>
      <c r="E360"/>
      <c r="F360"/>
      <c r="H360"/>
      <c r="I360"/>
    </row>
    <row r="361" spans="1:9" x14ac:dyDescent="0.25">
      <c r="A361"/>
      <c r="B361"/>
      <c r="C361"/>
      <c r="D361"/>
      <c r="E361"/>
      <c r="F361"/>
      <c r="H361"/>
      <c r="I361"/>
    </row>
    <row r="362" spans="1:9" x14ac:dyDescent="0.25">
      <c r="A362"/>
      <c r="B362"/>
      <c r="C362"/>
      <c r="D362"/>
      <c r="E362"/>
      <c r="F362"/>
      <c r="H362"/>
      <c r="I362"/>
    </row>
    <row r="363" spans="1:9" x14ac:dyDescent="0.25">
      <c r="A363"/>
      <c r="B363"/>
      <c r="C363"/>
      <c r="D363"/>
      <c r="E363"/>
      <c r="F363"/>
      <c r="H363"/>
      <c r="I363"/>
    </row>
    <row r="364" spans="1:9" x14ac:dyDescent="0.25">
      <c r="A364"/>
      <c r="B364"/>
      <c r="C364"/>
      <c r="D364"/>
      <c r="E364"/>
      <c r="F364"/>
      <c r="H364"/>
      <c r="I364"/>
    </row>
    <row r="365" spans="1:9" x14ac:dyDescent="0.25">
      <c r="A365"/>
      <c r="B365"/>
      <c r="C365"/>
      <c r="D365"/>
      <c r="E365"/>
      <c r="F365"/>
      <c r="H365"/>
      <c r="I365"/>
    </row>
    <row r="366" spans="1:9" x14ac:dyDescent="0.25">
      <c r="A366"/>
      <c r="B366"/>
      <c r="C366"/>
      <c r="D366"/>
      <c r="E366"/>
      <c r="F366"/>
      <c r="H366"/>
      <c r="I366"/>
    </row>
    <row r="367" spans="1:9" x14ac:dyDescent="0.25">
      <c r="A367"/>
      <c r="B367"/>
      <c r="C367"/>
      <c r="D367"/>
      <c r="E367"/>
      <c r="F367"/>
      <c r="H367"/>
      <c r="I367"/>
    </row>
    <row r="368" spans="1:9" x14ac:dyDescent="0.25">
      <c r="A368"/>
      <c r="B368"/>
      <c r="C368"/>
      <c r="D368"/>
      <c r="E368"/>
      <c r="F368"/>
      <c r="H368"/>
      <c r="I368"/>
    </row>
    <row r="369" spans="1:9" x14ac:dyDescent="0.25">
      <c r="A369"/>
      <c r="B369"/>
      <c r="C369"/>
      <c r="D369"/>
      <c r="E369"/>
      <c r="F369"/>
      <c r="H369"/>
      <c r="I369"/>
    </row>
    <row r="370" spans="1:9" x14ac:dyDescent="0.25">
      <c r="A370"/>
      <c r="B370"/>
      <c r="C370"/>
      <c r="D370"/>
      <c r="E370"/>
      <c r="F370"/>
      <c r="H370"/>
      <c r="I370"/>
    </row>
    <row r="371" spans="1:9" x14ac:dyDescent="0.25">
      <c r="A371"/>
      <c r="B371"/>
      <c r="C371"/>
      <c r="D371"/>
      <c r="E371"/>
      <c r="F371"/>
      <c r="H371"/>
      <c r="I371"/>
    </row>
    <row r="372" spans="1:9" x14ac:dyDescent="0.25">
      <c r="A372"/>
      <c r="B372"/>
      <c r="C372"/>
      <c r="D372"/>
      <c r="E372"/>
      <c r="F372"/>
      <c r="H372"/>
      <c r="I372"/>
    </row>
    <row r="373" spans="1:9" x14ac:dyDescent="0.25">
      <c r="A373"/>
      <c r="B373"/>
      <c r="C373"/>
      <c r="D373"/>
      <c r="E373"/>
      <c r="F373"/>
      <c r="H373"/>
      <c r="I373"/>
    </row>
    <row r="374" spans="1:9" x14ac:dyDescent="0.25">
      <c r="A374"/>
      <c r="B374"/>
      <c r="C374"/>
      <c r="D374"/>
      <c r="E374"/>
      <c r="F374"/>
      <c r="H374"/>
      <c r="I374"/>
    </row>
    <row r="375" spans="1:9" x14ac:dyDescent="0.25">
      <c r="A375"/>
      <c r="B375"/>
      <c r="C375"/>
      <c r="D375"/>
      <c r="E375"/>
      <c r="F375"/>
      <c r="H375"/>
      <c r="I375"/>
    </row>
    <row r="376" spans="1:9" x14ac:dyDescent="0.25">
      <c r="A376"/>
      <c r="B376"/>
      <c r="C376"/>
      <c r="D376"/>
      <c r="E376"/>
      <c r="F376"/>
      <c r="H376"/>
      <c r="I376"/>
    </row>
    <row r="377" spans="1:9" x14ac:dyDescent="0.25">
      <c r="A377"/>
      <c r="B377"/>
      <c r="C377"/>
      <c r="D377"/>
      <c r="E377"/>
      <c r="F377"/>
      <c r="H377"/>
      <c r="I377"/>
    </row>
    <row r="378" spans="1:9" x14ac:dyDescent="0.25">
      <c r="A378"/>
      <c r="B378"/>
      <c r="C378"/>
      <c r="D378"/>
      <c r="E378"/>
      <c r="F378"/>
      <c r="H378"/>
      <c r="I378"/>
    </row>
    <row r="379" spans="1:9" x14ac:dyDescent="0.25">
      <c r="A379"/>
      <c r="B379"/>
      <c r="C379"/>
      <c r="D379"/>
      <c r="E379"/>
      <c r="F379"/>
      <c r="H379"/>
      <c r="I379"/>
    </row>
    <row r="380" spans="1:9" x14ac:dyDescent="0.25">
      <c r="A380"/>
      <c r="B380"/>
      <c r="C380"/>
      <c r="D380"/>
      <c r="E380"/>
      <c r="F380"/>
      <c r="H380"/>
      <c r="I380"/>
    </row>
    <row r="381" spans="1:9" x14ac:dyDescent="0.25">
      <c r="A381"/>
      <c r="B381"/>
      <c r="C381"/>
      <c r="D381"/>
      <c r="E381"/>
      <c r="F381"/>
      <c r="H381"/>
      <c r="I381"/>
    </row>
    <row r="382" spans="1:9" x14ac:dyDescent="0.25">
      <c r="A382"/>
      <c r="B382"/>
      <c r="C382"/>
      <c r="D382"/>
      <c r="E382"/>
      <c r="F382"/>
      <c r="H382"/>
      <c r="I382"/>
    </row>
    <row r="383" spans="1:9" x14ac:dyDescent="0.25">
      <c r="A383"/>
      <c r="B383"/>
      <c r="C383"/>
      <c r="D383"/>
      <c r="E383"/>
      <c r="F383"/>
      <c r="H383"/>
      <c r="I383"/>
    </row>
    <row r="384" spans="1:9" x14ac:dyDescent="0.25">
      <c r="A384"/>
      <c r="B384"/>
      <c r="C384"/>
      <c r="D384"/>
      <c r="E384"/>
      <c r="F384"/>
      <c r="H384"/>
      <c r="I384"/>
    </row>
    <row r="385" spans="1:9" x14ac:dyDescent="0.25">
      <c r="A385"/>
      <c r="B385"/>
      <c r="C385"/>
      <c r="D385"/>
      <c r="E385"/>
      <c r="F385"/>
      <c r="H385"/>
      <c r="I385"/>
    </row>
    <row r="386" spans="1:9" x14ac:dyDescent="0.25">
      <c r="A386"/>
      <c r="B386"/>
      <c r="C386"/>
      <c r="D386"/>
      <c r="E386"/>
      <c r="F386"/>
      <c r="H386"/>
      <c r="I386"/>
    </row>
    <row r="387" spans="1:9" x14ac:dyDescent="0.25">
      <c r="A387"/>
      <c r="B387"/>
      <c r="C387"/>
      <c r="D387"/>
      <c r="E387"/>
      <c r="F387"/>
      <c r="H387"/>
      <c r="I387"/>
    </row>
    <row r="388" spans="1:9" x14ac:dyDescent="0.25">
      <c r="A388"/>
      <c r="B388"/>
      <c r="C388"/>
      <c r="D388"/>
      <c r="E388"/>
      <c r="F388"/>
      <c r="H388"/>
      <c r="I388"/>
    </row>
    <row r="389" spans="1:9" x14ac:dyDescent="0.25">
      <c r="A389"/>
      <c r="B389"/>
      <c r="C389"/>
      <c r="D389"/>
      <c r="E389"/>
      <c r="F389"/>
      <c r="H389"/>
      <c r="I389"/>
    </row>
    <row r="390" spans="1:9" x14ac:dyDescent="0.25">
      <c r="A390"/>
      <c r="B390"/>
      <c r="C390"/>
      <c r="D390"/>
      <c r="E390"/>
      <c r="F390"/>
      <c r="H390"/>
      <c r="I390"/>
    </row>
    <row r="391" spans="1:9" x14ac:dyDescent="0.25">
      <c r="A391"/>
      <c r="B391"/>
      <c r="C391"/>
      <c r="D391"/>
      <c r="E391"/>
      <c r="F391"/>
      <c r="H391"/>
      <c r="I391"/>
    </row>
    <row r="392" spans="1:9" x14ac:dyDescent="0.25">
      <c r="A392"/>
      <c r="B392"/>
      <c r="C392"/>
      <c r="D392"/>
      <c r="E392"/>
      <c r="F392"/>
      <c r="H392"/>
      <c r="I392"/>
    </row>
    <row r="393" spans="1:9" x14ac:dyDescent="0.25">
      <c r="A393"/>
      <c r="B393"/>
      <c r="C393"/>
      <c r="D393"/>
      <c r="E393"/>
      <c r="F393"/>
      <c r="H393"/>
      <c r="I393"/>
    </row>
    <row r="394" spans="1:9" x14ac:dyDescent="0.25">
      <c r="A394"/>
      <c r="B394"/>
      <c r="C394"/>
      <c r="D394"/>
      <c r="E394"/>
      <c r="F394"/>
      <c r="H394"/>
      <c r="I394"/>
    </row>
    <row r="395" spans="1:9" x14ac:dyDescent="0.25">
      <c r="A395"/>
      <c r="B395"/>
      <c r="C395"/>
      <c r="D395"/>
      <c r="E395"/>
      <c r="F395"/>
      <c r="H395"/>
      <c r="I395"/>
    </row>
    <row r="396" spans="1:9" x14ac:dyDescent="0.25">
      <c r="A396"/>
      <c r="B396"/>
      <c r="C396"/>
      <c r="D396"/>
      <c r="E396"/>
      <c r="F396"/>
      <c r="H396"/>
      <c r="I396"/>
    </row>
    <row r="397" spans="1:9" x14ac:dyDescent="0.25">
      <c r="A397"/>
      <c r="B397"/>
      <c r="C397"/>
      <c r="D397"/>
      <c r="E397"/>
      <c r="F397"/>
      <c r="H397"/>
      <c r="I397"/>
    </row>
    <row r="398" spans="1:9" x14ac:dyDescent="0.25">
      <c r="A398"/>
      <c r="B398"/>
      <c r="C398"/>
      <c r="D398"/>
      <c r="E398"/>
      <c r="F398"/>
      <c r="H398"/>
      <c r="I398"/>
    </row>
    <row r="399" spans="1:9" x14ac:dyDescent="0.25">
      <c r="A399"/>
      <c r="B399"/>
      <c r="C399"/>
      <c r="D399"/>
      <c r="E399"/>
      <c r="F399"/>
      <c r="H399"/>
      <c r="I399"/>
    </row>
    <row r="400" spans="1:9" x14ac:dyDescent="0.25">
      <c r="A400"/>
      <c r="B400"/>
      <c r="C400"/>
      <c r="D400"/>
      <c r="E400"/>
      <c r="F400"/>
      <c r="H400"/>
      <c r="I400"/>
    </row>
    <row r="401" spans="1:9" x14ac:dyDescent="0.25">
      <c r="A401"/>
      <c r="B401"/>
      <c r="C401"/>
      <c r="D401"/>
      <c r="E401"/>
      <c r="F401"/>
      <c r="H401"/>
      <c r="I401"/>
    </row>
    <row r="402" spans="1:9" x14ac:dyDescent="0.25">
      <c r="A402"/>
      <c r="B402"/>
      <c r="C402"/>
      <c r="D402"/>
      <c r="E402"/>
      <c r="F402"/>
      <c r="H402"/>
      <c r="I402"/>
    </row>
    <row r="403" spans="1:9" x14ac:dyDescent="0.25">
      <c r="A403"/>
      <c r="B403"/>
      <c r="C403"/>
      <c r="D403"/>
      <c r="E403"/>
      <c r="F403"/>
      <c r="H403"/>
      <c r="I403"/>
    </row>
    <row r="404" spans="1:9" x14ac:dyDescent="0.25">
      <c r="A404"/>
      <c r="B404"/>
      <c r="C404"/>
      <c r="D404"/>
      <c r="E404"/>
      <c r="F404"/>
      <c r="H404"/>
      <c r="I404"/>
    </row>
    <row r="405" spans="1:9" x14ac:dyDescent="0.25">
      <c r="A405"/>
      <c r="B405"/>
      <c r="C405"/>
      <c r="D405"/>
      <c r="E405"/>
      <c r="F405"/>
      <c r="H405"/>
      <c r="I405"/>
    </row>
    <row r="406" spans="1:9" x14ac:dyDescent="0.25">
      <c r="A406"/>
      <c r="B406"/>
      <c r="C406"/>
      <c r="D406"/>
      <c r="E406"/>
      <c r="F406"/>
      <c r="H406"/>
      <c r="I406"/>
    </row>
    <row r="407" spans="1:9" x14ac:dyDescent="0.25">
      <c r="A407"/>
      <c r="B407"/>
      <c r="C407"/>
      <c r="D407"/>
      <c r="E407"/>
      <c r="F407"/>
      <c r="H407"/>
      <c r="I407"/>
    </row>
    <row r="408" spans="1:9" x14ac:dyDescent="0.25">
      <c r="A408"/>
      <c r="B408"/>
      <c r="C408"/>
      <c r="D408"/>
      <c r="E408"/>
      <c r="F408"/>
      <c r="H408"/>
      <c r="I408"/>
    </row>
    <row r="409" spans="1:9" x14ac:dyDescent="0.25">
      <c r="A409"/>
      <c r="B409"/>
      <c r="C409"/>
      <c r="D409"/>
      <c r="E409"/>
      <c r="F409"/>
      <c r="H409"/>
      <c r="I409"/>
    </row>
    <row r="410" spans="1:9" x14ac:dyDescent="0.25">
      <c r="A410"/>
      <c r="B410"/>
      <c r="C410"/>
      <c r="D410"/>
      <c r="E410"/>
      <c r="F410"/>
      <c r="H410"/>
      <c r="I410"/>
    </row>
    <row r="411" spans="1:9" x14ac:dyDescent="0.25">
      <c r="A411"/>
      <c r="B411"/>
      <c r="C411"/>
      <c r="D411"/>
      <c r="E411"/>
      <c r="F411"/>
      <c r="H411"/>
      <c r="I411"/>
    </row>
    <row r="412" spans="1:9" x14ac:dyDescent="0.25">
      <c r="A412"/>
      <c r="B412"/>
      <c r="C412"/>
      <c r="D412"/>
      <c r="E412"/>
      <c r="F412"/>
      <c r="H412"/>
      <c r="I412"/>
    </row>
    <row r="413" spans="1:9" x14ac:dyDescent="0.25">
      <c r="A413"/>
      <c r="B413"/>
      <c r="C413"/>
      <c r="D413"/>
      <c r="E413"/>
      <c r="F413"/>
      <c r="H413"/>
      <c r="I413"/>
    </row>
    <row r="414" spans="1:9" x14ac:dyDescent="0.25">
      <c r="A414"/>
      <c r="B414"/>
      <c r="C414"/>
      <c r="D414"/>
      <c r="E414"/>
      <c r="F414"/>
      <c r="H414"/>
      <c r="I414"/>
    </row>
    <row r="415" spans="1:9" x14ac:dyDescent="0.25">
      <c r="A415"/>
      <c r="B415"/>
      <c r="C415"/>
      <c r="D415"/>
      <c r="E415"/>
      <c r="F415"/>
      <c r="H415"/>
      <c r="I415"/>
    </row>
    <row r="416" spans="1:9" x14ac:dyDescent="0.25">
      <c r="A416"/>
      <c r="B416"/>
      <c r="C416"/>
      <c r="D416"/>
      <c r="E416"/>
      <c r="F416"/>
      <c r="H416"/>
      <c r="I416"/>
    </row>
    <row r="417" spans="1:9" x14ac:dyDescent="0.25">
      <c r="A417"/>
      <c r="B417"/>
      <c r="C417"/>
      <c r="D417"/>
      <c r="E417"/>
      <c r="F417"/>
      <c r="H417"/>
      <c r="I417"/>
    </row>
    <row r="418" spans="1:9" x14ac:dyDescent="0.25">
      <c r="A418"/>
      <c r="B418"/>
      <c r="C418"/>
      <c r="D418"/>
      <c r="E418"/>
      <c r="F418"/>
      <c r="H418"/>
      <c r="I418"/>
    </row>
    <row r="419" spans="1:9" x14ac:dyDescent="0.25">
      <c r="A419"/>
      <c r="B419"/>
      <c r="C419"/>
      <c r="D419"/>
      <c r="E419"/>
      <c r="F419"/>
      <c r="H419"/>
      <c r="I419"/>
    </row>
    <row r="420" spans="1:9" x14ac:dyDescent="0.25">
      <c r="A420"/>
      <c r="B420"/>
      <c r="C420"/>
      <c r="D420"/>
      <c r="E420"/>
      <c r="F420"/>
      <c r="H420"/>
      <c r="I420"/>
    </row>
    <row r="421" spans="1:9" x14ac:dyDescent="0.25">
      <c r="A421"/>
      <c r="B421"/>
      <c r="C421"/>
      <c r="D421"/>
      <c r="E421"/>
      <c r="F421"/>
      <c r="H421"/>
      <c r="I421"/>
    </row>
    <row r="422" spans="1:9" x14ac:dyDescent="0.25">
      <c r="A422"/>
      <c r="B422"/>
      <c r="C422"/>
      <c r="D422"/>
      <c r="E422"/>
      <c r="F422"/>
      <c r="H422"/>
      <c r="I422"/>
    </row>
    <row r="423" spans="1:9" x14ac:dyDescent="0.25">
      <c r="A423"/>
      <c r="B423"/>
      <c r="C423"/>
      <c r="D423"/>
      <c r="E423"/>
      <c r="F423"/>
      <c r="H423"/>
      <c r="I423"/>
    </row>
    <row r="424" spans="1:9" x14ac:dyDescent="0.25">
      <c r="A424"/>
      <c r="B424"/>
      <c r="C424"/>
      <c r="D424"/>
      <c r="E424"/>
      <c r="F424"/>
      <c r="H424"/>
      <c r="I424"/>
    </row>
    <row r="425" spans="1:9" x14ac:dyDescent="0.25">
      <c r="A425"/>
      <c r="B425"/>
      <c r="C425"/>
      <c r="D425"/>
      <c r="E425"/>
      <c r="F425"/>
      <c r="H425"/>
      <c r="I425"/>
    </row>
    <row r="426" spans="1:9" x14ac:dyDescent="0.25">
      <c r="A426"/>
      <c r="B426"/>
      <c r="C426"/>
      <c r="D426"/>
      <c r="E426"/>
      <c r="F426"/>
      <c r="H426"/>
      <c r="I426"/>
    </row>
    <row r="427" spans="1:9" x14ac:dyDescent="0.25">
      <c r="A427"/>
      <c r="B427"/>
      <c r="C427"/>
      <c r="D427"/>
      <c r="E427"/>
      <c r="F427"/>
      <c r="H427"/>
      <c r="I427"/>
    </row>
    <row r="428" spans="1:9" x14ac:dyDescent="0.25">
      <c r="A428"/>
      <c r="B428"/>
      <c r="C428"/>
      <c r="D428"/>
      <c r="E428"/>
      <c r="F428"/>
      <c r="H428"/>
      <c r="I428"/>
    </row>
    <row r="429" spans="1:9" x14ac:dyDescent="0.25">
      <c r="A429"/>
      <c r="B429"/>
      <c r="C429"/>
      <c r="D429"/>
      <c r="E429"/>
      <c r="F429"/>
      <c r="H429"/>
      <c r="I429"/>
    </row>
    <row r="430" spans="1:9" x14ac:dyDescent="0.25">
      <c r="A430"/>
      <c r="B430"/>
      <c r="C430"/>
      <c r="D430"/>
      <c r="E430"/>
      <c r="F430"/>
      <c r="H430"/>
      <c r="I430"/>
    </row>
    <row r="431" spans="1:9" x14ac:dyDescent="0.25">
      <c r="A431"/>
      <c r="B431"/>
      <c r="C431"/>
      <c r="D431"/>
      <c r="E431"/>
      <c r="F431"/>
      <c r="H431"/>
      <c r="I431"/>
    </row>
    <row r="432" spans="1:9" x14ac:dyDescent="0.25">
      <c r="A432"/>
      <c r="B432"/>
      <c r="C432"/>
      <c r="D432"/>
      <c r="E432"/>
      <c r="F432"/>
      <c r="H432"/>
      <c r="I432"/>
    </row>
    <row r="433" spans="1:9" x14ac:dyDescent="0.25">
      <c r="A433"/>
      <c r="B433"/>
      <c r="C433"/>
      <c r="D433"/>
      <c r="E433"/>
      <c r="F433"/>
      <c r="H433"/>
      <c r="I433"/>
    </row>
    <row r="434" spans="1:9" x14ac:dyDescent="0.25">
      <c r="A434"/>
      <c r="B434"/>
      <c r="C434"/>
      <c r="D434"/>
      <c r="E434"/>
      <c r="F434"/>
      <c r="H434"/>
      <c r="I434"/>
    </row>
    <row r="435" spans="1:9" x14ac:dyDescent="0.25">
      <c r="A435"/>
      <c r="B435"/>
      <c r="C435"/>
      <c r="D435"/>
      <c r="E435"/>
      <c r="F435"/>
      <c r="H435"/>
      <c r="I435"/>
    </row>
    <row r="436" spans="1:9" x14ac:dyDescent="0.25">
      <c r="A436"/>
      <c r="B436"/>
      <c r="C436"/>
      <c r="D436"/>
      <c r="E436"/>
      <c r="F436"/>
      <c r="H436"/>
      <c r="I436"/>
    </row>
    <row r="437" spans="1:9" x14ac:dyDescent="0.25">
      <c r="A437"/>
      <c r="B437"/>
      <c r="C437"/>
      <c r="D437"/>
      <c r="E437"/>
      <c r="F437"/>
      <c r="H437"/>
      <c r="I437"/>
    </row>
    <row r="438" spans="1:9" x14ac:dyDescent="0.25">
      <c r="A438"/>
      <c r="B438"/>
      <c r="C438"/>
      <c r="D438"/>
      <c r="E438"/>
      <c r="F438"/>
      <c r="H438"/>
      <c r="I438"/>
    </row>
    <row r="439" spans="1:9" x14ac:dyDescent="0.25">
      <c r="A439"/>
      <c r="B439"/>
      <c r="C439"/>
      <c r="D439"/>
      <c r="E439"/>
      <c r="F439"/>
      <c r="H439"/>
      <c r="I439"/>
    </row>
    <row r="440" spans="1:9" x14ac:dyDescent="0.25">
      <c r="A440"/>
      <c r="B440"/>
      <c r="C440"/>
      <c r="D440"/>
      <c r="E440"/>
      <c r="F440"/>
      <c r="H440"/>
      <c r="I440"/>
    </row>
    <row r="441" spans="1:9" x14ac:dyDescent="0.25">
      <c r="A441"/>
      <c r="B441"/>
      <c r="C441"/>
      <c r="D441"/>
      <c r="E441"/>
      <c r="F441"/>
      <c r="H441"/>
      <c r="I441"/>
    </row>
    <row r="442" spans="1:9" x14ac:dyDescent="0.25">
      <c r="A442"/>
      <c r="B442"/>
      <c r="C442"/>
      <c r="D442"/>
      <c r="E442"/>
      <c r="F442"/>
      <c r="H442"/>
      <c r="I442"/>
    </row>
    <row r="443" spans="1:9" x14ac:dyDescent="0.25">
      <c r="A443"/>
      <c r="B443"/>
      <c r="C443"/>
      <c r="D443"/>
      <c r="E443"/>
      <c r="F443"/>
      <c r="H443"/>
      <c r="I443"/>
    </row>
    <row r="444" spans="1:9" x14ac:dyDescent="0.25">
      <c r="A444"/>
      <c r="B444"/>
      <c r="C444"/>
      <c r="D444"/>
      <c r="E444"/>
      <c r="F444"/>
      <c r="H444"/>
      <c r="I444"/>
    </row>
    <row r="445" spans="1:9" x14ac:dyDescent="0.25">
      <c r="A445"/>
      <c r="B445"/>
      <c r="C445"/>
      <c r="D445"/>
      <c r="E445"/>
      <c r="F445"/>
      <c r="H445"/>
      <c r="I445"/>
    </row>
    <row r="446" spans="1:9" x14ac:dyDescent="0.25">
      <c r="A446"/>
      <c r="B446"/>
      <c r="C446"/>
      <c r="D446"/>
      <c r="E446"/>
      <c r="F446"/>
      <c r="H446"/>
      <c r="I446"/>
    </row>
    <row r="447" spans="1:9" x14ac:dyDescent="0.25">
      <c r="A447"/>
      <c r="B447"/>
      <c r="C447"/>
      <c r="D447"/>
      <c r="E447"/>
      <c r="F447"/>
      <c r="H447"/>
      <c r="I447"/>
    </row>
    <row r="448" spans="1:9" x14ac:dyDescent="0.25">
      <c r="A448"/>
      <c r="B448"/>
      <c r="C448"/>
      <c r="D448"/>
      <c r="E448"/>
      <c r="F448"/>
      <c r="H448"/>
      <c r="I448"/>
    </row>
    <row r="449" spans="1:9" x14ac:dyDescent="0.25">
      <c r="A449"/>
      <c r="B449"/>
      <c r="C449"/>
      <c r="D449"/>
      <c r="E449"/>
      <c r="F449"/>
      <c r="H449"/>
      <c r="I449"/>
    </row>
    <row r="450" spans="1:9" x14ac:dyDescent="0.25">
      <c r="A450"/>
      <c r="B450"/>
      <c r="C450"/>
      <c r="D450"/>
      <c r="E450"/>
      <c r="F450"/>
      <c r="H450"/>
      <c r="I450"/>
    </row>
    <row r="451" spans="1:9" x14ac:dyDescent="0.25">
      <c r="A451"/>
      <c r="B451"/>
      <c r="C451"/>
      <c r="D451"/>
      <c r="E451"/>
      <c r="F451"/>
      <c r="H451"/>
      <c r="I451"/>
    </row>
    <row r="452" spans="1:9" x14ac:dyDescent="0.25">
      <c r="A452"/>
      <c r="B452"/>
      <c r="C452"/>
      <c r="D452"/>
      <c r="E452"/>
      <c r="F452"/>
      <c r="H452"/>
      <c r="I452"/>
    </row>
    <row r="453" spans="1:9" x14ac:dyDescent="0.25">
      <c r="A453"/>
      <c r="B453"/>
      <c r="C453"/>
      <c r="D453"/>
      <c r="E453"/>
      <c r="F453"/>
      <c r="H453"/>
      <c r="I453"/>
    </row>
    <row r="454" spans="1:9" x14ac:dyDescent="0.25">
      <c r="A454"/>
      <c r="B454"/>
      <c r="C454"/>
      <c r="D454"/>
      <c r="E454"/>
      <c r="F454"/>
      <c r="H454"/>
      <c r="I454"/>
    </row>
    <row r="455" spans="1:9" x14ac:dyDescent="0.25">
      <c r="A455"/>
      <c r="B455"/>
      <c r="C455"/>
      <c r="D455"/>
      <c r="E455"/>
      <c r="F455"/>
      <c r="H455"/>
      <c r="I455"/>
    </row>
    <row r="456" spans="1:9" x14ac:dyDescent="0.25">
      <c r="A456"/>
      <c r="B456"/>
      <c r="C456"/>
      <c r="D456"/>
      <c r="E456"/>
      <c r="F456"/>
      <c r="H456"/>
      <c r="I456"/>
    </row>
    <row r="457" spans="1:9" x14ac:dyDescent="0.25">
      <c r="A457"/>
      <c r="B457"/>
      <c r="C457"/>
      <c r="D457"/>
      <c r="E457"/>
      <c r="F457"/>
      <c r="H457"/>
      <c r="I457"/>
    </row>
    <row r="458" spans="1:9" x14ac:dyDescent="0.25">
      <c r="A458"/>
      <c r="B458"/>
      <c r="C458"/>
      <c r="D458"/>
      <c r="E458"/>
      <c r="F458"/>
      <c r="H458"/>
      <c r="I458"/>
    </row>
    <row r="459" spans="1:9" x14ac:dyDescent="0.25">
      <c r="A459"/>
      <c r="B459"/>
      <c r="C459"/>
      <c r="D459"/>
      <c r="E459"/>
      <c r="F459"/>
      <c r="H459"/>
      <c r="I459"/>
    </row>
    <row r="460" spans="1:9" x14ac:dyDescent="0.25">
      <c r="A460"/>
      <c r="B460"/>
      <c r="C460"/>
      <c r="D460"/>
      <c r="E460"/>
      <c r="F460"/>
      <c r="H460"/>
      <c r="I460"/>
    </row>
    <row r="461" spans="1:9" x14ac:dyDescent="0.25">
      <c r="A461"/>
      <c r="B461"/>
      <c r="C461"/>
      <c r="D461"/>
      <c r="E461"/>
      <c r="F461"/>
      <c r="H461"/>
      <c r="I461"/>
    </row>
    <row r="462" spans="1:9" x14ac:dyDescent="0.25">
      <c r="A462"/>
      <c r="B462"/>
      <c r="C462"/>
      <c r="D462"/>
      <c r="E462"/>
      <c r="F462"/>
      <c r="H462"/>
      <c r="I462"/>
    </row>
    <row r="463" spans="1:9" x14ac:dyDescent="0.25">
      <c r="A463"/>
      <c r="B463"/>
      <c r="C463"/>
      <c r="D463"/>
      <c r="E463"/>
      <c r="F463"/>
      <c r="H463"/>
      <c r="I463"/>
    </row>
    <row r="464" spans="1:9" x14ac:dyDescent="0.25">
      <c r="A464"/>
      <c r="B464"/>
      <c r="C464"/>
      <c r="D464"/>
      <c r="E464"/>
      <c r="F464"/>
      <c r="H464"/>
      <c r="I464"/>
    </row>
    <row r="465" spans="1:9" x14ac:dyDescent="0.25">
      <c r="A465"/>
      <c r="B465"/>
      <c r="C465"/>
      <c r="D465"/>
      <c r="E465"/>
      <c r="F465"/>
      <c r="H465"/>
      <c r="I465"/>
    </row>
    <row r="466" spans="1:9" x14ac:dyDescent="0.25">
      <c r="A466"/>
      <c r="B466"/>
      <c r="C466"/>
      <c r="D466"/>
      <c r="E466"/>
      <c r="F466"/>
      <c r="H466"/>
      <c r="I466"/>
    </row>
    <row r="467" spans="1:9" x14ac:dyDescent="0.25">
      <c r="A467"/>
      <c r="B467"/>
      <c r="C467"/>
      <c r="D467"/>
      <c r="E467"/>
      <c r="F467"/>
      <c r="H467"/>
      <c r="I467"/>
    </row>
    <row r="468" spans="1:9" x14ac:dyDescent="0.25">
      <c r="A468"/>
      <c r="B468"/>
      <c r="C468"/>
      <c r="D468"/>
      <c r="E468"/>
      <c r="F468"/>
      <c r="H468"/>
      <c r="I468"/>
    </row>
    <row r="469" spans="1:9" x14ac:dyDescent="0.25">
      <c r="A469"/>
      <c r="B469"/>
      <c r="C469"/>
      <c r="D469"/>
      <c r="E469"/>
      <c r="F469"/>
      <c r="H469"/>
      <c r="I469"/>
    </row>
    <row r="470" spans="1:9" x14ac:dyDescent="0.25">
      <c r="A470"/>
      <c r="B470"/>
      <c r="C470"/>
      <c r="D470"/>
      <c r="E470"/>
      <c r="F470"/>
      <c r="H470"/>
      <c r="I470"/>
    </row>
    <row r="471" spans="1:9" x14ac:dyDescent="0.25">
      <c r="A471"/>
      <c r="B471"/>
      <c r="C471"/>
      <c r="D471"/>
      <c r="E471"/>
      <c r="F471"/>
      <c r="H471"/>
      <c r="I471"/>
    </row>
    <row r="472" spans="1:9" x14ac:dyDescent="0.25">
      <c r="A472"/>
      <c r="B472"/>
      <c r="C472"/>
      <c r="D472"/>
      <c r="E472"/>
      <c r="F472"/>
      <c r="H472"/>
      <c r="I472"/>
    </row>
    <row r="473" spans="1:9" x14ac:dyDescent="0.25">
      <c r="A473"/>
      <c r="B473"/>
      <c r="C473"/>
      <c r="D473"/>
      <c r="E473"/>
      <c r="F473"/>
      <c r="H473"/>
      <c r="I473"/>
    </row>
    <row r="474" spans="1:9" x14ac:dyDescent="0.25">
      <c r="A474"/>
      <c r="B474"/>
      <c r="C474"/>
      <c r="D474"/>
      <c r="E474"/>
      <c r="F474"/>
      <c r="H474"/>
      <c r="I474"/>
    </row>
    <row r="475" spans="1:9" x14ac:dyDescent="0.25">
      <c r="A475"/>
      <c r="B475"/>
      <c r="C475"/>
      <c r="D475"/>
      <c r="E475"/>
      <c r="F475"/>
      <c r="H475"/>
      <c r="I475"/>
    </row>
    <row r="476" spans="1:9" x14ac:dyDescent="0.25">
      <c r="A476"/>
      <c r="B476"/>
      <c r="C476"/>
      <c r="D476"/>
      <c r="E476"/>
      <c r="F476"/>
      <c r="H476"/>
      <c r="I476"/>
    </row>
    <row r="477" spans="1:9" x14ac:dyDescent="0.25">
      <c r="A477"/>
      <c r="B477"/>
      <c r="C477"/>
      <c r="D477"/>
      <c r="E477"/>
      <c r="F477"/>
      <c r="H477"/>
      <c r="I477"/>
    </row>
    <row r="478" spans="1:9" x14ac:dyDescent="0.25">
      <c r="A478"/>
      <c r="B478"/>
      <c r="C478"/>
      <c r="D478"/>
      <c r="E478"/>
      <c r="F478"/>
      <c r="H478"/>
      <c r="I478"/>
    </row>
    <row r="479" spans="1:9" x14ac:dyDescent="0.25">
      <c r="A479"/>
      <c r="B479"/>
      <c r="C479"/>
      <c r="D479"/>
      <c r="E479"/>
      <c r="F479"/>
      <c r="H479"/>
      <c r="I479"/>
    </row>
    <row r="480" spans="1:9" x14ac:dyDescent="0.25">
      <c r="A480"/>
      <c r="B480"/>
      <c r="C480"/>
      <c r="D480"/>
      <c r="E480"/>
      <c r="F480"/>
      <c r="H480"/>
      <c r="I480"/>
    </row>
    <row r="481" spans="1:9" x14ac:dyDescent="0.25">
      <c r="A481"/>
      <c r="B481"/>
      <c r="C481"/>
      <c r="D481"/>
      <c r="E481"/>
      <c r="F481"/>
      <c r="H481"/>
      <c r="I481"/>
    </row>
    <row r="482" spans="1:9" x14ac:dyDescent="0.25">
      <c r="A482"/>
      <c r="B482"/>
      <c r="C482"/>
      <c r="D482"/>
      <c r="E482"/>
      <c r="F482"/>
      <c r="H482"/>
      <c r="I482"/>
    </row>
    <row r="483" spans="1:9" x14ac:dyDescent="0.25">
      <c r="A483"/>
      <c r="B483"/>
      <c r="C483"/>
      <c r="D483"/>
      <c r="E483"/>
      <c r="F483"/>
      <c r="H483"/>
      <c r="I483"/>
    </row>
    <row r="484" spans="1:9" x14ac:dyDescent="0.25">
      <c r="A484"/>
      <c r="B484"/>
      <c r="C484"/>
      <c r="D484"/>
      <c r="E484"/>
      <c r="F484"/>
      <c r="H484"/>
      <c r="I484"/>
    </row>
    <row r="485" spans="1:9" x14ac:dyDescent="0.25">
      <c r="A485"/>
      <c r="B485"/>
      <c r="C485"/>
      <c r="D485"/>
      <c r="E485"/>
      <c r="F485"/>
      <c r="H485"/>
      <c r="I485"/>
    </row>
    <row r="486" spans="1:9" x14ac:dyDescent="0.25">
      <c r="A486"/>
      <c r="B486"/>
      <c r="C486"/>
      <c r="D486"/>
      <c r="E486"/>
      <c r="F486"/>
      <c r="H486"/>
      <c r="I486"/>
    </row>
    <row r="487" spans="1:9" x14ac:dyDescent="0.25">
      <c r="A487"/>
      <c r="B487"/>
      <c r="C487"/>
      <c r="D487"/>
      <c r="E487"/>
      <c r="F487"/>
      <c r="H487"/>
      <c r="I487"/>
    </row>
    <row r="488" spans="1:9" x14ac:dyDescent="0.25">
      <c r="A488"/>
      <c r="B488"/>
      <c r="C488"/>
      <c r="D488"/>
      <c r="E488"/>
      <c r="F488"/>
      <c r="H488"/>
      <c r="I488"/>
    </row>
    <row r="489" spans="1:9" x14ac:dyDescent="0.25">
      <c r="A489"/>
      <c r="B489"/>
      <c r="C489"/>
      <c r="D489"/>
      <c r="E489"/>
      <c r="F489"/>
      <c r="H489"/>
      <c r="I489"/>
    </row>
    <row r="490" spans="1:9" x14ac:dyDescent="0.25">
      <c r="A490"/>
      <c r="B490"/>
      <c r="C490"/>
      <c r="D490"/>
      <c r="E490"/>
      <c r="F490"/>
      <c r="H490"/>
      <c r="I490"/>
    </row>
    <row r="491" spans="1:9" x14ac:dyDescent="0.25">
      <c r="A491"/>
      <c r="B491"/>
      <c r="C491"/>
      <c r="D491"/>
      <c r="E491"/>
      <c r="F491"/>
      <c r="H491"/>
      <c r="I491"/>
    </row>
    <row r="492" spans="1:9" x14ac:dyDescent="0.25">
      <c r="A492"/>
      <c r="B492"/>
      <c r="C492"/>
      <c r="D492"/>
      <c r="E492"/>
      <c r="F492"/>
      <c r="H492"/>
      <c r="I492"/>
    </row>
    <row r="493" spans="1:9" x14ac:dyDescent="0.25">
      <c r="A493"/>
      <c r="B493"/>
      <c r="C493"/>
      <c r="D493"/>
      <c r="E493"/>
      <c r="F493"/>
      <c r="H493"/>
      <c r="I493"/>
    </row>
    <row r="494" spans="1:9" x14ac:dyDescent="0.25">
      <c r="A494"/>
      <c r="B494"/>
      <c r="C494"/>
      <c r="D494"/>
      <c r="E494"/>
      <c r="F494"/>
      <c r="H494"/>
      <c r="I494"/>
    </row>
    <row r="495" spans="1:9" x14ac:dyDescent="0.25">
      <c r="A495"/>
      <c r="B495"/>
      <c r="C495"/>
      <c r="D495"/>
      <c r="E495"/>
      <c r="F495"/>
      <c r="H495"/>
      <c r="I495"/>
    </row>
    <row r="496" spans="1:9" x14ac:dyDescent="0.25">
      <c r="A496"/>
      <c r="B496"/>
      <c r="C496"/>
      <c r="D496"/>
      <c r="E496"/>
      <c r="F496"/>
      <c r="H496"/>
      <c r="I496"/>
    </row>
    <row r="497" spans="1:9" x14ac:dyDescent="0.25">
      <c r="A497"/>
      <c r="B497"/>
      <c r="C497"/>
      <c r="D497"/>
      <c r="E497"/>
      <c r="F497"/>
      <c r="H497"/>
      <c r="I497"/>
    </row>
    <row r="498" spans="1:9" x14ac:dyDescent="0.25">
      <c r="A498"/>
      <c r="B498"/>
      <c r="C498"/>
      <c r="D498"/>
      <c r="E498"/>
      <c r="F498"/>
      <c r="H498"/>
      <c r="I498"/>
    </row>
    <row r="499" spans="1:9" x14ac:dyDescent="0.25">
      <c r="A499"/>
      <c r="B499"/>
      <c r="C499"/>
      <c r="D499"/>
      <c r="E499"/>
      <c r="F499"/>
      <c r="H499"/>
      <c r="I499"/>
    </row>
    <row r="500" spans="1:9" x14ac:dyDescent="0.25">
      <c r="A500"/>
      <c r="B500"/>
      <c r="C500"/>
      <c r="D500"/>
      <c r="E500"/>
      <c r="F500"/>
      <c r="H500"/>
      <c r="I500"/>
    </row>
    <row r="501" spans="1:9" x14ac:dyDescent="0.25">
      <c r="A501"/>
      <c r="B501"/>
      <c r="C501"/>
      <c r="D501"/>
      <c r="E501"/>
      <c r="F501"/>
      <c r="H501"/>
      <c r="I501"/>
    </row>
    <row r="502" spans="1:9" x14ac:dyDescent="0.25">
      <c r="A502"/>
      <c r="B502"/>
      <c r="C502"/>
      <c r="D502"/>
      <c r="E502"/>
      <c r="F502"/>
      <c r="H502"/>
      <c r="I502"/>
    </row>
    <row r="503" spans="1:9" x14ac:dyDescent="0.25">
      <c r="A503"/>
      <c r="B503"/>
      <c r="C503"/>
      <c r="D503"/>
      <c r="E503"/>
      <c r="F503"/>
      <c r="H503"/>
      <c r="I503"/>
    </row>
    <row r="504" spans="1:9" x14ac:dyDescent="0.25">
      <c r="A504"/>
      <c r="B504"/>
      <c r="C504"/>
      <c r="D504"/>
      <c r="E504"/>
      <c r="F504"/>
      <c r="H504"/>
      <c r="I504"/>
    </row>
    <row r="505" spans="1:9" x14ac:dyDescent="0.25">
      <c r="A505"/>
      <c r="B505"/>
      <c r="C505"/>
      <c r="D505"/>
      <c r="E505"/>
      <c r="F505"/>
      <c r="H505"/>
      <c r="I505"/>
    </row>
    <row r="506" spans="1:9" x14ac:dyDescent="0.25">
      <c r="A506"/>
      <c r="B506"/>
      <c r="C506"/>
      <c r="D506"/>
      <c r="E506"/>
      <c r="F506"/>
      <c r="H506"/>
      <c r="I506"/>
    </row>
    <row r="507" spans="1:9" x14ac:dyDescent="0.25">
      <c r="A507"/>
      <c r="B507"/>
      <c r="C507"/>
      <c r="D507"/>
      <c r="E507"/>
      <c r="F507"/>
      <c r="H507"/>
      <c r="I507"/>
    </row>
    <row r="508" spans="1:9" x14ac:dyDescent="0.25">
      <c r="A508"/>
      <c r="B508"/>
      <c r="C508"/>
      <c r="D508"/>
      <c r="E508"/>
      <c r="F508"/>
      <c r="H508"/>
      <c r="I508"/>
    </row>
    <row r="509" spans="1:9" x14ac:dyDescent="0.25">
      <c r="A509"/>
      <c r="B509"/>
      <c r="C509"/>
      <c r="D509"/>
      <c r="E509"/>
      <c r="F509"/>
      <c r="H509"/>
      <c r="I509"/>
    </row>
    <row r="510" spans="1:9" x14ac:dyDescent="0.25">
      <c r="A510"/>
      <c r="B510"/>
      <c r="C510"/>
      <c r="D510"/>
      <c r="E510"/>
      <c r="F510"/>
      <c r="H510"/>
      <c r="I510"/>
    </row>
    <row r="511" spans="1:9" x14ac:dyDescent="0.25">
      <c r="A511"/>
      <c r="B511"/>
      <c r="C511"/>
      <c r="D511"/>
      <c r="E511"/>
      <c r="F511"/>
      <c r="H511"/>
      <c r="I511"/>
    </row>
    <row r="512" spans="1:9" x14ac:dyDescent="0.25">
      <c r="A512"/>
      <c r="B512"/>
      <c r="C512"/>
      <c r="D512"/>
      <c r="E512"/>
      <c r="F512"/>
      <c r="H512"/>
      <c r="I512"/>
    </row>
    <row r="513" spans="1:9" x14ac:dyDescent="0.25">
      <c r="A513"/>
      <c r="B513"/>
      <c r="C513"/>
      <c r="D513"/>
      <c r="E513"/>
      <c r="F513"/>
      <c r="H513"/>
      <c r="I513"/>
    </row>
    <row r="514" spans="1:9" x14ac:dyDescent="0.25">
      <c r="A514"/>
      <c r="B514"/>
      <c r="C514"/>
      <c r="D514"/>
      <c r="E514"/>
      <c r="F514"/>
      <c r="H514"/>
      <c r="I514"/>
    </row>
    <row r="515" spans="1:9" x14ac:dyDescent="0.25">
      <c r="A515"/>
      <c r="B515"/>
      <c r="C515"/>
      <c r="D515"/>
      <c r="E515"/>
      <c r="F515"/>
      <c r="H515"/>
      <c r="I515"/>
    </row>
    <row r="516" spans="1:9" x14ac:dyDescent="0.25">
      <c r="A516"/>
      <c r="B516"/>
      <c r="C516"/>
      <c r="D516"/>
      <c r="E516"/>
      <c r="F516"/>
      <c r="H516"/>
      <c r="I516"/>
    </row>
    <row r="517" spans="1:9" x14ac:dyDescent="0.25">
      <c r="A517"/>
      <c r="B517"/>
      <c r="C517"/>
      <c r="D517"/>
      <c r="E517"/>
      <c r="F517"/>
      <c r="H517"/>
      <c r="I517"/>
    </row>
    <row r="518" spans="1:9" x14ac:dyDescent="0.25">
      <c r="A518"/>
      <c r="B518"/>
      <c r="C518"/>
      <c r="D518"/>
      <c r="E518"/>
      <c r="F518"/>
      <c r="H518"/>
      <c r="I518"/>
    </row>
    <row r="519" spans="1:9" x14ac:dyDescent="0.25">
      <c r="A519"/>
      <c r="B519"/>
      <c r="C519"/>
      <c r="D519"/>
      <c r="E519"/>
      <c r="F519"/>
      <c r="H519"/>
      <c r="I519"/>
    </row>
    <row r="520" spans="1:9" x14ac:dyDescent="0.25">
      <c r="A520"/>
      <c r="B520"/>
      <c r="C520"/>
      <c r="D520"/>
      <c r="E520"/>
      <c r="F520"/>
      <c r="H520"/>
      <c r="I520"/>
    </row>
    <row r="521" spans="1:9" x14ac:dyDescent="0.25">
      <c r="A521"/>
      <c r="B521"/>
      <c r="C521"/>
      <c r="D521"/>
      <c r="E521"/>
      <c r="F521"/>
      <c r="H521"/>
      <c r="I521"/>
    </row>
    <row r="522" spans="1:9" x14ac:dyDescent="0.25">
      <c r="A522"/>
      <c r="B522"/>
      <c r="C522"/>
      <c r="D522"/>
      <c r="E522"/>
      <c r="F522"/>
      <c r="H522"/>
      <c r="I522"/>
    </row>
    <row r="523" spans="1:9" x14ac:dyDescent="0.25">
      <c r="A523"/>
      <c r="B523"/>
      <c r="C523"/>
      <c r="D523"/>
      <c r="E523"/>
      <c r="F523"/>
      <c r="H523"/>
      <c r="I523"/>
    </row>
    <row r="524" spans="1:9" x14ac:dyDescent="0.25">
      <c r="A524"/>
      <c r="B524"/>
      <c r="C524"/>
      <c r="D524"/>
      <c r="E524"/>
      <c r="F524"/>
      <c r="H524"/>
      <c r="I524"/>
    </row>
    <row r="525" spans="1:9" x14ac:dyDescent="0.25">
      <c r="A525"/>
      <c r="B525"/>
      <c r="C525"/>
      <c r="D525"/>
      <c r="E525"/>
      <c r="F525"/>
      <c r="H525"/>
      <c r="I525"/>
    </row>
    <row r="526" spans="1:9" x14ac:dyDescent="0.25">
      <c r="A526"/>
      <c r="B526"/>
      <c r="C526"/>
      <c r="D526"/>
      <c r="E526"/>
      <c r="F526"/>
      <c r="H526"/>
      <c r="I526"/>
    </row>
    <row r="527" spans="1:9" x14ac:dyDescent="0.25">
      <c r="A527"/>
      <c r="B527"/>
      <c r="C527"/>
      <c r="D527"/>
      <c r="E527"/>
      <c r="F527"/>
      <c r="H527"/>
      <c r="I527"/>
    </row>
    <row r="528" spans="1:9" x14ac:dyDescent="0.25">
      <c r="A528"/>
      <c r="B528"/>
      <c r="C528"/>
      <c r="D528"/>
      <c r="E528"/>
      <c r="F528"/>
      <c r="H528"/>
      <c r="I528"/>
    </row>
    <row r="529" spans="1:9" x14ac:dyDescent="0.25">
      <c r="A529"/>
      <c r="B529"/>
      <c r="C529"/>
      <c r="D529"/>
      <c r="E529"/>
      <c r="F529"/>
      <c r="H529"/>
      <c r="I529"/>
    </row>
    <row r="530" spans="1:9" x14ac:dyDescent="0.25">
      <c r="A530"/>
      <c r="B530"/>
      <c r="C530"/>
      <c r="D530"/>
      <c r="E530"/>
      <c r="F530"/>
      <c r="H530"/>
      <c r="I530"/>
    </row>
    <row r="531" spans="1:9" x14ac:dyDescent="0.25">
      <c r="A531"/>
      <c r="B531"/>
      <c r="C531"/>
      <c r="D531"/>
      <c r="E531"/>
      <c r="F531"/>
      <c r="H531"/>
      <c r="I531"/>
    </row>
    <row r="532" spans="1:9" x14ac:dyDescent="0.25">
      <c r="A532"/>
      <c r="B532"/>
      <c r="C532"/>
      <c r="D532"/>
      <c r="E532"/>
      <c r="F532"/>
      <c r="H532"/>
      <c r="I532"/>
    </row>
    <row r="533" spans="1:9" x14ac:dyDescent="0.25">
      <c r="A533"/>
      <c r="B533"/>
      <c r="C533"/>
      <c r="D533"/>
      <c r="E533"/>
      <c r="F533"/>
      <c r="H533"/>
      <c r="I533"/>
    </row>
    <row r="534" spans="1:9" x14ac:dyDescent="0.25">
      <c r="A534"/>
      <c r="B534"/>
      <c r="C534"/>
      <c r="D534"/>
      <c r="E534"/>
      <c r="F534"/>
      <c r="H534"/>
      <c r="I534"/>
    </row>
    <row r="535" spans="1:9" x14ac:dyDescent="0.25">
      <c r="A535"/>
      <c r="B535"/>
      <c r="C535"/>
      <c r="D535"/>
      <c r="E535"/>
      <c r="F535"/>
      <c r="H535"/>
      <c r="I535"/>
    </row>
    <row r="536" spans="1:9" x14ac:dyDescent="0.25">
      <c r="A536"/>
      <c r="B536"/>
      <c r="C536"/>
      <c r="D536"/>
      <c r="E536"/>
      <c r="F536"/>
      <c r="H536"/>
      <c r="I536"/>
    </row>
    <row r="537" spans="1:9" x14ac:dyDescent="0.25">
      <c r="A537"/>
      <c r="B537"/>
      <c r="C537"/>
      <c r="D537"/>
      <c r="E537"/>
      <c r="F537"/>
      <c r="H537"/>
      <c r="I537"/>
    </row>
    <row r="538" spans="1:9" x14ac:dyDescent="0.25">
      <c r="A538"/>
      <c r="B538"/>
      <c r="C538"/>
      <c r="D538"/>
      <c r="E538"/>
      <c r="F538"/>
      <c r="H538"/>
      <c r="I538"/>
    </row>
    <row r="539" spans="1:9" x14ac:dyDescent="0.25">
      <c r="A539"/>
      <c r="B539"/>
      <c r="C539"/>
      <c r="D539"/>
      <c r="E539"/>
      <c r="F539"/>
      <c r="H539"/>
      <c r="I539"/>
    </row>
    <row r="540" spans="1:9" x14ac:dyDescent="0.25">
      <c r="A540"/>
      <c r="B540"/>
      <c r="C540"/>
      <c r="D540"/>
      <c r="E540"/>
      <c r="F540"/>
      <c r="H540"/>
      <c r="I540"/>
    </row>
    <row r="541" spans="1:9" x14ac:dyDescent="0.25">
      <c r="A541"/>
      <c r="B541"/>
      <c r="C541"/>
      <c r="D541"/>
      <c r="E541"/>
      <c r="F541"/>
      <c r="H541"/>
      <c r="I541"/>
    </row>
    <row r="542" spans="1:9" x14ac:dyDescent="0.25">
      <c r="A542"/>
      <c r="B542"/>
      <c r="C542"/>
      <c r="D542"/>
      <c r="E542"/>
      <c r="F542"/>
      <c r="H542"/>
      <c r="I542"/>
    </row>
    <row r="543" spans="1:9" x14ac:dyDescent="0.25">
      <c r="A543"/>
      <c r="B543"/>
      <c r="C543"/>
      <c r="D543"/>
      <c r="E543"/>
      <c r="F543"/>
      <c r="H543"/>
      <c r="I543"/>
    </row>
    <row r="544" spans="1:9" x14ac:dyDescent="0.25">
      <c r="A544"/>
      <c r="B544"/>
      <c r="C544"/>
      <c r="D544"/>
      <c r="E544"/>
      <c r="F544"/>
      <c r="H544"/>
      <c r="I544"/>
    </row>
    <row r="545" spans="1:9" x14ac:dyDescent="0.25">
      <c r="A545"/>
      <c r="B545"/>
      <c r="C545"/>
      <c r="D545"/>
      <c r="E545"/>
      <c r="F545"/>
      <c r="H545"/>
      <c r="I545"/>
    </row>
    <row r="546" spans="1:9" x14ac:dyDescent="0.25">
      <c r="A546"/>
      <c r="B546"/>
      <c r="C546"/>
      <c r="D546"/>
      <c r="E546"/>
      <c r="F546"/>
      <c r="H546"/>
      <c r="I546"/>
    </row>
    <row r="547" spans="1:9" x14ac:dyDescent="0.25">
      <c r="A547"/>
      <c r="B547"/>
      <c r="C547"/>
      <c r="D547"/>
      <c r="E547"/>
      <c r="F547"/>
      <c r="H547"/>
      <c r="I547"/>
    </row>
    <row r="548" spans="1:9" x14ac:dyDescent="0.25">
      <c r="A548"/>
      <c r="B548"/>
      <c r="C548"/>
      <c r="D548"/>
      <c r="E548"/>
      <c r="F548"/>
      <c r="H548"/>
      <c r="I548"/>
    </row>
    <row r="549" spans="1:9" x14ac:dyDescent="0.25">
      <c r="A549"/>
      <c r="B549"/>
      <c r="C549"/>
      <c r="D549"/>
      <c r="E549"/>
      <c r="F549"/>
      <c r="H549"/>
      <c r="I549"/>
    </row>
    <row r="550" spans="1:9" x14ac:dyDescent="0.25">
      <c r="A550"/>
      <c r="B550"/>
      <c r="C550"/>
      <c r="D550"/>
      <c r="E550"/>
      <c r="F550"/>
      <c r="H550"/>
      <c r="I550"/>
    </row>
    <row r="551" spans="1:9" x14ac:dyDescent="0.25">
      <c r="A551"/>
      <c r="B551"/>
      <c r="C551"/>
      <c r="D551"/>
      <c r="E551"/>
      <c r="F551"/>
      <c r="H551"/>
      <c r="I551"/>
    </row>
    <row r="552" spans="1:9" x14ac:dyDescent="0.25">
      <c r="A552"/>
      <c r="B552"/>
      <c r="C552"/>
      <c r="D552"/>
      <c r="E552"/>
      <c r="F552"/>
      <c r="H552"/>
      <c r="I552"/>
    </row>
    <row r="553" spans="1:9" x14ac:dyDescent="0.25">
      <c r="A553"/>
      <c r="B553"/>
      <c r="C553"/>
      <c r="D553"/>
      <c r="E553"/>
      <c r="F553"/>
      <c r="H553"/>
      <c r="I553"/>
    </row>
    <row r="554" spans="1:9" x14ac:dyDescent="0.25">
      <c r="A554"/>
      <c r="B554"/>
      <c r="C554"/>
      <c r="D554"/>
      <c r="E554"/>
      <c r="F554"/>
      <c r="H554"/>
      <c r="I554"/>
    </row>
    <row r="555" spans="1:9" x14ac:dyDescent="0.25">
      <c r="A555"/>
      <c r="B555"/>
      <c r="C555"/>
      <c r="D555"/>
      <c r="E555"/>
      <c r="F555"/>
      <c r="H555"/>
      <c r="I555"/>
    </row>
    <row r="556" spans="1:9" x14ac:dyDescent="0.25">
      <c r="A556"/>
      <c r="B556"/>
      <c r="C556"/>
      <c r="D556"/>
      <c r="E556"/>
      <c r="F556"/>
      <c r="H556"/>
      <c r="I556"/>
    </row>
    <row r="557" spans="1:9" x14ac:dyDescent="0.25">
      <c r="A557"/>
      <c r="B557"/>
      <c r="C557"/>
      <c r="D557"/>
      <c r="E557"/>
      <c r="F557"/>
      <c r="H557"/>
      <c r="I557"/>
    </row>
    <row r="558" spans="1:9" x14ac:dyDescent="0.25">
      <c r="A558"/>
      <c r="B558"/>
      <c r="C558"/>
      <c r="D558"/>
      <c r="E558"/>
      <c r="F558"/>
      <c r="H558"/>
      <c r="I558"/>
    </row>
    <row r="559" spans="1:9" x14ac:dyDescent="0.25">
      <c r="A559"/>
      <c r="B559"/>
      <c r="C559"/>
      <c r="D559"/>
      <c r="E559"/>
      <c r="F559"/>
      <c r="H559"/>
      <c r="I559"/>
    </row>
    <row r="560" spans="1:9" x14ac:dyDescent="0.25">
      <c r="A560"/>
      <c r="B560"/>
      <c r="C560"/>
      <c r="D560"/>
      <c r="E560"/>
      <c r="F560"/>
      <c r="H560"/>
      <c r="I560"/>
    </row>
    <row r="561" spans="1:9" x14ac:dyDescent="0.25">
      <c r="A561"/>
      <c r="B561"/>
      <c r="C561"/>
      <c r="D561"/>
      <c r="E561"/>
      <c r="F561"/>
      <c r="H561"/>
      <c r="I561"/>
    </row>
    <row r="562" spans="1:9" x14ac:dyDescent="0.25">
      <c r="A562"/>
      <c r="B562"/>
      <c r="C562"/>
      <c r="D562"/>
      <c r="E562"/>
      <c r="F562"/>
      <c r="H562"/>
      <c r="I562"/>
    </row>
    <row r="563" spans="1:9" x14ac:dyDescent="0.25">
      <c r="A563"/>
      <c r="B563"/>
      <c r="C563"/>
      <c r="D563"/>
      <c r="E563"/>
      <c r="F563"/>
      <c r="H563"/>
      <c r="I563"/>
    </row>
    <row r="564" spans="1:9" x14ac:dyDescent="0.25">
      <c r="A564"/>
      <c r="B564"/>
      <c r="C564"/>
      <c r="D564"/>
      <c r="E564"/>
      <c r="F564"/>
      <c r="H564"/>
      <c r="I564"/>
    </row>
    <row r="565" spans="1:9" x14ac:dyDescent="0.25">
      <c r="A565"/>
      <c r="B565"/>
      <c r="C565"/>
      <c r="D565"/>
      <c r="E565"/>
      <c r="F565"/>
      <c r="H565"/>
      <c r="I565"/>
    </row>
    <row r="566" spans="1:9" x14ac:dyDescent="0.25">
      <c r="A566"/>
      <c r="B566"/>
      <c r="C566"/>
      <c r="D566"/>
      <c r="E566"/>
      <c r="F566"/>
      <c r="H566"/>
      <c r="I566"/>
    </row>
    <row r="567" spans="1:9" x14ac:dyDescent="0.25">
      <c r="A567"/>
      <c r="B567"/>
      <c r="C567"/>
      <c r="D567"/>
      <c r="E567"/>
      <c r="F567"/>
      <c r="H567"/>
      <c r="I567"/>
    </row>
    <row r="568" spans="1:9" x14ac:dyDescent="0.25">
      <c r="A568"/>
      <c r="B568"/>
      <c r="C568"/>
      <c r="D568"/>
      <c r="E568"/>
      <c r="F568"/>
      <c r="H568"/>
      <c r="I568"/>
    </row>
    <row r="569" spans="1:9" x14ac:dyDescent="0.25">
      <c r="A569"/>
      <c r="B569"/>
      <c r="C569"/>
      <c r="D569"/>
      <c r="E569"/>
      <c r="F569"/>
      <c r="H569"/>
      <c r="I569"/>
    </row>
    <row r="570" spans="1:9" x14ac:dyDescent="0.25">
      <c r="A570"/>
      <c r="B570"/>
      <c r="C570"/>
      <c r="D570"/>
      <c r="E570"/>
      <c r="F570"/>
      <c r="H570"/>
      <c r="I570"/>
    </row>
    <row r="571" spans="1:9" x14ac:dyDescent="0.25">
      <c r="A571"/>
      <c r="B571"/>
      <c r="C571"/>
      <c r="D571"/>
      <c r="E571"/>
      <c r="F571"/>
      <c r="H571"/>
      <c r="I571"/>
    </row>
    <row r="572" spans="1:9" x14ac:dyDescent="0.25">
      <c r="A572"/>
      <c r="B572"/>
      <c r="C572"/>
      <c r="D572"/>
      <c r="E572"/>
      <c r="F572"/>
      <c r="H572"/>
      <c r="I572"/>
    </row>
    <row r="573" spans="1:9" x14ac:dyDescent="0.25">
      <c r="A573"/>
      <c r="B573"/>
      <c r="C573"/>
      <c r="D573"/>
      <c r="E573"/>
      <c r="F573"/>
      <c r="H573"/>
      <c r="I573"/>
    </row>
    <row r="574" spans="1:9" x14ac:dyDescent="0.25">
      <c r="A574"/>
      <c r="B574"/>
      <c r="C574"/>
      <c r="D574"/>
      <c r="E574"/>
      <c r="F574"/>
      <c r="H574"/>
      <c r="I574"/>
    </row>
    <row r="575" spans="1:9" x14ac:dyDescent="0.25">
      <c r="A575"/>
      <c r="B575"/>
      <c r="C575"/>
      <c r="D575"/>
      <c r="E575"/>
      <c r="F575"/>
      <c r="H575"/>
      <c r="I575"/>
    </row>
    <row r="576" spans="1:9" x14ac:dyDescent="0.25">
      <c r="A576"/>
      <c r="B576"/>
      <c r="C576"/>
      <c r="D576"/>
      <c r="E576"/>
      <c r="F576"/>
      <c r="H576"/>
      <c r="I576"/>
    </row>
    <row r="577" spans="1:9" x14ac:dyDescent="0.25">
      <c r="A577"/>
      <c r="B577"/>
      <c r="C577"/>
      <c r="D577"/>
      <c r="E577"/>
      <c r="F577"/>
      <c r="H577"/>
      <c r="I577"/>
    </row>
    <row r="578" spans="1:9" x14ac:dyDescent="0.25">
      <c r="A578"/>
      <c r="B578"/>
      <c r="C578"/>
      <c r="D578"/>
      <c r="E578"/>
      <c r="F578"/>
      <c r="H578"/>
      <c r="I578"/>
    </row>
    <row r="579" spans="1:9" x14ac:dyDescent="0.25">
      <c r="A579"/>
      <c r="B579"/>
      <c r="C579"/>
      <c r="D579"/>
      <c r="E579"/>
      <c r="F579"/>
      <c r="H579"/>
      <c r="I579"/>
    </row>
    <row r="580" spans="1:9" x14ac:dyDescent="0.25">
      <c r="A580"/>
      <c r="B580"/>
      <c r="C580"/>
      <c r="D580"/>
      <c r="E580"/>
      <c r="F580"/>
      <c r="H580"/>
      <c r="I580"/>
    </row>
    <row r="581" spans="1:9" x14ac:dyDescent="0.25">
      <c r="A581"/>
      <c r="B581"/>
      <c r="C581"/>
      <c r="D581"/>
      <c r="E581"/>
      <c r="F581"/>
      <c r="H581"/>
      <c r="I581"/>
    </row>
    <row r="582" spans="1:9" x14ac:dyDescent="0.25">
      <c r="A582"/>
      <c r="B582"/>
      <c r="C582"/>
      <c r="D582"/>
      <c r="E582"/>
      <c r="F582"/>
      <c r="H582"/>
      <c r="I582"/>
    </row>
    <row r="583" spans="1:9" x14ac:dyDescent="0.25">
      <c r="A583"/>
      <c r="B583"/>
      <c r="C583"/>
      <c r="D583"/>
      <c r="E583"/>
      <c r="F583"/>
      <c r="H583"/>
      <c r="I583"/>
    </row>
    <row r="584" spans="1:9" x14ac:dyDescent="0.25">
      <c r="A584"/>
      <c r="B584"/>
      <c r="C584"/>
      <c r="D584"/>
      <c r="E584"/>
      <c r="F584"/>
      <c r="H584"/>
      <c r="I584"/>
    </row>
    <row r="585" spans="1:9" x14ac:dyDescent="0.25">
      <c r="A585"/>
      <c r="B585"/>
      <c r="C585"/>
      <c r="D585"/>
      <c r="E585"/>
      <c r="F585"/>
      <c r="H585"/>
      <c r="I585"/>
    </row>
    <row r="586" spans="1:9" x14ac:dyDescent="0.25">
      <c r="A586"/>
      <c r="B586"/>
      <c r="C586"/>
      <c r="D586"/>
      <c r="E586"/>
      <c r="F586"/>
      <c r="H586"/>
      <c r="I586"/>
    </row>
    <row r="587" spans="1:9" x14ac:dyDescent="0.25">
      <c r="A587"/>
      <c r="B587"/>
      <c r="C587"/>
      <c r="D587"/>
      <c r="E587"/>
      <c r="F587"/>
      <c r="H587"/>
      <c r="I587"/>
    </row>
    <row r="588" spans="1:9" x14ac:dyDescent="0.25">
      <c r="A588"/>
      <c r="B588"/>
      <c r="C588"/>
      <c r="D588"/>
      <c r="E588"/>
      <c r="F588"/>
      <c r="H588"/>
      <c r="I588"/>
    </row>
    <row r="589" spans="1:9" x14ac:dyDescent="0.25">
      <c r="A589"/>
      <c r="B589"/>
      <c r="C589"/>
      <c r="D589"/>
      <c r="E589"/>
      <c r="F589"/>
      <c r="H589"/>
      <c r="I589"/>
    </row>
    <row r="590" spans="1:9" x14ac:dyDescent="0.25">
      <c r="A590"/>
      <c r="B590"/>
      <c r="C590"/>
      <c r="D590"/>
      <c r="E590"/>
      <c r="F590"/>
      <c r="H590"/>
      <c r="I590"/>
    </row>
    <row r="591" spans="1:9" x14ac:dyDescent="0.25">
      <c r="A591"/>
      <c r="B591"/>
      <c r="C591"/>
      <c r="D591"/>
      <c r="E591"/>
      <c r="F591"/>
      <c r="H591"/>
      <c r="I591"/>
    </row>
    <row r="592" spans="1:9" x14ac:dyDescent="0.25">
      <c r="A592"/>
      <c r="B592"/>
      <c r="C592"/>
      <c r="D592"/>
      <c r="E592"/>
      <c r="F592"/>
      <c r="H592"/>
      <c r="I592"/>
    </row>
    <row r="593" spans="1:9" x14ac:dyDescent="0.25">
      <c r="A593"/>
      <c r="B593"/>
      <c r="C593"/>
      <c r="D593"/>
      <c r="E593"/>
      <c r="F593"/>
      <c r="H593"/>
      <c r="I593"/>
    </row>
    <row r="594" spans="1:9" x14ac:dyDescent="0.25">
      <c r="A594"/>
      <c r="B594"/>
      <c r="C594"/>
      <c r="D594"/>
      <c r="E594"/>
      <c r="F594"/>
      <c r="H594"/>
      <c r="I594"/>
    </row>
    <row r="595" spans="1:9" x14ac:dyDescent="0.25">
      <c r="A595"/>
      <c r="B595"/>
      <c r="C595"/>
      <c r="D595"/>
      <c r="E595"/>
      <c r="F595"/>
      <c r="H595"/>
      <c r="I595"/>
    </row>
    <row r="596" spans="1:9" x14ac:dyDescent="0.25">
      <c r="A596"/>
      <c r="B596"/>
      <c r="C596"/>
      <c r="D596"/>
      <c r="E596"/>
      <c r="F596"/>
      <c r="H596"/>
      <c r="I596"/>
    </row>
    <row r="597" spans="1:9" x14ac:dyDescent="0.25">
      <c r="A597"/>
      <c r="B597"/>
      <c r="C597"/>
      <c r="D597"/>
      <c r="E597"/>
      <c r="F597"/>
      <c r="H597"/>
      <c r="I597"/>
    </row>
    <row r="598" spans="1:9" x14ac:dyDescent="0.25">
      <c r="A598"/>
      <c r="B598"/>
      <c r="C598"/>
      <c r="D598"/>
      <c r="E598"/>
      <c r="F598"/>
      <c r="H598"/>
      <c r="I598"/>
    </row>
    <row r="599" spans="1:9" x14ac:dyDescent="0.25">
      <c r="A599"/>
      <c r="B599"/>
      <c r="C599"/>
      <c r="D599"/>
      <c r="E599"/>
      <c r="F599"/>
      <c r="H599"/>
      <c r="I599"/>
    </row>
    <row r="600" spans="1:9" x14ac:dyDescent="0.25">
      <c r="A600"/>
      <c r="B600"/>
      <c r="C600"/>
      <c r="D600"/>
      <c r="E600"/>
      <c r="F600"/>
      <c r="H600"/>
      <c r="I600"/>
    </row>
    <row r="601" spans="1:9" x14ac:dyDescent="0.25">
      <c r="A601"/>
      <c r="B601"/>
      <c r="C601"/>
      <c r="D601"/>
      <c r="E601"/>
      <c r="F601"/>
      <c r="H601"/>
      <c r="I601"/>
    </row>
    <row r="602" spans="1:9" x14ac:dyDescent="0.25">
      <c r="A602"/>
      <c r="B602"/>
      <c r="C602"/>
      <c r="D602"/>
      <c r="E602"/>
      <c r="F602"/>
      <c r="H602"/>
      <c r="I602"/>
    </row>
    <row r="603" spans="1:9" x14ac:dyDescent="0.25">
      <c r="A603"/>
      <c r="B603"/>
      <c r="C603"/>
      <c r="D603"/>
      <c r="E603"/>
      <c r="F603"/>
      <c r="H603"/>
      <c r="I603"/>
    </row>
    <row r="604" spans="1:9" x14ac:dyDescent="0.25">
      <c r="A604"/>
      <c r="B604"/>
      <c r="C604"/>
      <c r="D604"/>
      <c r="E604"/>
      <c r="F604"/>
      <c r="H604"/>
      <c r="I604"/>
    </row>
    <row r="605" spans="1:9" x14ac:dyDescent="0.25">
      <c r="A605"/>
      <c r="B605"/>
      <c r="C605"/>
      <c r="D605"/>
      <c r="E605"/>
      <c r="F605"/>
      <c r="H605"/>
      <c r="I605"/>
    </row>
    <row r="606" spans="1:9" x14ac:dyDescent="0.25">
      <c r="A606"/>
      <c r="B606"/>
      <c r="C606"/>
      <c r="D606"/>
      <c r="E606"/>
      <c r="F606"/>
      <c r="H606"/>
      <c r="I606"/>
    </row>
    <row r="607" spans="1:9" x14ac:dyDescent="0.25">
      <c r="A607"/>
      <c r="B607"/>
      <c r="C607"/>
      <c r="D607"/>
      <c r="E607"/>
      <c r="F607"/>
      <c r="H607"/>
      <c r="I607"/>
    </row>
    <row r="608" spans="1:9" x14ac:dyDescent="0.25">
      <c r="A608"/>
      <c r="B608"/>
      <c r="C608"/>
      <c r="D608"/>
      <c r="E608"/>
      <c r="F608"/>
      <c r="H608"/>
      <c r="I608"/>
    </row>
    <row r="609" spans="1:9" x14ac:dyDescent="0.25">
      <c r="A609"/>
      <c r="B609"/>
      <c r="C609"/>
      <c r="D609"/>
      <c r="E609"/>
      <c r="F609"/>
      <c r="H609"/>
      <c r="I609"/>
    </row>
    <row r="610" spans="1:9" x14ac:dyDescent="0.25">
      <c r="A610"/>
      <c r="B610"/>
      <c r="C610"/>
      <c r="D610"/>
      <c r="E610"/>
      <c r="F610"/>
      <c r="H610"/>
      <c r="I610"/>
    </row>
    <row r="611" spans="1:9" x14ac:dyDescent="0.25">
      <c r="A611"/>
      <c r="B611"/>
      <c r="C611"/>
      <c r="D611"/>
      <c r="E611"/>
      <c r="F611"/>
      <c r="H611"/>
      <c r="I611"/>
    </row>
    <row r="612" spans="1:9" x14ac:dyDescent="0.25">
      <c r="A612"/>
      <c r="B612"/>
      <c r="C612"/>
      <c r="D612"/>
      <c r="E612"/>
      <c r="F612"/>
      <c r="H612"/>
      <c r="I612"/>
    </row>
    <row r="613" spans="1:9" x14ac:dyDescent="0.25">
      <c r="A613"/>
      <c r="B613"/>
      <c r="C613"/>
      <c r="D613"/>
      <c r="E613"/>
      <c r="F613"/>
      <c r="H613"/>
      <c r="I613"/>
    </row>
    <row r="614" spans="1:9" x14ac:dyDescent="0.25">
      <c r="A614"/>
      <c r="B614"/>
      <c r="C614"/>
      <c r="D614"/>
      <c r="E614"/>
      <c r="F614"/>
      <c r="H614"/>
      <c r="I614"/>
    </row>
    <row r="615" spans="1:9" x14ac:dyDescent="0.25">
      <c r="A615"/>
      <c r="B615"/>
      <c r="C615"/>
      <c r="D615"/>
      <c r="E615"/>
      <c r="F615"/>
      <c r="H615"/>
      <c r="I615"/>
    </row>
    <row r="616" spans="1:9" x14ac:dyDescent="0.25">
      <c r="A616"/>
      <c r="B616"/>
      <c r="C616"/>
      <c r="D616"/>
      <c r="E616"/>
      <c r="F616"/>
      <c r="H616"/>
      <c r="I616"/>
    </row>
    <row r="617" spans="1:9" x14ac:dyDescent="0.25">
      <c r="A617"/>
      <c r="B617"/>
      <c r="C617"/>
      <c r="D617"/>
      <c r="E617"/>
      <c r="F617"/>
      <c r="H617"/>
      <c r="I617"/>
    </row>
    <row r="618" spans="1:9" x14ac:dyDescent="0.25">
      <c r="A618"/>
      <c r="B618"/>
      <c r="C618"/>
      <c r="D618"/>
      <c r="E618"/>
      <c r="F618"/>
      <c r="H618"/>
      <c r="I618"/>
    </row>
    <row r="619" spans="1:9" x14ac:dyDescent="0.25">
      <c r="A619"/>
      <c r="B619"/>
      <c r="C619"/>
      <c r="D619"/>
      <c r="E619"/>
      <c r="F619"/>
      <c r="H619"/>
      <c r="I619"/>
    </row>
    <row r="620" spans="1:9" x14ac:dyDescent="0.25">
      <c r="A620"/>
      <c r="B620"/>
      <c r="C620"/>
      <c r="D620"/>
      <c r="E620"/>
      <c r="F620"/>
      <c r="H620"/>
      <c r="I620"/>
    </row>
    <row r="621" spans="1:9" x14ac:dyDescent="0.25">
      <c r="A621"/>
      <c r="B621"/>
      <c r="C621"/>
      <c r="D621"/>
      <c r="E621"/>
      <c r="F621"/>
      <c r="H621"/>
      <c r="I621"/>
    </row>
    <row r="622" spans="1:9" x14ac:dyDescent="0.25">
      <c r="A622"/>
      <c r="B622"/>
      <c r="C622"/>
      <c r="D622"/>
      <c r="E622"/>
      <c r="F622"/>
      <c r="H622"/>
      <c r="I622"/>
    </row>
    <row r="623" spans="1:9" x14ac:dyDescent="0.25">
      <c r="A623"/>
      <c r="B623"/>
      <c r="C623"/>
      <c r="D623"/>
      <c r="E623"/>
      <c r="F623"/>
      <c r="H623"/>
      <c r="I623"/>
    </row>
    <row r="624" spans="1:9" x14ac:dyDescent="0.25">
      <c r="A624"/>
      <c r="B624"/>
      <c r="C624"/>
      <c r="D624"/>
      <c r="E624"/>
      <c r="F624"/>
      <c r="H624"/>
      <c r="I624"/>
    </row>
    <row r="625" spans="1:9" x14ac:dyDescent="0.25">
      <c r="A625"/>
      <c r="B625"/>
      <c r="C625"/>
      <c r="D625"/>
      <c r="E625"/>
      <c r="F625"/>
      <c r="H625"/>
      <c r="I625"/>
    </row>
    <row r="626" spans="1:9" x14ac:dyDescent="0.25">
      <c r="A626"/>
      <c r="B626"/>
      <c r="C626"/>
      <c r="D626"/>
      <c r="E626"/>
      <c r="F626"/>
      <c r="H626"/>
      <c r="I626"/>
    </row>
    <row r="627" spans="1:9" x14ac:dyDescent="0.25">
      <c r="A627"/>
      <c r="B627"/>
      <c r="C627"/>
      <c r="D627"/>
      <c r="E627"/>
      <c r="F627"/>
      <c r="H627"/>
      <c r="I627"/>
    </row>
    <row r="628" spans="1:9" x14ac:dyDescent="0.25">
      <c r="A628"/>
      <c r="B628"/>
      <c r="C628"/>
      <c r="D628"/>
      <c r="E628"/>
      <c r="F628"/>
      <c r="H628"/>
      <c r="I628"/>
    </row>
    <row r="629" spans="1:9" x14ac:dyDescent="0.25">
      <c r="A629"/>
      <c r="B629"/>
      <c r="C629"/>
      <c r="D629"/>
      <c r="E629"/>
      <c r="F629"/>
      <c r="H629"/>
      <c r="I629"/>
    </row>
    <row r="630" spans="1:9" x14ac:dyDescent="0.25">
      <c r="A630"/>
      <c r="B630"/>
      <c r="C630"/>
      <c r="D630"/>
      <c r="E630"/>
      <c r="F630"/>
      <c r="H630"/>
      <c r="I630"/>
    </row>
    <row r="631" spans="1:9" x14ac:dyDescent="0.25">
      <c r="A631"/>
      <c r="B631"/>
      <c r="C631"/>
      <c r="D631"/>
      <c r="E631"/>
      <c r="F631"/>
      <c r="H631"/>
      <c r="I631"/>
    </row>
    <row r="632" spans="1:9" x14ac:dyDescent="0.25">
      <c r="A632"/>
      <c r="B632"/>
      <c r="C632"/>
      <c r="D632"/>
      <c r="E632"/>
      <c r="F632"/>
      <c r="H632"/>
      <c r="I632"/>
    </row>
    <row r="633" spans="1:9" x14ac:dyDescent="0.25">
      <c r="A633"/>
      <c r="B633"/>
      <c r="C633"/>
      <c r="D633"/>
      <c r="E633"/>
      <c r="F633"/>
      <c r="H633"/>
      <c r="I633"/>
    </row>
    <row r="634" spans="1:9" x14ac:dyDescent="0.25">
      <c r="A634"/>
      <c r="B634"/>
      <c r="C634"/>
      <c r="D634"/>
      <c r="E634"/>
      <c r="F634"/>
      <c r="H634"/>
      <c r="I634"/>
    </row>
    <row r="635" spans="1:9" x14ac:dyDescent="0.25">
      <c r="A635"/>
      <c r="B635"/>
      <c r="C635"/>
      <c r="D635"/>
      <c r="E635"/>
      <c r="F635"/>
      <c r="H635"/>
      <c r="I635"/>
    </row>
    <row r="636" spans="1:9" x14ac:dyDescent="0.25">
      <c r="A636"/>
      <c r="B636"/>
      <c r="C636"/>
      <c r="D636"/>
      <c r="E636"/>
      <c r="F636"/>
      <c r="H636"/>
      <c r="I636"/>
    </row>
    <row r="637" spans="1:9" x14ac:dyDescent="0.25">
      <c r="A637"/>
      <c r="B637"/>
      <c r="C637"/>
      <c r="D637"/>
      <c r="E637"/>
      <c r="F637"/>
      <c r="H637"/>
      <c r="I637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6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23.85546875" style="1" customWidth="1"/>
    <col min="2" max="2" width="62.7109375" style="4" customWidth="1"/>
    <col min="3" max="3" width="14.5703125" style="1" customWidth="1"/>
    <col min="4" max="4" width="13.5703125" style="91" customWidth="1"/>
    <col min="5" max="5" width="21" style="2" customWidth="1"/>
    <col min="6" max="6" width="12" style="2" customWidth="1"/>
    <col min="7" max="7" width="14.7109375" style="2" customWidth="1"/>
    <col min="8" max="8" width="13" style="1" customWidth="1"/>
    <col min="9" max="16384" width="9.140625" style="1"/>
  </cols>
  <sheetData>
    <row r="1" spans="1:10" ht="18.75" x14ac:dyDescent="0.3">
      <c r="A1" s="72" t="s">
        <v>1062</v>
      </c>
    </row>
    <row r="3" spans="1:10" s="4" customFormat="1" ht="60" x14ac:dyDescent="0.25">
      <c r="A3" s="70" t="s">
        <v>3</v>
      </c>
      <c r="B3" s="70" t="s">
        <v>2</v>
      </c>
      <c r="C3" s="70" t="s">
        <v>1</v>
      </c>
      <c r="D3" s="70" t="s">
        <v>1053</v>
      </c>
      <c r="E3" s="69" t="s">
        <v>869</v>
      </c>
      <c r="F3" s="75" t="s">
        <v>1074</v>
      </c>
      <c r="G3" s="75" t="s">
        <v>1076</v>
      </c>
      <c r="H3" s="4" t="s">
        <v>1097</v>
      </c>
      <c r="I3" s="98" t="s">
        <v>1060</v>
      </c>
      <c r="J3"/>
    </row>
    <row r="4" spans="1:10" x14ac:dyDescent="0.25">
      <c r="A4" s="73" t="s">
        <v>698</v>
      </c>
      <c r="B4" s="109" t="s">
        <v>685</v>
      </c>
      <c r="C4" s="1" t="s">
        <v>17</v>
      </c>
      <c r="D4" s="4">
        <v>2</v>
      </c>
      <c r="E4" s="1">
        <v>3</v>
      </c>
      <c r="F4" s="88">
        <v>43890</v>
      </c>
      <c r="G4" s="1" t="s">
        <v>1080</v>
      </c>
      <c r="H4" s="50">
        <v>47.96</v>
      </c>
      <c r="I4" s="50">
        <v>0</v>
      </c>
      <c r="J4"/>
    </row>
    <row r="5" spans="1:10" x14ac:dyDescent="0.25">
      <c r="A5" s="2" t="s">
        <v>1058</v>
      </c>
      <c r="B5" s="2"/>
      <c r="C5" s="2"/>
      <c r="D5" s="2"/>
      <c r="H5" s="50">
        <v>47.96</v>
      </c>
      <c r="I5" s="50">
        <v>0</v>
      </c>
      <c r="J5"/>
    </row>
    <row r="6" spans="1:10" x14ac:dyDescent="0.25">
      <c r="A6"/>
      <c r="B6"/>
      <c r="C6"/>
      <c r="D6"/>
      <c r="E6"/>
      <c r="F6"/>
      <c r="G6"/>
      <c r="H6"/>
      <c r="I6"/>
      <c r="J6"/>
    </row>
    <row r="7" spans="1:10" x14ac:dyDescent="0.25">
      <c r="A7"/>
      <c r="B7"/>
      <c r="C7"/>
      <c r="D7"/>
      <c r="E7"/>
      <c r="F7"/>
      <c r="G7"/>
      <c r="H7"/>
      <c r="I7"/>
      <c r="J7"/>
    </row>
    <row r="8" spans="1:10" x14ac:dyDescent="0.25">
      <c r="A8"/>
      <c r="B8"/>
      <c r="C8"/>
      <c r="D8"/>
      <c r="E8"/>
      <c r="F8"/>
      <c r="G8"/>
      <c r="H8"/>
      <c r="I8"/>
      <c r="J8"/>
    </row>
    <row r="9" spans="1:10" x14ac:dyDescent="0.25">
      <c r="A9"/>
      <c r="B9"/>
      <c r="C9"/>
      <c r="D9"/>
      <c r="E9"/>
      <c r="F9"/>
      <c r="G9"/>
      <c r="H9"/>
      <c r="I9"/>
      <c r="J9"/>
    </row>
    <row r="10" spans="1:10" x14ac:dyDescent="0.25">
      <c r="A10"/>
      <c r="B10"/>
      <c r="C10"/>
      <c r="D10"/>
      <c r="E10"/>
      <c r="F10"/>
      <c r="G10"/>
      <c r="H10"/>
      <c r="I10"/>
      <c r="J10"/>
    </row>
    <row r="11" spans="1:10" x14ac:dyDescent="0.25">
      <c r="A11"/>
      <c r="B11"/>
      <c r="C11"/>
      <c r="D11"/>
      <c r="E11"/>
      <c r="F11"/>
      <c r="G11"/>
      <c r="H11"/>
      <c r="I11"/>
      <c r="J11"/>
    </row>
    <row r="12" spans="1:10" x14ac:dyDescent="0.25">
      <c r="A12"/>
      <c r="B12"/>
      <c r="C12"/>
      <c r="D12"/>
      <c r="E12"/>
      <c r="F12"/>
      <c r="G12"/>
      <c r="H12"/>
      <c r="I12"/>
      <c r="J12"/>
    </row>
    <row r="13" spans="1:10" x14ac:dyDescent="0.25">
      <c r="A13"/>
      <c r="B13"/>
      <c r="C13"/>
      <c r="D13"/>
      <c r="E13"/>
      <c r="F13"/>
      <c r="G13"/>
      <c r="H13"/>
      <c r="I13"/>
      <c r="J13"/>
    </row>
    <row r="14" spans="1:10" ht="14.45" x14ac:dyDescent="0.3">
      <c r="A14"/>
      <c r="B14"/>
      <c r="C14"/>
      <c r="D14"/>
      <c r="E14"/>
      <c r="F14"/>
      <c r="G14"/>
      <c r="H14"/>
      <c r="I14"/>
      <c r="J14"/>
    </row>
    <row r="15" spans="1:10" x14ac:dyDescent="0.25">
      <c r="A15"/>
      <c r="B15"/>
      <c r="C15"/>
      <c r="D15"/>
      <c r="E15"/>
      <c r="F15"/>
      <c r="G15"/>
      <c r="H15"/>
      <c r="I15"/>
      <c r="J15"/>
    </row>
    <row r="16" spans="1:10" x14ac:dyDescent="0.25">
      <c r="A16"/>
      <c r="B16"/>
      <c r="C16"/>
      <c r="D16"/>
      <c r="E16"/>
      <c r="F16"/>
      <c r="G16"/>
      <c r="H16"/>
      <c r="I16"/>
      <c r="J16"/>
    </row>
    <row r="17" spans="1:10" x14ac:dyDescent="0.25">
      <c r="A17"/>
      <c r="B17"/>
      <c r="C17"/>
      <c r="D17"/>
      <c r="E17"/>
      <c r="F17"/>
      <c r="G17"/>
      <c r="H17"/>
      <c r="I17"/>
      <c r="J17"/>
    </row>
    <row r="18" spans="1:10" x14ac:dyDescent="0.25">
      <c r="A18"/>
      <c r="B18"/>
      <c r="C18"/>
      <c r="D18"/>
      <c r="E18"/>
      <c r="F18"/>
      <c r="G18"/>
      <c r="H18"/>
      <c r="I18"/>
      <c r="J18"/>
    </row>
    <row r="19" spans="1:10" x14ac:dyDescent="0.25">
      <c r="A19"/>
      <c r="B19"/>
      <c r="C19"/>
      <c r="D19"/>
      <c r="E19"/>
      <c r="F19"/>
      <c r="G19"/>
      <c r="H19"/>
      <c r="I19"/>
      <c r="J19"/>
    </row>
    <row r="20" spans="1:10" x14ac:dyDescent="0.25">
      <c r="A20"/>
      <c r="B20"/>
      <c r="C20"/>
      <c r="D20"/>
      <c r="E20"/>
      <c r="F20"/>
      <c r="G20"/>
      <c r="H20"/>
      <c r="I20"/>
      <c r="J20"/>
    </row>
    <row r="21" spans="1:10" x14ac:dyDescent="0.25">
      <c r="A21"/>
      <c r="B21"/>
      <c r="C21"/>
      <c r="D21"/>
      <c r="E21"/>
      <c r="F21"/>
      <c r="G21"/>
      <c r="H21"/>
      <c r="I21"/>
      <c r="J21"/>
    </row>
    <row r="22" spans="1:10" x14ac:dyDescent="0.25">
      <c r="A22"/>
      <c r="B22"/>
      <c r="C22"/>
      <c r="D22"/>
      <c r="E22"/>
      <c r="F22"/>
      <c r="G22"/>
      <c r="H22"/>
      <c r="I22"/>
      <c r="J22"/>
    </row>
    <row r="23" spans="1:10" x14ac:dyDescent="0.25">
      <c r="A23"/>
      <c r="B23"/>
      <c r="C23"/>
      <c r="D23"/>
      <c r="E23"/>
      <c r="F23"/>
      <c r="G23"/>
      <c r="H23"/>
      <c r="I23"/>
      <c r="J23"/>
    </row>
    <row r="24" spans="1:10" x14ac:dyDescent="0.25">
      <c r="A24"/>
      <c r="B24"/>
      <c r="C24"/>
      <c r="D24"/>
      <c r="E24"/>
      <c r="F24"/>
      <c r="G24"/>
      <c r="H24"/>
      <c r="I24"/>
      <c r="J24"/>
    </row>
    <row r="25" spans="1:10" x14ac:dyDescent="0.25">
      <c r="A25"/>
      <c r="B25"/>
      <c r="C25"/>
      <c r="D25"/>
      <c r="E25"/>
      <c r="F25"/>
      <c r="G25"/>
      <c r="H25"/>
      <c r="I25"/>
      <c r="J25"/>
    </row>
    <row r="26" spans="1:10" x14ac:dyDescent="0.25">
      <c r="A26"/>
      <c r="B26"/>
      <c r="C26"/>
      <c r="D26"/>
      <c r="E26"/>
      <c r="F26"/>
      <c r="G26"/>
      <c r="H26"/>
      <c r="I26"/>
      <c r="J26"/>
    </row>
    <row r="27" spans="1:10" x14ac:dyDescent="0.25">
      <c r="A27"/>
      <c r="B27"/>
      <c r="C27"/>
      <c r="D27"/>
      <c r="E27"/>
      <c r="F27"/>
      <c r="G27"/>
      <c r="H27"/>
      <c r="I27"/>
      <c r="J27"/>
    </row>
    <row r="28" spans="1:10" x14ac:dyDescent="0.25">
      <c r="A28"/>
      <c r="B28"/>
      <c r="C28"/>
      <c r="D28"/>
      <c r="E28"/>
      <c r="F28"/>
      <c r="G28"/>
      <c r="H28"/>
      <c r="I28"/>
      <c r="J28"/>
    </row>
    <row r="29" spans="1:10" x14ac:dyDescent="0.25">
      <c r="A29"/>
      <c r="B29"/>
      <c r="C29"/>
      <c r="D29"/>
      <c r="E29"/>
      <c r="F29"/>
      <c r="G29"/>
      <c r="H29"/>
      <c r="I29"/>
      <c r="J29"/>
    </row>
    <row r="30" spans="1:10" x14ac:dyDescent="0.25">
      <c r="A30"/>
      <c r="B30"/>
      <c r="C30"/>
      <c r="D30"/>
      <c r="E30"/>
      <c r="F30"/>
      <c r="G30"/>
      <c r="H30"/>
      <c r="I30"/>
      <c r="J30"/>
    </row>
    <row r="31" spans="1:10" x14ac:dyDescent="0.25">
      <c r="A31"/>
      <c r="B31"/>
      <c r="C31"/>
      <c r="D31"/>
      <c r="E31"/>
      <c r="F31"/>
      <c r="G31"/>
      <c r="H31"/>
      <c r="I31"/>
      <c r="J31"/>
    </row>
    <row r="32" spans="1:10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</row>
    <row r="36" spans="1:10" x14ac:dyDescent="0.25">
      <c r="A36"/>
      <c r="B36"/>
      <c r="C36"/>
      <c r="D36"/>
      <c r="E36"/>
      <c r="F36"/>
      <c r="G36"/>
      <c r="H36"/>
      <c r="I36"/>
    </row>
    <row r="37" spans="1:10" x14ac:dyDescent="0.25">
      <c r="A37"/>
      <c r="B37"/>
      <c r="C37"/>
      <c r="D37"/>
      <c r="E37"/>
      <c r="F37"/>
      <c r="G37"/>
      <c r="H37"/>
      <c r="I37"/>
    </row>
    <row r="38" spans="1:10" x14ac:dyDescent="0.25">
      <c r="A38"/>
      <c r="B38"/>
      <c r="C38"/>
      <c r="D38" s="68"/>
      <c r="E38" s="68"/>
      <c r="F38" s="68"/>
      <c r="G38" s="68"/>
    </row>
    <row r="39" spans="1:10" x14ac:dyDescent="0.25">
      <c r="A39"/>
      <c r="B39"/>
      <c r="C39"/>
      <c r="D39" s="68"/>
      <c r="E39" s="68"/>
      <c r="F39" s="68"/>
      <c r="G39" s="68"/>
    </row>
    <row r="40" spans="1:10" x14ac:dyDescent="0.25">
      <c r="A40"/>
      <c r="B40"/>
      <c r="C40"/>
      <c r="D40" s="68"/>
      <c r="E40" s="68"/>
      <c r="F40" s="68"/>
      <c r="G40" s="68"/>
    </row>
    <row r="41" spans="1:10" x14ac:dyDescent="0.25">
      <c r="A41"/>
      <c r="B41"/>
      <c r="C41"/>
      <c r="D41" s="68"/>
      <c r="E41" s="68"/>
      <c r="F41" s="68"/>
      <c r="G41" s="68"/>
    </row>
    <row r="42" spans="1:10" x14ac:dyDescent="0.25">
      <c r="A42"/>
      <c r="B42"/>
      <c r="C42"/>
      <c r="D42" s="68"/>
      <c r="E42" s="68"/>
      <c r="F42" s="68"/>
      <c r="G42" s="68"/>
    </row>
    <row r="43" spans="1:10" x14ac:dyDescent="0.25">
      <c r="A43"/>
      <c r="B43"/>
      <c r="C43"/>
      <c r="D43" s="68"/>
      <c r="E43" s="68"/>
      <c r="F43" s="68"/>
      <c r="G43" s="68"/>
    </row>
    <row r="44" spans="1:10" x14ac:dyDescent="0.25">
      <c r="A44"/>
      <c r="B44"/>
      <c r="C44"/>
      <c r="D44" s="68"/>
      <c r="E44" s="68"/>
      <c r="F44" s="68"/>
      <c r="G44" s="68"/>
    </row>
    <row r="45" spans="1:10" x14ac:dyDescent="0.25">
      <c r="A45"/>
      <c r="B45"/>
      <c r="C45"/>
      <c r="D45" s="68"/>
      <c r="E45" s="68"/>
      <c r="F45" s="68"/>
      <c r="G45" s="68"/>
    </row>
    <row r="46" spans="1:10" x14ac:dyDescent="0.25">
      <c r="A46"/>
      <c r="B46"/>
      <c r="C46"/>
      <c r="D46" s="68"/>
      <c r="E46" s="68"/>
      <c r="F46" s="68"/>
      <c r="G46" s="68"/>
    </row>
    <row r="47" spans="1:10" x14ac:dyDescent="0.25">
      <c r="A47"/>
      <c r="B47"/>
      <c r="C47"/>
      <c r="D47" s="68"/>
      <c r="E47" s="68"/>
      <c r="F47" s="68"/>
      <c r="G47" s="68"/>
    </row>
    <row r="48" spans="1:10" x14ac:dyDescent="0.25">
      <c r="A48"/>
      <c r="B48"/>
      <c r="C48"/>
      <c r="D48" s="68"/>
      <c r="E48" s="68"/>
      <c r="F48" s="68"/>
      <c r="G48" s="68"/>
    </row>
    <row r="49" spans="1:7" x14ac:dyDescent="0.25">
      <c r="A49"/>
      <c r="B49"/>
      <c r="C49"/>
      <c r="D49" s="68"/>
      <c r="E49" s="68"/>
      <c r="F49" s="68"/>
      <c r="G49" s="68"/>
    </row>
    <row r="50" spans="1:7" x14ac:dyDescent="0.25">
      <c r="A50"/>
      <c r="B50"/>
      <c r="C50"/>
      <c r="D50" s="68"/>
      <c r="E50" s="68"/>
      <c r="F50" s="68"/>
      <c r="G50" s="68"/>
    </row>
    <row r="51" spans="1:7" x14ac:dyDescent="0.25">
      <c r="A51"/>
      <c r="B51"/>
      <c r="C51"/>
      <c r="D51" s="68"/>
      <c r="E51" s="68"/>
      <c r="F51" s="68"/>
      <c r="G51" s="68"/>
    </row>
    <row r="52" spans="1:7" x14ac:dyDescent="0.25">
      <c r="A52"/>
      <c r="B52"/>
      <c r="C52"/>
      <c r="D52" s="68"/>
      <c r="E52" s="68"/>
      <c r="F52" s="68"/>
      <c r="G52" s="68"/>
    </row>
    <row r="53" spans="1:7" x14ac:dyDescent="0.25">
      <c r="A53"/>
      <c r="B53"/>
      <c r="C53"/>
      <c r="D53" s="68"/>
      <c r="E53" s="68"/>
      <c r="F53" s="68"/>
      <c r="G53" s="68"/>
    </row>
    <row r="54" spans="1:7" x14ac:dyDescent="0.25">
      <c r="A54"/>
      <c r="B54"/>
      <c r="C54"/>
      <c r="D54" s="68"/>
      <c r="E54" s="68"/>
      <c r="F54" s="68"/>
      <c r="G54" s="68"/>
    </row>
    <row r="55" spans="1:7" x14ac:dyDescent="0.25">
      <c r="A55"/>
      <c r="B55"/>
      <c r="C55"/>
      <c r="D55" s="68"/>
      <c r="E55" s="68"/>
      <c r="F55" s="68"/>
      <c r="G55" s="68"/>
    </row>
    <row r="56" spans="1:7" x14ac:dyDescent="0.25">
      <c r="A56"/>
      <c r="B56"/>
      <c r="C56"/>
      <c r="D56" s="68"/>
      <c r="E56" s="68"/>
      <c r="F56" s="68"/>
      <c r="G56" s="68"/>
    </row>
    <row r="57" spans="1:7" x14ac:dyDescent="0.25">
      <c r="A57"/>
      <c r="B57"/>
      <c r="C57"/>
      <c r="D57" s="68"/>
      <c r="E57" s="68"/>
      <c r="F57" s="68"/>
      <c r="G57" s="68"/>
    </row>
    <row r="58" spans="1:7" x14ac:dyDescent="0.25">
      <c r="A58"/>
      <c r="B58"/>
      <c r="C58"/>
      <c r="D58" s="68"/>
      <c r="E58" s="68"/>
      <c r="F58" s="68"/>
      <c r="G58" s="68"/>
    </row>
    <row r="59" spans="1:7" x14ac:dyDescent="0.25">
      <c r="A59"/>
      <c r="B59"/>
      <c r="C59"/>
      <c r="D59" s="68"/>
      <c r="E59" s="68"/>
      <c r="F59" s="68"/>
      <c r="G59" s="68"/>
    </row>
    <row r="60" spans="1:7" x14ac:dyDescent="0.25">
      <c r="A60"/>
      <c r="B60"/>
      <c r="C60"/>
      <c r="D60" s="68"/>
      <c r="E60" s="68"/>
      <c r="F60" s="68"/>
      <c r="G60" s="68"/>
    </row>
    <row r="61" spans="1:7" x14ac:dyDescent="0.25">
      <c r="A61"/>
      <c r="B61"/>
      <c r="C61"/>
      <c r="D61" s="68"/>
      <c r="E61" s="68"/>
      <c r="F61" s="68"/>
      <c r="G61" s="68"/>
    </row>
    <row r="62" spans="1:7" x14ac:dyDescent="0.25">
      <c r="A62"/>
      <c r="B62"/>
      <c r="C62"/>
      <c r="D62" s="68"/>
      <c r="E62" s="68"/>
      <c r="F62" s="68"/>
      <c r="G62" s="68"/>
    </row>
    <row r="63" spans="1:7" x14ac:dyDescent="0.25">
      <c r="A63"/>
      <c r="B63"/>
      <c r="C63"/>
      <c r="D63" s="68"/>
      <c r="E63" s="68"/>
      <c r="F63" s="68"/>
      <c r="G63" s="68"/>
    </row>
    <row r="64" spans="1:7" x14ac:dyDescent="0.25">
      <c r="A64"/>
      <c r="B64"/>
      <c r="C64"/>
      <c r="D64" s="68"/>
      <c r="E64" s="68"/>
      <c r="F64" s="68"/>
      <c r="G64" s="68"/>
    </row>
    <row r="65" spans="1:7" x14ac:dyDescent="0.25">
      <c r="A65"/>
      <c r="B65"/>
      <c r="C65"/>
      <c r="D65" s="68"/>
      <c r="E65" s="68"/>
      <c r="F65" s="68"/>
      <c r="G65" s="68"/>
    </row>
    <row r="66" spans="1:7" x14ac:dyDescent="0.25">
      <c r="A66"/>
      <c r="B66"/>
      <c r="C66"/>
      <c r="D66" s="68"/>
      <c r="E66" s="68"/>
      <c r="F66" s="68"/>
      <c r="G66" s="68"/>
    </row>
    <row r="67" spans="1:7" x14ac:dyDescent="0.25">
      <c r="A67"/>
      <c r="B67"/>
      <c r="C67"/>
      <c r="D67" s="68"/>
      <c r="E67" s="68"/>
      <c r="F67" s="68"/>
      <c r="G67" s="68"/>
    </row>
    <row r="68" spans="1:7" x14ac:dyDescent="0.25">
      <c r="A68"/>
      <c r="B68"/>
      <c r="C68"/>
      <c r="D68" s="68"/>
      <c r="E68" s="68"/>
      <c r="F68" s="68"/>
      <c r="G68" s="68"/>
    </row>
    <row r="69" spans="1:7" x14ac:dyDescent="0.25">
      <c r="A69"/>
      <c r="B69"/>
      <c r="C69"/>
      <c r="D69" s="68"/>
      <c r="E69" s="68"/>
      <c r="F69" s="68"/>
      <c r="G69" s="68"/>
    </row>
    <row r="70" spans="1:7" x14ac:dyDescent="0.25">
      <c r="A70"/>
      <c r="B70"/>
      <c r="C70"/>
      <c r="D70" s="68"/>
      <c r="E70" s="68"/>
      <c r="F70" s="68"/>
      <c r="G70" s="68"/>
    </row>
    <row r="71" spans="1:7" x14ac:dyDescent="0.25">
      <c r="A71"/>
      <c r="B71"/>
      <c r="C71"/>
      <c r="D71" s="68"/>
      <c r="E71" s="68"/>
      <c r="F71" s="68"/>
      <c r="G71" s="68"/>
    </row>
    <row r="72" spans="1:7" x14ac:dyDescent="0.25">
      <c r="A72"/>
      <c r="B72"/>
      <c r="C72"/>
      <c r="D72" s="68"/>
      <c r="E72" s="68"/>
      <c r="F72" s="68"/>
      <c r="G72" s="68"/>
    </row>
    <row r="73" spans="1:7" x14ac:dyDescent="0.25">
      <c r="A73"/>
      <c r="B73"/>
      <c r="C73"/>
      <c r="D73" s="68"/>
      <c r="E73" s="68"/>
      <c r="F73" s="68"/>
      <c r="G73" s="68"/>
    </row>
    <row r="74" spans="1:7" x14ac:dyDescent="0.25">
      <c r="A74"/>
      <c r="B74"/>
      <c r="C74"/>
      <c r="D74" s="68"/>
      <c r="E74" s="68"/>
      <c r="F74" s="68"/>
      <c r="G74" s="68"/>
    </row>
    <row r="75" spans="1:7" x14ac:dyDescent="0.25">
      <c r="A75"/>
      <c r="B75"/>
      <c r="C75"/>
      <c r="D75" s="68"/>
      <c r="E75" s="68"/>
      <c r="F75" s="68"/>
      <c r="G75" s="68"/>
    </row>
    <row r="76" spans="1:7" x14ac:dyDescent="0.25">
      <c r="A76"/>
      <c r="B76"/>
      <c r="C76"/>
      <c r="D76" s="68"/>
      <c r="E76" s="68"/>
      <c r="F76" s="68"/>
      <c r="G76" s="68"/>
    </row>
    <row r="77" spans="1:7" x14ac:dyDescent="0.25">
      <c r="A77"/>
      <c r="B77"/>
      <c r="C77"/>
      <c r="D77" s="68"/>
      <c r="E77" s="68"/>
      <c r="F77" s="68"/>
      <c r="G77" s="68"/>
    </row>
    <row r="78" spans="1:7" x14ac:dyDescent="0.25">
      <c r="A78"/>
      <c r="B78"/>
      <c r="C78"/>
      <c r="D78" s="68"/>
      <c r="E78" s="68"/>
      <c r="F78" s="68"/>
      <c r="G78" s="68"/>
    </row>
    <row r="79" spans="1:7" x14ac:dyDescent="0.25">
      <c r="A79"/>
      <c r="B79"/>
      <c r="C79"/>
      <c r="D79" s="68"/>
      <c r="E79" s="68"/>
      <c r="F79" s="68"/>
      <c r="G79" s="68"/>
    </row>
    <row r="80" spans="1:7" x14ac:dyDescent="0.25">
      <c r="A80"/>
      <c r="B80"/>
      <c r="C80"/>
      <c r="D80" s="68"/>
      <c r="E80" s="68"/>
      <c r="F80" s="68"/>
      <c r="G80" s="68"/>
    </row>
    <row r="81" spans="1:7" x14ac:dyDescent="0.25">
      <c r="A81"/>
      <c r="B81"/>
      <c r="C81"/>
      <c r="D81" s="68"/>
      <c r="E81" s="68"/>
      <c r="F81" s="68"/>
      <c r="G81" s="68"/>
    </row>
    <row r="82" spans="1:7" x14ac:dyDescent="0.25">
      <c r="A82"/>
      <c r="B82"/>
      <c r="C82"/>
      <c r="D82" s="68"/>
      <c r="E82" s="68"/>
      <c r="F82" s="68"/>
      <c r="G82" s="68"/>
    </row>
    <row r="83" spans="1:7" x14ac:dyDescent="0.25">
      <c r="A83"/>
      <c r="B83"/>
      <c r="C83"/>
      <c r="D83" s="68"/>
      <c r="E83" s="68"/>
      <c r="F83" s="68"/>
      <c r="G83" s="68"/>
    </row>
    <row r="84" spans="1:7" x14ac:dyDescent="0.25">
      <c r="A84"/>
      <c r="B84"/>
      <c r="C84"/>
      <c r="D84" s="68"/>
      <c r="E84" s="68"/>
      <c r="F84" s="68"/>
      <c r="G84" s="68"/>
    </row>
    <row r="85" spans="1:7" x14ac:dyDescent="0.25">
      <c r="A85"/>
      <c r="B85"/>
      <c r="C85"/>
      <c r="D85" s="68"/>
      <c r="E85" s="68"/>
      <c r="F85" s="68"/>
      <c r="G85" s="68"/>
    </row>
    <row r="86" spans="1:7" x14ac:dyDescent="0.25">
      <c r="A86"/>
      <c r="B86"/>
      <c r="C86"/>
      <c r="D86" s="68"/>
      <c r="E86" s="68"/>
      <c r="F86" s="68"/>
      <c r="G86" s="68"/>
    </row>
    <row r="87" spans="1:7" x14ac:dyDescent="0.25">
      <c r="A87"/>
      <c r="B87"/>
      <c r="C87"/>
      <c r="D87" s="68"/>
      <c r="E87" s="68"/>
      <c r="F87" s="68"/>
      <c r="G87" s="68"/>
    </row>
    <row r="88" spans="1:7" x14ac:dyDescent="0.25">
      <c r="A88"/>
      <c r="B88"/>
      <c r="C88"/>
      <c r="D88" s="68"/>
      <c r="E88" s="68"/>
      <c r="F88" s="68"/>
      <c r="G88" s="68"/>
    </row>
    <row r="89" spans="1:7" x14ac:dyDescent="0.25">
      <c r="A89"/>
      <c r="B89"/>
      <c r="C89"/>
      <c r="D89" s="68"/>
      <c r="E89" s="68"/>
      <c r="F89" s="68"/>
      <c r="G89" s="68"/>
    </row>
    <row r="90" spans="1:7" x14ac:dyDescent="0.25">
      <c r="A90"/>
      <c r="B90"/>
      <c r="C90"/>
      <c r="D90" s="68"/>
      <c r="E90" s="68"/>
      <c r="F90" s="68"/>
      <c r="G90" s="68"/>
    </row>
    <row r="91" spans="1:7" x14ac:dyDescent="0.25">
      <c r="A91"/>
      <c r="B91"/>
      <c r="C91"/>
      <c r="D91" s="68"/>
      <c r="E91" s="68"/>
      <c r="F91" s="68"/>
      <c r="G91" s="68"/>
    </row>
    <row r="92" spans="1:7" x14ac:dyDescent="0.25">
      <c r="A92"/>
      <c r="B92"/>
      <c r="C92"/>
      <c r="D92" s="68"/>
      <c r="E92" s="68"/>
      <c r="F92" s="68"/>
      <c r="G92" s="68"/>
    </row>
    <row r="93" spans="1:7" x14ac:dyDescent="0.25">
      <c r="A93"/>
      <c r="B93"/>
      <c r="C93"/>
      <c r="D93" s="68"/>
      <c r="E93" s="68"/>
      <c r="F93" s="68"/>
      <c r="G93" s="68"/>
    </row>
    <row r="94" spans="1:7" x14ac:dyDescent="0.25">
      <c r="A94"/>
      <c r="B94"/>
      <c r="C94"/>
      <c r="D94" s="68"/>
      <c r="E94" s="68"/>
      <c r="F94" s="68"/>
      <c r="G94" s="68"/>
    </row>
    <row r="95" spans="1:7" x14ac:dyDescent="0.25">
      <c r="A95"/>
      <c r="B95"/>
      <c r="C95"/>
      <c r="D95" s="68"/>
      <c r="E95" s="68"/>
      <c r="F95" s="68"/>
      <c r="G95" s="68"/>
    </row>
    <row r="96" spans="1:7" x14ac:dyDescent="0.25">
      <c r="A96"/>
      <c r="B96"/>
      <c r="C96"/>
      <c r="D96" s="68"/>
      <c r="E96" s="68"/>
      <c r="F96" s="68"/>
      <c r="G96" s="68"/>
    </row>
    <row r="97" spans="1:7" x14ac:dyDescent="0.25">
      <c r="A97"/>
      <c r="B97"/>
      <c r="C97"/>
      <c r="D97" s="68"/>
      <c r="E97" s="68"/>
      <c r="F97" s="68"/>
      <c r="G97" s="68"/>
    </row>
    <row r="98" spans="1:7" x14ac:dyDescent="0.25">
      <c r="A98"/>
      <c r="B98"/>
      <c r="C98"/>
      <c r="D98" s="68"/>
      <c r="E98" s="68"/>
      <c r="F98" s="68"/>
      <c r="G98" s="68"/>
    </row>
    <row r="99" spans="1:7" x14ac:dyDescent="0.25">
      <c r="A99"/>
      <c r="B99"/>
      <c r="C99"/>
      <c r="D99" s="68"/>
      <c r="E99" s="68"/>
      <c r="F99" s="68"/>
      <c r="G99" s="68"/>
    </row>
    <row r="100" spans="1:7" x14ac:dyDescent="0.25">
      <c r="A100"/>
      <c r="B100"/>
      <c r="C100"/>
      <c r="D100" s="68"/>
      <c r="E100" s="68"/>
      <c r="F100" s="68"/>
      <c r="G100" s="68"/>
    </row>
    <row r="101" spans="1:7" x14ac:dyDescent="0.25">
      <c r="A101"/>
      <c r="B101"/>
      <c r="C101"/>
      <c r="D101" s="68"/>
      <c r="E101" s="68"/>
      <c r="F101" s="68"/>
      <c r="G101" s="68"/>
    </row>
    <row r="102" spans="1:7" x14ac:dyDescent="0.25">
      <c r="A102"/>
      <c r="B102"/>
      <c r="C102"/>
      <c r="D102" s="68"/>
      <c r="E102" s="68"/>
      <c r="F102" s="68"/>
      <c r="G102" s="68"/>
    </row>
    <row r="103" spans="1:7" x14ac:dyDescent="0.25">
      <c r="A103"/>
      <c r="B103"/>
      <c r="C103"/>
      <c r="D103" s="68"/>
      <c r="E103" s="68"/>
      <c r="F103" s="68"/>
      <c r="G103" s="68"/>
    </row>
    <row r="104" spans="1:7" x14ac:dyDescent="0.25">
      <c r="A104"/>
      <c r="B104"/>
      <c r="C104"/>
      <c r="D104" s="68"/>
      <c r="E104" s="68"/>
      <c r="F104" s="68"/>
      <c r="G104" s="68"/>
    </row>
    <row r="105" spans="1:7" x14ac:dyDescent="0.25">
      <c r="A105"/>
      <c r="B105"/>
      <c r="C105"/>
      <c r="D105" s="68"/>
      <c r="E105" s="68"/>
      <c r="F105" s="68"/>
      <c r="G105" s="68"/>
    </row>
    <row r="106" spans="1:7" x14ac:dyDescent="0.25">
      <c r="A106"/>
      <c r="B106"/>
      <c r="C106"/>
      <c r="D106" s="68"/>
      <c r="E106" s="68"/>
      <c r="F106" s="68"/>
      <c r="G106" s="68"/>
    </row>
    <row r="107" spans="1:7" x14ac:dyDescent="0.25">
      <c r="A107"/>
      <c r="B107"/>
      <c r="C107"/>
      <c r="D107" s="68"/>
      <c r="E107" s="68"/>
      <c r="F107" s="68"/>
      <c r="G107" s="68"/>
    </row>
    <row r="108" spans="1:7" x14ac:dyDescent="0.25">
      <c r="A108"/>
      <c r="B108"/>
      <c r="C108"/>
      <c r="D108" s="68"/>
      <c r="E108" s="68"/>
      <c r="F108" s="68"/>
      <c r="G108" s="68"/>
    </row>
    <row r="109" spans="1:7" x14ac:dyDescent="0.25">
      <c r="A109"/>
      <c r="B109"/>
      <c r="C109"/>
      <c r="D109" s="68"/>
      <c r="E109" s="68"/>
      <c r="F109" s="68"/>
      <c r="G109" s="68"/>
    </row>
    <row r="110" spans="1:7" x14ac:dyDescent="0.25">
      <c r="A110"/>
      <c r="B110"/>
      <c r="C110"/>
      <c r="D110" s="68"/>
      <c r="E110" s="68"/>
      <c r="F110" s="68"/>
      <c r="G110" s="68"/>
    </row>
    <row r="111" spans="1:7" x14ac:dyDescent="0.25">
      <c r="A111"/>
      <c r="B111"/>
      <c r="C111"/>
      <c r="D111" s="68"/>
      <c r="E111" s="68"/>
      <c r="F111" s="68"/>
      <c r="G111" s="68"/>
    </row>
    <row r="112" spans="1:7" x14ac:dyDescent="0.25">
      <c r="A112"/>
      <c r="B112"/>
      <c r="C112"/>
      <c r="D112" s="68"/>
      <c r="E112" s="68"/>
      <c r="F112" s="68"/>
      <c r="G112" s="68"/>
    </row>
    <row r="113" spans="1:7" x14ac:dyDescent="0.25">
      <c r="A113"/>
      <c r="B113"/>
      <c r="C113"/>
      <c r="D113" s="68"/>
      <c r="E113" s="68"/>
      <c r="F113" s="68"/>
      <c r="G113" s="68"/>
    </row>
    <row r="114" spans="1:7" x14ac:dyDescent="0.25">
      <c r="A114"/>
      <c r="B114"/>
      <c r="C114"/>
      <c r="D114" s="68"/>
      <c r="E114" s="68"/>
      <c r="F114" s="68"/>
      <c r="G114" s="68"/>
    </row>
    <row r="115" spans="1:7" x14ac:dyDescent="0.25">
      <c r="A115"/>
      <c r="B115"/>
      <c r="C115"/>
      <c r="D115" s="68"/>
      <c r="E115" s="68"/>
      <c r="F115" s="68"/>
      <c r="G115" s="68"/>
    </row>
    <row r="116" spans="1:7" x14ac:dyDescent="0.25">
      <c r="A116"/>
      <c r="B116"/>
      <c r="C116"/>
      <c r="D116" s="68"/>
      <c r="E116" s="68"/>
      <c r="F116" s="68"/>
      <c r="G116" s="68"/>
    </row>
    <row r="117" spans="1:7" x14ac:dyDescent="0.25">
      <c r="A117"/>
      <c r="B117"/>
      <c r="C117"/>
      <c r="D117" s="68"/>
      <c r="E117" s="68"/>
      <c r="F117" s="68"/>
      <c r="G117" s="68"/>
    </row>
    <row r="118" spans="1:7" x14ac:dyDescent="0.25">
      <c r="A118"/>
      <c r="B118"/>
      <c r="C118"/>
      <c r="D118" s="68"/>
      <c r="E118" s="68"/>
      <c r="F118" s="68"/>
      <c r="G118" s="68"/>
    </row>
    <row r="119" spans="1:7" x14ac:dyDescent="0.25">
      <c r="A119"/>
      <c r="B119"/>
      <c r="C119"/>
      <c r="D119" s="68"/>
      <c r="E119" s="68"/>
      <c r="F119" s="68"/>
      <c r="G119" s="68"/>
    </row>
    <row r="120" spans="1:7" x14ac:dyDescent="0.25">
      <c r="A120"/>
      <c r="B120"/>
      <c r="C120"/>
      <c r="D120" s="68"/>
      <c r="E120" s="68"/>
      <c r="F120" s="68"/>
      <c r="G120" s="68"/>
    </row>
    <row r="121" spans="1:7" x14ac:dyDescent="0.25">
      <c r="A121"/>
      <c r="B121"/>
      <c r="C121"/>
      <c r="D121" s="68"/>
      <c r="E121" s="68"/>
      <c r="F121" s="68"/>
      <c r="G121" s="68"/>
    </row>
    <row r="122" spans="1:7" x14ac:dyDescent="0.25">
      <c r="A122"/>
      <c r="B122"/>
      <c r="C122"/>
      <c r="D122" s="68"/>
      <c r="E122" s="68"/>
      <c r="F122" s="68"/>
      <c r="G122" s="68"/>
    </row>
    <row r="123" spans="1:7" x14ac:dyDescent="0.25">
      <c r="A123"/>
      <c r="B123"/>
      <c r="C123"/>
      <c r="D123" s="68"/>
      <c r="E123" s="68"/>
      <c r="F123" s="68"/>
      <c r="G123" s="68"/>
    </row>
    <row r="124" spans="1:7" x14ac:dyDescent="0.25">
      <c r="A124"/>
      <c r="B124"/>
      <c r="C124"/>
      <c r="D124" s="68"/>
      <c r="E124" s="68"/>
      <c r="F124" s="68"/>
      <c r="G124" s="68"/>
    </row>
    <row r="125" spans="1:7" x14ac:dyDescent="0.25">
      <c r="A125"/>
      <c r="B125"/>
      <c r="C125"/>
      <c r="D125" s="68"/>
      <c r="E125" s="68"/>
      <c r="F125" s="68"/>
      <c r="G125" s="68"/>
    </row>
    <row r="126" spans="1:7" x14ac:dyDescent="0.25">
      <c r="A126"/>
      <c r="B126"/>
      <c r="C126"/>
      <c r="D126" s="68"/>
      <c r="E126" s="68"/>
      <c r="F126" s="68"/>
      <c r="G126" s="68"/>
    </row>
    <row r="127" spans="1:7" x14ac:dyDescent="0.25">
      <c r="A127"/>
      <c r="B127"/>
      <c r="C127"/>
      <c r="D127" s="68"/>
      <c r="E127" s="68"/>
      <c r="F127" s="68"/>
      <c r="G127" s="68"/>
    </row>
    <row r="128" spans="1:7" x14ac:dyDescent="0.25">
      <c r="A128"/>
      <c r="B128"/>
      <c r="C128"/>
      <c r="D128" s="68"/>
      <c r="E128" s="68"/>
      <c r="F128" s="68"/>
      <c r="G128" s="68"/>
    </row>
    <row r="129" spans="1:7" x14ac:dyDescent="0.25">
      <c r="A129"/>
      <c r="B129"/>
      <c r="C129"/>
      <c r="D129" s="68"/>
      <c r="E129" s="68"/>
      <c r="F129" s="68"/>
      <c r="G129" s="68"/>
    </row>
    <row r="130" spans="1:7" x14ac:dyDescent="0.25">
      <c r="A130"/>
      <c r="B130"/>
      <c r="C130"/>
      <c r="D130" s="68"/>
      <c r="E130" s="68"/>
      <c r="F130" s="68"/>
      <c r="G130" s="68"/>
    </row>
    <row r="131" spans="1:7" x14ac:dyDescent="0.25">
      <c r="A131"/>
      <c r="B131"/>
      <c r="C131"/>
      <c r="D131" s="68"/>
      <c r="E131" s="68"/>
      <c r="F131" s="68"/>
      <c r="G131" s="68"/>
    </row>
    <row r="132" spans="1:7" x14ac:dyDescent="0.25">
      <c r="A132"/>
      <c r="B132"/>
      <c r="C132"/>
      <c r="D132" s="68"/>
      <c r="E132" s="68"/>
      <c r="F132" s="68"/>
      <c r="G132" s="68"/>
    </row>
    <row r="133" spans="1:7" x14ac:dyDescent="0.25">
      <c r="A133"/>
      <c r="B133"/>
      <c r="C133"/>
      <c r="D133" s="68"/>
      <c r="E133" s="68"/>
      <c r="F133" s="68"/>
      <c r="G133" s="68"/>
    </row>
    <row r="134" spans="1:7" x14ac:dyDescent="0.25">
      <c r="A134"/>
      <c r="B134"/>
      <c r="C134"/>
      <c r="D134" s="68"/>
      <c r="E134" s="68"/>
      <c r="F134" s="68"/>
      <c r="G134" s="68"/>
    </row>
    <row r="135" spans="1:7" x14ac:dyDescent="0.25">
      <c r="A135"/>
      <c r="B135"/>
      <c r="C135"/>
      <c r="D135" s="68"/>
      <c r="E135" s="68"/>
      <c r="F135" s="68"/>
      <c r="G135" s="68"/>
    </row>
    <row r="136" spans="1:7" x14ac:dyDescent="0.25">
      <c r="A136"/>
      <c r="B136"/>
      <c r="C136"/>
      <c r="D136" s="68"/>
      <c r="E136" s="68"/>
      <c r="F136" s="68"/>
      <c r="G136" s="68"/>
    </row>
    <row r="137" spans="1:7" x14ac:dyDescent="0.25">
      <c r="A137"/>
      <c r="B137"/>
      <c r="C137"/>
      <c r="D137" s="68"/>
      <c r="E137" s="68"/>
      <c r="F137" s="68"/>
      <c r="G137" s="68"/>
    </row>
    <row r="138" spans="1:7" x14ac:dyDescent="0.25">
      <c r="A138"/>
      <c r="B138"/>
      <c r="C138"/>
      <c r="D138" s="68"/>
      <c r="E138" s="68"/>
      <c r="F138" s="68"/>
      <c r="G138" s="68"/>
    </row>
    <row r="139" spans="1:7" x14ac:dyDescent="0.25">
      <c r="A139"/>
      <c r="B139"/>
      <c r="C139"/>
      <c r="D139" s="68"/>
      <c r="E139" s="68"/>
      <c r="F139" s="68"/>
      <c r="G139" s="68"/>
    </row>
    <row r="140" spans="1:7" x14ac:dyDescent="0.25">
      <c r="A140"/>
      <c r="B140"/>
      <c r="C140"/>
      <c r="D140" s="68"/>
      <c r="E140" s="68"/>
      <c r="F140" s="68"/>
      <c r="G140" s="68"/>
    </row>
    <row r="141" spans="1:7" x14ac:dyDescent="0.25">
      <c r="A141"/>
      <c r="B141"/>
      <c r="C141"/>
      <c r="D141" s="68"/>
      <c r="E141" s="68"/>
      <c r="F141" s="68"/>
      <c r="G141" s="68"/>
    </row>
    <row r="142" spans="1:7" x14ac:dyDescent="0.25">
      <c r="A142"/>
      <c r="B142"/>
      <c r="C142"/>
      <c r="D142" s="68"/>
      <c r="E142" s="68"/>
      <c r="F142" s="68"/>
      <c r="G142" s="68"/>
    </row>
    <row r="143" spans="1:7" x14ac:dyDescent="0.25">
      <c r="A143"/>
      <c r="B143"/>
      <c r="C143"/>
      <c r="D143" s="68"/>
      <c r="E143" s="68"/>
      <c r="F143" s="68"/>
      <c r="G143" s="68"/>
    </row>
    <row r="144" spans="1:7" x14ac:dyDescent="0.25">
      <c r="A144"/>
      <c r="B144"/>
      <c r="C144"/>
      <c r="D144" s="68"/>
      <c r="E144" s="68"/>
      <c r="F144" s="68"/>
      <c r="G144" s="68"/>
    </row>
    <row r="145" spans="1:7" x14ac:dyDescent="0.25">
      <c r="A145"/>
      <c r="B145"/>
      <c r="C145"/>
      <c r="D145" s="68"/>
      <c r="E145" s="68"/>
      <c r="F145" s="68"/>
      <c r="G145" s="68"/>
    </row>
    <row r="146" spans="1:7" x14ac:dyDescent="0.25">
      <c r="A146"/>
      <c r="B146"/>
      <c r="C146"/>
      <c r="D146" s="68"/>
      <c r="E146" s="68"/>
      <c r="F146" s="68"/>
      <c r="G146" s="68"/>
    </row>
    <row r="147" spans="1:7" x14ac:dyDescent="0.25">
      <c r="A147"/>
      <c r="B147"/>
      <c r="C147"/>
      <c r="D147" s="68"/>
      <c r="E147" s="68"/>
      <c r="F147" s="68"/>
      <c r="G147" s="68"/>
    </row>
    <row r="148" spans="1:7" x14ac:dyDescent="0.25">
      <c r="A148"/>
      <c r="B148"/>
      <c r="C148"/>
      <c r="D148" s="68"/>
      <c r="E148" s="68"/>
      <c r="F148" s="68"/>
      <c r="G148" s="68"/>
    </row>
    <row r="149" spans="1:7" x14ac:dyDescent="0.25">
      <c r="A149"/>
      <c r="B149"/>
      <c r="C149"/>
      <c r="D149" s="68"/>
      <c r="E149" s="68"/>
      <c r="F149" s="68"/>
      <c r="G149" s="68"/>
    </row>
    <row r="150" spans="1:7" x14ac:dyDescent="0.25">
      <c r="A150"/>
      <c r="B150"/>
      <c r="C150"/>
      <c r="D150" s="68"/>
      <c r="E150" s="68"/>
      <c r="F150" s="68"/>
      <c r="G150" s="68"/>
    </row>
    <row r="151" spans="1:7" x14ac:dyDescent="0.25">
      <c r="A151"/>
      <c r="B151"/>
      <c r="C151"/>
      <c r="D151" s="68"/>
      <c r="E151" s="68"/>
      <c r="F151" s="68"/>
      <c r="G151" s="68"/>
    </row>
    <row r="152" spans="1:7" x14ac:dyDescent="0.25">
      <c r="A152"/>
      <c r="B152"/>
      <c r="C152"/>
      <c r="D152" s="68"/>
      <c r="E152" s="68"/>
      <c r="F152" s="68"/>
      <c r="G152" s="68"/>
    </row>
    <row r="153" spans="1:7" x14ac:dyDescent="0.25">
      <c r="A153"/>
      <c r="B153"/>
      <c r="C153"/>
      <c r="D153" s="68"/>
      <c r="E153" s="68"/>
      <c r="F153" s="68"/>
      <c r="G153" s="68"/>
    </row>
    <row r="154" spans="1:7" x14ac:dyDescent="0.25">
      <c r="A154"/>
      <c r="B154"/>
      <c r="C154"/>
      <c r="D154" s="68"/>
      <c r="E154" s="68"/>
      <c r="F154" s="68"/>
      <c r="G154" s="68"/>
    </row>
    <row r="155" spans="1:7" x14ac:dyDescent="0.25">
      <c r="A155"/>
      <c r="B155"/>
      <c r="C155"/>
      <c r="D155" s="68"/>
      <c r="E155" s="68"/>
      <c r="F155" s="68"/>
      <c r="G155" s="68"/>
    </row>
    <row r="156" spans="1:7" x14ac:dyDescent="0.25">
      <c r="A156"/>
      <c r="B156"/>
      <c r="C156"/>
      <c r="D156" s="68"/>
      <c r="E156" s="68"/>
      <c r="F156" s="68"/>
      <c r="G156" s="68"/>
    </row>
    <row r="157" spans="1:7" x14ac:dyDescent="0.25">
      <c r="A157"/>
      <c r="B157"/>
      <c r="C157"/>
      <c r="D157" s="68"/>
      <c r="E157" s="68"/>
      <c r="F157" s="68"/>
      <c r="G157" s="68"/>
    </row>
    <row r="158" spans="1:7" x14ac:dyDescent="0.25">
      <c r="A158"/>
      <c r="B158"/>
      <c r="C158"/>
      <c r="D158" s="68"/>
      <c r="E158" s="68"/>
      <c r="F158" s="68"/>
      <c r="G158" s="68"/>
    </row>
    <row r="159" spans="1:7" x14ac:dyDescent="0.25">
      <c r="A159"/>
      <c r="B159"/>
      <c r="C159"/>
      <c r="D159" s="68"/>
      <c r="E159" s="68"/>
      <c r="F159" s="68"/>
      <c r="G159" s="68"/>
    </row>
    <row r="160" spans="1:7" x14ac:dyDescent="0.25">
      <c r="A160"/>
      <c r="B160"/>
      <c r="C160"/>
      <c r="D160" s="68"/>
      <c r="E160" s="68"/>
      <c r="F160" s="68"/>
      <c r="G160" s="68"/>
    </row>
    <row r="161" spans="1:7" x14ac:dyDescent="0.25">
      <c r="A161"/>
      <c r="B161"/>
      <c r="C161"/>
      <c r="D161" s="68"/>
      <c r="E161" s="68"/>
      <c r="F161" s="68"/>
      <c r="G161" s="68"/>
    </row>
    <row r="162" spans="1:7" x14ac:dyDescent="0.25">
      <c r="A162"/>
      <c r="B162"/>
      <c r="C162"/>
      <c r="D162" s="68"/>
      <c r="E162" s="68"/>
      <c r="F162" s="68"/>
      <c r="G162" s="68"/>
    </row>
    <row r="163" spans="1:7" x14ac:dyDescent="0.25">
      <c r="A163"/>
      <c r="B163"/>
      <c r="C163"/>
      <c r="D163" s="68"/>
      <c r="E163" s="68"/>
      <c r="F163" s="68"/>
      <c r="G163" s="68"/>
    </row>
    <row r="164" spans="1:7" x14ac:dyDescent="0.25">
      <c r="A164"/>
      <c r="B164"/>
      <c r="C164"/>
      <c r="D164" s="68"/>
      <c r="E164" s="68"/>
      <c r="F164" s="68"/>
      <c r="G164" s="68"/>
    </row>
    <row r="165" spans="1:7" x14ac:dyDescent="0.25">
      <c r="A165"/>
      <c r="B165"/>
      <c r="C165"/>
      <c r="D165" s="68"/>
      <c r="E165" s="68"/>
      <c r="F165" s="68"/>
      <c r="G165" s="68"/>
    </row>
    <row r="166" spans="1:7" x14ac:dyDescent="0.25">
      <c r="A166"/>
      <c r="B166"/>
      <c r="C166"/>
      <c r="D166" s="68"/>
      <c r="E166" s="68"/>
      <c r="F166" s="68"/>
      <c r="G166" s="68"/>
    </row>
    <row r="167" spans="1:7" x14ac:dyDescent="0.25">
      <c r="A167"/>
      <c r="B167"/>
      <c r="C167"/>
      <c r="D167" s="68"/>
      <c r="E167" s="68"/>
      <c r="F167" s="68"/>
      <c r="G167" s="68"/>
    </row>
    <row r="168" spans="1:7" x14ac:dyDescent="0.25">
      <c r="A168"/>
      <c r="B168"/>
      <c r="C168"/>
      <c r="D168" s="68"/>
      <c r="E168" s="68"/>
      <c r="F168" s="68"/>
      <c r="G168" s="68"/>
    </row>
    <row r="169" spans="1:7" x14ac:dyDescent="0.25">
      <c r="A169"/>
      <c r="B169"/>
      <c r="C169"/>
      <c r="D169" s="68"/>
      <c r="E169" s="68"/>
      <c r="F169" s="68"/>
      <c r="G169" s="68"/>
    </row>
    <row r="170" spans="1:7" x14ac:dyDescent="0.25">
      <c r="A170"/>
      <c r="B170"/>
      <c r="C170"/>
      <c r="D170" s="68"/>
      <c r="E170" s="68"/>
      <c r="F170" s="68"/>
      <c r="G170" s="68"/>
    </row>
    <row r="171" spans="1:7" x14ac:dyDescent="0.25">
      <c r="A171"/>
      <c r="B171"/>
      <c r="C171"/>
      <c r="D171" s="68"/>
      <c r="E171" s="68"/>
      <c r="F171" s="68"/>
      <c r="G171" s="68"/>
    </row>
    <row r="172" spans="1:7" x14ac:dyDescent="0.25">
      <c r="A172"/>
      <c r="B172"/>
      <c r="C172"/>
      <c r="D172" s="68"/>
      <c r="E172" s="68"/>
      <c r="F172" s="68"/>
      <c r="G172" s="68"/>
    </row>
    <row r="173" spans="1:7" x14ac:dyDescent="0.25">
      <c r="A173"/>
      <c r="B173"/>
      <c r="C173"/>
      <c r="D173" s="68"/>
      <c r="E173" s="68"/>
      <c r="F173" s="68"/>
      <c r="G173" s="68"/>
    </row>
    <row r="174" spans="1:7" x14ac:dyDescent="0.25">
      <c r="A174"/>
      <c r="B174"/>
      <c r="C174"/>
      <c r="D174" s="68"/>
      <c r="E174" s="68"/>
      <c r="F174" s="68"/>
      <c r="G174" s="68"/>
    </row>
    <row r="175" spans="1:7" x14ac:dyDescent="0.25">
      <c r="A175"/>
      <c r="B175"/>
      <c r="C175"/>
      <c r="D175" s="68"/>
      <c r="E175" s="68"/>
      <c r="F175" s="68"/>
      <c r="G175" s="68"/>
    </row>
    <row r="176" spans="1:7" x14ac:dyDescent="0.25">
      <c r="A176"/>
      <c r="B176"/>
      <c r="C176"/>
      <c r="D176" s="68"/>
      <c r="E176" s="68"/>
      <c r="F176" s="68"/>
      <c r="G176" s="68"/>
    </row>
    <row r="177" spans="1:7" x14ac:dyDescent="0.25">
      <c r="A177"/>
      <c r="B177"/>
      <c r="C177"/>
      <c r="D177" s="68"/>
      <c r="E177" s="68"/>
      <c r="F177" s="68"/>
      <c r="G177" s="68"/>
    </row>
    <row r="178" spans="1:7" x14ac:dyDescent="0.25">
      <c r="A178"/>
      <c r="B178"/>
      <c r="C178"/>
      <c r="D178" s="68"/>
      <c r="E178" s="68"/>
      <c r="F178" s="68"/>
      <c r="G178" s="68"/>
    </row>
    <row r="179" spans="1:7" x14ac:dyDescent="0.25">
      <c r="A179"/>
      <c r="B179"/>
      <c r="C179"/>
      <c r="D179" s="68"/>
      <c r="E179" s="68"/>
      <c r="F179" s="68"/>
      <c r="G179" s="68"/>
    </row>
    <row r="180" spans="1:7" x14ac:dyDescent="0.25">
      <c r="A180"/>
      <c r="B180"/>
      <c r="C180"/>
      <c r="D180" s="68"/>
      <c r="E180" s="68"/>
      <c r="F180" s="68"/>
      <c r="G180" s="68"/>
    </row>
    <row r="181" spans="1:7" x14ac:dyDescent="0.25">
      <c r="A181"/>
      <c r="B181"/>
      <c r="C181"/>
      <c r="D181" s="68"/>
      <c r="E181" s="68"/>
      <c r="F181" s="68"/>
      <c r="G181" s="68"/>
    </row>
    <row r="182" spans="1:7" x14ac:dyDescent="0.25">
      <c r="A182"/>
      <c r="B182"/>
      <c r="C182"/>
      <c r="D182" s="68"/>
      <c r="E182" s="68"/>
      <c r="F182" s="68"/>
      <c r="G182" s="68"/>
    </row>
    <row r="183" spans="1:7" x14ac:dyDescent="0.25">
      <c r="A183"/>
      <c r="B183"/>
      <c r="C183"/>
      <c r="D183" s="68"/>
      <c r="E183" s="68"/>
      <c r="F183" s="68"/>
      <c r="G183" s="68"/>
    </row>
    <row r="184" spans="1:7" x14ac:dyDescent="0.25">
      <c r="A184"/>
      <c r="B184"/>
      <c r="C184"/>
      <c r="D184" s="68"/>
      <c r="E184" s="68"/>
      <c r="F184" s="68"/>
      <c r="G184" s="68"/>
    </row>
    <row r="185" spans="1:7" x14ac:dyDescent="0.25">
      <c r="A185"/>
      <c r="B185"/>
      <c r="C185"/>
      <c r="D185" s="68"/>
      <c r="E185" s="68"/>
      <c r="F185" s="68"/>
      <c r="G185" s="68"/>
    </row>
    <row r="186" spans="1:7" x14ac:dyDescent="0.25">
      <c r="A186"/>
      <c r="B186"/>
      <c r="C186"/>
      <c r="D186" s="68"/>
      <c r="E186" s="68"/>
      <c r="F186" s="68"/>
      <c r="G186" s="68"/>
    </row>
    <row r="187" spans="1:7" x14ac:dyDescent="0.25">
      <c r="A187"/>
      <c r="B187"/>
      <c r="C187"/>
      <c r="D187" s="68"/>
      <c r="E187" s="68"/>
      <c r="F187" s="68"/>
      <c r="G187" s="68"/>
    </row>
    <row r="188" spans="1:7" x14ac:dyDescent="0.25">
      <c r="A188"/>
      <c r="B188"/>
      <c r="C188"/>
      <c r="D188" s="68"/>
      <c r="E188" s="68"/>
      <c r="F188" s="68"/>
      <c r="G188" s="68"/>
    </row>
    <row r="189" spans="1:7" x14ac:dyDescent="0.25">
      <c r="A189"/>
      <c r="B189"/>
      <c r="C189"/>
      <c r="D189" s="68"/>
      <c r="E189" s="68"/>
      <c r="F189" s="68"/>
      <c r="G189" s="68"/>
    </row>
    <row r="190" spans="1:7" x14ac:dyDescent="0.25">
      <c r="A190"/>
      <c r="B190"/>
      <c r="C190"/>
      <c r="D190" s="68"/>
      <c r="E190" s="68"/>
      <c r="F190" s="68"/>
      <c r="G190" s="68"/>
    </row>
    <row r="191" spans="1:7" x14ac:dyDescent="0.25">
      <c r="A191"/>
      <c r="B191"/>
      <c r="C191"/>
      <c r="D191" s="68"/>
      <c r="E191" s="68"/>
      <c r="F191" s="68"/>
      <c r="G191" s="68"/>
    </row>
    <row r="192" spans="1:7" x14ac:dyDescent="0.25">
      <c r="A192"/>
      <c r="B192"/>
      <c r="C192"/>
      <c r="D192" s="68"/>
      <c r="E192" s="68"/>
      <c r="F192" s="68"/>
      <c r="G192" s="68"/>
    </row>
    <row r="193" spans="1:7" x14ac:dyDescent="0.25">
      <c r="A193"/>
      <c r="B193"/>
      <c r="C193"/>
      <c r="D193" s="68"/>
      <c r="E193" s="68"/>
      <c r="F193" s="68"/>
      <c r="G193" s="68"/>
    </row>
    <row r="194" spans="1:7" x14ac:dyDescent="0.25">
      <c r="A194"/>
      <c r="B194"/>
      <c r="C194"/>
      <c r="D194" s="68"/>
      <c r="E194" s="68"/>
      <c r="F194" s="68"/>
      <c r="G194" s="68"/>
    </row>
    <row r="195" spans="1:7" x14ac:dyDescent="0.25">
      <c r="A195"/>
      <c r="B195"/>
      <c r="C195"/>
      <c r="D195" s="68"/>
      <c r="E195" s="68"/>
      <c r="F195" s="68"/>
      <c r="G195" s="68"/>
    </row>
    <row r="196" spans="1:7" x14ac:dyDescent="0.25">
      <c r="A196"/>
      <c r="B196"/>
      <c r="C196"/>
      <c r="D196" s="68"/>
      <c r="E196" s="68"/>
      <c r="F196" s="68"/>
      <c r="G196" s="68"/>
    </row>
    <row r="197" spans="1:7" x14ac:dyDescent="0.25">
      <c r="A197"/>
      <c r="B197"/>
      <c r="C197"/>
      <c r="D197" s="68"/>
      <c r="E197" s="68"/>
      <c r="F197" s="68"/>
      <c r="G197" s="68"/>
    </row>
    <row r="198" spans="1:7" x14ac:dyDescent="0.25">
      <c r="A198"/>
      <c r="B198"/>
      <c r="C198"/>
      <c r="D198" s="68"/>
      <c r="E198" s="68"/>
      <c r="F198" s="68"/>
      <c r="G198" s="68"/>
    </row>
    <row r="199" spans="1:7" x14ac:dyDescent="0.25">
      <c r="A199"/>
      <c r="B199"/>
      <c r="C199"/>
      <c r="D199" s="68"/>
      <c r="E199" s="68"/>
      <c r="F199" s="68"/>
      <c r="G199" s="68"/>
    </row>
    <row r="200" spans="1:7" x14ac:dyDescent="0.25">
      <c r="A200"/>
      <c r="B200"/>
      <c r="C200"/>
      <c r="D200" s="68"/>
      <c r="E200" s="68"/>
      <c r="F200" s="68"/>
      <c r="G200" s="68"/>
    </row>
    <row r="201" spans="1:7" x14ac:dyDescent="0.25">
      <c r="A201"/>
      <c r="B201"/>
      <c r="C201"/>
      <c r="D201" s="68"/>
      <c r="E201" s="68"/>
      <c r="F201" s="68"/>
      <c r="G201" s="68"/>
    </row>
    <row r="202" spans="1:7" x14ac:dyDescent="0.25">
      <c r="A202"/>
      <c r="B202"/>
      <c r="C202"/>
      <c r="D202" s="68"/>
      <c r="E202" s="68"/>
      <c r="F202" s="68"/>
      <c r="G202" s="68"/>
    </row>
    <row r="203" spans="1:7" x14ac:dyDescent="0.25">
      <c r="A203"/>
      <c r="B203"/>
      <c r="C203"/>
      <c r="D203" s="68"/>
      <c r="E203" s="68"/>
      <c r="F203" s="68"/>
      <c r="G203" s="68"/>
    </row>
    <row r="204" spans="1:7" x14ac:dyDescent="0.25">
      <c r="A204"/>
      <c r="B204"/>
      <c r="C204"/>
      <c r="D204" s="68"/>
      <c r="E204" s="68"/>
      <c r="F204" s="68"/>
      <c r="G204" s="68"/>
    </row>
    <row r="205" spans="1:7" x14ac:dyDescent="0.25">
      <c r="A205"/>
      <c r="B205"/>
      <c r="C205"/>
      <c r="D205" s="68"/>
      <c r="E205" s="68"/>
      <c r="F205" s="68"/>
      <c r="G205" s="68"/>
    </row>
    <row r="206" spans="1:7" x14ac:dyDescent="0.25">
      <c r="A206"/>
      <c r="B206"/>
      <c r="C206"/>
      <c r="D206" s="68"/>
      <c r="E206" s="68"/>
      <c r="F206" s="68"/>
      <c r="G206" s="68"/>
    </row>
    <row r="207" spans="1:7" x14ac:dyDescent="0.25">
      <c r="A207"/>
      <c r="B207"/>
      <c r="C207"/>
      <c r="D207" s="68"/>
      <c r="E207" s="68"/>
      <c r="F207" s="68"/>
      <c r="G207" s="68"/>
    </row>
    <row r="208" spans="1:7" x14ac:dyDescent="0.25">
      <c r="A208"/>
      <c r="B208"/>
      <c r="C208"/>
      <c r="D208" s="68"/>
      <c r="E208" s="68"/>
      <c r="F208" s="68"/>
      <c r="G208" s="68"/>
    </row>
    <row r="209" spans="1:7" x14ac:dyDescent="0.25">
      <c r="A209"/>
      <c r="B209"/>
      <c r="C209"/>
      <c r="D209" s="68"/>
      <c r="E209" s="68"/>
      <c r="F209" s="68"/>
      <c r="G209" s="68"/>
    </row>
    <row r="210" spans="1:7" x14ac:dyDescent="0.25">
      <c r="A210"/>
      <c r="B210"/>
      <c r="C210"/>
      <c r="D210" s="68"/>
      <c r="E210" s="68"/>
      <c r="F210" s="68"/>
      <c r="G210" s="68"/>
    </row>
    <row r="211" spans="1:7" x14ac:dyDescent="0.25">
      <c r="A211"/>
      <c r="B211"/>
      <c r="C211"/>
      <c r="D211" s="68"/>
      <c r="E211" s="68"/>
      <c r="F211" s="68"/>
      <c r="G211" s="68"/>
    </row>
    <row r="212" spans="1:7" x14ac:dyDescent="0.25">
      <c r="A212"/>
      <c r="B212"/>
      <c r="C212"/>
      <c r="D212" s="68"/>
      <c r="E212" s="68"/>
      <c r="F212" s="68"/>
      <c r="G212" s="68"/>
    </row>
    <row r="213" spans="1:7" x14ac:dyDescent="0.25">
      <c r="A213"/>
      <c r="B213"/>
      <c r="C213"/>
      <c r="D213" s="68"/>
      <c r="E213" s="68"/>
      <c r="F213" s="68"/>
      <c r="G213" s="68"/>
    </row>
    <row r="214" spans="1:7" x14ac:dyDescent="0.25">
      <c r="A214"/>
      <c r="B214"/>
      <c r="C214"/>
      <c r="D214" s="68"/>
      <c r="E214" s="68"/>
      <c r="F214" s="68"/>
      <c r="G214" s="68"/>
    </row>
    <row r="215" spans="1:7" x14ac:dyDescent="0.25">
      <c r="A215"/>
      <c r="B215"/>
      <c r="C215"/>
      <c r="D215" s="68"/>
      <c r="E215" s="68"/>
      <c r="F215" s="68"/>
      <c r="G215" s="68"/>
    </row>
    <row r="216" spans="1:7" x14ac:dyDescent="0.25">
      <c r="A216"/>
      <c r="B216"/>
      <c r="C216"/>
      <c r="D216" s="68"/>
      <c r="E216" s="68"/>
      <c r="F216" s="68"/>
      <c r="G216" s="68"/>
    </row>
    <row r="217" spans="1:7" x14ac:dyDescent="0.25">
      <c r="A217"/>
      <c r="B217"/>
      <c r="C217"/>
      <c r="D217" s="68"/>
      <c r="E217" s="68"/>
      <c r="F217" s="68"/>
      <c r="G217" s="68"/>
    </row>
    <row r="218" spans="1:7" x14ac:dyDescent="0.25">
      <c r="A218"/>
      <c r="B218"/>
      <c r="C218"/>
      <c r="D218" s="68"/>
      <c r="E218" s="68"/>
      <c r="F218" s="68"/>
      <c r="G218" s="68"/>
    </row>
    <row r="219" spans="1:7" x14ac:dyDescent="0.25">
      <c r="A219"/>
      <c r="B219"/>
      <c r="C219"/>
      <c r="D219" s="68"/>
      <c r="E219" s="68"/>
      <c r="F219" s="68"/>
      <c r="G219" s="68"/>
    </row>
    <row r="220" spans="1:7" x14ac:dyDescent="0.25">
      <c r="A220"/>
      <c r="B220"/>
      <c r="C220"/>
      <c r="D220" s="68"/>
      <c r="E220" s="68"/>
      <c r="F220" s="68"/>
      <c r="G220" s="68"/>
    </row>
    <row r="221" spans="1:7" x14ac:dyDescent="0.25">
      <c r="A221"/>
      <c r="B221"/>
      <c r="C221"/>
      <c r="D221" s="68"/>
      <c r="E221" s="68"/>
      <c r="F221" s="68"/>
      <c r="G221" s="68"/>
    </row>
    <row r="222" spans="1:7" x14ac:dyDescent="0.25">
      <c r="A222"/>
      <c r="B222"/>
      <c r="C222"/>
      <c r="D222" s="68"/>
      <c r="E222" s="68"/>
      <c r="F222" s="68"/>
      <c r="G222" s="68"/>
    </row>
    <row r="223" spans="1:7" x14ac:dyDescent="0.25">
      <c r="A223"/>
      <c r="B223"/>
      <c r="C223"/>
      <c r="D223" s="68"/>
      <c r="E223" s="68"/>
      <c r="F223" s="68"/>
      <c r="G223" s="68"/>
    </row>
    <row r="224" spans="1:7" x14ac:dyDescent="0.25">
      <c r="A224"/>
      <c r="B224"/>
      <c r="C224"/>
      <c r="D224" s="68"/>
      <c r="E224" s="68"/>
      <c r="F224" s="68"/>
      <c r="G224" s="68"/>
    </row>
    <row r="225" spans="1:7" x14ac:dyDescent="0.25">
      <c r="A225"/>
      <c r="B225"/>
      <c r="C225"/>
      <c r="D225" s="68"/>
      <c r="E225" s="68"/>
      <c r="F225" s="68"/>
      <c r="G225" s="68"/>
    </row>
    <row r="226" spans="1:7" x14ac:dyDescent="0.25">
      <c r="A226"/>
      <c r="B226"/>
      <c r="C226"/>
      <c r="D226" s="68"/>
      <c r="E226" s="68"/>
      <c r="F226" s="68"/>
      <c r="G226" s="68"/>
    </row>
    <row r="227" spans="1:7" x14ac:dyDescent="0.25">
      <c r="A227"/>
      <c r="B227"/>
      <c r="C227"/>
      <c r="D227" s="68"/>
      <c r="E227" s="68"/>
      <c r="F227" s="68"/>
      <c r="G227" s="68"/>
    </row>
    <row r="228" spans="1:7" x14ac:dyDescent="0.25">
      <c r="A228"/>
      <c r="B228"/>
      <c r="C228"/>
      <c r="D228" s="68"/>
      <c r="E228" s="68"/>
      <c r="F228" s="68"/>
      <c r="G228" s="68"/>
    </row>
    <row r="229" spans="1:7" x14ac:dyDescent="0.25">
      <c r="A229"/>
      <c r="B229"/>
      <c r="C229"/>
      <c r="D229" s="68"/>
      <c r="E229" s="68"/>
      <c r="F229" s="68"/>
      <c r="G229" s="68"/>
    </row>
    <row r="230" spans="1:7" x14ac:dyDescent="0.25">
      <c r="A230"/>
      <c r="B230"/>
      <c r="C230"/>
      <c r="D230" s="68"/>
      <c r="E230" s="68"/>
      <c r="F230" s="68"/>
      <c r="G230" s="68"/>
    </row>
    <row r="231" spans="1:7" x14ac:dyDescent="0.25">
      <c r="A231"/>
      <c r="B231"/>
      <c r="C231"/>
      <c r="D231" s="68"/>
      <c r="E231" s="68"/>
      <c r="F231" s="68"/>
      <c r="G231" s="68"/>
    </row>
    <row r="232" spans="1:7" x14ac:dyDescent="0.25">
      <c r="A232"/>
      <c r="B232"/>
      <c r="C232"/>
      <c r="D232" s="68"/>
      <c r="E232" s="68"/>
      <c r="F232" s="68"/>
      <c r="G232" s="68"/>
    </row>
    <row r="233" spans="1:7" x14ac:dyDescent="0.25">
      <c r="A233"/>
      <c r="B233"/>
      <c r="C233"/>
      <c r="D233" s="68"/>
      <c r="E233" s="68"/>
      <c r="F233" s="68"/>
      <c r="G233" s="68"/>
    </row>
    <row r="234" spans="1:7" x14ac:dyDescent="0.25">
      <c r="A234"/>
      <c r="B234"/>
      <c r="C234"/>
      <c r="D234" s="68"/>
      <c r="E234" s="68"/>
      <c r="F234" s="68"/>
      <c r="G234" s="68"/>
    </row>
    <row r="235" spans="1:7" x14ac:dyDescent="0.25">
      <c r="A235"/>
      <c r="B235"/>
      <c r="C235"/>
      <c r="D235" s="68"/>
      <c r="E235" s="68"/>
      <c r="F235" s="68"/>
      <c r="G235" s="68"/>
    </row>
    <row r="236" spans="1:7" x14ac:dyDescent="0.25">
      <c r="A236"/>
      <c r="B236"/>
      <c r="C236"/>
      <c r="D236" s="68"/>
      <c r="E236" s="68"/>
      <c r="F236" s="68"/>
      <c r="G236" s="68"/>
    </row>
    <row r="237" spans="1:7" x14ac:dyDescent="0.25">
      <c r="A237"/>
      <c r="B237"/>
      <c r="C237"/>
      <c r="D237" s="68"/>
      <c r="E237" s="68"/>
      <c r="F237" s="68"/>
      <c r="G237" s="68"/>
    </row>
    <row r="238" spans="1:7" x14ac:dyDescent="0.25">
      <c r="A238"/>
      <c r="B238"/>
      <c r="C238"/>
      <c r="D238" s="68"/>
      <c r="E238" s="68"/>
      <c r="F238" s="68"/>
      <c r="G238" s="68"/>
    </row>
    <row r="239" spans="1:7" x14ac:dyDescent="0.25">
      <c r="A239"/>
      <c r="B239"/>
      <c r="C239"/>
      <c r="D239" s="68"/>
      <c r="E239" s="68"/>
      <c r="F239" s="68"/>
      <c r="G239" s="68"/>
    </row>
    <row r="240" spans="1:7" x14ac:dyDescent="0.25">
      <c r="A240"/>
      <c r="B240"/>
      <c r="C240"/>
      <c r="D240" s="68"/>
      <c r="E240" s="68"/>
      <c r="F240" s="68"/>
      <c r="G240" s="68"/>
    </row>
    <row r="241" spans="1:7" x14ac:dyDescent="0.25">
      <c r="A241"/>
      <c r="B241"/>
      <c r="C241"/>
      <c r="D241" s="68"/>
      <c r="E241" s="68"/>
      <c r="F241" s="68"/>
      <c r="G241" s="68"/>
    </row>
    <row r="242" spans="1:7" x14ac:dyDescent="0.25">
      <c r="A242"/>
      <c r="B242"/>
      <c r="C242"/>
      <c r="D242" s="68"/>
      <c r="E242" s="68"/>
      <c r="F242" s="68"/>
      <c r="G242" s="68"/>
    </row>
    <row r="243" spans="1:7" x14ac:dyDescent="0.25">
      <c r="A243"/>
      <c r="B243"/>
      <c r="C243"/>
      <c r="D243" s="68"/>
      <c r="E243" s="68"/>
      <c r="F243" s="68"/>
      <c r="G243" s="68"/>
    </row>
    <row r="244" spans="1:7" x14ac:dyDescent="0.25">
      <c r="A244"/>
      <c r="B244"/>
      <c r="C244"/>
      <c r="D244" s="68"/>
      <c r="E244" s="68"/>
      <c r="F244" s="68"/>
      <c r="G244" s="68"/>
    </row>
    <row r="245" spans="1:7" x14ac:dyDescent="0.25">
      <c r="A245"/>
      <c r="B245"/>
      <c r="C245"/>
      <c r="D245" s="68"/>
      <c r="E245" s="68"/>
      <c r="F245" s="68"/>
      <c r="G245" s="68"/>
    </row>
    <row r="246" spans="1:7" x14ac:dyDescent="0.25">
      <c r="A246"/>
      <c r="B246"/>
      <c r="C246"/>
      <c r="D246" s="68"/>
      <c r="E246" s="68"/>
      <c r="F246" s="68"/>
      <c r="G246" s="68"/>
    </row>
    <row r="247" spans="1:7" x14ac:dyDescent="0.25">
      <c r="A247"/>
      <c r="B247"/>
      <c r="C247"/>
      <c r="D247" s="68"/>
      <c r="E247" s="68"/>
      <c r="F247" s="68"/>
      <c r="G247" s="68"/>
    </row>
    <row r="248" spans="1:7" x14ac:dyDescent="0.25">
      <c r="A248"/>
      <c r="B248"/>
      <c r="C248"/>
      <c r="D248" s="68"/>
      <c r="E248" s="68"/>
      <c r="F248" s="68"/>
      <c r="G248" s="68"/>
    </row>
    <row r="249" spans="1:7" x14ac:dyDescent="0.25">
      <c r="A249"/>
      <c r="B249"/>
      <c r="C249"/>
      <c r="D249" s="68"/>
      <c r="E249" s="68"/>
      <c r="F249" s="68"/>
      <c r="G249" s="68"/>
    </row>
    <row r="250" spans="1:7" x14ac:dyDescent="0.25">
      <c r="A250"/>
      <c r="B250"/>
      <c r="C250"/>
      <c r="D250" s="68"/>
      <c r="E250" s="68"/>
      <c r="F250" s="68"/>
      <c r="G250" s="68"/>
    </row>
    <row r="251" spans="1:7" x14ac:dyDescent="0.25">
      <c r="A251"/>
      <c r="B251"/>
      <c r="C251"/>
      <c r="D251" s="68"/>
      <c r="E251" s="68"/>
      <c r="F251" s="68"/>
      <c r="G251" s="68"/>
    </row>
    <row r="252" spans="1:7" x14ac:dyDescent="0.25">
      <c r="A252"/>
      <c r="B252"/>
      <c r="C252"/>
      <c r="D252" s="68"/>
      <c r="E252" s="68"/>
      <c r="F252" s="68"/>
      <c r="G252" s="68"/>
    </row>
    <row r="253" spans="1:7" x14ac:dyDescent="0.25">
      <c r="A253"/>
      <c r="B253"/>
      <c r="C253"/>
      <c r="D253" s="68"/>
      <c r="E253" s="68"/>
      <c r="F253" s="68"/>
      <c r="G253" s="68"/>
    </row>
    <row r="254" spans="1:7" x14ac:dyDescent="0.25">
      <c r="A254"/>
      <c r="B254"/>
      <c r="C254"/>
      <c r="D254" s="68"/>
      <c r="E254" s="68"/>
      <c r="F254" s="68"/>
      <c r="G254" s="68"/>
    </row>
    <row r="255" spans="1:7" x14ac:dyDescent="0.25">
      <c r="A255"/>
      <c r="B255"/>
      <c r="C255"/>
      <c r="D255" s="68"/>
      <c r="E255" s="68"/>
      <c r="F255" s="68"/>
      <c r="G255" s="68"/>
    </row>
    <row r="256" spans="1:7" x14ac:dyDescent="0.25">
      <c r="A256"/>
      <c r="B256"/>
      <c r="C256"/>
      <c r="D256" s="68"/>
      <c r="E256" s="68"/>
      <c r="F256" s="68"/>
      <c r="G256" s="68"/>
    </row>
    <row r="257" spans="1:7" x14ac:dyDescent="0.25">
      <c r="A257"/>
      <c r="B257"/>
      <c r="C257"/>
      <c r="D257" s="68"/>
      <c r="E257" s="68"/>
      <c r="F257" s="68"/>
      <c r="G257" s="68"/>
    </row>
    <row r="258" spans="1:7" x14ac:dyDescent="0.25">
      <c r="A258"/>
      <c r="B258"/>
      <c r="C258"/>
      <c r="D258" s="68"/>
      <c r="E258" s="68"/>
      <c r="F258" s="68"/>
      <c r="G258" s="68"/>
    </row>
    <row r="259" spans="1:7" x14ac:dyDescent="0.25">
      <c r="A259"/>
      <c r="B259"/>
      <c r="C259"/>
      <c r="D259" s="68"/>
      <c r="E259" s="68"/>
      <c r="F259" s="68"/>
      <c r="G259" s="68"/>
    </row>
    <row r="260" spans="1:7" x14ac:dyDescent="0.25">
      <c r="A260"/>
      <c r="B260"/>
      <c r="C260"/>
      <c r="D260" s="68"/>
      <c r="E260" s="68"/>
      <c r="F260" s="68"/>
      <c r="G260" s="68"/>
    </row>
    <row r="261" spans="1:7" x14ac:dyDescent="0.25">
      <c r="A261"/>
      <c r="B261"/>
      <c r="C261"/>
      <c r="D261" s="68"/>
      <c r="E261" s="68"/>
      <c r="F261" s="68"/>
      <c r="G261" s="68"/>
    </row>
    <row r="262" spans="1:7" x14ac:dyDescent="0.25">
      <c r="A262"/>
      <c r="B262"/>
      <c r="C262"/>
      <c r="D262" s="68"/>
      <c r="E262" s="68"/>
      <c r="F262" s="68"/>
      <c r="G262" s="68"/>
    </row>
    <row r="263" spans="1:7" x14ac:dyDescent="0.25">
      <c r="A263"/>
      <c r="B263"/>
      <c r="C263"/>
      <c r="D263" s="68"/>
      <c r="E263" s="68"/>
      <c r="F263" s="68"/>
      <c r="G263" s="68"/>
    </row>
    <row r="264" spans="1:7" x14ac:dyDescent="0.25">
      <c r="A264"/>
      <c r="B264"/>
      <c r="C264"/>
      <c r="D264" s="68"/>
      <c r="E264" s="68"/>
      <c r="F264" s="68"/>
      <c r="G264" s="68"/>
    </row>
    <row r="265" spans="1:7" x14ac:dyDescent="0.25">
      <c r="A265"/>
      <c r="B265"/>
      <c r="C265"/>
      <c r="D265" s="68"/>
      <c r="E265" s="68"/>
      <c r="F265" s="68"/>
      <c r="G265" s="68"/>
    </row>
    <row r="266" spans="1:7" x14ac:dyDescent="0.25">
      <c r="A266"/>
      <c r="B266"/>
      <c r="C266"/>
      <c r="D266" s="68"/>
      <c r="E266" s="68"/>
      <c r="F266" s="68"/>
      <c r="G266" s="68"/>
    </row>
    <row r="267" spans="1:7" x14ac:dyDescent="0.25">
      <c r="A267"/>
      <c r="B267"/>
      <c r="C267"/>
      <c r="D267" s="68"/>
      <c r="E267" s="68"/>
      <c r="F267" s="68"/>
      <c r="G267" s="68"/>
    </row>
    <row r="268" spans="1:7" x14ac:dyDescent="0.25">
      <c r="A268"/>
      <c r="B268"/>
      <c r="C268"/>
      <c r="D268" s="68"/>
      <c r="E268" s="68"/>
      <c r="F268" s="68"/>
      <c r="G268" s="68"/>
    </row>
    <row r="269" spans="1:7" x14ac:dyDescent="0.25">
      <c r="A269"/>
      <c r="B269"/>
      <c r="C269"/>
      <c r="D269" s="68"/>
      <c r="E269" s="68"/>
      <c r="F269" s="68"/>
      <c r="G269" s="68"/>
    </row>
    <row r="270" spans="1:7" x14ac:dyDescent="0.25">
      <c r="A270"/>
      <c r="B270"/>
      <c r="C270"/>
      <c r="D270" s="68"/>
      <c r="E270" s="68"/>
      <c r="F270" s="68"/>
      <c r="G270" s="68"/>
    </row>
    <row r="271" spans="1:7" x14ac:dyDescent="0.25">
      <c r="A271"/>
      <c r="B271"/>
      <c r="C271"/>
      <c r="D271" s="68"/>
      <c r="E271" s="68"/>
      <c r="F271" s="68"/>
      <c r="G271" s="68"/>
    </row>
    <row r="272" spans="1:7" x14ac:dyDescent="0.25">
      <c r="A272"/>
      <c r="B272"/>
      <c r="C272"/>
      <c r="D272" s="68"/>
      <c r="E272" s="68"/>
      <c r="F272" s="68"/>
      <c r="G272" s="68"/>
    </row>
    <row r="273" spans="1:7" x14ac:dyDescent="0.25">
      <c r="A273"/>
      <c r="B273"/>
      <c r="C273"/>
      <c r="D273" s="68"/>
      <c r="E273" s="68"/>
      <c r="F273" s="68"/>
      <c r="G273" s="68"/>
    </row>
    <row r="274" spans="1:7" x14ac:dyDescent="0.25">
      <c r="A274"/>
      <c r="B274"/>
      <c r="C274"/>
      <c r="D274" s="68"/>
      <c r="E274" s="68"/>
      <c r="F274" s="68"/>
      <c r="G274" s="68"/>
    </row>
    <row r="275" spans="1:7" x14ac:dyDescent="0.25">
      <c r="A275"/>
      <c r="B275"/>
      <c r="C275"/>
      <c r="D275" s="68"/>
      <c r="E275" s="68"/>
      <c r="F275" s="68"/>
      <c r="G275" s="68"/>
    </row>
    <row r="276" spans="1:7" x14ac:dyDescent="0.25">
      <c r="A276"/>
      <c r="B276"/>
      <c r="C276"/>
      <c r="D276" s="68"/>
      <c r="E276" s="68"/>
      <c r="F276" s="68"/>
      <c r="G276" s="68"/>
    </row>
    <row r="277" spans="1:7" x14ac:dyDescent="0.25">
      <c r="A277"/>
      <c r="B277"/>
      <c r="C277"/>
      <c r="D277" s="68"/>
      <c r="E277" s="68"/>
      <c r="F277" s="68"/>
      <c r="G277" s="68"/>
    </row>
    <row r="278" spans="1:7" x14ac:dyDescent="0.25">
      <c r="A278"/>
      <c r="B278"/>
      <c r="C278"/>
      <c r="D278" s="68"/>
      <c r="E278" s="68"/>
      <c r="F278" s="68"/>
      <c r="G278" s="68"/>
    </row>
    <row r="279" spans="1:7" x14ac:dyDescent="0.25">
      <c r="A279"/>
      <c r="B279"/>
      <c r="C279"/>
      <c r="D279" s="68"/>
      <c r="E279" s="68"/>
      <c r="F279" s="68"/>
      <c r="G279" s="68"/>
    </row>
    <row r="280" spans="1:7" x14ac:dyDescent="0.25">
      <c r="A280"/>
      <c r="B280"/>
      <c r="C280"/>
      <c r="D280" s="68"/>
      <c r="E280" s="68"/>
      <c r="F280" s="68"/>
      <c r="G280" s="68"/>
    </row>
    <row r="281" spans="1:7" x14ac:dyDescent="0.25">
      <c r="A281"/>
      <c r="B281"/>
      <c r="C281"/>
      <c r="D281" s="68"/>
      <c r="E281" s="68"/>
      <c r="F281" s="68"/>
      <c r="G281" s="68"/>
    </row>
    <row r="282" spans="1:7" x14ac:dyDescent="0.25">
      <c r="A282"/>
      <c r="B282"/>
      <c r="C282"/>
      <c r="D282" s="68"/>
      <c r="E282" s="68"/>
      <c r="F282" s="68"/>
      <c r="G282" s="68"/>
    </row>
    <row r="283" spans="1:7" x14ac:dyDescent="0.25">
      <c r="A283"/>
      <c r="B283"/>
      <c r="C283"/>
      <c r="D283" s="68"/>
      <c r="E283" s="68"/>
      <c r="F283" s="68"/>
      <c r="G283" s="68"/>
    </row>
    <row r="284" spans="1:7" x14ac:dyDescent="0.25">
      <c r="A284"/>
      <c r="B284"/>
      <c r="C284"/>
      <c r="D284" s="68"/>
      <c r="E284" s="68"/>
      <c r="F284" s="68"/>
      <c r="G284" s="68"/>
    </row>
    <row r="285" spans="1:7" x14ac:dyDescent="0.25">
      <c r="A285"/>
      <c r="B285"/>
      <c r="C285"/>
      <c r="D285" s="68"/>
      <c r="E285" s="68"/>
      <c r="F285" s="68"/>
      <c r="G285" s="68"/>
    </row>
    <row r="286" spans="1:7" x14ac:dyDescent="0.25">
      <c r="A286"/>
      <c r="B286"/>
      <c r="C286"/>
      <c r="D286" s="68"/>
      <c r="E286" s="68"/>
      <c r="F286" s="68"/>
      <c r="G286" s="68"/>
    </row>
    <row r="287" spans="1:7" x14ac:dyDescent="0.25">
      <c r="A287"/>
      <c r="B287"/>
      <c r="C287"/>
      <c r="D287" s="68"/>
      <c r="E287" s="68"/>
      <c r="F287" s="68"/>
      <c r="G287" s="68"/>
    </row>
    <row r="288" spans="1:7" x14ac:dyDescent="0.25">
      <c r="A288"/>
      <c r="B288"/>
      <c r="C288"/>
      <c r="D288" s="68"/>
      <c r="E288" s="68"/>
      <c r="F288" s="68"/>
      <c r="G288" s="68"/>
    </row>
    <row r="289" spans="1:7" x14ac:dyDescent="0.25">
      <c r="A289"/>
      <c r="B289"/>
      <c r="C289"/>
      <c r="D289" s="68"/>
      <c r="E289" s="68"/>
      <c r="F289" s="68"/>
      <c r="G289" s="68"/>
    </row>
    <row r="290" spans="1:7" x14ac:dyDescent="0.25">
      <c r="A290"/>
      <c r="B290"/>
      <c r="C290"/>
      <c r="D290" s="68"/>
      <c r="E290" s="68"/>
      <c r="F290" s="68"/>
      <c r="G290" s="68"/>
    </row>
    <row r="291" spans="1:7" x14ac:dyDescent="0.25">
      <c r="A291"/>
      <c r="B291"/>
      <c r="C291"/>
      <c r="D291" s="68"/>
      <c r="E291" s="68"/>
      <c r="F291" s="68"/>
      <c r="G291" s="68"/>
    </row>
    <row r="292" spans="1:7" x14ac:dyDescent="0.25">
      <c r="A292"/>
      <c r="B292"/>
      <c r="C292"/>
      <c r="D292" s="68"/>
      <c r="E292" s="68"/>
      <c r="F292" s="68"/>
      <c r="G292" s="68"/>
    </row>
    <row r="293" spans="1:7" x14ac:dyDescent="0.25">
      <c r="A293"/>
      <c r="B293"/>
      <c r="C293"/>
      <c r="D293" s="68"/>
      <c r="E293" s="68"/>
      <c r="F293" s="68"/>
      <c r="G293" s="68"/>
    </row>
    <row r="294" spans="1:7" x14ac:dyDescent="0.25">
      <c r="A294"/>
      <c r="B294"/>
      <c r="C294"/>
      <c r="D294" s="68"/>
      <c r="E294" s="68"/>
      <c r="F294" s="68"/>
      <c r="G294" s="68"/>
    </row>
    <row r="295" spans="1:7" x14ac:dyDescent="0.25">
      <c r="A295"/>
      <c r="B295"/>
      <c r="C295"/>
      <c r="D295" s="68"/>
      <c r="E295" s="68"/>
      <c r="F295" s="68"/>
      <c r="G295" s="68"/>
    </row>
    <row r="296" spans="1:7" x14ac:dyDescent="0.25">
      <c r="A296"/>
      <c r="B296"/>
      <c r="C296"/>
      <c r="D296" s="68"/>
      <c r="E296" s="68"/>
      <c r="F296" s="68"/>
      <c r="G296" s="68"/>
    </row>
    <row r="297" spans="1:7" x14ac:dyDescent="0.25">
      <c r="A297"/>
      <c r="B297"/>
      <c r="C297"/>
      <c r="D297" s="68"/>
      <c r="E297" s="68"/>
      <c r="F297" s="68"/>
      <c r="G297" s="68"/>
    </row>
    <row r="298" spans="1:7" x14ac:dyDescent="0.25">
      <c r="A298"/>
      <c r="B298"/>
      <c r="C298"/>
      <c r="D298" s="68"/>
      <c r="E298" s="68"/>
      <c r="F298" s="68"/>
      <c r="G298" s="68"/>
    </row>
    <row r="299" spans="1:7" x14ac:dyDescent="0.25">
      <c r="A299"/>
      <c r="B299"/>
      <c r="C299"/>
      <c r="D299" s="68"/>
      <c r="E299" s="68"/>
      <c r="F299" s="68"/>
      <c r="G299" s="68"/>
    </row>
    <row r="300" spans="1:7" x14ac:dyDescent="0.25">
      <c r="A300"/>
      <c r="B300"/>
      <c r="C300"/>
      <c r="D300" s="68"/>
      <c r="E300" s="68"/>
      <c r="F300" s="68"/>
      <c r="G300" s="68"/>
    </row>
    <row r="301" spans="1:7" x14ac:dyDescent="0.25">
      <c r="A301"/>
      <c r="B301"/>
      <c r="C301"/>
      <c r="D301" s="68"/>
      <c r="E301" s="68"/>
      <c r="F301" s="68"/>
      <c r="G301" s="68"/>
    </row>
    <row r="302" spans="1:7" x14ac:dyDescent="0.25">
      <c r="A302"/>
      <c r="B302"/>
      <c r="C302"/>
      <c r="D302" s="68"/>
      <c r="E302" s="68"/>
      <c r="F302" s="68"/>
      <c r="G302" s="68"/>
    </row>
    <row r="303" spans="1:7" x14ac:dyDescent="0.25">
      <c r="A303"/>
      <c r="B303"/>
      <c r="C303"/>
      <c r="D303" s="68"/>
      <c r="E303" s="68"/>
      <c r="F303" s="68"/>
      <c r="G303" s="68"/>
    </row>
    <row r="304" spans="1:7" x14ac:dyDescent="0.25">
      <c r="A304"/>
      <c r="B304"/>
      <c r="C304"/>
      <c r="D304" s="68"/>
      <c r="E304" s="68"/>
      <c r="F304" s="68"/>
      <c r="G304" s="68"/>
    </row>
    <row r="305" spans="1:7" x14ac:dyDescent="0.25">
      <c r="A305"/>
      <c r="B305"/>
      <c r="C305"/>
      <c r="D305" s="68"/>
      <c r="E305" s="68"/>
      <c r="F305" s="68"/>
      <c r="G305" s="68"/>
    </row>
    <row r="306" spans="1:7" x14ac:dyDescent="0.25">
      <c r="A306"/>
      <c r="B306"/>
      <c r="C306"/>
      <c r="D306" s="68"/>
      <c r="E306" s="68"/>
      <c r="F306" s="68"/>
      <c r="G306" s="68"/>
    </row>
    <row r="307" spans="1:7" x14ac:dyDescent="0.25">
      <c r="A307"/>
      <c r="B307"/>
      <c r="C307"/>
      <c r="D307" s="68"/>
      <c r="E307" s="68"/>
      <c r="F307" s="68"/>
      <c r="G307" s="68"/>
    </row>
    <row r="308" spans="1:7" x14ac:dyDescent="0.25">
      <c r="A308"/>
      <c r="B308"/>
      <c r="C308"/>
      <c r="D308" s="68"/>
      <c r="E308" s="68"/>
      <c r="F308" s="68"/>
      <c r="G308" s="68"/>
    </row>
    <row r="309" spans="1:7" x14ac:dyDescent="0.25">
      <c r="A309"/>
      <c r="B309"/>
      <c r="C309"/>
      <c r="D309" s="68"/>
      <c r="E309" s="68"/>
      <c r="F309" s="68"/>
      <c r="G309" s="68"/>
    </row>
    <row r="310" spans="1:7" x14ac:dyDescent="0.25">
      <c r="A310"/>
      <c r="B310"/>
      <c r="C310"/>
      <c r="D310" s="68"/>
      <c r="E310" s="68"/>
      <c r="F310" s="68"/>
      <c r="G310" s="68"/>
    </row>
    <row r="311" spans="1:7" x14ac:dyDescent="0.25">
      <c r="A311"/>
      <c r="B311"/>
      <c r="C311"/>
      <c r="D311" s="68"/>
      <c r="E311" s="68"/>
      <c r="F311" s="68"/>
      <c r="G311" s="68"/>
    </row>
    <row r="312" spans="1:7" x14ac:dyDescent="0.25">
      <c r="A312"/>
      <c r="B312"/>
      <c r="C312"/>
      <c r="D312" s="68"/>
      <c r="E312" s="68"/>
      <c r="F312" s="68"/>
      <c r="G312" s="68"/>
    </row>
    <row r="313" spans="1:7" x14ac:dyDescent="0.25">
      <c r="A313"/>
      <c r="B313"/>
      <c r="C313"/>
      <c r="D313" s="68"/>
      <c r="E313" s="68"/>
      <c r="F313" s="68"/>
      <c r="G313" s="68"/>
    </row>
    <row r="314" spans="1:7" x14ac:dyDescent="0.25">
      <c r="A314"/>
      <c r="B314"/>
      <c r="C314"/>
      <c r="D314" s="68"/>
      <c r="E314" s="68"/>
      <c r="F314" s="68"/>
      <c r="G314" s="68"/>
    </row>
    <row r="315" spans="1:7" x14ac:dyDescent="0.25">
      <c r="A315"/>
      <c r="B315"/>
      <c r="C315"/>
      <c r="D315" s="68"/>
      <c r="E315" s="68"/>
      <c r="F315" s="68"/>
      <c r="G315" s="68"/>
    </row>
    <row r="316" spans="1:7" x14ac:dyDescent="0.25">
      <c r="A316"/>
      <c r="B316"/>
      <c r="C316"/>
      <c r="D316" s="68"/>
      <c r="E316" s="68"/>
      <c r="F316" s="68"/>
      <c r="G316" s="68"/>
    </row>
    <row r="317" spans="1:7" x14ac:dyDescent="0.25">
      <c r="A317"/>
      <c r="B317"/>
      <c r="C317"/>
      <c r="D317" s="68"/>
      <c r="E317" s="68"/>
      <c r="F317" s="68"/>
      <c r="G317" s="68"/>
    </row>
    <row r="318" spans="1:7" x14ac:dyDescent="0.25">
      <c r="A318"/>
      <c r="B318"/>
      <c r="C318"/>
      <c r="D318" s="68"/>
      <c r="E318" s="68"/>
      <c r="F318" s="68"/>
      <c r="G318" s="68"/>
    </row>
    <row r="319" spans="1:7" x14ac:dyDescent="0.25">
      <c r="A319"/>
      <c r="B319"/>
      <c r="C319"/>
      <c r="D319" s="68"/>
      <c r="E319" s="68"/>
      <c r="F319" s="68"/>
      <c r="G319" s="68"/>
    </row>
    <row r="320" spans="1:7" x14ac:dyDescent="0.25">
      <c r="A320"/>
      <c r="B320"/>
      <c r="C320"/>
      <c r="D320" s="68"/>
      <c r="E320" s="68"/>
      <c r="F320" s="68"/>
      <c r="G320" s="68"/>
    </row>
    <row r="321" spans="1:7" x14ac:dyDescent="0.25">
      <c r="A321"/>
      <c r="B321"/>
      <c r="C321"/>
      <c r="D321" s="68"/>
      <c r="E321" s="68"/>
      <c r="F321" s="68"/>
      <c r="G321" s="68"/>
    </row>
    <row r="322" spans="1:7" x14ac:dyDescent="0.25">
      <c r="A322"/>
      <c r="B322"/>
      <c r="C322"/>
      <c r="D322" s="68"/>
      <c r="E322" s="68"/>
      <c r="F322" s="68"/>
      <c r="G322" s="68"/>
    </row>
    <row r="323" spans="1:7" x14ac:dyDescent="0.25">
      <c r="A323"/>
      <c r="B323"/>
      <c r="C323"/>
      <c r="D323" s="68"/>
      <c r="E323" s="68"/>
      <c r="F323" s="68"/>
      <c r="G323" s="68"/>
    </row>
    <row r="324" spans="1:7" x14ac:dyDescent="0.25">
      <c r="A324"/>
      <c r="B324"/>
      <c r="C324"/>
      <c r="D324" s="68"/>
      <c r="E324" s="68"/>
      <c r="F324" s="68"/>
      <c r="G324" s="68"/>
    </row>
    <row r="325" spans="1:7" x14ac:dyDescent="0.25">
      <c r="A325"/>
      <c r="B325"/>
      <c r="C325"/>
      <c r="D325" s="68"/>
      <c r="E325" s="68"/>
      <c r="F325" s="68"/>
      <c r="G325" s="68"/>
    </row>
    <row r="326" spans="1:7" x14ac:dyDescent="0.25">
      <c r="A326"/>
      <c r="B326"/>
      <c r="C326"/>
      <c r="D326" s="68"/>
      <c r="E326" s="68"/>
      <c r="F326" s="68"/>
      <c r="G326" s="68"/>
    </row>
    <row r="327" spans="1:7" x14ac:dyDescent="0.25">
      <c r="A327"/>
      <c r="B327"/>
      <c r="C327"/>
      <c r="D327" s="68"/>
      <c r="E327" s="68"/>
      <c r="F327" s="68"/>
      <c r="G327" s="68"/>
    </row>
    <row r="328" spans="1:7" x14ac:dyDescent="0.25">
      <c r="A328"/>
      <c r="B328"/>
      <c r="C328"/>
      <c r="D328" s="68"/>
      <c r="E328" s="68"/>
      <c r="F328" s="68"/>
      <c r="G328" s="68"/>
    </row>
    <row r="329" spans="1:7" x14ac:dyDescent="0.25">
      <c r="A329"/>
      <c r="B329"/>
      <c r="C329"/>
      <c r="D329" s="68"/>
      <c r="E329" s="68"/>
      <c r="F329" s="68"/>
      <c r="G329" s="68"/>
    </row>
    <row r="330" spans="1:7" x14ac:dyDescent="0.25">
      <c r="A330"/>
      <c r="B330"/>
      <c r="C330"/>
      <c r="D330" s="68"/>
      <c r="E330" s="68"/>
      <c r="F330" s="68"/>
      <c r="G330" s="68"/>
    </row>
    <row r="331" spans="1:7" x14ac:dyDescent="0.25">
      <c r="A331"/>
      <c r="B331"/>
      <c r="C331"/>
      <c r="D331" s="68"/>
      <c r="E331" s="68"/>
      <c r="F331" s="68"/>
      <c r="G331" s="68"/>
    </row>
    <row r="332" spans="1:7" x14ac:dyDescent="0.25">
      <c r="A332"/>
      <c r="B332"/>
      <c r="C332"/>
      <c r="D332" s="68"/>
      <c r="E332" s="68"/>
      <c r="F332" s="68"/>
      <c r="G332" s="68"/>
    </row>
    <row r="333" spans="1:7" x14ac:dyDescent="0.25">
      <c r="A333"/>
      <c r="B333"/>
      <c r="C333"/>
      <c r="D333" s="68"/>
      <c r="E333" s="68"/>
      <c r="F333" s="68"/>
      <c r="G333" s="68"/>
    </row>
    <row r="334" spans="1:7" x14ac:dyDescent="0.25">
      <c r="A334"/>
      <c r="B334"/>
      <c r="C334"/>
      <c r="D334" s="68"/>
      <c r="E334" s="68"/>
      <c r="F334" s="68"/>
      <c r="G334" s="68"/>
    </row>
    <row r="335" spans="1:7" x14ac:dyDescent="0.25">
      <c r="A335"/>
      <c r="B335"/>
      <c r="C335"/>
      <c r="D335" s="68"/>
      <c r="E335" s="68"/>
      <c r="F335" s="68"/>
      <c r="G335" s="68"/>
    </row>
    <row r="336" spans="1:7" x14ac:dyDescent="0.25">
      <c r="A336"/>
      <c r="B336"/>
      <c r="C336"/>
      <c r="D336" s="68"/>
      <c r="E336" s="68"/>
      <c r="F336" s="68"/>
      <c r="G336" s="68"/>
    </row>
    <row r="337" spans="1:7" x14ac:dyDescent="0.25">
      <c r="A337"/>
      <c r="B337"/>
      <c r="C337"/>
      <c r="D337" s="68"/>
      <c r="E337" s="68"/>
      <c r="F337" s="68"/>
      <c r="G337" s="68"/>
    </row>
    <row r="338" spans="1:7" x14ac:dyDescent="0.25">
      <c r="A338"/>
      <c r="B338"/>
      <c r="C338"/>
      <c r="D338" s="68"/>
      <c r="E338" s="68"/>
      <c r="F338" s="68"/>
      <c r="G338" s="68"/>
    </row>
    <row r="339" spans="1:7" x14ac:dyDescent="0.25">
      <c r="A339"/>
      <c r="B339"/>
      <c r="C339"/>
      <c r="D339" s="68"/>
      <c r="E339" s="68"/>
      <c r="F339" s="68"/>
      <c r="G339" s="68"/>
    </row>
    <row r="340" spans="1:7" x14ac:dyDescent="0.25">
      <c r="A340"/>
      <c r="B340"/>
      <c r="C340"/>
      <c r="D340" s="68"/>
      <c r="E340" s="68"/>
      <c r="F340" s="68"/>
      <c r="G340" s="68"/>
    </row>
    <row r="341" spans="1:7" x14ac:dyDescent="0.25">
      <c r="A341"/>
      <c r="B341"/>
      <c r="C341"/>
      <c r="D341" s="68"/>
      <c r="E341" s="68"/>
      <c r="F341" s="68"/>
      <c r="G341" s="68"/>
    </row>
    <row r="342" spans="1:7" x14ac:dyDescent="0.25">
      <c r="A342"/>
      <c r="B342"/>
      <c r="C342"/>
      <c r="D342" s="68"/>
      <c r="E342" s="68"/>
      <c r="F342" s="68"/>
      <c r="G342" s="68"/>
    </row>
    <row r="343" spans="1:7" x14ac:dyDescent="0.25">
      <c r="A343"/>
      <c r="B343"/>
      <c r="C343"/>
      <c r="D343" s="68"/>
      <c r="E343" s="68"/>
      <c r="F343" s="68"/>
      <c r="G343" s="68"/>
    </row>
    <row r="344" spans="1:7" x14ac:dyDescent="0.25">
      <c r="A344"/>
      <c r="B344"/>
      <c r="C344"/>
      <c r="D344" s="68"/>
      <c r="E344" s="68"/>
      <c r="F344" s="68"/>
      <c r="G344" s="68"/>
    </row>
    <row r="345" spans="1:7" x14ac:dyDescent="0.25">
      <c r="A345"/>
      <c r="B345"/>
      <c r="C345"/>
      <c r="D345" s="68"/>
      <c r="E345" s="68"/>
      <c r="F345" s="68"/>
      <c r="G345" s="68"/>
    </row>
    <row r="346" spans="1:7" x14ac:dyDescent="0.25">
      <c r="A346"/>
      <c r="B346"/>
      <c r="C346"/>
      <c r="D346" s="68"/>
      <c r="E346" s="68"/>
      <c r="F346" s="68"/>
      <c r="G346" s="68"/>
    </row>
    <row r="347" spans="1:7" x14ac:dyDescent="0.25">
      <c r="A347"/>
      <c r="B347"/>
      <c r="C347"/>
      <c r="D347" s="68"/>
      <c r="E347" s="68"/>
      <c r="F347" s="68"/>
      <c r="G347" s="68"/>
    </row>
    <row r="348" spans="1:7" x14ac:dyDescent="0.25">
      <c r="A348"/>
      <c r="B348"/>
      <c r="C348"/>
      <c r="D348" s="68"/>
      <c r="E348" s="68"/>
      <c r="F348" s="68"/>
      <c r="G348" s="68"/>
    </row>
    <row r="349" spans="1:7" x14ac:dyDescent="0.25">
      <c r="A349"/>
      <c r="B349"/>
      <c r="C349"/>
      <c r="D349" s="68"/>
      <c r="E349" s="68"/>
      <c r="F349" s="68"/>
      <c r="G349" s="68"/>
    </row>
    <row r="350" spans="1:7" x14ac:dyDescent="0.25">
      <c r="A350"/>
      <c r="B350"/>
      <c r="C350"/>
      <c r="D350" s="68"/>
      <c r="E350" s="68"/>
      <c r="F350" s="68"/>
      <c r="G350" s="68"/>
    </row>
    <row r="351" spans="1:7" x14ac:dyDescent="0.25">
      <c r="A351"/>
      <c r="B351"/>
      <c r="C351"/>
      <c r="D351" s="68"/>
      <c r="E351" s="68"/>
      <c r="F351" s="68"/>
      <c r="G351" s="68"/>
    </row>
    <row r="352" spans="1:7" x14ac:dyDescent="0.25">
      <c r="A352"/>
      <c r="B352"/>
      <c r="C352"/>
      <c r="D352" s="68"/>
      <c r="E352" s="68"/>
      <c r="F352" s="68"/>
      <c r="G352" s="68"/>
    </row>
    <row r="353" spans="1:7" x14ac:dyDescent="0.25">
      <c r="A353"/>
      <c r="B353"/>
      <c r="C353"/>
      <c r="D353" s="68"/>
      <c r="E353" s="68"/>
      <c r="F353" s="68"/>
      <c r="G353" s="68"/>
    </row>
    <row r="354" spans="1:7" x14ac:dyDescent="0.25">
      <c r="A354"/>
      <c r="B354"/>
      <c r="C354"/>
      <c r="D354" s="68"/>
      <c r="E354" s="68"/>
      <c r="F354" s="68"/>
      <c r="G354" s="68"/>
    </row>
    <row r="355" spans="1:7" x14ac:dyDescent="0.25">
      <c r="A355"/>
      <c r="B355"/>
      <c r="C355"/>
      <c r="D355" s="68"/>
      <c r="E355" s="68"/>
      <c r="F355" s="68"/>
      <c r="G355" s="68"/>
    </row>
    <row r="356" spans="1:7" x14ac:dyDescent="0.25">
      <c r="A356"/>
      <c r="B356"/>
      <c r="C356"/>
      <c r="D356" s="68"/>
      <c r="E356" s="68"/>
      <c r="F356" s="68"/>
      <c r="G356" s="68"/>
    </row>
    <row r="357" spans="1:7" x14ac:dyDescent="0.25">
      <c r="A357"/>
      <c r="B357"/>
      <c r="C357"/>
      <c r="D357" s="68"/>
      <c r="E357" s="68"/>
      <c r="F357" s="68"/>
      <c r="G357" s="68"/>
    </row>
    <row r="358" spans="1:7" x14ac:dyDescent="0.25">
      <c r="A358"/>
      <c r="B358"/>
      <c r="C358"/>
      <c r="D358" s="68"/>
      <c r="E358" s="68"/>
      <c r="F358" s="68"/>
      <c r="G358" s="68"/>
    </row>
    <row r="359" spans="1:7" x14ac:dyDescent="0.25">
      <c r="A359"/>
      <c r="B359"/>
      <c r="C359"/>
      <c r="D359" s="68"/>
      <c r="E359" s="68"/>
      <c r="F359" s="68"/>
      <c r="G359" s="68"/>
    </row>
    <row r="360" spans="1:7" x14ac:dyDescent="0.25">
      <c r="A360"/>
      <c r="B360"/>
      <c r="C360"/>
      <c r="D360" s="68"/>
      <c r="E360" s="68"/>
      <c r="F360" s="68"/>
      <c r="G360" s="68"/>
    </row>
    <row r="361" spans="1:7" x14ac:dyDescent="0.25">
      <c r="A361"/>
      <c r="B361"/>
      <c r="C361"/>
      <c r="D361" s="68"/>
      <c r="E361" s="68"/>
      <c r="F361" s="68"/>
      <c r="G361" s="68"/>
    </row>
    <row r="362" spans="1:7" x14ac:dyDescent="0.25">
      <c r="A362"/>
      <c r="B362"/>
      <c r="C362"/>
      <c r="D362" s="68"/>
      <c r="E362" s="68"/>
      <c r="F362" s="68"/>
      <c r="G362" s="68"/>
    </row>
    <row r="363" spans="1:7" x14ac:dyDescent="0.25">
      <c r="A363"/>
      <c r="B363"/>
      <c r="C363"/>
      <c r="D363" s="68"/>
      <c r="E363" s="68"/>
      <c r="F363" s="68"/>
      <c r="G363" s="68"/>
    </row>
    <row r="364" spans="1:7" x14ac:dyDescent="0.25">
      <c r="A364"/>
      <c r="B364"/>
      <c r="C364"/>
      <c r="D364" s="68"/>
      <c r="E364" s="68"/>
      <c r="F364" s="68"/>
      <c r="G364" s="68"/>
    </row>
    <row r="365" spans="1:7" x14ac:dyDescent="0.25">
      <c r="A365"/>
      <c r="B365"/>
      <c r="C365"/>
      <c r="D365" s="68"/>
      <c r="E365" s="68"/>
      <c r="F365" s="68"/>
      <c r="G365" s="68"/>
    </row>
    <row r="366" spans="1:7" x14ac:dyDescent="0.25">
      <c r="A366"/>
      <c r="B366"/>
      <c r="C366"/>
      <c r="D366" s="68"/>
      <c r="E366" s="68"/>
      <c r="F366" s="68"/>
      <c r="G366" s="68"/>
    </row>
    <row r="367" spans="1:7" x14ac:dyDescent="0.25">
      <c r="A367"/>
      <c r="B367"/>
      <c r="C367"/>
      <c r="D367" s="68"/>
      <c r="E367" s="68"/>
      <c r="F367" s="68"/>
      <c r="G367" s="68"/>
    </row>
    <row r="368" spans="1:7" x14ac:dyDescent="0.25">
      <c r="A368"/>
      <c r="B368"/>
      <c r="C368"/>
      <c r="D368" s="68"/>
      <c r="E368" s="68"/>
      <c r="F368" s="68"/>
      <c r="G368" s="68"/>
    </row>
    <row r="369" spans="1:7" x14ac:dyDescent="0.25">
      <c r="A369"/>
      <c r="B369"/>
      <c r="C369"/>
      <c r="D369" s="68"/>
      <c r="E369" s="68"/>
      <c r="F369" s="68"/>
      <c r="G369" s="68"/>
    </row>
    <row r="370" spans="1:7" x14ac:dyDescent="0.25">
      <c r="A370"/>
      <c r="B370"/>
      <c r="C370"/>
      <c r="D370" s="68"/>
      <c r="E370" s="68"/>
      <c r="F370" s="68"/>
      <c r="G370" s="68"/>
    </row>
    <row r="371" spans="1:7" x14ac:dyDescent="0.25">
      <c r="A371"/>
      <c r="B371"/>
      <c r="C371"/>
      <c r="D371" s="68"/>
      <c r="E371" s="68"/>
      <c r="F371" s="68"/>
      <c r="G371" s="68"/>
    </row>
    <row r="372" spans="1:7" x14ac:dyDescent="0.25">
      <c r="A372"/>
      <c r="B372"/>
      <c r="C372"/>
      <c r="D372" s="68"/>
      <c r="E372" s="68"/>
      <c r="F372" s="68"/>
      <c r="G372" s="68"/>
    </row>
    <row r="373" spans="1:7" x14ac:dyDescent="0.25">
      <c r="A373"/>
      <c r="B373"/>
      <c r="C373"/>
      <c r="D373" s="68"/>
      <c r="E373" s="68"/>
      <c r="F373" s="68"/>
      <c r="G373" s="68"/>
    </row>
    <row r="374" spans="1:7" x14ac:dyDescent="0.25">
      <c r="A374"/>
      <c r="B374"/>
      <c r="C374"/>
      <c r="D374" s="68"/>
      <c r="E374" s="68"/>
      <c r="F374" s="68"/>
      <c r="G374" s="68"/>
    </row>
    <row r="375" spans="1:7" x14ac:dyDescent="0.25">
      <c r="A375"/>
      <c r="B375"/>
      <c r="C375"/>
      <c r="D375" s="68"/>
      <c r="E375" s="68"/>
      <c r="F375" s="68"/>
      <c r="G375" s="68"/>
    </row>
    <row r="376" spans="1:7" x14ac:dyDescent="0.25">
      <c r="A376"/>
      <c r="B376"/>
      <c r="C376"/>
      <c r="D376" s="68"/>
      <c r="E376" s="68"/>
      <c r="F376" s="68"/>
      <c r="G376" s="68"/>
    </row>
    <row r="377" spans="1:7" x14ac:dyDescent="0.25">
      <c r="A377"/>
      <c r="B377"/>
      <c r="C377"/>
      <c r="D377" s="68"/>
      <c r="E377" s="68"/>
      <c r="F377" s="68"/>
      <c r="G377" s="68"/>
    </row>
    <row r="378" spans="1:7" x14ac:dyDescent="0.25">
      <c r="A378"/>
      <c r="B378"/>
      <c r="C378"/>
      <c r="D378" s="68"/>
      <c r="E378" s="68"/>
      <c r="F378" s="68"/>
      <c r="G378" s="68"/>
    </row>
    <row r="379" spans="1:7" x14ac:dyDescent="0.25">
      <c r="A379"/>
      <c r="B379"/>
      <c r="C379"/>
      <c r="D379" s="68"/>
      <c r="E379" s="68"/>
      <c r="F379" s="68"/>
      <c r="G379" s="68"/>
    </row>
    <row r="380" spans="1:7" x14ac:dyDescent="0.25">
      <c r="A380"/>
      <c r="B380"/>
      <c r="C380"/>
      <c r="D380" s="68"/>
      <c r="E380" s="68"/>
      <c r="F380" s="68"/>
      <c r="G380" s="68"/>
    </row>
    <row r="381" spans="1:7" x14ac:dyDescent="0.25">
      <c r="A381"/>
      <c r="B381"/>
      <c r="C381"/>
      <c r="D381" s="68"/>
      <c r="E381" s="68"/>
      <c r="F381" s="68"/>
      <c r="G381" s="68"/>
    </row>
    <row r="382" spans="1:7" x14ac:dyDescent="0.25">
      <c r="A382"/>
      <c r="B382"/>
      <c r="C382"/>
      <c r="D382" s="68"/>
      <c r="E382" s="68"/>
      <c r="F382" s="68"/>
      <c r="G382" s="68"/>
    </row>
    <row r="383" spans="1:7" x14ac:dyDescent="0.25">
      <c r="A383"/>
      <c r="B383"/>
      <c r="C383"/>
      <c r="D383" s="68"/>
      <c r="E383" s="68"/>
      <c r="F383" s="68"/>
      <c r="G383" s="68"/>
    </row>
    <row r="384" spans="1:7" x14ac:dyDescent="0.25">
      <c r="A384"/>
      <c r="B384"/>
      <c r="C384"/>
      <c r="D384" s="68"/>
      <c r="E384" s="68"/>
      <c r="F384" s="68"/>
      <c r="G384" s="68"/>
    </row>
    <row r="385" spans="1:7" x14ac:dyDescent="0.25">
      <c r="A385"/>
      <c r="B385"/>
      <c r="C385"/>
      <c r="D385" s="68"/>
      <c r="E385" s="68"/>
      <c r="F385" s="68"/>
      <c r="G385" s="68"/>
    </row>
    <row r="386" spans="1:7" x14ac:dyDescent="0.25">
      <c r="A386"/>
      <c r="B386"/>
      <c r="C386"/>
      <c r="D386" s="68"/>
      <c r="E386" s="68"/>
      <c r="F386" s="68"/>
      <c r="G386" s="68"/>
    </row>
    <row r="387" spans="1:7" x14ac:dyDescent="0.25">
      <c r="A387"/>
      <c r="B387"/>
      <c r="C387"/>
      <c r="D387" s="68"/>
      <c r="E387" s="68"/>
      <c r="F387" s="68"/>
      <c r="G387" s="68"/>
    </row>
    <row r="388" spans="1:7" x14ac:dyDescent="0.25">
      <c r="A388"/>
      <c r="B388"/>
      <c r="C388"/>
      <c r="D388" s="68"/>
      <c r="E388" s="68"/>
      <c r="F388" s="68"/>
      <c r="G388" s="68"/>
    </row>
    <row r="389" spans="1:7" x14ac:dyDescent="0.25">
      <c r="A389"/>
      <c r="B389"/>
      <c r="C389"/>
      <c r="D389" s="68"/>
      <c r="E389" s="68"/>
      <c r="F389" s="68"/>
      <c r="G389" s="68"/>
    </row>
    <row r="390" spans="1:7" x14ac:dyDescent="0.25">
      <c r="A390"/>
      <c r="B390"/>
      <c r="C390"/>
      <c r="D390" s="68"/>
      <c r="E390" s="68"/>
      <c r="F390" s="68"/>
      <c r="G390" s="68"/>
    </row>
    <row r="391" spans="1:7" x14ac:dyDescent="0.25">
      <c r="A391"/>
      <c r="B391"/>
      <c r="C391"/>
      <c r="D391" s="68"/>
      <c r="E391" s="68"/>
      <c r="F391" s="68"/>
      <c r="G391" s="68"/>
    </row>
    <row r="392" spans="1:7" x14ac:dyDescent="0.25">
      <c r="A392"/>
      <c r="B392"/>
      <c r="C392"/>
      <c r="D392" s="68"/>
      <c r="E392" s="68"/>
      <c r="F392" s="68"/>
      <c r="G392" s="68"/>
    </row>
    <row r="393" spans="1:7" x14ac:dyDescent="0.25">
      <c r="A393"/>
      <c r="B393"/>
      <c r="C393"/>
      <c r="D393" s="68"/>
      <c r="E393" s="68"/>
      <c r="F393" s="68"/>
      <c r="G393" s="68"/>
    </row>
    <row r="394" spans="1:7" x14ac:dyDescent="0.25">
      <c r="A394"/>
      <c r="B394"/>
      <c r="C394"/>
      <c r="D394" s="68"/>
      <c r="E394" s="68"/>
      <c r="F394" s="68"/>
      <c r="G394" s="68"/>
    </row>
    <row r="395" spans="1:7" x14ac:dyDescent="0.25">
      <c r="A395"/>
      <c r="B395"/>
      <c r="C395"/>
      <c r="D395" s="68"/>
      <c r="E395" s="68"/>
      <c r="F395" s="68"/>
      <c r="G395" s="68"/>
    </row>
    <row r="396" spans="1:7" x14ac:dyDescent="0.25">
      <c r="A396"/>
      <c r="B396"/>
      <c r="C396"/>
      <c r="D396" s="68"/>
      <c r="E396" s="68"/>
      <c r="F396" s="68"/>
      <c r="G396" s="68"/>
    </row>
    <row r="397" spans="1:7" x14ac:dyDescent="0.25">
      <c r="A397"/>
      <c r="B397"/>
      <c r="C397"/>
      <c r="D397" s="68"/>
      <c r="E397" s="68"/>
      <c r="F397" s="68"/>
      <c r="G397" s="68"/>
    </row>
    <row r="398" spans="1:7" x14ac:dyDescent="0.25">
      <c r="A398"/>
      <c r="B398"/>
      <c r="C398"/>
      <c r="D398" s="68"/>
      <c r="E398" s="68"/>
      <c r="F398" s="68"/>
      <c r="G398" s="68"/>
    </row>
    <row r="399" spans="1:7" x14ac:dyDescent="0.25">
      <c r="A399"/>
      <c r="B399"/>
      <c r="C399"/>
      <c r="D399" s="68"/>
      <c r="E399" s="68"/>
      <c r="F399" s="68"/>
      <c r="G399" s="68"/>
    </row>
    <row r="400" spans="1:7" x14ac:dyDescent="0.25">
      <c r="A400"/>
      <c r="B400"/>
      <c r="C400"/>
      <c r="D400" s="68"/>
      <c r="E400" s="68"/>
      <c r="F400" s="68"/>
      <c r="G400" s="68"/>
    </row>
    <row r="401" spans="1:7" x14ac:dyDescent="0.25">
      <c r="A401"/>
      <c r="B401"/>
      <c r="C401"/>
      <c r="D401" s="68"/>
      <c r="E401" s="68"/>
      <c r="F401" s="68"/>
      <c r="G401" s="68"/>
    </row>
    <row r="402" spans="1:7" x14ac:dyDescent="0.25">
      <c r="A402"/>
      <c r="B402"/>
      <c r="C402"/>
      <c r="D402" s="68"/>
      <c r="E402" s="68"/>
      <c r="F402" s="68"/>
      <c r="G402" s="68"/>
    </row>
    <row r="403" spans="1:7" x14ac:dyDescent="0.25">
      <c r="A403"/>
      <c r="B403"/>
      <c r="C403"/>
      <c r="D403" s="68"/>
      <c r="E403" s="68"/>
      <c r="F403" s="68"/>
      <c r="G403" s="68"/>
    </row>
    <row r="404" spans="1:7" x14ac:dyDescent="0.25">
      <c r="A404"/>
      <c r="B404"/>
      <c r="C404"/>
      <c r="D404" s="68"/>
      <c r="E404" s="68"/>
      <c r="F404" s="68"/>
      <c r="G404" s="68"/>
    </row>
    <row r="405" spans="1:7" x14ac:dyDescent="0.25">
      <c r="A405"/>
      <c r="B405"/>
      <c r="C405"/>
      <c r="D405" s="68"/>
      <c r="E405" s="68"/>
      <c r="F405" s="68"/>
      <c r="G405" s="68"/>
    </row>
    <row r="406" spans="1:7" x14ac:dyDescent="0.25">
      <c r="A406"/>
      <c r="B406"/>
      <c r="C406"/>
      <c r="D406" s="68"/>
      <c r="E406" s="68"/>
      <c r="F406" s="68"/>
      <c r="G406" s="68"/>
    </row>
    <row r="407" spans="1:7" x14ac:dyDescent="0.25">
      <c r="A407"/>
      <c r="B407"/>
      <c r="C407"/>
      <c r="D407" s="68"/>
      <c r="E407" s="68"/>
      <c r="F407" s="68"/>
      <c r="G407" s="68"/>
    </row>
    <row r="408" spans="1:7" x14ac:dyDescent="0.25">
      <c r="A408"/>
      <c r="B408"/>
      <c r="C408"/>
      <c r="D408" s="68"/>
      <c r="E408" s="68"/>
      <c r="F408" s="68"/>
      <c r="G408" s="68"/>
    </row>
    <row r="409" spans="1:7" x14ac:dyDescent="0.25">
      <c r="A409"/>
      <c r="B409"/>
      <c r="C409"/>
      <c r="D409" s="68"/>
      <c r="E409" s="68"/>
      <c r="F409" s="68"/>
      <c r="G409" s="68"/>
    </row>
    <row r="410" spans="1:7" x14ac:dyDescent="0.25">
      <c r="A410"/>
      <c r="B410"/>
      <c r="C410"/>
      <c r="D410" s="68"/>
      <c r="E410" s="68"/>
      <c r="F410" s="68"/>
      <c r="G410" s="68"/>
    </row>
    <row r="411" spans="1:7" x14ac:dyDescent="0.25">
      <c r="A411"/>
      <c r="B411"/>
      <c r="C411"/>
      <c r="D411" s="68"/>
      <c r="E411" s="68"/>
      <c r="F411" s="68"/>
      <c r="G411" s="68"/>
    </row>
    <row r="412" spans="1:7" x14ac:dyDescent="0.25">
      <c r="A412"/>
      <c r="B412"/>
      <c r="C412"/>
      <c r="D412" s="68"/>
      <c r="E412" s="68"/>
      <c r="F412" s="68"/>
      <c r="G412" s="68"/>
    </row>
    <row r="413" spans="1:7" x14ac:dyDescent="0.25">
      <c r="A413"/>
      <c r="B413"/>
      <c r="C413"/>
      <c r="D413" s="68"/>
      <c r="E413" s="68"/>
      <c r="F413" s="68"/>
      <c r="G413" s="68"/>
    </row>
    <row r="414" spans="1:7" x14ac:dyDescent="0.25">
      <c r="A414"/>
      <c r="B414"/>
      <c r="C414"/>
      <c r="D414" s="68"/>
      <c r="E414" s="68"/>
      <c r="F414" s="68"/>
      <c r="G414" s="68"/>
    </row>
    <row r="415" spans="1:7" x14ac:dyDescent="0.25">
      <c r="A415"/>
      <c r="B415"/>
      <c r="C415"/>
      <c r="D415" s="68"/>
      <c r="E415" s="68"/>
      <c r="F415" s="68"/>
      <c r="G415" s="68"/>
    </row>
    <row r="416" spans="1:7" x14ac:dyDescent="0.25">
      <c r="A416"/>
      <c r="B416"/>
      <c r="C416"/>
      <c r="D416" s="68"/>
      <c r="E416" s="68"/>
      <c r="F416" s="68"/>
      <c r="G416" s="68"/>
    </row>
    <row r="417" spans="1:7" x14ac:dyDescent="0.25">
      <c r="A417"/>
      <c r="B417"/>
      <c r="C417"/>
      <c r="D417" s="68"/>
      <c r="E417" s="68"/>
      <c r="F417" s="68"/>
      <c r="G417" s="68"/>
    </row>
    <row r="418" spans="1:7" x14ac:dyDescent="0.25">
      <c r="A418"/>
      <c r="B418"/>
      <c r="C418"/>
      <c r="D418" s="68"/>
      <c r="E418" s="68"/>
      <c r="F418" s="68"/>
      <c r="G418" s="68"/>
    </row>
    <row r="419" spans="1:7" x14ac:dyDescent="0.25">
      <c r="A419"/>
      <c r="B419"/>
      <c r="C419"/>
      <c r="D419" s="68"/>
      <c r="E419" s="68"/>
      <c r="F419" s="68"/>
      <c r="G419" s="68"/>
    </row>
    <row r="420" spans="1:7" x14ac:dyDescent="0.25">
      <c r="A420"/>
      <c r="B420"/>
      <c r="C420"/>
      <c r="D420" s="68"/>
      <c r="E420" s="68"/>
      <c r="F420" s="68"/>
      <c r="G420" s="68"/>
    </row>
    <row r="421" spans="1:7" x14ac:dyDescent="0.25">
      <c r="A421"/>
      <c r="B421"/>
      <c r="C421"/>
      <c r="D421" s="68"/>
      <c r="E421" s="68"/>
      <c r="F421" s="68"/>
      <c r="G421" s="68"/>
    </row>
    <row r="422" spans="1:7" x14ac:dyDescent="0.25">
      <c r="A422"/>
      <c r="B422"/>
      <c r="C422"/>
      <c r="D422" s="68"/>
      <c r="E422" s="68"/>
      <c r="F422" s="68"/>
      <c r="G422" s="68"/>
    </row>
    <row r="423" spans="1:7" x14ac:dyDescent="0.25">
      <c r="A423"/>
      <c r="B423"/>
      <c r="C423"/>
      <c r="D423" s="68"/>
      <c r="E423" s="68"/>
      <c r="F423" s="68"/>
      <c r="G423" s="68"/>
    </row>
    <row r="424" spans="1:7" x14ac:dyDescent="0.25">
      <c r="A424"/>
      <c r="B424"/>
      <c r="C424"/>
      <c r="D424" s="68"/>
      <c r="E424" s="68"/>
      <c r="F424" s="68"/>
      <c r="G424" s="68"/>
    </row>
    <row r="425" spans="1:7" x14ac:dyDescent="0.25">
      <c r="A425"/>
      <c r="B425"/>
      <c r="C425"/>
      <c r="D425" s="68"/>
      <c r="E425" s="68"/>
      <c r="F425" s="68"/>
      <c r="G425" s="68"/>
    </row>
    <row r="426" spans="1:7" x14ac:dyDescent="0.25">
      <c r="A426"/>
      <c r="B426"/>
      <c r="C426"/>
      <c r="D426" s="68"/>
      <c r="E426" s="68"/>
      <c r="F426" s="68"/>
      <c r="G426" s="68"/>
    </row>
    <row r="427" spans="1:7" x14ac:dyDescent="0.25">
      <c r="A427"/>
      <c r="B427"/>
      <c r="C427"/>
      <c r="D427" s="68"/>
      <c r="E427" s="68"/>
      <c r="F427" s="68"/>
      <c r="G427" s="68"/>
    </row>
    <row r="428" spans="1:7" x14ac:dyDescent="0.25">
      <c r="A428"/>
      <c r="B428"/>
      <c r="C428"/>
      <c r="D428" s="68"/>
      <c r="E428" s="68"/>
      <c r="F428" s="68"/>
      <c r="G428" s="68"/>
    </row>
    <row r="429" spans="1:7" x14ac:dyDescent="0.25">
      <c r="A429"/>
      <c r="B429"/>
      <c r="C429"/>
      <c r="D429" s="68"/>
      <c r="E429" s="68"/>
      <c r="F429" s="68"/>
      <c r="G429" s="68"/>
    </row>
    <row r="430" spans="1:7" x14ac:dyDescent="0.25">
      <c r="A430"/>
      <c r="B430"/>
      <c r="C430"/>
      <c r="D430" s="68"/>
      <c r="E430" s="68"/>
      <c r="F430" s="68"/>
      <c r="G430" s="68"/>
    </row>
    <row r="431" spans="1:7" x14ac:dyDescent="0.25">
      <c r="A431"/>
      <c r="B431"/>
      <c r="C431"/>
      <c r="D431" s="68"/>
      <c r="E431" s="68"/>
      <c r="F431" s="68"/>
      <c r="G431" s="68"/>
    </row>
    <row r="432" spans="1:7" x14ac:dyDescent="0.25">
      <c r="A432"/>
      <c r="B432"/>
      <c r="C432"/>
      <c r="D432" s="68"/>
      <c r="E432" s="68"/>
      <c r="F432" s="68"/>
      <c r="G432" s="68"/>
    </row>
    <row r="433" spans="1:7" x14ac:dyDescent="0.25">
      <c r="A433"/>
      <c r="B433"/>
      <c r="C433"/>
      <c r="D433" s="68"/>
      <c r="E433" s="68"/>
      <c r="F433" s="68"/>
      <c r="G433" s="68"/>
    </row>
    <row r="434" spans="1:7" x14ac:dyDescent="0.25">
      <c r="A434"/>
      <c r="B434"/>
      <c r="C434"/>
      <c r="D434" s="68"/>
      <c r="E434" s="68"/>
      <c r="F434" s="68"/>
      <c r="G434" s="68"/>
    </row>
    <row r="435" spans="1:7" x14ac:dyDescent="0.25">
      <c r="A435"/>
      <c r="B435"/>
      <c r="C435"/>
      <c r="D435" s="68"/>
      <c r="E435" s="68"/>
      <c r="F435" s="68"/>
      <c r="G435" s="68"/>
    </row>
    <row r="436" spans="1:7" x14ac:dyDescent="0.25">
      <c r="A436"/>
      <c r="B436"/>
      <c r="C436"/>
      <c r="D436" s="68"/>
      <c r="E436" s="68"/>
      <c r="F436" s="68"/>
      <c r="G436" s="68"/>
    </row>
    <row r="437" spans="1:7" x14ac:dyDescent="0.25">
      <c r="A437"/>
      <c r="B437"/>
      <c r="C437"/>
      <c r="D437" s="68"/>
      <c r="E437" s="68"/>
      <c r="F437" s="68"/>
      <c r="G437" s="68"/>
    </row>
    <row r="438" spans="1:7" x14ac:dyDescent="0.25">
      <c r="A438"/>
      <c r="B438"/>
      <c r="C438"/>
      <c r="D438" s="68"/>
      <c r="E438" s="68"/>
      <c r="F438" s="68"/>
      <c r="G438" s="68"/>
    </row>
    <row r="439" spans="1:7" x14ac:dyDescent="0.25">
      <c r="A439"/>
      <c r="B439"/>
      <c r="C439"/>
      <c r="D439" s="68"/>
      <c r="E439" s="68"/>
      <c r="F439" s="68"/>
      <c r="G439" s="68"/>
    </row>
    <row r="440" spans="1:7" x14ac:dyDescent="0.25">
      <c r="A440"/>
      <c r="B440"/>
      <c r="C440"/>
      <c r="D440" s="68"/>
      <c r="E440" s="68"/>
      <c r="F440" s="68"/>
      <c r="G440" s="68"/>
    </row>
    <row r="441" spans="1:7" x14ac:dyDescent="0.25">
      <c r="A441"/>
      <c r="B441"/>
      <c r="C441"/>
      <c r="D441" s="68"/>
      <c r="E441" s="68"/>
      <c r="F441" s="68"/>
      <c r="G441" s="68"/>
    </row>
    <row r="442" spans="1:7" x14ac:dyDescent="0.25">
      <c r="A442"/>
      <c r="B442"/>
      <c r="C442"/>
      <c r="D442" s="68"/>
      <c r="E442" s="68"/>
      <c r="F442" s="68"/>
      <c r="G442" s="68"/>
    </row>
    <row r="443" spans="1:7" x14ac:dyDescent="0.25">
      <c r="A443"/>
      <c r="B443"/>
      <c r="C443"/>
      <c r="D443" s="68"/>
      <c r="E443" s="68"/>
      <c r="F443" s="68"/>
      <c r="G443" s="68"/>
    </row>
    <row r="444" spans="1:7" x14ac:dyDescent="0.25">
      <c r="A444"/>
      <c r="B444"/>
      <c r="C444"/>
      <c r="D444" s="68"/>
      <c r="E444" s="68"/>
      <c r="F444" s="68"/>
      <c r="G444" s="68"/>
    </row>
    <row r="445" spans="1:7" x14ac:dyDescent="0.25">
      <c r="A445"/>
      <c r="B445"/>
      <c r="C445"/>
      <c r="D445" s="68"/>
      <c r="E445" s="68"/>
      <c r="F445" s="68"/>
      <c r="G445" s="68"/>
    </row>
    <row r="446" spans="1:7" x14ac:dyDescent="0.25">
      <c r="A446"/>
      <c r="B446"/>
      <c r="C446"/>
      <c r="D446" s="68"/>
      <c r="E446" s="68"/>
      <c r="F446" s="68"/>
      <c r="G446" s="68"/>
    </row>
    <row r="447" spans="1:7" x14ac:dyDescent="0.25">
      <c r="A447"/>
      <c r="B447"/>
      <c r="C447"/>
      <c r="D447" s="68"/>
      <c r="E447" s="68"/>
      <c r="F447" s="68"/>
      <c r="G447" s="68"/>
    </row>
    <row r="448" spans="1:7" x14ac:dyDescent="0.25">
      <c r="A448"/>
      <c r="B448"/>
      <c r="C448"/>
      <c r="D448" s="68"/>
      <c r="E448" s="68"/>
      <c r="F448" s="68"/>
      <c r="G448" s="68"/>
    </row>
    <row r="449" spans="1:7" x14ac:dyDescent="0.25">
      <c r="A449"/>
      <c r="B449"/>
      <c r="C449"/>
      <c r="D449" s="68"/>
      <c r="E449" s="68"/>
      <c r="F449" s="68"/>
      <c r="G449" s="68"/>
    </row>
    <row r="450" spans="1:7" x14ac:dyDescent="0.25">
      <c r="A450"/>
      <c r="B450"/>
      <c r="C450"/>
      <c r="D450" s="68"/>
      <c r="E450" s="68"/>
      <c r="F450" s="68"/>
      <c r="G450" s="68"/>
    </row>
    <row r="451" spans="1:7" x14ac:dyDescent="0.25">
      <c r="A451"/>
      <c r="B451"/>
      <c r="C451"/>
      <c r="D451" s="68"/>
      <c r="E451" s="68"/>
      <c r="F451" s="68"/>
      <c r="G451" s="68"/>
    </row>
    <row r="452" spans="1:7" x14ac:dyDescent="0.25">
      <c r="A452"/>
      <c r="B452"/>
      <c r="C452"/>
      <c r="D452" s="68"/>
      <c r="E452" s="68"/>
      <c r="F452" s="68"/>
      <c r="G452" s="68"/>
    </row>
    <row r="453" spans="1:7" x14ac:dyDescent="0.25">
      <c r="A453"/>
      <c r="B453"/>
      <c r="C453"/>
      <c r="D453" s="68"/>
      <c r="E453" s="68"/>
      <c r="F453" s="68"/>
      <c r="G453" s="68"/>
    </row>
    <row r="454" spans="1:7" x14ac:dyDescent="0.25">
      <c r="A454"/>
      <c r="B454"/>
      <c r="C454"/>
      <c r="D454" s="68"/>
      <c r="E454" s="68"/>
      <c r="F454" s="68"/>
      <c r="G454" s="68"/>
    </row>
    <row r="455" spans="1:7" x14ac:dyDescent="0.25">
      <c r="A455"/>
      <c r="B455"/>
      <c r="C455"/>
      <c r="D455" s="68"/>
      <c r="E455" s="68"/>
      <c r="F455" s="68"/>
      <c r="G455" s="68"/>
    </row>
    <row r="456" spans="1:7" x14ac:dyDescent="0.25">
      <c r="A456"/>
      <c r="B456"/>
      <c r="C456"/>
      <c r="D456" s="68"/>
      <c r="E456" s="68"/>
      <c r="F456" s="68"/>
      <c r="G456" s="68"/>
    </row>
    <row r="457" spans="1:7" x14ac:dyDescent="0.25">
      <c r="A457"/>
      <c r="B457"/>
      <c r="C457"/>
      <c r="D457" s="68"/>
      <c r="E457" s="68"/>
      <c r="F457" s="68"/>
      <c r="G457" s="68"/>
    </row>
    <row r="458" spans="1:7" x14ac:dyDescent="0.25">
      <c r="A458"/>
      <c r="B458"/>
      <c r="C458"/>
      <c r="D458" s="68"/>
      <c r="E458" s="68"/>
      <c r="F458" s="68"/>
      <c r="G458" s="68"/>
    </row>
    <row r="459" spans="1:7" x14ac:dyDescent="0.25">
      <c r="A459"/>
      <c r="B459"/>
      <c r="C459"/>
      <c r="D459" s="68"/>
      <c r="E459" s="68"/>
      <c r="F459" s="68"/>
      <c r="G459" s="68"/>
    </row>
    <row r="460" spans="1:7" x14ac:dyDescent="0.25">
      <c r="A460"/>
      <c r="B460"/>
      <c r="C460"/>
      <c r="D460" s="68"/>
      <c r="E460" s="68"/>
      <c r="F460" s="68"/>
      <c r="G460" s="68"/>
    </row>
    <row r="461" spans="1:7" x14ac:dyDescent="0.25">
      <c r="A461"/>
      <c r="B461"/>
      <c r="C461"/>
      <c r="D461" s="68"/>
      <c r="E461" s="68"/>
      <c r="F461" s="68"/>
      <c r="G461" s="68"/>
    </row>
    <row r="462" spans="1:7" x14ac:dyDescent="0.25">
      <c r="A462"/>
      <c r="B462"/>
      <c r="C462"/>
      <c r="D462" s="68"/>
      <c r="E462" s="68"/>
      <c r="F462" s="68"/>
      <c r="G462" s="68"/>
    </row>
    <row r="463" spans="1:7" x14ac:dyDescent="0.25">
      <c r="A463"/>
      <c r="B463"/>
      <c r="C463"/>
      <c r="D463" s="68"/>
      <c r="E463" s="68"/>
      <c r="F463" s="68"/>
      <c r="G463" s="68"/>
    </row>
    <row r="464" spans="1:7" x14ac:dyDescent="0.25">
      <c r="A464"/>
      <c r="B464"/>
      <c r="C464"/>
      <c r="D464" s="68"/>
      <c r="E464" s="68"/>
      <c r="F464" s="68"/>
      <c r="G464" s="68"/>
    </row>
    <row r="465" spans="1:7" x14ac:dyDescent="0.25">
      <c r="A465"/>
      <c r="B465"/>
      <c r="C465"/>
      <c r="D465" s="68"/>
      <c r="E465" s="68"/>
      <c r="F465" s="68"/>
      <c r="G465" s="68"/>
    </row>
    <row r="466" spans="1:7" x14ac:dyDescent="0.25">
      <c r="A466"/>
      <c r="B466"/>
      <c r="C466"/>
      <c r="D466" s="68"/>
      <c r="E466" s="68"/>
      <c r="F466" s="68"/>
      <c r="G466" s="68"/>
    </row>
    <row r="467" spans="1:7" x14ac:dyDescent="0.25">
      <c r="A467"/>
      <c r="B467"/>
      <c r="C467"/>
      <c r="D467" s="68"/>
      <c r="E467" s="68"/>
      <c r="F467" s="68"/>
      <c r="G467" s="68"/>
    </row>
    <row r="468" spans="1:7" x14ac:dyDescent="0.25">
      <c r="A468"/>
      <c r="B468"/>
      <c r="C468"/>
      <c r="D468" s="68"/>
      <c r="E468" s="68"/>
      <c r="F468" s="68"/>
      <c r="G468" s="68"/>
    </row>
    <row r="469" spans="1:7" x14ac:dyDescent="0.25">
      <c r="A469"/>
      <c r="B469"/>
      <c r="C469"/>
      <c r="D469" s="68"/>
      <c r="E469" s="68"/>
      <c r="F469" s="68"/>
      <c r="G469" s="68"/>
    </row>
    <row r="470" spans="1:7" x14ac:dyDescent="0.25">
      <c r="A470"/>
      <c r="B470"/>
      <c r="C470"/>
      <c r="D470" s="68"/>
      <c r="E470" s="68"/>
      <c r="F470" s="68"/>
      <c r="G470" s="68"/>
    </row>
    <row r="471" spans="1:7" x14ac:dyDescent="0.25">
      <c r="A471"/>
      <c r="B471"/>
      <c r="C471"/>
      <c r="D471" s="68"/>
      <c r="E471" s="68"/>
      <c r="F471" s="68"/>
      <c r="G471" s="68"/>
    </row>
    <row r="472" spans="1:7" x14ac:dyDescent="0.25">
      <c r="A472"/>
      <c r="B472"/>
      <c r="C472"/>
      <c r="D472" s="68"/>
      <c r="E472" s="68"/>
      <c r="F472" s="68"/>
      <c r="G472" s="68"/>
    </row>
    <row r="473" spans="1:7" x14ac:dyDescent="0.25">
      <c r="A473"/>
      <c r="B473"/>
      <c r="C473"/>
      <c r="D473" s="68"/>
      <c r="E473" s="68"/>
      <c r="F473" s="68"/>
      <c r="G473" s="68"/>
    </row>
    <row r="474" spans="1:7" x14ac:dyDescent="0.25">
      <c r="A474"/>
      <c r="B474"/>
      <c r="C474"/>
      <c r="D474" s="68"/>
      <c r="E474" s="68"/>
      <c r="F474" s="68"/>
      <c r="G474" s="68"/>
    </row>
    <row r="475" spans="1:7" x14ac:dyDescent="0.25">
      <c r="A475"/>
      <c r="B475"/>
      <c r="C475"/>
      <c r="D475" s="68"/>
      <c r="E475" s="68"/>
      <c r="F475" s="68"/>
      <c r="G475" s="68"/>
    </row>
    <row r="476" spans="1:7" x14ac:dyDescent="0.25">
      <c r="A476"/>
      <c r="B476"/>
      <c r="C476"/>
      <c r="D476" s="68"/>
      <c r="E476" s="68"/>
      <c r="F476" s="68"/>
      <c r="G476" s="68"/>
    </row>
    <row r="477" spans="1:7" x14ac:dyDescent="0.25">
      <c r="A477"/>
      <c r="B477"/>
      <c r="C477"/>
      <c r="D477" s="68"/>
      <c r="E477" s="68"/>
      <c r="F477" s="68"/>
      <c r="G477" s="68"/>
    </row>
    <row r="478" spans="1:7" x14ac:dyDescent="0.25">
      <c r="A478"/>
      <c r="B478"/>
      <c r="C478"/>
      <c r="D478" s="68"/>
      <c r="E478" s="68"/>
      <c r="F478" s="68"/>
      <c r="G478" s="68"/>
    </row>
    <row r="479" spans="1:7" x14ac:dyDescent="0.25">
      <c r="A479"/>
      <c r="B479"/>
      <c r="C479"/>
      <c r="D479" s="68"/>
      <c r="E479" s="68"/>
      <c r="F479" s="68"/>
      <c r="G479" s="68"/>
    </row>
    <row r="480" spans="1:7" x14ac:dyDescent="0.25">
      <c r="A480"/>
      <c r="B480"/>
      <c r="C480"/>
      <c r="D480" s="68"/>
      <c r="E480" s="68"/>
      <c r="F480" s="68"/>
      <c r="G480" s="68"/>
    </row>
    <row r="481" spans="1:7" x14ac:dyDescent="0.25">
      <c r="A481"/>
      <c r="B481"/>
      <c r="C481"/>
      <c r="D481" s="68"/>
      <c r="E481" s="68"/>
      <c r="F481" s="68"/>
      <c r="G481" s="68"/>
    </row>
    <row r="482" spans="1:7" x14ac:dyDescent="0.25">
      <c r="A482"/>
      <c r="B482"/>
      <c r="C482"/>
      <c r="D482" s="68"/>
      <c r="E482" s="68"/>
      <c r="F482" s="68"/>
      <c r="G482" s="68"/>
    </row>
    <row r="483" spans="1:7" x14ac:dyDescent="0.25">
      <c r="A483"/>
      <c r="B483"/>
      <c r="C483"/>
      <c r="D483" s="68"/>
      <c r="E483" s="68"/>
      <c r="F483" s="68"/>
      <c r="G483" s="68"/>
    </row>
    <row r="484" spans="1:7" x14ac:dyDescent="0.25">
      <c r="A484"/>
      <c r="B484"/>
      <c r="C484"/>
      <c r="D484" s="68"/>
      <c r="E484" s="68"/>
      <c r="F484" s="68"/>
      <c r="G484" s="68"/>
    </row>
    <row r="485" spans="1:7" x14ac:dyDescent="0.25">
      <c r="A485"/>
      <c r="B485"/>
      <c r="C485"/>
      <c r="D485" s="68"/>
      <c r="E485" s="68"/>
      <c r="F485" s="68"/>
      <c r="G485" s="68"/>
    </row>
    <row r="486" spans="1:7" x14ac:dyDescent="0.25">
      <c r="A486"/>
      <c r="B486"/>
      <c r="C486"/>
      <c r="D486" s="68"/>
      <c r="E486" s="68"/>
      <c r="F486" s="68"/>
      <c r="G486" s="68"/>
    </row>
    <row r="487" spans="1:7" x14ac:dyDescent="0.25">
      <c r="A487"/>
      <c r="B487"/>
      <c r="C487"/>
      <c r="D487" s="68"/>
      <c r="E487" s="68"/>
      <c r="F487" s="68"/>
      <c r="G487" s="68"/>
    </row>
    <row r="488" spans="1:7" x14ac:dyDescent="0.25">
      <c r="A488"/>
      <c r="B488"/>
      <c r="C488"/>
      <c r="D488" s="68"/>
      <c r="E488" s="68"/>
      <c r="F488" s="68"/>
      <c r="G488" s="68"/>
    </row>
    <row r="489" spans="1:7" x14ac:dyDescent="0.25">
      <c r="A489"/>
      <c r="B489"/>
      <c r="C489"/>
      <c r="D489" s="68"/>
      <c r="E489" s="68"/>
      <c r="F489" s="68"/>
      <c r="G489" s="68"/>
    </row>
    <row r="490" spans="1:7" x14ac:dyDescent="0.25">
      <c r="A490"/>
      <c r="B490"/>
      <c r="C490"/>
      <c r="D490" s="68"/>
      <c r="E490" s="68"/>
      <c r="F490" s="68"/>
      <c r="G490" s="68"/>
    </row>
    <row r="491" spans="1:7" x14ac:dyDescent="0.25">
      <c r="A491"/>
      <c r="B491"/>
      <c r="C491"/>
      <c r="D491" s="68"/>
      <c r="E491" s="68"/>
      <c r="F491" s="68"/>
      <c r="G491" s="68"/>
    </row>
    <row r="492" spans="1:7" x14ac:dyDescent="0.25">
      <c r="A492"/>
      <c r="B492"/>
      <c r="C492"/>
      <c r="D492" s="68"/>
      <c r="E492" s="68"/>
      <c r="F492" s="68"/>
      <c r="G492" s="68"/>
    </row>
    <row r="493" spans="1:7" x14ac:dyDescent="0.25">
      <c r="A493"/>
      <c r="B493"/>
      <c r="C493"/>
      <c r="D493" s="68"/>
      <c r="E493" s="68"/>
      <c r="F493" s="68"/>
      <c r="G493" s="68"/>
    </row>
    <row r="494" spans="1:7" x14ac:dyDescent="0.25">
      <c r="A494"/>
      <c r="B494"/>
      <c r="C494"/>
      <c r="D494" s="68"/>
      <c r="E494" s="68"/>
      <c r="F494" s="68"/>
      <c r="G494" s="68"/>
    </row>
    <row r="495" spans="1:7" x14ac:dyDescent="0.25">
      <c r="A495"/>
      <c r="B495"/>
      <c r="C495"/>
      <c r="D495" s="68"/>
      <c r="E495" s="68"/>
      <c r="F495" s="68"/>
      <c r="G495" s="68"/>
    </row>
    <row r="496" spans="1:7" x14ac:dyDescent="0.25">
      <c r="A496"/>
      <c r="B496"/>
      <c r="C496"/>
      <c r="D496" s="68"/>
      <c r="E496" s="68"/>
      <c r="F496" s="68"/>
      <c r="G496" s="68"/>
    </row>
    <row r="497" spans="1:7" x14ac:dyDescent="0.25">
      <c r="A497"/>
      <c r="B497"/>
      <c r="C497"/>
      <c r="D497" s="68"/>
      <c r="E497" s="68"/>
      <c r="F497" s="68"/>
      <c r="G497" s="68"/>
    </row>
    <row r="498" spans="1:7" x14ac:dyDescent="0.25">
      <c r="A498"/>
      <c r="B498"/>
      <c r="C498"/>
      <c r="D498" s="68"/>
      <c r="E498" s="68"/>
      <c r="F498" s="68"/>
      <c r="G498" s="68"/>
    </row>
    <row r="499" spans="1:7" x14ac:dyDescent="0.25">
      <c r="A499"/>
      <c r="B499"/>
      <c r="C499"/>
      <c r="D499" s="68"/>
      <c r="E499" s="68"/>
      <c r="F499" s="68"/>
      <c r="G499" s="68"/>
    </row>
    <row r="500" spans="1:7" x14ac:dyDescent="0.25">
      <c r="A500"/>
      <c r="B500"/>
      <c r="C500"/>
      <c r="D500" s="68"/>
      <c r="E500" s="68"/>
      <c r="F500" s="68"/>
      <c r="G500" s="68"/>
    </row>
    <row r="501" spans="1:7" x14ac:dyDescent="0.25">
      <c r="A501"/>
      <c r="B501"/>
      <c r="C501"/>
      <c r="D501" s="68"/>
      <c r="E501" s="68"/>
      <c r="F501" s="68"/>
      <c r="G501" s="68"/>
    </row>
    <row r="502" spans="1:7" x14ac:dyDescent="0.25">
      <c r="A502"/>
      <c r="B502"/>
      <c r="C502"/>
      <c r="D502" s="68"/>
      <c r="E502" s="68"/>
      <c r="F502" s="68"/>
      <c r="G502" s="68"/>
    </row>
    <row r="503" spans="1:7" x14ac:dyDescent="0.25">
      <c r="A503"/>
      <c r="B503"/>
      <c r="C503"/>
      <c r="D503" s="68"/>
      <c r="E503" s="68"/>
      <c r="F503" s="68"/>
      <c r="G503" s="68"/>
    </row>
    <row r="504" spans="1:7" x14ac:dyDescent="0.25">
      <c r="A504"/>
      <c r="B504"/>
      <c r="C504"/>
      <c r="D504" s="68"/>
      <c r="E504" s="68"/>
      <c r="F504" s="68"/>
      <c r="G504" s="68"/>
    </row>
    <row r="505" spans="1:7" x14ac:dyDescent="0.25">
      <c r="A505"/>
      <c r="B505"/>
      <c r="C505"/>
      <c r="D505" s="68"/>
      <c r="E505" s="68"/>
      <c r="F505" s="68"/>
      <c r="G505" s="68"/>
    </row>
    <row r="506" spans="1:7" x14ac:dyDescent="0.25">
      <c r="A506"/>
      <c r="B506"/>
      <c r="C506"/>
      <c r="D506" s="68"/>
      <c r="E506" s="68"/>
      <c r="F506" s="68"/>
      <c r="G506" s="68"/>
    </row>
    <row r="507" spans="1:7" x14ac:dyDescent="0.25">
      <c r="A507"/>
      <c r="B507"/>
      <c r="C507"/>
      <c r="D507" s="68"/>
      <c r="E507" s="68"/>
      <c r="F507" s="68"/>
      <c r="G507" s="68"/>
    </row>
    <row r="508" spans="1:7" x14ac:dyDescent="0.25">
      <c r="A508"/>
      <c r="B508"/>
      <c r="C508"/>
      <c r="D508" s="68"/>
      <c r="E508" s="68"/>
      <c r="F508" s="68"/>
      <c r="G508" s="68"/>
    </row>
    <row r="509" spans="1:7" x14ac:dyDescent="0.25">
      <c r="A509"/>
      <c r="B509"/>
      <c r="C509"/>
      <c r="D509" s="68"/>
      <c r="E509" s="68"/>
      <c r="F509" s="68"/>
      <c r="G509" s="68"/>
    </row>
    <row r="510" spans="1:7" x14ac:dyDescent="0.25">
      <c r="A510"/>
      <c r="B510"/>
      <c r="C510"/>
      <c r="D510" s="68"/>
      <c r="E510" s="68"/>
      <c r="F510" s="68"/>
      <c r="G510" s="68"/>
    </row>
    <row r="511" spans="1:7" x14ac:dyDescent="0.25">
      <c r="A511"/>
      <c r="B511"/>
      <c r="C511"/>
      <c r="D511" s="68"/>
      <c r="E511" s="68"/>
      <c r="F511" s="68"/>
      <c r="G511" s="68"/>
    </row>
    <row r="512" spans="1:7" x14ac:dyDescent="0.25">
      <c r="A512"/>
      <c r="B512"/>
      <c r="C512"/>
      <c r="D512" s="68"/>
      <c r="E512" s="68"/>
      <c r="F512" s="68"/>
      <c r="G512" s="68"/>
    </row>
    <row r="513" spans="1:7" x14ac:dyDescent="0.25">
      <c r="A513"/>
      <c r="B513"/>
      <c r="C513"/>
      <c r="D513" s="68"/>
      <c r="E513" s="68"/>
      <c r="F513" s="68"/>
      <c r="G513" s="68"/>
    </row>
    <row r="514" spans="1:7" x14ac:dyDescent="0.25">
      <c r="A514"/>
      <c r="B514"/>
      <c r="C514"/>
      <c r="D514" s="68"/>
      <c r="E514" s="68"/>
      <c r="F514" s="68"/>
      <c r="G514" s="68"/>
    </row>
    <row r="515" spans="1:7" x14ac:dyDescent="0.25">
      <c r="A515"/>
      <c r="B515"/>
      <c r="C515"/>
      <c r="D515" s="68"/>
      <c r="E515" s="68"/>
      <c r="F515" s="68"/>
      <c r="G515" s="68"/>
    </row>
    <row r="516" spans="1:7" x14ac:dyDescent="0.25">
      <c r="A516"/>
      <c r="B516"/>
      <c r="C516"/>
      <c r="D516" s="68"/>
      <c r="E516" s="68"/>
      <c r="F516" s="68"/>
      <c r="G516" s="68"/>
    </row>
    <row r="517" spans="1:7" x14ac:dyDescent="0.25">
      <c r="A517"/>
      <c r="B517"/>
      <c r="C517"/>
      <c r="D517" s="68"/>
      <c r="E517" s="68"/>
      <c r="F517" s="68"/>
      <c r="G517" s="68"/>
    </row>
    <row r="518" spans="1:7" x14ac:dyDescent="0.25">
      <c r="A518"/>
      <c r="B518"/>
      <c r="C518"/>
      <c r="D518" s="68"/>
      <c r="E518" s="68"/>
      <c r="F518" s="68"/>
      <c r="G518" s="68"/>
    </row>
    <row r="519" spans="1:7" x14ac:dyDescent="0.25">
      <c r="A519"/>
      <c r="B519"/>
      <c r="C519"/>
      <c r="D519" s="68"/>
      <c r="E519" s="68"/>
      <c r="F519" s="68"/>
      <c r="G519" s="68"/>
    </row>
    <row r="520" spans="1:7" x14ac:dyDescent="0.25">
      <c r="A520"/>
      <c r="B520"/>
      <c r="C520"/>
      <c r="D520" s="68"/>
      <c r="E520" s="68"/>
      <c r="F520" s="68"/>
      <c r="G520" s="68"/>
    </row>
    <row r="521" spans="1:7" x14ac:dyDescent="0.25">
      <c r="A521"/>
      <c r="B521"/>
      <c r="C521"/>
      <c r="D521" s="68"/>
      <c r="E521" s="68"/>
      <c r="F521" s="68"/>
      <c r="G521" s="68"/>
    </row>
    <row r="522" spans="1:7" x14ac:dyDescent="0.25">
      <c r="A522"/>
      <c r="B522"/>
      <c r="C522"/>
      <c r="D522" s="68"/>
      <c r="E522" s="68"/>
      <c r="F522" s="68"/>
      <c r="G522" s="68"/>
    </row>
    <row r="523" spans="1:7" x14ac:dyDescent="0.25">
      <c r="A523"/>
      <c r="B523"/>
      <c r="C523"/>
      <c r="D523" s="68"/>
      <c r="E523" s="68"/>
      <c r="F523" s="68"/>
      <c r="G523" s="68"/>
    </row>
    <row r="524" spans="1:7" x14ac:dyDescent="0.25">
      <c r="A524"/>
      <c r="B524"/>
      <c r="C524"/>
      <c r="D524" s="68"/>
      <c r="E524" s="68"/>
      <c r="F524" s="68"/>
      <c r="G524" s="68"/>
    </row>
    <row r="525" spans="1:7" x14ac:dyDescent="0.25">
      <c r="A525"/>
      <c r="B525"/>
      <c r="C525"/>
      <c r="D525" s="68"/>
      <c r="E525" s="68"/>
      <c r="F525" s="68"/>
      <c r="G525" s="68"/>
    </row>
    <row r="526" spans="1:7" x14ac:dyDescent="0.25">
      <c r="A526"/>
      <c r="B526"/>
      <c r="C526"/>
      <c r="D526" s="68"/>
      <c r="E526" s="68"/>
      <c r="F526" s="68"/>
      <c r="G526" s="68"/>
    </row>
    <row r="527" spans="1:7" x14ac:dyDescent="0.25">
      <c r="A527"/>
      <c r="B527"/>
      <c r="C527"/>
      <c r="D527" s="68"/>
      <c r="E527" s="68"/>
      <c r="F527" s="68"/>
      <c r="G527" s="68"/>
    </row>
    <row r="528" spans="1:7" x14ac:dyDescent="0.25">
      <c r="A528"/>
      <c r="B528"/>
      <c r="C528"/>
      <c r="D528" s="68"/>
      <c r="E528" s="68"/>
      <c r="F528" s="68"/>
      <c r="G528" s="68"/>
    </row>
    <row r="529" spans="1:7" x14ac:dyDescent="0.25">
      <c r="A529"/>
      <c r="B529"/>
      <c r="C529"/>
      <c r="D529" s="68"/>
      <c r="E529" s="68"/>
      <c r="F529" s="68"/>
      <c r="G529" s="68"/>
    </row>
    <row r="530" spans="1:7" x14ac:dyDescent="0.25">
      <c r="A530"/>
      <c r="B530"/>
      <c r="C530"/>
      <c r="D530" s="68"/>
      <c r="E530" s="68"/>
      <c r="F530" s="68"/>
      <c r="G530" s="68"/>
    </row>
    <row r="531" spans="1:7" x14ac:dyDescent="0.25">
      <c r="A531"/>
      <c r="B531"/>
      <c r="C531"/>
      <c r="D531" s="68"/>
      <c r="E531" s="68"/>
      <c r="F531" s="68"/>
      <c r="G531" s="68"/>
    </row>
    <row r="532" spans="1:7" x14ac:dyDescent="0.25">
      <c r="A532"/>
      <c r="B532"/>
      <c r="C532"/>
      <c r="D532" s="68"/>
      <c r="E532" s="68"/>
      <c r="F532" s="68"/>
      <c r="G532" s="68"/>
    </row>
    <row r="533" spans="1:7" x14ac:dyDescent="0.25">
      <c r="A533"/>
      <c r="B533"/>
      <c r="C533"/>
      <c r="D533" s="68"/>
      <c r="E533" s="68"/>
      <c r="F533" s="68"/>
      <c r="G533" s="68"/>
    </row>
    <row r="534" spans="1:7" x14ac:dyDescent="0.25">
      <c r="A534"/>
      <c r="B534"/>
      <c r="C534"/>
      <c r="D534" s="68"/>
      <c r="E534" s="68"/>
      <c r="F534" s="68"/>
      <c r="G534" s="68"/>
    </row>
    <row r="535" spans="1:7" x14ac:dyDescent="0.25">
      <c r="A535"/>
      <c r="B535"/>
      <c r="C535"/>
      <c r="D535" s="68"/>
      <c r="E535" s="68"/>
      <c r="F535" s="68"/>
      <c r="G535" s="68"/>
    </row>
    <row r="536" spans="1:7" x14ac:dyDescent="0.25">
      <c r="A536"/>
      <c r="B536"/>
      <c r="C536"/>
      <c r="D536" s="68"/>
      <c r="E536" s="68"/>
      <c r="F536" s="68"/>
      <c r="G536" s="68"/>
    </row>
    <row r="537" spans="1:7" x14ac:dyDescent="0.25">
      <c r="A537"/>
      <c r="B537"/>
      <c r="C537"/>
      <c r="D537" s="68"/>
      <c r="E537" s="68"/>
      <c r="F537" s="68"/>
      <c r="G537" s="68"/>
    </row>
    <row r="538" spans="1:7" x14ac:dyDescent="0.25">
      <c r="A538"/>
      <c r="B538"/>
      <c r="C538"/>
      <c r="D538" s="68"/>
      <c r="E538" s="68"/>
      <c r="F538" s="68"/>
      <c r="G538" s="68"/>
    </row>
    <row r="539" spans="1:7" x14ac:dyDescent="0.25">
      <c r="A539"/>
      <c r="B539"/>
      <c r="C539"/>
      <c r="D539" s="68"/>
      <c r="E539" s="68"/>
      <c r="F539" s="68"/>
      <c r="G539" s="68"/>
    </row>
    <row r="540" spans="1:7" x14ac:dyDescent="0.25">
      <c r="A540"/>
      <c r="B540"/>
      <c r="C540"/>
      <c r="D540" s="68"/>
      <c r="E540" s="68"/>
      <c r="F540" s="68"/>
      <c r="G540" s="68"/>
    </row>
    <row r="541" spans="1:7" x14ac:dyDescent="0.25">
      <c r="A541"/>
      <c r="B541"/>
      <c r="C541"/>
      <c r="D541" s="68"/>
      <c r="E541" s="68"/>
      <c r="F541" s="68"/>
      <c r="G541" s="68"/>
    </row>
    <row r="542" spans="1:7" x14ac:dyDescent="0.25">
      <c r="A542"/>
      <c r="B542"/>
      <c r="C542"/>
      <c r="D542" s="68"/>
      <c r="E542" s="68"/>
      <c r="F542" s="68"/>
      <c r="G542" s="68"/>
    </row>
    <row r="543" spans="1:7" x14ac:dyDescent="0.25">
      <c r="A543"/>
      <c r="B543"/>
      <c r="C543"/>
      <c r="D543" s="68"/>
      <c r="E543" s="68"/>
      <c r="F543" s="68"/>
      <c r="G543" s="68"/>
    </row>
    <row r="544" spans="1:7" x14ac:dyDescent="0.25">
      <c r="A544"/>
      <c r="B544"/>
      <c r="C544"/>
      <c r="D544" s="68"/>
      <c r="E544" s="68"/>
      <c r="F544" s="68"/>
      <c r="G544" s="68"/>
    </row>
    <row r="545" spans="1:7" x14ac:dyDescent="0.25">
      <c r="A545"/>
      <c r="B545"/>
      <c r="C545"/>
      <c r="D545" s="68"/>
      <c r="E545" s="68"/>
      <c r="F545" s="68"/>
      <c r="G545" s="68"/>
    </row>
    <row r="546" spans="1:7" x14ac:dyDescent="0.25">
      <c r="A546"/>
      <c r="B546"/>
      <c r="C546"/>
      <c r="D546" s="68"/>
      <c r="E546" s="68"/>
      <c r="F546" s="68"/>
      <c r="G546" s="68"/>
    </row>
    <row r="547" spans="1:7" x14ac:dyDescent="0.25">
      <c r="A547"/>
      <c r="B547"/>
      <c r="C547"/>
      <c r="D547" s="68"/>
      <c r="E547" s="68"/>
      <c r="F547" s="68"/>
      <c r="G547" s="68"/>
    </row>
    <row r="548" spans="1:7" x14ac:dyDescent="0.25">
      <c r="A548"/>
      <c r="B548"/>
      <c r="C548"/>
      <c r="D548" s="68"/>
      <c r="E548" s="68"/>
      <c r="F548" s="68"/>
      <c r="G548" s="68"/>
    </row>
    <row r="549" spans="1:7" x14ac:dyDescent="0.25">
      <c r="A549"/>
      <c r="B549"/>
      <c r="C549"/>
      <c r="D549" s="68"/>
      <c r="E549" s="68"/>
      <c r="F549" s="68"/>
      <c r="G549" s="68"/>
    </row>
    <row r="550" spans="1:7" x14ac:dyDescent="0.25">
      <c r="A550"/>
      <c r="B550"/>
      <c r="C550"/>
      <c r="D550" s="68"/>
      <c r="E550" s="68"/>
      <c r="F550" s="68"/>
      <c r="G550" s="68"/>
    </row>
    <row r="551" spans="1:7" x14ac:dyDescent="0.25">
      <c r="A551"/>
      <c r="B551"/>
      <c r="C551"/>
      <c r="D551" s="68"/>
      <c r="E551" s="68"/>
      <c r="F551" s="68"/>
      <c r="G551" s="68"/>
    </row>
    <row r="552" spans="1:7" x14ac:dyDescent="0.25">
      <c r="A552"/>
      <c r="B552"/>
      <c r="C552"/>
      <c r="D552" s="68"/>
      <c r="E552" s="68"/>
      <c r="F552" s="68"/>
      <c r="G552" s="68"/>
    </row>
    <row r="553" spans="1:7" x14ac:dyDescent="0.25">
      <c r="A553"/>
      <c r="B553"/>
      <c r="C553"/>
      <c r="D553" s="68"/>
      <c r="E553" s="68"/>
      <c r="F553" s="68"/>
      <c r="G553" s="68"/>
    </row>
    <row r="554" spans="1:7" x14ac:dyDescent="0.25">
      <c r="A554"/>
      <c r="B554"/>
      <c r="C554"/>
      <c r="D554" s="68"/>
      <c r="E554" s="68"/>
      <c r="F554" s="68"/>
      <c r="G554" s="68"/>
    </row>
    <row r="555" spans="1:7" x14ac:dyDescent="0.25">
      <c r="A555"/>
      <c r="B555"/>
      <c r="C555"/>
      <c r="D555" s="68"/>
      <c r="E555" s="68"/>
      <c r="F555" s="68"/>
      <c r="G555" s="68"/>
    </row>
    <row r="556" spans="1:7" x14ac:dyDescent="0.25">
      <c r="A556"/>
      <c r="B556"/>
      <c r="C556"/>
      <c r="D556" s="68"/>
      <c r="E556" s="68"/>
      <c r="F556" s="68"/>
      <c r="G556" s="68"/>
    </row>
    <row r="557" spans="1:7" x14ac:dyDescent="0.25">
      <c r="A557"/>
      <c r="B557"/>
      <c r="C557"/>
      <c r="D557" s="68"/>
      <c r="E557" s="68"/>
      <c r="F557" s="68"/>
      <c r="G557" s="68"/>
    </row>
    <row r="558" spans="1:7" x14ac:dyDescent="0.25">
      <c r="A558"/>
      <c r="B558"/>
      <c r="C558"/>
      <c r="D558" s="68"/>
      <c r="E558" s="68"/>
      <c r="F558" s="68"/>
      <c r="G558" s="68"/>
    </row>
    <row r="559" spans="1:7" x14ac:dyDescent="0.25">
      <c r="A559"/>
      <c r="B559"/>
      <c r="C559"/>
      <c r="D559" s="68"/>
      <c r="E559" s="68"/>
      <c r="F559" s="68"/>
      <c r="G559" s="68"/>
    </row>
    <row r="560" spans="1:7" x14ac:dyDescent="0.25">
      <c r="A560"/>
      <c r="B560"/>
      <c r="C560"/>
      <c r="D560" s="68"/>
      <c r="E560" s="68"/>
      <c r="F560" s="68"/>
      <c r="G560" s="68"/>
    </row>
    <row r="561" spans="1:7" x14ac:dyDescent="0.25">
      <c r="A561"/>
      <c r="B561"/>
      <c r="C561"/>
      <c r="D561" s="68"/>
      <c r="E561" s="68"/>
      <c r="F561" s="68"/>
      <c r="G561" s="68"/>
    </row>
    <row r="562" spans="1:7" x14ac:dyDescent="0.25">
      <c r="A562"/>
      <c r="B562"/>
      <c r="C562"/>
      <c r="D562" s="68"/>
      <c r="E562" s="68"/>
      <c r="F562" s="68"/>
      <c r="G562" s="68"/>
    </row>
    <row r="563" spans="1:7" x14ac:dyDescent="0.25">
      <c r="A563"/>
      <c r="B563"/>
      <c r="C563"/>
      <c r="D563" s="68"/>
      <c r="E563" s="68"/>
      <c r="F563" s="68"/>
      <c r="G563" s="68"/>
    </row>
    <row r="564" spans="1:7" x14ac:dyDescent="0.25">
      <c r="A564"/>
      <c r="B564"/>
      <c r="C564"/>
      <c r="D564" s="68"/>
      <c r="E564" s="68"/>
      <c r="F564" s="68"/>
      <c r="G564" s="68"/>
    </row>
    <row r="565" spans="1:7" x14ac:dyDescent="0.25">
      <c r="A565"/>
      <c r="B565"/>
      <c r="C565"/>
      <c r="D565" s="68"/>
      <c r="E565" s="68"/>
      <c r="F565" s="68"/>
      <c r="G565" s="68"/>
    </row>
    <row r="566" spans="1:7" x14ac:dyDescent="0.25">
      <c r="A566"/>
      <c r="B566"/>
      <c r="C566"/>
      <c r="D566" s="68"/>
      <c r="E566" s="68"/>
      <c r="F566" s="68"/>
      <c r="G566" s="68"/>
    </row>
    <row r="567" spans="1:7" x14ac:dyDescent="0.25">
      <c r="A567"/>
      <c r="B567"/>
      <c r="C567"/>
      <c r="D567" s="68"/>
      <c r="E567" s="68"/>
      <c r="F567" s="68"/>
      <c r="G567" s="68"/>
    </row>
    <row r="568" spans="1:7" x14ac:dyDescent="0.25">
      <c r="A568"/>
      <c r="B568"/>
      <c r="C568"/>
      <c r="D568" s="68"/>
      <c r="E568" s="68"/>
      <c r="F568" s="68"/>
      <c r="G568" s="68"/>
    </row>
    <row r="569" spans="1:7" x14ac:dyDescent="0.25">
      <c r="A569"/>
      <c r="B569"/>
      <c r="C569"/>
      <c r="D569" s="68"/>
      <c r="E569" s="68"/>
      <c r="F569" s="68"/>
      <c r="G569" s="68"/>
    </row>
    <row r="570" spans="1:7" x14ac:dyDescent="0.25">
      <c r="A570"/>
      <c r="B570"/>
      <c r="C570"/>
      <c r="D570" s="68"/>
      <c r="E570" s="68"/>
      <c r="F570" s="68"/>
      <c r="G570" s="68"/>
    </row>
    <row r="571" spans="1:7" x14ac:dyDescent="0.25">
      <c r="A571"/>
      <c r="B571"/>
      <c r="C571"/>
      <c r="D571" s="68"/>
      <c r="E571" s="68"/>
      <c r="F571" s="68"/>
      <c r="G571" s="68"/>
    </row>
    <row r="572" spans="1:7" x14ac:dyDescent="0.25">
      <c r="A572"/>
      <c r="B572"/>
      <c r="C572"/>
      <c r="D572" s="68"/>
      <c r="E572" s="68"/>
      <c r="F572" s="68"/>
      <c r="G572" s="68"/>
    </row>
    <row r="573" spans="1:7" x14ac:dyDescent="0.25">
      <c r="A573"/>
      <c r="B573"/>
      <c r="C573"/>
      <c r="D573" s="68"/>
      <c r="E573" s="68"/>
      <c r="F573" s="68"/>
      <c r="G573" s="68"/>
    </row>
    <row r="574" spans="1:7" x14ac:dyDescent="0.25">
      <c r="A574"/>
      <c r="B574"/>
      <c r="C574"/>
      <c r="D574" s="68"/>
      <c r="E574" s="68"/>
      <c r="F574" s="68"/>
      <c r="G574" s="68"/>
    </row>
    <row r="575" spans="1:7" x14ac:dyDescent="0.25">
      <c r="A575"/>
      <c r="B575"/>
      <c r="C575"/>
      <c r="D575" s="68"/>
      <c r="E575" s="68"/>
      <c r="F575" s="68"/>
      <c r="G575" s="68"/>
    </row>
    <row r="576" spans="1:7" x14ac:dyDescent="0.25">
      <c r="A576"/>
      <c r="B576"/>
      <c r="C576"/>
      <c r="D576" s="68"/>
      <c r="E576" s="68"/>
      <c r="F576" s="68"/>
      <c r="G576" s="68"/>
    </row>
    <row r="577" spans="1:7" x14ac:dyDescent="0.25">
      <c r="A577"/>
      <c r="B577"/>
      <c r="C577"/>
      <c r="D577" s="68"/>
      <c r="E577" s="68"/>
      <c r="F577" s="68"/>
      <c r="G577" s="68"/>
    </row>
    <row r="578" spans="1:7" x14ac:dyDescent="0.25">
      <c r="A578"/>
      <c r="B578"/>
      <c r="C578"/>
      <c r="D578" s="68"/>
      <c r="E578" s="68"/>
      <c r="F578" s="68"/>
      <c r="G578" s="68"/>
    </row>
    <row r="579" spans="1:7" x14ac:dyDescent="0.25">
      <c r="A579"/>
      <c r="B579"/>
      <c r="C579"/>
      <c r="D579" s="68"/>
      <c r="E579" s="68"/>
      <c r="F579" s="68"/>
      <c r="G579" s="68"/>
    </row>
    <row r="580" spans="1:7" x14ac:dyDescent="0.25">
      <c r="A580"/>
      <c r="B580"/>
      <c r="C580"/>
      <c r="D580" s="68"/>
      <c r="E580" s="68"/>
      <c r="F580" s="68"/>
      <c r="G580" s="68"/>
    </row>
    <row r="581" spans="1:7" x14ac:dyDescent="0.25">
      <c r="A581"/>
      <c r="B581"/>
      <c r="C581"/>
      <c r="D581" s="68"/>
      <c r="E581" s="68"/>
      <c r="F581" s="68"/>
      <c r="G581" s="68"/>
    </row>
    <row r="582" spans="1:7" x14ac:dyDescent="0.25">
      <c r="A582"/>
      <c r="B582"/>
      <c r="C582"/>
      <c r="D582" s="68"/>
      <c r="E582" s="68"/>
      <c r="F582" s="68"/>
      <c r="G582" s="68"/>
    </row>
    <row r="583" spans="1:7" x14ac:dyDescent="0.25">
      <c r="A583"/>
      <c r="B583"/>
      <c r="C583"/>
      <c r="D583" s="68"/>
      <c r="E583" s="68"/>
      <c r="F583" s="68"/>
      <c r="G583" s="68"/>
    </row>
    <row r="584" spans="1:7" x14ac:dyDescent="0.25">
      <c r="A584"/>
      <c r="B584"/>
      <c r="C584"/>
      <c r="D584" s="68"/>
      <c r="E584" s="68"/>
      <c r="F584" s="68"/>
      <c r="G584" s="68"/>
    </row>
    <row r="585" spans="1:7" x14ac:dyDescent="0.25">
      <c r="A585"/>
      <c r="B585"/>
      <c r="C585"/>
      <c r="D585" s="68"/>
      <c r="E585" s="68"/>
      <c r="F585" s="68"/>
      <c r="G585" s="68"/>
    </row>
    <row r="586" spans="1:7" x14ac:dyDescent="0.25">
      <c r="A586"/>
      <c r="B586"/>
      <c r="C586"/>
      <c r="D586" s="68"/>
      <c r="E586" s="68"/>
      <c r="F586" s="68"/>
      <c r="G586" s="68"/>
    </row>
    <row r="587" spans="1:7" x14ac:dyDescent="0.25">
      <c r="A587"/>
      <c r="B587"/>
      <c r="C587"/>
      <c r="D587" s="68"/>
      <c r="E587" s="68"/>
      <c r="F587" s="68"/>
      <c r="G587" s="68"/>
    </row>
    <row r="588" spans="1:7" x14ac:dyDescent="0.25">
      <c r="A588"/>
      <c r="B588"/>
      <c r="C588"/>
      <c r="D588" s="68"/>
      <c r="E588" s="68"/>
      <c r="F588" s="68"/>
      <c r="G588" s="68"/>
    </row>
    <row r="589" spans="1:7" x14ac:dyDescent="0.25">
      <c r="A589"/>
      <c r="B589"/>
      <c r="C589"/>
      <c r="D589" s="68"/>
      <c r="E589" s="68"/>
      <c r="F589" s="68"/>
      <c r="G589" s="68"/>
    </row>
    <row r="590" spans="1:7" x14ac:dyDescent="0.25">
      <c r="A590"/>
      <c r="B590"/>
      <c r="C590"/>
      <c r="D590" s="68"/>
      <c r="E590" s="68"/>
      <c r="F590" s="68"/>
      <c r="G590" s="68"/>
    </row>
    <row r="591" spans="1:7" x14ac:dyDescent="0.25">
      <c r="A591"/>
      <c r="B591"/>
      <c r="C591"/>
      <c r="D591" s="68"/>
      <c r="E591" s="68"/>
      <c r="F591" s="68"/>
      <c r="G591" s="68"/>
    </row>
    <row r="592" spans="1:7" x14ac:dyDescent="0.25">
      <c r="A592"/>
      <c r="B592"/>
      <c r="C592"/>
      <c r="D592" s="68"/>
      <c r="E592" s="68"/>
      <c r="F592" s="68"/>
      <c r="G592" s="68"/>
    </row>
    <row r="593" spans="1:7" x14ac:dyDescent="0.25">
      <c r="A593"/>
      <c r="B593"/>
      <c r="C593"/>
      <c r="D593" s="68"/>
      <c r="E593" s="68"/>
      <c r="F593" s="68"/>
      <c r="G593" s="68"/>
    </row>
    <row r="594" spans="1:7" x14ac:dyDescent="0.25">
      <c r="A594"/>
      <c r="B594"/>
      <c r="C594"/>
      <c r="D594" s="68"/>
      <c r="E594" s="68"/>
      <c r="F594" s="68"/>
      <c r="G594" s="68"/>
    </row>
    <row r="595" spans="1:7" x14ac:dyDescent="0.25">
      <c r="A595"/>
      <c r="B595"/>
      <c r="C595"/>
      <c r="D595" s="68"/>
      <c r="E595" s="68"/>
      <c r="F595" s="68"/>
      <c r="G595" s="68"/>
    </row>
    <row r="596" spans="1:7" x14ac:dyDescent="0.25">
      <c r="A596"/>
      <c r="B596"/>
      <c r="C596"/>
      <c r="D596" s="68"/>
      <c r="E596" s="68"/>
      <c r="F596" s="68"/>
      <c r="G596" s="68"/>
    </row>
    <row r="597" spans="1:7" x14ac:dyDescent="0.25">
      <c r="A597"/>
      <c r="B597"/>
      <c r="C597"/>
      <c r="D597" s="68"/>
      <c r="E597" s="68"/>
      <c r="F597" s="68"/>
      <c r="G597" s="68"/>
    </row>
    <row r="598" spans="1:7" x14ac:dyDescent="0.25">
      <c r="A598"/>
      <c r="B598"/>
      <c r="C598"/>
      <c r="D598" s="68"/>
      <c r="E598" s="68"/>
      <c r="F598" s="68"/>
      <c r="G598" s="68"/>
    </row>
    <row r="599" spans="1:7" x14ac:dyDescent="0.25">
      <c r="A599"/>
      <c r="B599"/>
      <c r="C599"/>
      <c r="D599" s="68"/>
      <c r="E599" s="68"/>
      <c r="F599" s="68"/>
      <c r="G599" s="68"/>
    </row>
    <row r="600" spans="1:7" x14ac:dyDescent="0.25">
      <c r="A600"/>
      <c r="B600"/>
      <c r="C600"/>
      <c r="D600" s="68"/>
      <c r="E600" s="68"/>
      <c r="F600" s="68"/>
      <c r="G600" s="68"/>
    </row>
    <row r="601" spans="1:7" x14ac:dyDescent="0.25">
      <c r="A601"/>
      <c r="B601"/>
      <c r="C601"/>
      <c r="D601" s="68"/>
      <c r="E601" s="68"/>
      <c r="F601" s="68"/>
      <c r="G601" s="68"/>
    </row>
    <row r="602" spans="1:7" x14ac:dyDescent="0.25">
      <c r="A602"/>
      <c r="B602"/>
      <c r="C602"/>
      <c r="D602" s="68"/>
      <c r="E602" s="68"/>
      <c r="F602" s="68"/>
      <c r="G602" s="68"/>
    </row>
    <row r="603" spans="1:7" x14ac:dyDescent="0.25">
      <c r="A603"/>
      <c r="B603"/>
      <c r="C603"/>
      <c r="D603" s="68"/>
      <c r="E603" s="68"/>
      <c r="F603" s="68"/>
      <c r="G603" s="68"/>
    </row>
    <row r="604" spans="1:7" x14ac:dyDescent="0.25">
      <c r="A604"/>
      <c r="B604"/>
      <c r="C604"/>
      <c r="D604" s="68"/>
      <c r="E604" s="68"/>
      <c r="F604" s="68"/>
      <c r="G604" s="68"/>
    </row>
    <row r="605" spans="1:7" x14ac:dyDescent="0.25">
      <c r="A605"/>
      <c r="B605"/>
      <c r="C605"/>
      <c r="D605" s="68"/>
      <c r="E605" s="68"/>
      <c r="F605" s="68"/>
      <c r="G605" s="68"/>
    </row>
    <row r="606" spans="1:7" x14ac:dyDescent="0.25">
      <c r="A606"/>
      <c r="B606"/>
      <c r="C606"/>
      <c r="D606" s="68"/>
      <c r="E606" s="68"/>
      <c r="F606" s="68"/>
      <c r="G606" s="68"/>
    </row>
    <row r="607" spans="1:7" x14ac:dyDescent="0.25">
      <c r="A607"/>
      <c r="B607"/>
      <c r="C607"/>
      <c r="D607" s="68"/>
      <c r="E607" s="68"/>
      <c r="F607" s="68"/>
      <c r="G607" s="68"/>
    </row>
    <row r="608" spans="1:7" x14ac:dyDescent="0.25">
      <c r="A608"/>
      <c r="B608"/>
      <c r="C608"/>
      <c r="D608" s="68"/>
      <c r="E608" s="68"/>
      <c r="F608" s="68"/>
      <c r="G608" s="68"/>
    </row>
    <row r="609" spans="1:7" x14ac:dyDescent="0.25">
      <c r="A609"/>
      <c r="B609"/>
      <c r="C609"/>
      <c r="D609" s="68"/>
      <c r="E609" s="68"/>
      <c r="F609" s="68"/>
      <c r="G609" s="68"/>
    </row>
    <row r="610" spans="1:7" x14ac:dyDescent="0.25">
      <c r="A610"/>
      <c r="B610"/>
      <c r="C610"/>
      <c r="D610" s="68"/>
      <c r="E610" s="68"/>
      <c r="F610" s="68"/>
      <c r="G610" s="68"/>
    </row>
    <row r="611" spans="1:7" x14ac:dyDescent="0.25">
      <c r="A611"/>
      <c r="B611"/>
      <c r="C611"/>
      <c r="D611" s="68"/>
      <c r="E611" s="68"/>
      <c r="F611" s="68"/>
      <c r="G611" s="68"/>
    </row>
    <row r="612" spans="1:7" x14ac:dyDescent="0.25">
      <c r="A612"/>
      <c r="B612"/>
      <c r="C612"/>
      <c r="D612" s="68"/>
      <c r="E612" s="68"/>
      <c r="F612" s="68"/>
      <c r="G612" s="68"/>
    </row>
    <row r="613" spans="1:7" x14ac:dyDescent="0.25">
      <c r="A613"/>
      <c r="B613"/>
      <c r="C613"/>
      <c r="D613" s="68"/>
      <c r="E613" s="68"/>
      <c r="F613" s="68"/>
      <c r="G613" s="68"/>
    </row>
    <row r="614" spans="1:7" x14ac:dyDescent="0.25">
      <c r="A614"/>
      <c r="B614"/>
      <c r="C614"/>
      <c r="D614" s="68"/>
      <c r="E614" s="68"/>
      <c r="F614" s="68"/>
      <c r="G614" s="68"/>
    </row>
    <row r="615" spans="1:7" x14ac:dyDescent="0.25">
      <c r="A615"/>
      <c r="B615"/>
      <c r="C615"/>
      <c r="D615" s="68"/>
      <c r="E615" s="68"/>
      <c r="F615" s="68"/>
      <c r="G615" s="68"/>
    </row>
    <row r="616" spans="1:7" x14ac:dyDescent="0.25">
      <c r="A616"/>
      <c r="B616"/>
      <c r="C616"/>
      <c r="D616" s="68"/>
      <c r="E616" s="68"/>
      <c r="F616" s="68"/>
      <c r="G616" s="68"/>
    </row>
    <row r="617" spans="1:7" x14ac:dyDescent="0.25">
      <c r="A617"/>
      <c r="B617"/>
      <c r="C617"/>
      <c r="D617" s="68"/>
      <c r="E617" s="68"/>
      <c r="F617" s="68"/>
      <c r="G617" s="68"/>
    </row>
    <row r="618" spans="1:7" x14ac:dyDescent="0.25">
      <c r="A618"/>
      <c r="B618"/>
      <c r="C618"/>
      <c r="D618" s="68"/>
      <c r="E618" s="68"/>
      <c r="F618" s="68"/>
      <c r="G618" s="68"/>
    </row>
    <row r="619" spans="1:7" x14ac:dyDescent="0.25">
      <c r="A619"/>
      <c r="B619"/>
      <c r="C619"/>
      <c r="D619" s="68"/>
      <c r="E619" s="68"/>
      <c r="F619" s="68"/>
      <c r="G619" s="68"/>
    </row>
    <row r="620" spans="1:7" x14ac:dyDescent="0.25">
      <c r="A620"/>
      <c r="B620"/>
      <c r="C620"/>
      <c r="D620" s="68"/>
      <c r="E620" s="68"/>
      <c r="F620" s="68"/>
      <c r="G620" s="68"/>
    </row>
    <row r="621" spans="1:7" x14ac:dyDescent="0.25">
      <c r="A621"/>
      <c r="B621"/>
      <c r="C621"/>
      <c r="D621" s="68"/>
      <c r="E621" s="68"/>
      <c r="F621" s="68"/>
      <c r="G621" s="68"/>
    </row>
    <row r="622" spans="1:7" x14ac:dyDescent="0.25">
      <c r="A622"/>
      <c r="B622"/>
      <c r="C622"/>
      <c r="D622" s="68"/>
      <c r="E622" s="68"/>
      <c r="F622" s="68"/>
      <c r="G622" s="68"/>
    </row>
    <row r="623" spans="1:7" x14ac:dyDescent="0.25">
      <c r="A623"/>
      <c r="B623"/>
      <c r="C623"/>
      <c r="D623" s="68"/>
      <c r="E623" s="68"/>
      <c r="F623" s="68"/>
      <c r="G623" s="68"/>
    </row>
    <row r="624" spans="1:7" x14ac:dyDescent="0.25">
      <c r="A624"/>
      <c r="B624"/>
      <c r="C624"/>
      <c r="D624" s="68"/>
      <c r="E624" s="68"/>
      <c r="F624" s="68"/>
      <c r="G624" s="68"/>
    </row>
    <row r="625" spans="1:7" x14ac:dyDescent="0.25">
      <c r="A625"/>
      <c r="B625"/>
      <c r="C625"/>
      <c r="D625" s="68"/>
      <c r="E625" s="68"/>
      <c r="F625" s="68"/>
      <c r="G625" s="68"/>
    </row>
    <row r="626" spans="1:7" x14ac:dyDescent="0.25">
      <c r="A626"/>
      <c r="B626"/>
      <c r="C626"/>
      <c r="D626" s="68"/>
      <c r="E626" s="68"/>
      <c r="F626" s="68"/>
      <c r="G626" s="68"/>
    </row>
    <row r="627" spans="1:7" x14ac:dyDescent="0.25">
      <c r="A627"/>
      <c r="B627"/>
      <c r="C627"/>
      <c r="D627" s="68"/>
      <c r="E627" s="68"/>
      <c r="F627" s="68"/>
      <c r="G627" s="68"/>
    </row>
    <row r="628" spans="1:7" x14ac:dyDescent="0.25">
      <c r="A628"/>
      <c r="B628"/>
      <c r="C628"/>
      <c r="D628" s="68"/>
      <c r="E628" s="68"/>
      <c r="F628" s="68"/>
      <c r="G628" s="68"/>
    </row>
    <row r="629" spans="1:7" x14ac:dyDescent="0.25">
      <c r="A629"/>
      <c r="B629"/>
      <c r="C629"/>
      <c r="D629" s="68"/>
      <c r="E629" s="68"/>
      <c r="F629" s="68"/>
      <c r="G629" s="68"/>
    </row>
    <row r="630" spans="1:7" x14ac:dyDescent="0.25">
      <c r="A630"/>
      <c r="B630"/>
      <c r="C630"/>
      <c r="D630" s="68"/>
      <c r="E630" s="68"/>
      <c r="F630" s="68"/>
      <c r="G630" s="68"/>
    </row>
    <row r="631" spans="1:7" x14ac:dyDescent="0.25">
      <c r="A631"/>
      <c r="B631"/>
      <c r="C631"/>
      <c r="D631" s="68"/>
      <c r="E631" s="68"/>
      <c r="F631" s="68"/>
      <c r="G631" s="68"/>
    </row>
    <row r="632" spans="1:7" x14ac:dyDescent="0.25">
      <c r="A632"/>
      <c r="B632"/>
      <c r="C632"/>
      <c r="D632" s="68"/>
      <c r="E632" s="68"/>
      <c r="F632" s="68"/>
      <c r="G632" s="68"/>
    </row>
    <row r="633" spans="1:7" x14ac:dyDescent="0.25">
      <c r="A633"/>
      <c r="B633"/>
      <c r="C633"/>
      <c r="D633" s="68"/>
      <c r="E633" s="68"/>
      <c r="F633" s="68"/>
      <c r="G633" s="68"/>
    </row>
    <row r="634" spans="1:7" x14ac:dyDescent="0.25">
      <c r="A634"/>
      <c r="B634"/>
      <c r="C634"/>
      <c r="D634" s="68"/>
      <c r="E634" s="68"/>
      <c r="F634" s="68"/>
      <c r="G634" s="68"/>
    </row>
    <row r="635" spans="1:7" x14ac:dyDescent="0.25">
      <c r="A635"/>
      <c r="B635"/>
      <c r="C635"/>
      <c r="D635" s="68"/>
      <c r="E635" s="68"/>
      <c r="F635" s="68"/>
      <c r="G635" s="68"/>
    </row>
    <row r="636" spans="1:7" x14ac:dyDescent="0.25">
      <c r="A636"/>
      <c r="B636"/>
      <c r="C636"/>
      <c r="D636" s="68"/>
      <c r="E636" s="68"/>
      <c r="F636" s="68"/>
      <c r="G636" s="68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D25" sqref="D25"/>
    </sheetView>
  </sheetViews>
  <sheetFormatPr defaultRowHeight="15" x14ac:dyDescent="0.25"/>
  <cols>
    <col min="1" max="1" width="23.85546875" customWidth="1"/>
    <col min="2" max="2" width="10.28515625" customWidth="1"/>
    <col min="3" max="3" width="73.5703125" customWidth="1"/>
    <col min="4" max="4" width="21" style="68" customWidth="1"/>
    <col min="5" max="5" width="9.42578125" style="68" customWidth="1"/>
    <col min="6" max="6" width="11.85546875" customWidth="1"/>
    <col min="7" max="7" width="12.140625" customWidth="1"/>
  </cols>
  <sheetData>
    <row r="1" spans="1:8" ht="18.75" x14ac:dyDescent="0.3">
      <c r="A1" s="72" t="s">
        <v>1063</v>
      </c>
    </row>
    <row r="3" spans="1:8" s="12" customFormat="1" ht="60" x14ac:dyDescent="0.25">
      <c r="A3" s="102" t="s">
        <v>3</v>
      </c>
      <c r="B3" s="102" t="s">
        <v>1</v>
      </c>
      <c r="C3" s="102" t="s">
        <v>2</v>
      </c>
      <c r="D3" s="103" t="s">
        <v>869</v>
      </c>
      <c r="E3" s="105" t="s">
        <v>1099</v>
      </c>
      <c r="F3" s="12" t="s">
        <v>1094</v>
      </c>
      <c r="G3" s="104" t="s">
        <v>1060</v>
      </c>
      <c r="H3" s="12" t="s">
        <v>1072</v>
      </c>
    </row>
    <row r="4" spans="1:8" x14ac:dyDescent="0.25">
      <c r="A4" s="23" t="s">
        <v>847</v>
      </c>
      <c r="B4" s="61" t="s">
        <v>61</v>
      </c>
      <c r="C4" s="66" t="s">
        <v>1077</v>
      </c>
      <c r="D4" s="68">
        <v>1</v>
      </c>
      <c r="E4" s="68">
        <v>1</v>
      </c>
      <c r="F4" s="65">
        <v>88.96</v>
      </c>
      <c r="G4" s="71">
        <v>0</v>
      </c>
      <c r="H4" s="71">
        <v>0</v>
      </c>
    </row>
    <row r="5" spans="1:8" x14ac:dyDescent="0.25">
      <c r="A5" s="23" t="s">
        <v>656</v>
      </c>
      <c r="B5" s="61" t="s">
        <v>9</v>
      </c>
      <c r="C5" s="67" t="s">
        <v>654</v>
      </c>
      <c r="D5" s="68">
        <v>20</v>
      </c>
      <c r="E5" s="68">
        <v>20</v>
      </c>
      <c r="F5" s="65">
        <v>29.408200000000001</v>
      </c>
      <c r="G5" s="71">
        <v>2.94082</v>
      </c>
      <c r="H5" s="71">
        <v>0</v>
      </c>
    </row>
    <row r="6" spans="1:8" ht="30" x14ac:dyDescent="0.25">
      <c r="A6" s="23"/>
      <c r="B6" s="61" t="s">
        <v>10</v>
      </c>
      <c r="C6" s="67" t="s">
        <v>659</v>
      </c>
      <c r="D6" s="61">
        <v>314</v>
      </c>
      <c r="E6" s="68" t="s">
        <v>1059</v>
      </c>
      <c r="F6" s="65">
        <v>5.8127156666666657</v>
      </c>
      <c r="G6" s="71">
        <v>5.2980866999999989</v>
      </c>
      <c r="H6" s="71">
        <v>0</v>
      </c>
    </row>
    <row r="7" spans="1:8" x14ac:dyDescent="0.25">
      <c r="A7" s="23"/>
      <c r="B7" s="61" t="s">
        <v>11</v>
      </c>
      <c r="C7" s="67" t="s">
        <v>662</v>
      </c>
      <c r="D7" s="68">
        <v>15</v>
      </c>
      <c r="E7" s="68">
        <v>15</v>
      </c>
      <c r="F7" s="65">
        <v>3.5888249999999995</v>
      </c>
      <c r="G7" s="71">
        <v>0.23925499999999997</v>
      </c>
      <c r="H7" s="71">
        <v>0</v>
      </c>
    </row>
    <row r="8" spans="1:8" x14ac:dyDescent="0.25">
      <c r="A8" s="23"/>
      <c r="B8" s="61" t="s">
        <v>13</v>
      </c>
      <c r="C8" s="67" t="s">
        <v>669</v>
      </c>
      <c r="D8" s="61">
        <v>36</v>
      </c>
      <c r="E8" s="68">
        <v>36</v>
      </c>
      <c r="F8" s="65">
        <v>1.5872579999999998</v>
      </c>
      <c r="G8" s="71">
        <v>0</v>
      </c>
      <c r="H8" s="71">
        <v>0</v>
      </c>
    </row>
    <row r="9" spans="1:8" ht="30" x14ac:dyDescent="0.25">
      <c r="A9" s="23"/>
      <c r="B9" s="61" t="s">
        <v>14</v>
      </c>
      <c r="C9" s="66" t="s">
        <v>687</v>
      </c>
      <c r="D9" s="61">
        <v>2</v>
      </c>
      <c r="E9" s="61" t="s">
        <v>1059</v>
      </c>
      <c r="F9" s="65">
        <v>76.692399999999992</v>
      </c>
      <c r="G9" s="71">
        <v>0</v>
      </c>
      <c r="H9" s="71">
        <v>76.69</v>
      </c>
    </row>
    <row r="10" spans="1:8" ht="30" x14ac:dyDescent="0.25">
      <c r="A10" s="23"/>
      <c r="B10" s="61" t="s">
        <v>15</v>
      </c>
      <c r="C10" s="67" t="s">
        <v>749</v>
      </c>
      <c r="D10" s="61">
        <v>353</v>
      </c>
      <c r="E10" s="68">
        <v>600</v>
      </c>
      <c r="F10" s="65">
        <v>12.941097666666668</v>
      </c>
      <c r="G10" s="71">
        <v>9.055102333333334</v>
      </c>
      <c r="H10" s="71">
        <v>0</v>
      </c>
    </row>
    <row r="11" spans="1:8" ht="30" x14ac:dyDescent="0.25">
      <c r="A11" s="23"/>
      <c r="B11" s="61" t="s">
        <v>19</v>
      </c>
      <c r="C11" s="66" t="s">
        <v>688</v>
      </c>
      <c r="D11" s="61">
        <v>2</v>
      </c>
      <c r="E11" s="68" t="s">
        <v>1059</v>
      </c>
      <c r="F11" s="65">
        <v>6.2675000000000001</v>
      </c>
      <c r="G11" s="71">
        <v>6.2675000000000001</v>
      </c>
      <c r="H11" s="71">
        <v>12.54</v>
      </c>
    </row>
    <row r="12" spans="1:8" x14ac:dyDescent="0.25">
      <c r="A12" s="23"/>
      <c r="B12" s="61" t="s">
        <v>24</v>
      </c>
      <c r="C12" s="66" t="s">
        <v>1055</v>
      </c>
      <c r="D12" s="61">
        <v>39</v>
      </c>
      <c r="E12" s="68" t="s">
        <v>1059</v>
      </c>
      <c r="F12" s="65">
        <v>9.6327660000000002</v>
      </c>
      <c r="G12" s="71">
        <v>2.7169339999999997</v>
      </c>
      <c r="H12" s="71">
        <v>12.3497</v>
      </c>
    </row>
    <row r="13" spans="1:8" ht="30" x14ac:dyDescent="0.25">
      <c r="A13" s="23"/>
      <c r="B13" s="61" t="s">
        <v>25</v>
      </c>
      <c r="C13" s="67" t="s">
        <v>992</v>
      </c>
      <c r="D13" s="68">
        <v>3</v>
      </c>
      <c r="E13" s="68" t="s">
        <v>1059</v>
      </c>
      <c r="F13" s="65">
        <v>70.304999999999993</v>
      </c>
      <c r="G13" s="71">
        <v>0</v>
      </c>
      <c r="H13" s="71">
        <v>45.7</v>
      </c>
    </row>
    <row r="14" spans="1:8" x14ac:dyDescent="0.25">
      <c r="A14" s="23"/>
      <c r="B14" s="61" t="s">
        <v>33</v>
      </c>
      <c r="C14" s="66" t="s">
        <v>708</v>
      </c>
      <c r="D14" s="61">
        <v>9</v>
      </c>
      <c r="E14" s="68" t="s">
        <v>1059</v>
      </c>
      <c r="F14" s="65">
        <v>3.0524192307692308</v>
      </c>
      <c r="G14" s="71">
        <v>5.7656807692307694</v>
      </c>
      <c r="H14" s="71">
        <v>8.82</v>
      </c>
    </row>
    <row r="15" spans="1:8" x14ac:dyDescent="0.25">
      <c r="A15" s="23"/>
      <c r="B15" s="61" t="s">
        <v>63</v>
      </c>
      <c r="C15" s="67" t="s">
        <v>856</v>
      </c>
      <c r="D15" s="68">
        <v>1</v>
      </c>
      <c r="E15" s="68" t="s">
        <v>1059</v>
      </c>
      <c r="F15" s="65">
        <v>31.261199999999999</v>
      </c>
      <c r="G15" s="71">
        <v>0</v>
      </c>
      <c r="H15" s="71">
        <v>31.26</v>
      </c>
    </row>
    <row r="16" spans="1:8" x14ac:dyDescent="0.25">
      <c r="A16" s="23"/>
      <c r="B16" s="61" t="s">
        <v>89</v>
      </c>
      <c r="C16" s="66" t="s">
        <v>1016</v>
      </c>
      <c r="D16" s="61">
        <v>1</v>
      </c>
      <c r="E16" s="68" t="s">
        <v>1059</v>
      </c>
      <c r="F16" s="65">
        <v>16.339100000000002</v>
      </c>
      <c r="G16" s="71">
        <v>0</v>
      </c>
      <c r="H16" s="71">
        <v>16.339100000000002</v>
      </c>
    </row>
    <row r="17" spans="1:8" x14ac:dyDescent="0.25">
      <c r="A17" s="23"/>
      <c r="B17" s="61" t="s">
        <v>90</v>
      </c>
      <c r="C17" s="66" t="s">
        <v>1019</v>
      </c>
      <c r="D17" s="61">
        <v>1</v>
      </c>
      <c r="E17" s="68" t="s">
        <v>1059</v>
      </c>
      <c r="F17" s="65">
        <v>6.7035</v>
      </c>
      <c r="G17" s="71">
        <v>0</v>
      </c>
      <c r="H17" s="71">
        <v>6.7035</v>
      </c>
    </row>
    <row r="18" spans="1:8" x14ac:dyDescent="0.25">
      <c r="A18" s="23"/>
      <c r="B18" s="61" t="s">
        <v>95</v>
      </c>
      <c r="C18" s="66" t="s">
        <v>1028</v>
      </c>
      <c r="D18" s="61">
        <v>1</v>
      </c>
      <c r="E18" s="68" t="s">
        <v>1059</v>
      </c>
      <c r="F18" s="65">
        <v>7.5073749999999997</v>
      </c>
      <c r="G18" s="71">
        <v>0</v>
      </c>
      <c r="H18" s="71">
        <v>7.5073749999999997</v>
      </c>
    </row>
    <row r="19" spans="1:8" x14ac:dyDescent="0.25">
      <c r="A19" s="23"/>
      <c r="B19" s="61" t="s">
        <v>96</v>
      </c>
      <c r="C19" s="66" t="s">
        <v>1029</v>
      </c>
      <c r="D19" s="61">
        <v>1</v>
      </c>
      <c r="E19" s="68" t="s">
        <v>1059</v>
      </c>
      <c r="F19" s="65">
        <v>7.5073749999999997</v>
      </c>
      <c r="G19" s="71">
        <v>0</v>
      </c>
      <c r="H19" s="71">
        <v>7.5073749999999997</v>
      </c>
    </row>
    <row r="20" spans="1:8" x14ac:dyDescent="0.25">
      <c r="A20" s="23"/>
      <c r="B20" s="61" t="s">
        <v>97</v>
      </c>
      <c r="C20" s="66" t="s">
        <v>1030</v>
      </c>
      <c r="D20" s="61">
        <v>1</v>
      </c>
      <c r="E20" s="68" t="s">
        <v>1059</v>
      </c>
      <c r="F20" s="65">
        <v>7.5073749999999997</v>
      </c>
      <c r="G20" s="71">
        <v>0</v>
      </c>
      <c r="H20" s="71">
        <v>7.5073749999999997</v>
      </c>
    </row>
    <row r="21" spans="1:8" x14ac:dyDescent="0.25">
      <c r="A21" s="23"/>
      <c r="B21" s="61" t="s">
        <v>98</v>
      </c>
      <c r="C21" s="66" t="s">
        <v>1031</v>
      </c>
      <c r="D21" s="61">
        <v>1</v>
      </c>
      <c r="E21" s="68" t="s">
        <v>1059</v>
      </c>
      <c r="F21" s="65">
        <v>7.5073749999999997</v>
      </c>
      <c r="G21" s="71">
        <v>0</v>
      </c>
      <c r="H21" s="71">
        <v>7.5073749999999997</v>
      </c>
    </row>
    <row r="22" spans="1:8" ht="30" x14ac:dyDescent="0.25">
      <c r="A22" s="23" t="s">
        <v>698</v>
      </c>
      <c r="B22" s="61" t="s">
        <v>17</v>
      </c>
      <c r="C22" s="67" t="s">
        <v>685</v>
      </c>
      <c r="D22" s="68">
        <v>3</v>
      </c>
      <c r="E22" s="68" t="s">
        <v>1059</v>
      </c>
      <c r="F22" s="65">
        <v>90.002882211011155</v>
      </c>
      <c r="G22" s="71">
        <v>0</v>
      </c>
      <c r="H22" s="71">
        <v>67.62</v>
      </c>
    </row>
    <row r="23" spans="1:8" x14ac:dyDescent="0.25">
      <c r="A23" s="23"/>
      <c r="B23" s="61" t="s">
        <v>22</v>
      </c>
      <c r="C23" s="66" t="s">
        <v>1070</v>
      </c>
      <c r="D23" s="68">
        <v>1</v>
      </c>
      <c r="E23" s="68" t="s">
        <v>1059</v>
      </c>
      <c r="F23" s="65">
        <v>19.979999999999997</v>
      </c>
      <c r="G23" s="71">
        <v>0</v>
      </c>
      <c r="H23" s="71">
        <v>19.98</v>
      </c>
    </row>
    <row r="24" spans="1:8" x14ac:dyDescent="0.25">
      <c r="A24" s="23"/>
      <c r="B24" s="61" t="s">
        <v>27</v>
      </c>
      <c r="C24" s="66" t="s">
        <v>725</v>
      </c>
      <c r="D24" s="61">
        <v>1</v>
      </c>
      <c r="E24" s="68" t="s">
        <v>1059</v>
      </c>
      <c r="F24" s="65">
        <v>11.319500000000001</v>
      </c>
      <c r="G24" s="71">
        <v>0</v>
      </c>
      <c r="H24" s="71">
        <v>0</v>
      </c>
    </row>
    <row r="25" spans="1:8" x14ac:dyDescent="0.25">
      <c r="A25" s="61" t="s">
        <v>928</v>
      </c>
      <c r="B25" s="61" t="s">
        <v>12</v>
      </c>
      <c r="C25" s="66" t="s">
        <v>986</v>
      </c>
      <c r="D25" s="61">
        <v>4</v>
      </c>
      <c r="E25" s="68" t="s">
        <v>1059</v>
      </c>
      <c r="F25" s="65">
        <v>2.8069576661548576</v>
      </c>
      <c r="G25" s="71">
        <v>0</v>
      </c>
      <c r="H25" s="71">
        <v>2.8069576661548576</v>
      </c>
    </row>
    <row r="26" spans="1:8" x14ac:dyDescent="0.25">
      <c r="B26" s="61" t="s">
        <v>16</v>
      </c>
      <c r="C26" s="66" t="s">
        <v>740</v>
      </c>
      <c r="D26" s="61">
        <v>4</v>
      </c>
      <c r="E26" s="68" t="s">
        <v>1059</v>
      </c>
      <c r="F26" s="65">
        <v>1.9263434963807844</v>
      </c>
      <c r="G26" s="71">
        <v>0</v>
      </c>
      <c r="H26" s="71">
        <v>1.9263434963807844</v>
      </c>
    </row>
    <row r="27" spans="1:8" ht="30" x14ac:dyDescent="0.25">
      <c r="B27" s="61" t="s">
        <v>18</v>
      </c>
      <c r="C27" s="66" t="s">
        <v>757</v>
      </c>
      <c r="D27" s="61">
        <v>65</v>
      </c>
      <c r="E27" s="68" t="s">
        <v>1059</v>
      </c>
      <c r="F27" s="65">
        <v>8.1835199605176534</v>
      </c>
      <c r="G27" s="71">
        <v>4.4065107479710441</v>
      </c>
      <c r="H27" s="71">
        <v>12.590030708488698</v>
      </c>
    </row>
    <row r="28" spans="1:8" x14ac:dyDescent="0.25">
      <c r="B28" s="61" t="s">
        <v>21</v>
      </c>
      <c r="C28" s="66" t="s">
        <v>969</v>
      </c>
      <c r="D28" s="61">
        <v>12</v>
      </c>
      <c r="E28" s="68" t="s">
        <v>1059</v>
      </c>
      <c r="F28" s="65">
        <v>3.962763763983328</v>
      </c>
      <c r="G28" s="71">
        <v>0</v>
      </c>
      <c r="H28" s="71">
        <v>3.962763763983328</v>
      </c>
    </row>
    <row r="29" spans="1:8" x14ac:dyDescent="0.25">
      <c r="B29" s="61" t="s">
        <v>28</v>
      </c>
      <c r="C29" s="66" t="s">
        <v>728</v>
      </c>
      <c r="D29" s="61">
        <v>22</v>
      </c>
      <c r="E29" s="68" t="s">
        <v>1059</v>
      </c>
      <c r="F29" s="65">
        <v>1.498420048256196</v>
      </c>
      <c r="G29" s="71">
        <v>5.3125801710901497</v>
      </c>
      <c r="H29" s="71">
        <v>6.8110002193463455</v>
      </c>
    </row>
    <row r="30" spans="1:8" x14ac:dyDescent="0.25">
      <c r="B30" s="61" t="s">
        <v>32</v>
      </c>
      <c r="C30" s="66" t="s">
        <v>960</v>
      </c>
      <c r="D30" s="61">
        <v>8</v>
      </c>
      <c r="E30" s="68" t="s">
        <v>1059</v>
      </c>
      <c r="F30" s="65">
        <v>1.3209212546611093</v>
      </c>
      <c r="G30" s="71">
        <v>0</v>
      </c>
      <c r="H30" s="71">
        <v>1.3209212546611093</v>
      </c>
    </row>
    <row r="31" spans="1:8" x14ac:dyDescent="0.25">
      <c r="B31" s="61" t="s">
        <v>35</v>
      </c>
      <c r="C31" s="66" t="s">
        <v>989</v>
      </c>
      <c r="D31" s="61">
        <v>4</v>
      </c>
      <c r="E31" s="68" t="s">
        <v>1059</v>
      </c>
      <c r="F31" s="65">
        <v>2.0364202676025438</v>
      </c>
      <c r="G31" s="71">
        <v>0</v>
      </c>
      <c r="H31" s="71">
        <v>2.0364202676025438</v>
      </c>
    </row>
    <row r="32" spans="1:8" x14ac:dyDescent="0.25">
      <c r="B32" s="61" t="s">
        <v>36</v>
      </c>
      <c r="C32" s="66" t="s">
        <v>949</v>
      </c>
      <c r="D32" s="61">
        <v>4</v>
      </c>
      <c r="E32" s="68" t="s">
        <v>1059</v>
      </c>
      <c r="F32" s="65">
        <v>2.4216889668787003</v>
      </c>
      <c r="G32" s="71">
        <v>0</v>
      </c>
      <c r="H32" s="71">
        <v>2.4216889668787003</v>
      </c>
    </row>
    <row r="33" spans="1:8" x14ac:dyDescent="0.25">
      <c r="B33" s="61" t="s">
        <v>37</v>
      </c>
      <c r="C33" s="66" t="s">
        <v>951</v>
      </c>
      <c r="D33" s="61">
        <v>2</v>
      </c>
      <c r="E33" s="68" t="s">
        <v>1059</v>
      </c>
      <c r="F33" s="65">
        <v>0.495345470497916</v>
      </c>
      <c r="G33" s="71">
        <v>0</v>
      </c>
      <c r="H33" s="71">
        <v>0.495345470497916</v>
      </c>
    </row>
    <row r="34" spans="1:8" x14ac:dyDescent="0.25">
      <c r="B34" s="61" t="s">
        <v>38</v>
      </c>
      <c r="C34" s="66" t="s">
        <v>961</v>
      </c>
      <c r="D34" s="61">
        <v>2</v>
      </c>
      <c r="E34" s="68" t="s">
        <v>1059</v>
      </c>
      <c r="F34" s="65">
        <v>0.5503838561087957</v>
      </c>
      <c r="G34" s="71">
        <v>0</v>
      </c>
      <c r="H34" s="71">
        <v>0.5503838561087957</v>
      </c>
    </row>
    <row r="35" spans="1:8" ht="30" x14ac:dyDescent="0.25">
      <c r="B35" s="61" t="s">
        <v>39</v>
      </c>
      <c r="C35" s="66" t="s">
        <v>758</v>
      </c>
      <c r="D35" s="61">
        <v>20</v>
      </c>
      <c r="E35" s="68" t="s">
        <v>1059</v>
      </c>
      <c r="F35" s="65">
        <v>1.6126246983987713</v>
      </c>
      <c r="G35" s="71">
        <v>6.4504987935950853</v>
      </c>
      <c r="H35" s="71">
        <v>8.0631234919938564</v>
      </c>
    </row>
    <row r="36" spans="1:8" x14ac:dyDescent="0.25">
      <c r="B36" s="61" t="s">
        <v>40</v>
      </c>
      <c r="C36" s="66" t="s">
        <v>759</v>
      </c>
      <c r="D36" s="61">
        <v>46</v>
      </c>
      <c r="E36" s="68" t="s">
        <v>1059</v>
      </c>
      <c r="F36" s="65">
        <v>2.019083176135116</v>
      </c>
      <c r="G36" s="71">
        <v>2.3702280763325279</v>
      </c>
      <c r="H36" s="71">
        <v>4.3893112524676443</v>
      </c>
    </row>
    <row r="37" spans="1:8" x14ac:dyDescent="0.25">
      <c r="B37" s="61" t="s">
        <v>41</v>
      </c>
      <c r="C37" s="66" t="s">
        <v>760</v>
      </c>
      <c r="D37" s="61">
        <v>46</v>
      </c>
      <c r="E37" s="68" t="s">
        <v>1059</v>
      </c>
      <c r="F37" s="65">
        <v>0.69623557797762647</v>
      </c>
      <c r="G37" s="71">
        <v>0.81732002632156153</v>
      </c>
      <c r="H37" s="71">
        <v>1.513555604299188</v>
      </c>
    </row>
    <row r="38" spans="1:8" x14ac:dyDescent="0.25">
      <c r="B38" s="61" t="s">
        <v>46</v>
      </c>
      <c r="C38" s="66" t="s">
        <v>809</v>
      </c>
      <c r="D38" s="61">
        <v>6</v>
      </c>
      <c r="E38" s="68" t="s">
        <v>1059</v>
      </c>
      <c r="F38" s="65">
        <v>0.29720728229874965</v>
      </c>
      <c r="G38" s="71">
        <v>4.6562474226804111</v>
      </c>
      <c r="H38" s="71">
        <v>4.9534547049791611</v>
      </c>
    </row>
    <row r="39" spans="1:8" x14ac:dyDescent="0.25">
      <c r="B39" s="61" t="s">
        <v>47</v>
      </c>
      <c r="C39" s="66" t="s">
        <v>935</v>
      </c>
      <c r="D39" s="61">
        <v>30</v>
      </c>
      <c r="E39" s="68" t="s">
        <v>1059</v>
      </c>
      <c r="F39" s="65">
        <v>0.51598486510199593</v>
      </c>
      <c r="G39" s="71">
        <v>1.2039646852379906</v>
      </c>
      <c r="H39" s="71">
        <v>1.7199495503399866</v>
      </c>
    </row>
    <row r="40" spans="1:8" x14ac:dyDescent="0.25">
      <c r="B40" s="61" t="s">
        <v>67</v>
      </c>
      <c r="C40" s="66" t="s">
        <v>865</v>
      </c>
      <c r="D40" s="61">
        <v>12</v>
      </c>
      <c r="E40" s="68" t="s">
        <v>1059</v>
      </c>
      <c r="F40" s="65">
        <v>1.6511515683263871</v>
      </c>
      <c r="G40" s="71">
        <v>0</v>
      </c>
      <c r="H40" s="71">
        <v>1.6511515683263871</v>
      </c>
    </row>
    <row r="41" spans="1:8" x14ac:dyDescent="0.25">
      <c r="B41" s="61" t="s">
        <v>68</v>
      </c>
      <c r="C41" s="66" t="s">
        <v>868</v>
      </c>
      <c r="D41" s="61">
        <v>9</v>
      </c>
      <c r="E41" s="68" t="s">
        <v>1059</v>
      </c>
      <c r="F41" s="65">
        <v>0.21919037069532785</v>
      </c>
      <c r="G41" s="71">
        <v>2.2162581925860927</v>
      </c>
      <c r="H41" s="71">
        <v>2.4354485632814207</v>
      </c>
    </row>
    <row r="42" spans="1:8" x14ac:dyDescent="0.25">
      <c r="B42" s="61" t="s">
        <v>69</v>
      </c>
      <c r="C42" s="66" t="s">
        <v>879</v>
      </c>
      <c r="D42" s="61">
        <v>8</v>
      </c>
      <c r="E42" s="68" t="s">
        <v>1059</v>
      </c>
      <c r="F42" s="65">
        <v>1.7612283395481458</v>
      </c>
      <c r="G42" s="71">
        <v>0</v>
      </c>
      <c r="H42" s="71">
        <v>1.7612283395481458</v>
      </c>
    </row>
    <row r="43" spans="1:8" x14ac:dyDescent="0.25">
      <c r="B43" s="61" t="s">
        <v>77</v>
      </c>
      <c r="C43" s="66" t="s">
        <v>974</v>
      </c>
      <c r="D43" s="61">
        <v>12</v>
      </c>
      <c r="E43" s="68" t="s">
        <v>1059</v>
      </c>
      <c r="F43" s="65">
        <v>1.3209212546611093</v>
      </c>
      <c r="G43" s="71">
        <v>0</v>
      </c>
      <c r="H43" s="71">
        <v>1.3209212546611093</v>
      </c>
    </row>
    <row r="44" spans="1:8" x14ac:dyDescent="0.25">
      <c r="A44" s="61" t="s">
        <v>1000</v>
      </c>
      <c r="B44" s="61" t="s">
        <v>91</v>
      </c>
      <c r="C44" s="66" t="s">
        <v>1021</v>
      </c>
      <c r="D44" s="61">
        <v>1</v>
      </c>
      <c r="E44" s="68" t="s">
        <v>1059</v>
      </c>
      <c r="F44" s="65">
        <v>4.6287799999999999</v>
      </c>
      <c r="G44" s="71">
        <v>0</v>
      </c>
      <c r="H44" s="71">
        <v>4.6287799999999999</v>
      </c>
    </row>
    <row r="45" spans="1:8" x14ac:dyDescent="0.25">
      <c r="B45" s="61" t="s">
        <v>93</v>
      </c>
      <c r="C45" s="66" t="s">
        <v>1024</v>
      </c>
      <c r="D45" s="61">
        <v>10</v>
      </c>
      <c r="E45" s="68" t="s">
        <v>1059</v>
      </c>
      <c r="F45" s="65">
        <v>5.1722399999999986</v>
      </c>
      <c r="G45" s="71">
        <v>0</v>
      </c>
      <c r="H45" s="71">
        <v>5.1722399999999986</v>
      </c>
    </row>
    <row r="46" spans="1:8" x14ac:dyDescent="0.25">
      <c r="B46" s="61" t="s">
        <v>94</v>
      </c>
      <c r="C46" s="66" t="s">
        <v>1026</v>
      </c>
      <c r="D46" s="61">
        <v>10</v>
      </c>
      <c r="E46" s="68" t="s">
        <v>1059</v>
      </c>
      <c r="F46" s="65">
        <v>3.1857999999999995</v>
      </c>
      <c r="G46" s="71">
        <v>0</v>
      </c>
      <c r="H46" s="71">
        <v>3.1857999999999995</v>
      </c>
    </row>
    <row r="47" spans="1:8" x14ac:dyDescent="0.25">
      <c r="A47" s="61" t="s">
        <v>1034</v>
      </c>
      <c r="B47" s="61" t="s">
        <v>99</v>
      </c>
      <c r="C47" s="66" t="s">
        <v>1033</v>
      </c>
      <c r="D47" s="61">
        <v>1</v>
      </c>
      <c r="E47" s="68" t="s">
        <v>1059</v>
      </c>
      <c r="F47" s="65">
        <v>17.97</v>
      </c>
      <c r="G47" s="71">
        <v>0</v>
      </c>
      <c r="H47" s="71">
        <v>17.97</v>
      </c>
    </row>
    <row r="48" spans="1:8" ht="30" x14ac:dyDescent="0.25">
      <c r="A48" s="61" t="s">
        <v>693</v>
      </c>
      <c r="B48" s="61" t="s">
        <v>20</v>
      </c>
      <c r="C48" s="66" t="s">
        <v>937</v>
      </c>
      <c r="D48" s="61">
        <v>3</v>
      </c>
      <c r="E48" s="61" t="s">
        <v>1059</v>
      </c>
      <c r="F48" s="65">
        <v>132.61000000000001</v>
      </c>
      <c r="G48" s="71">
        <v>0</v>
      </c>
      <c r="H48" s="71">
        <v>132.61000000000001</v>
      </c>
    </row>
    <row r="49" spans="1:8" x14ac:dyDescent="0.25">
      <c r="A49" s="23" t="s">
        <v>704</v>
      </c>
      <c r="B49" s="61" t="s">
        <v>29</v>
      </c>
      <c r="C49" s="67" t="s">
        <v>981</v>
      </c>
      <c r="D49" s="68">
        <v>3</v>
      </c>
      <c r="E49" s="68">
        <v>3</v>
      </c>
      <c r="F49" s="65">
        <v>14.308125</v>
      </c>
      <c r="G49" s="71">
        <v>4.7693750000000001</v>
      </c>
      <c r="H49" s="71">
        <v>0</v>
      </c>
    </row>
    <row r="50" spans="1:8" x14ac:dyDescent="0.25">
      <c r="A50" s="23"/>
      <c r="B50" s="61" t="s">
        <v>31</v>
      </c>
      <c r="C50" s="67" t="s">
        <v>904</v>
      </c>
      <c r="D50" s="68">
        <v>2</v>
      </c>
      <c r="E50" s="68" t="s">
        <v>1059</v>
      </c>
      <c r="F50" s="65">
        <v>9.5108931000000005</v>
      </c>
      <c r="G50" s="71">
        <v>0</v>
      </c>
      <c r="H50" s="71">
        <v>9.51</v>
      </c>
    </row>
    <row r="51" spans="1:8" x14ac:dyDescent="0.25">
      <c r="A51" s="23"/>
      <c r="B51" s="61" t="s">
        <v>51</v>
      </c>
      <c r="C51" s="67" t="s">
        <v>911</v>
      </c>
      <c r="D51" s="68">
        <v>3</v>
      </c>
      <c r="E51" s="68">
        <v>3</v>
      </c>
      <c r="F51" s="65">
        <v>16.352499999999999</v>
      </c>
      <c r="G51" s="71">
        <v>0</v>
      </c>
      <c r="H51" s="71">
        <v>0</v>
      </c>
    </row>
    <row r="52" spans="1:8" x14ac:dyDescent="0.25">
      <c r="A52" s="23"/>
      <c r="B52" s="61" t="s">
        <v>70</v>
      </c>
      <c r="C52" s="67" t="s">
        <v>882</v>
      </c>
      <c r="D52" s="68">
        <v>12</v>
      </c>
      <c r="E52" s="68">
        <v>12</v>
      </c>
      <c r="F52" s="65">
        <v>4.7188615384615389</v>
      </c>
      <c r="G52" s="71">
        <v>1.5729538461538461</v>
      </c>
      <c r="H52" s="71">
        <v>0</v>
      </c>
    </row>
    <row r="53" spans="1:8" x14ac:dyDescent="0.25">
      <c r="A53" s="61" t="s">
        <v>964</v>
      </c>
      <c r="B53" s="61" t="s">
        <v>26</v>
      </c>
      <c r="C53" s="66" t="s">
        <v>979</v>
      </c>
      <c r="D53" s="68">
        <v>3</v>
      </c>
      <c r="E53" s="68" t="s">
        <v>1059</v>
      </c>
      <c r="F53" s="65">
        <v>65.511750000000006</v>
      </c>
      <c r="G53" s="71">
        <v>0</v>
      </c>
      <c r="H53" s="71">
        <v>65.510000000000005</v>
      </c>
    </row>
    <row r="54" spans="1:8" x14ac:dyDescent="0.25">
      <c r="B54" s="61" t="s">
        <v>66</v>
      </c>
      <c r="C54" s="66" t="s">
        <v>860</v>
      </c>
      <c r="D54" s="68">
        <v>3</v>
      </c>
      <c r="E54" s="68" t="s">
        <v>1059</v>
      </c>
      <c r="F54" s="65">
        <v>15.266750000000002</v>
      </c>
      <c r="G54" s="71">
        <v>0</v>
      </c>
      <c r="H54" s="71">
        <v>15.27</v>
      </c>
    </row>
    <row r="55" spans="1:8" x14ac:dyDescent="0.25">
      <c r="A55" s="68" t="s">
        <v>1058</v>
      </c>
      <c r="B55" s="68"/>
      <c r="C55" s="68"/>
      <c r="F55" s="65">
        <v>838.41595529776043</v>
      </c>
      <c r="G55" s="71">
        <v>66.059315764532812</v>
      </c>
      <c r="H55" s="71">
        <v>644.61861999999996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5"/>
  <sheetViews>
    <sheetView workbookViewId="0">
      <pane ySplit="3" topLeftCell="A170" activePane="bottomLeft" state="frozen"/>
      <selection pane="bottomLeft" activeCell="E95" sqref="E95"/>
    </sheetView>
  </sheetViews>
  <sheetFormatPr defaultColWidth="9.140625" defaultRowHeight="15" x14ac:dyDescent="0.25"/>
  <cols>
    <col min="1" max="1" width="9.140625" style="1"/>
    <col min="2" max="2" width="7" style="2" customWidth="1"/>
    <col min="3" max="3" width="47.7109375" style="6" customWidth="1"/>
    <col min="4" max="4" width="14.42578125" style="2" customWidth="1"/>
    <col min="5" max="5" width="10.140625" style="2" customWidth="1"/>
    <col min="6" max="6" width="9.140625" style="2"/>
    <col min="7" max="7" width="64.42578125" style="1" customWidth="1"/>
    <col min="8" max="8" width="15.7109375" style="2" customWidth="1"/>
    <col min="9" max="9" width="15.7109375" style="44" customWidth="1"/>
    <col min="10" max="19" width="4" style="4" customWidth="1"/>
    <col min="20" max="16384" width="9.140625" style="1"/>
  </cols>
  <sheetData>
    <row r="1" spans="1:22" x14ac:dyDescent="0.25">
      <c r="U1" s="50">
        <f>SUM(U4:U445)</f>
        <v>550.98768221101113</v>
      </c>
    </row>
    <row r="2" spans="1:22" ht="45" customHeight="1" x14ac:dyDescent="0.25">
      <c r="A2" s="106" t="s">
        <v>941</v>
      </c>
      <c r="B2" s="107" t="s">
        <v>668</v>
      </c>
      <c r="C2" s="108" t="s">
        <v>641</v>
      </c>
      <c r="D2" s="108" t="s">
        <v>0</v>
      </c>
      <c r="E2" s="108" t="s">
        <v>639</v>
      </c>
      <c r="F2" s="107" t="s">
        <v>915</v>
      </c>
      <c r="G2" s="108" t="s">
        <v>642</v>
      </c>
      <c r="H2" s="107" t="s">
        <v>666</v>
      </c>
      <c r="I2" s="43" t="s">
        <v>696</v>
      </c>
      <c r="J2" s="107" t="s">
        <v>667</v>
      </c>
      <c r="K2" s="107"/>
      <c r="L2" s="107"/>
      <c r="M2" s="107"/>
      <c r="N2" s="107"/>
      <c r="O2" s="107"/>
      <c r="P2" s="107"/>
      <c r="Q2" s="107"/>
      <c r="R2" s="107"/>
      <c r="S2" s="107"/>
      <c r="U2" s="107" t="s">
        <v>918</v>
      </c>
      <c r="V2" s="106" t="s">
        <v>943</v>
      </c>
    </row>
    <row r="3" spans="1:22" x14ac:dyDescent="0.25">
      <c r="A3" s="106"/>
      <c r="B3" s="107"/>
      <c r="C3" s="108"/>
      <c r="D3" s="108"/>
      <c r="E3" s="108"/>
      <c r="F3" s="107"/>
      <c r="G3" s="108"/>
      <c r="H3" s="107"/>
      <c r="I3" s="43"/>
      <c r="J3" s="9">
        <v>0</v>
      </c>
      <c r="K3" s="9">
        <v>1</v>
      </c>
      <c r="L3" s="9">
        <v>2</v>
      </c>
      <c r="M3" s="9">
        <v>3</v>
      </c>
      <c r="N3" s="9">
        <v>4</v>
      </c>
      <c r="O3" s="9">
        <v>5</v>
      </c>
      <c r="P3" s="9">
        <v>6</v>
      </c>
      <c r="Q3" s="9">
        <v>7</v>
      </c>
      <c r="R3" s="9">
        <v>8</v>
      </c>
      <c r="S3" s="9">
        <v>9</v>
      </c>
      <c r="U3" s="107"/>
      <c r="V3" s="106"/>
    </row>
    <row r="4" spans="1:22" x14ac:dyDescent="0.25">
      <c r="A4" s="2">
        <v>1</v>
      </c>
      <c r="B4" s="2">
        <v>0</v>
      </c>
      <c r="C4" s="6" t="s">
        <v>640</v>
      </c>
      <c r="E4" s="2">
        <v>1</v>
      </c>
      <c r="G4" s="1" t="str">
        <f>IF(D4="","",VLOOKUP(D4,Table1[#All],2,FALSE))</f>
        <v/>
      </c>
      <c r="H4" s="2">
        <f>PRODUCT(J4:S4)</f>
        <v>1</v>
      </c>
      <c r="I4" s="44">
        <f>SUM(I5,I68,I93,I132,I136,I199,I208,I217,I228,I238)</f>
        <v>1865.2569973431609</v>
      </c>
      <c r="J4" s="4">
        <f t="shared" ref="J4:S5" si="0">IF($B4="",J3,
    IF(J$3=$B4,$E4,
       IF(J$3&lt;$B4,J3,
           1
)))</f>
        <v>1</v>
      </c>
      <c r="K4" s="4">
        <f t="shared" si="0"/>
        <v>1</v>
      </c>
      <c r="L4" s="4">
        <f t="shared" si="0"/>
        <v>1</v>
      </c>
      <c r="M4" s="4">
        <f t="shared" si="0"/>
        <v>1</v>
      </c>
      <c r="N4" s="4">
        <f t="shared" si="0"/>
        <v>1</v>
      </c>
      <c r="O4" s="4">
        <f t="shared" si="0"/>
        <v>1</v>
      </c>
      <c r="P4" s="4">
        <f t="shared" si="0"/>
        <v>1</v>
      </c>
      <c r="Q4" s="4">
        <f t="shared" si="0"/>
        <v>1</v>
      </c>
      <c r="R4" s="4">
        <f t="shared" si="0"/>
        <v>1</v>
      </c>
      <c r="S4" s="4">
        <f t="shared" si="0"/>
        <v>1</v>
      </c>
      <c r="U4" s="3">
        <f t="shared" ref="U4:U11" si="1">IF(F4="x",I4,0)</f>
        <v>0</v>
      </c>
      <c r="V4" s="1" t="str">
        <f t="shared" ref="V4:V67" si="2">IF(F4="x",D4,"")</f>
        <v/>
      </c>
    </row>
    <row r="5" spans="1:22" ht="15.75" x14ac:dyDescent="0.25">
      <c r="A5" s="2">
        <v>2</v>
      </c>
      <c r="B5" s="2">
        <v>1</v>
      </c>
      <c r="C5" s="7" t="s">
        <v>643</v>
      </c>
      <c r="E5" s="2">
        <v>1</v>
      </c>
      <c r="G5" s="46" t="str">
        <f>IF(D5="","",VLOOKUP(D5,Table1[#All],2,FALSE))</f>
        <v/>
      </c>
      <c r="H5" s="2">
        <f>PRODUCT(J5:S5)</f>
        <v>1</v>
      </c>
      <c r="I5" s="47">
        <f>H5*SUM(I7,I9,I17,I25,I35,I45,I53,I61,I63:I66)</f>
        <v>388.06737730932889</v>
      </c>
      <c r="J5" s="4">
        <f t="shared" si="0"/>
        <v>1</v>
      </c>
      <c r="K5" s="4">
        <f t="shared" si="0"/>
        <v>1</v>
      </c>
      <c r="L5" s="4">
        <f t="shared" si="0"/>
        <v>1</v>
      </c>
      <c r="M5" s="4">
        <f t="shared" si="0"/>
        <v>1</v>
      </c>
      <c r="N5" s="4">
        <f t="shared" si="0"/>
        <v>1</v>
      </c>
      <c r="O5" s="4">
        <f t="shared" si="0"/>
        <v>1</v>
      </c>
      <c r="P5" s="4">
        <f t="shared" si="0"/>
        <v>1</v>
      </c>
      <c r="Q5" s="4">
        <f t="shared" si="0"/>
        <v>1</v>
      </c>
      <c r="R5" s="4">
        <f t="shared" si="0"/>
        <v>1</v>
      </c>
      <c r="S5" s="4">
        <f t="shared" si="0"/>
        <v>1</v>
      </c>
      <c r="U5" s="3">
        <f t="shared" si="1"/>
        <v>0</v>
      </c>
      <c r="V5" s="1" t="str">
        <f t="shared" si="2"/>
        <v/>
      </c>
    </row>
    <row r="6" spans="1:22" x14ac:dyDescent="0.25">
      <c r="A6" s="2">
        <v>3</v>
      </c>
      <c r="C6" s="7"/>
      <c r="I6" s="44" t="str">
        <f>IF(D6&lt;&gt;"",(VLOOKUP(D6,part_details,4,FALSE)+VLOOKUP(D6,part_details,5,FALSE)+VLOOKUP(D6,part_details,6,FALSE))*'Multi-level BOM'!E6,"")</f>
        <v/>
      </c>
      <c r="J6" s="4">
        <f>IF($B6="",J5,
    IF(J$3=$B6,$E6,
       IF(J$3&lt;$B6,J5,
           1
)))</f>
        <v>1</v>
      </c>
      <c r="K6" s="4">
        <f t="shared" ref="K6:S7" si="3">IF($B6="",K5,
    IF(K$3=$B6,$E6,
       IF(K$3&lt;$B6,K5,
           1
)))</f>
        <v>1</v>
      </c>
      <c r="L6" s="4">
        <f t="shared" si="3"/>
        <v>1</v>
      </c>
      <c r="M6" s="4">
        <f t="shared" si="3"/>
        <v>1</v>
      </c>
      <c r="N6" s="4">
        <f t="shared" si="3"/>
        <v>1</v>
      </c>
      <c r="O6" s="4">
        <f t="shared" si="3"/>
        <v>1</v>
      </c>
      <c r="P6" s="4">
        <f t="shared" si="3"/>
        <v>1</v>
      </c>
      <c r="Q6" s="4">
        <f t="shared" si="3"/>
        <v>1</v>
      </c>
      <c r="R6" s="4">
        <f t="shared" si="3"/>
        <v>1</v>
      </c>
      <c r="S6" s="4">
        <f t="shared" si="3"/>
        <v>1</v>
      </c>
      <c r="U6" s="3">
        <f t="shared" si="1"/>
        <v>0</v>
      </c>
      <c r="V6" s="1" t="str">
        <f t="shared" si="2"/>
        <v/>
      </c>
    </row>
    <row r="7" spans="1:22" x14ac:dyDescent="0.25">
      <c r="A7" s="2">
        <v>4</v>
      </c>
      <c r="B7" s="2">
        <v>2</v>
      </c>
      <c r="C7" s="7" t="s">
        <v>647</v>
      </c>
      <c r="D7" s="2" t="s">
        <v>7</v>
      </c>
      <c r="E7" s="2">
        <v>1</v>
      </c>
      <c r="F7" s="2" t="s">
        <v>916</v>
      </c>
      <c r="G7" s="1" t="str">
        <f>IF(D7="","",VLOOKUP(D7,Table1[#All],2,FALSE))</f>
        <v xml:space="preserve">3/8" thick Cast aluminum plate, 28" x 24" </v>
      </c>
      <c r="H7" s="2">
        <f>PRODUCT(J7:S7)</f>
        <v>1</v>
      </c>
      <c r="I7" s="44">
        <f>IF(D7&lt;&gt;"",(VLOOKUP(D7,part_details,4,FALSE)+VLOOKUP(D7,part_details,5,FALSE)+VLOOKUP(D7,part_details,6,FALSE))*'Multi-level BOM'!E7,"")</f>
        <v>137.435</v>
      </c>
      <c r="J7" s="4">
        <f>IF($B7="",J6,
    IF(J$3=$B7,$E7,
       IF(J$3&lt;$B7,J6,
           1
)))</f>
        <v>1</v>
      </c>
      <c r="K7" s="4">
        <f t="shared" si="3"/>
        <v>1</v>
      </c>
      <c r="L7" s="4">
        <f t="shared" si="3"/>
        <v>1</v>
      </c>
      <c r="M7" s="4">
        <f t="shared" si="3"/>
        <v>1</v>
      </c>
      <c r="N7" s="4">
        <f t="shared" si="3"/>
        <v>1</v>
      </c>
      <c r="O7" s="4">
        <f t="shared" si="3"/>
        <v>1</v>
      </c>
      <c r="P7" s="4">
        <f t="shared" si="3"/>
        <v>1</v>
      </c>
      <c r="Q7" s="4">
        <f t="shared" si="3"/>
        <v>1</v>
      </c>
      <c r="R7" s="4">
        <f t="shared" si="3"/>
        <v>1</v>
      </c>
      <c r="S7" s="4">
        <f t="shared" si="3"/>
        <v>1</v>
      </c>
      <c r="U7" s="3">
        <f t="shared" si="1"/>
        <v>137.435</v>
      </c>
      <c r="V7" s="1" t="str">
        <f t="shared" si="2"/>
        <v>A-0001</v>
      </c>
    </row>
    <row r="8" spans="1:22" x14ac:dyDescent="0.25">
      <c r="A8" s="2">
        <v>5</v>
      </c>
      <c r="C8" s="7"/>
      <c r="G8" s="1" t="str">
        <f>IF(D8="","",VLOOKUP(D8,Table1[#All],2,FALSE))</f>
        <v/>
      </c>
      <c r="I8" s="44" t="str">
        <f>IF(D8&lt;&gt;"",(VLOOKUP(D8,part_details,4,FALSE)+VLOOKUP(D8,part_details,5,FALSE)+VLOOKUP(D8,part_details,6,FALSE))*'Multi-level BOM'!E8,"")</f>
        <v/>
      </c>
      <c r="J8" s="4">
        <f t="shared" ref="J8:J96" si="4">IF($B8="",J7,
    IF(J$3=$B8,$E8,
       IF(J$3&lt;$B8,J7,
           1
)))</f>
        <v>1</v>
      </c>
      <c r="K8" s="4">
        <f t="shared" ref="K8:K96" si="5">IF($B8="",K7,
    IF(K$3=$B8,$E8,
       IF(K$3&lt;$B8,K7,
           1
)))</f>
        <v>1</v>
      </c>
      <c r="L8" s="4">
        <f t="shared" ref="L8:L96" si="6">IF($B8="",L7,
    IF(L$3=$B8,$E8,
       IF(L$3&lt;$B8,L7,
           1
)))</f>
        <v>1</v>
      </c>
      <c r="M8" s="4">
        <f t="shared" ref="M8:M96" si="7">IF($B8="",M7,
    IF(M$3=$B8,$E8,
       IF(M$3&lt;$B8,M7,
           1
)))</f>
        <v>1</v>
      </c>
      <c r="N8" s="4">
        <f t="shared" ref="N8:N96" si="8">IF($B8="",N7,
    IF(N$3=$B8,$E8,
       IF(N$3&lt;$B8,N7,
           1
)))</f>
        <v>1</v>
      </c>
      <c r="O8" s="4">
        <f t="shared" ref="O8:O96" si="9">IF($B8="",O7,
    IF(O$3=$B8,$E8,
       IF(O$3&lt;$B8,O7,
           1
)))</f>
        <v>1</v>
      </c>
      <c r="P8" s="4">
        <f t="shared" ref="P8:P96" si="10">IF($B8="",P7,
    IF(P$3=$B8,$E8,
       IF(P$3&lt;$B8,P7,
           1
)))</f>
        <v>1</v>
      </c>
      <c r="Q8" s="4">
        <f t="shared" ref="Q8:Q96" si="11">IF($B8="",Q7,
    IF(Q$3=$B8,$E8,
       IF(Q$3&lt;$B8,Q7,
           1
)))</f>
        <v>1</v>
      </c>
      <c r="R8" s="4">
        <f t="shared" ref="R8:R96" si="12">IF($B8="",R7,
    IF(R$3=$B8,$E8,
       IF(R$3&lt;$B8,R7,
           1
)))</f>
        <v>1</v>
      </c>
      <c r="S8" s="4">
        <f t="shared" ref="S8:S96" si="13">IF($B8="",S7,
    IF(S$3=$B8,$E8,
       IF(S$3&lt;$B8,S7,
           1
)))</f>
        <v>1</v>
      </c>
      <c r="U8" s="3">
        <f t="shared" si="1"/>
        <v>0</v>
      </c>
      <c r="V8" s="1" t="str">
        <f t="shared" si="2"/>
        <v/>
      </c>
    </row>
    <row r="9" spans="1:22" x14ac:dyDescent="0.25">
      <c r="A9" s="2">
        <v>6</v>
      </c>
      <c r="B9" s="2">
        <v>2</v>
      </c>
      <c r="C9" s="7" t="s">
        <v>982</v>
      </c>
      <c r="E9" s="2">
        <v>4</v>
      </c>
      <c r="G9" s="1" t="str">
        <f>IF(D9="","",VLOOKUP(D9,Table1[#All],2,FALSE))</f>
        <v/>
      </c>
      <c r="H9" s="2">
        <f t="shared" ref="H9:H14" si="14">PRODUCT(J9:S9)</f>
        <v>4</v>
      </c>
      <c r="I9" s="45">
        <f>H9*SUM(I10:I15)</f>
        <v>18.244258841595375</v>
      </c>
      <c r="J9" s="4">
        <f t="shared" si="4"/>
        <v>1</v>
      </c>
      <c r="K9" s="4">
        <f t="shared" si="5"/>
        <v>1</v>
      </c>
      <c r="L9" s="4">
        <f t="shared" si="6"/>
        <v>4</v>
      </c>
      <c r="M9" s="4">
        <f t="shared" si="7"/>
        <v>1</v>
      </c>
      <c r="N9" s="4">
        <f t="shared" si="8"/>
        <v>1</v>
      </c>
      <c r="O9" s="4">
        <f t="shared" si="9"/>
        <v>1</v>
      </c>
      <c r="P9" s="4">
        <f t="shared" si="10"/>
        <v>1</v>
      </c>
      <c r="Q9" s="4">
        <f t="shared" si="11"/>
        <v>1</v>
      </c>
      <c r="R9" s="4">
        <f t="shared" si="12"/>
        <v>1</v>
      </c>
      <c r="S9" s="4">
        <f t="shared" si="13"/>
        <v>1</v>
      </c>
      <c r="U9" s="3">
        <f t="shared" si="1"/>
        <v>0</v>
      </c>
      <c r="V9" s="1" t="str">
        <f t="shared" si="2"/>
        <v/>
      </c>
    </row>
    <row r="10" spans="1:22" x14ac:dyDescent="0.25">
      <c r="A10" s="2">
        <v>7</v>
      </c>
      <c r="B10" s="2">
        <v>3</v>
      </c>
      <c r="C10" s="7" t="s">
        <v>658</v>
      </c>
      <c r="D10" s="2" t="s">
        <v>9</v>
      </c>
      <c r="E10" s="2">
        <v>2</v>
      </c>
      <c r="G10" s="1" t="str">
        <f>IF(D10="","",VLOOKUP(D10,Table1[#All],2,FALSE))</f>
        <v xml:space="preserve">Bearing, Flange F606ZZ, 6mm x 17mm x 6mm </v>
      </c>
      <c r="H10" s="2">
        <f t="shared" si="14"/>
        <v>8</v>
      </c>
      <c r="I10" s="44">
        <f>IF(D10&lt;&gt;"",(VLOOKUP(D10,part_details,4,FALSE)+VLOOKUP(D10,part_details,5,FALSE)+VLOOKUP(D10,part_details,6,FALSE))*'Multi-level BOM'!E10,"")</f>
        <v>2.94082</v>
      </c>
      <c r="J10" s="4">
        <f t="shared" si="4"/>
        <v>1</v>
      </c>
      <c r="K10" s="4">
        <f t="shared" si="5"/>
        <v>1</v>
      </c>
      <c r="L10" s="4">
        <f t="shared" si="6"/>
        <v>4</v>
      </c>
      <c r="M10" s="4">
        <f t="shared" si="7"/>
        <v>2</v>
      </c>
      <c r="N10" s="4">
        <f t="shared" si="8"/>
        <v>1</v>
      </c>
      <c r="O10" s="4">
        <f t="shared" si="9"/>
        <v>1</v>
      </c>
      <c r="P10" s="4">
        <f t="shared" si="10"/>
        <v>1</v>
      </c>
      <c r="Q10" s="4">
        <f t="shared" si="11"/>
        <v>1</v>
      </c>
      <c r="R10" s="4">
        <f t="shared" si="12"/>
        <v>1</v>
      </c>
      <c r="S10" s="4">
        <f t="shared" si="13"/>
        <v>1</v>
      </c>
      <c r="U10" s="3">
        <f t="shared" si="1"/>
        <v>0</v>
      </c>
      <c r="V10" s="1" t="str">
        <f t="shared" si="2"/>
        <v/>
      </c>
    </row>
    <row r="11" spans="1:22" x14ac:dyDescent="0.25">
      <c r="A11" s="2">
        <v>8</v>
      </c>
      <c r="B11" s="2">
        <v>3</v>
      </c>
      <c r="C11" s="7" t="s">
        <v>676</v>
      </c>
      <c r="D11" s="2" t="s">
        <v>10</v>
      </c>
      <c r="E11" s="2">
        <f>23.25+5</f>
        <v>28.25</v>
      </c>
      <c r="G11" s="1" t="str">
        <f>IF(D11="","",VLOOKUP(D11,Table1[#All],2,FALSE))</f>
        <v>uxcell 6063 Aluminum Round Tube 300mm Length 12.7mm OD 6mm Inner Dia Seamless Aluminum Straight Tubing 2 Pcs</v>
      </c>
      <c r="H11" s="2">
        <f t="shared" si="14"/>
        <v>113</v>
      </c>
      <c r="I11" s="44">
        <f>IF(D11&lt;&gt;"",(VLOOKUP(D11,part_details,4,FALSE)+VLOOKUP(D11,part_details,5,FALSE)+VLOOKUP(D11,part_details,6,FALSE))*'Multi-level BOM'!E11,"")</f>
        <v>0.52295929166666666</v>
      </c>
      <c r="J11" s="4">
        <f t="shared" si="4"/>
        <v>1</v>
      </c>
      <c r="K11" s="4">
        <f t="shared" si="5"/>
        <v>1</v>
      </c>
      <c r="L11" s="4">
        <f t="shared" si="6"/>
        <v>4</v>
      </c>
      <c r="M11" s="4">
        <f t="shared" si="7"/>
        <v>28.25</v>
      </c>
      <c r="N11" s="4">
        <f t="shared" si="8"/>
        <v>1</v>
      </c>
      <c r="O11" s="4">
        <f t="shared" si="9"/>
        <v>1</v>
      </c>
      <c r="P11" s="4">
        <f t="shared" si="10"/>
        <v>1</v>
      </c>
      <c r="Q11" s="4">
        <f t="shared" si="11"/>
        <v>1</v>
      </c>
      <c r="R11" s="4">
        <f t="shared" si="12"/>
        <v>1</v>
      </c>
      <c r="S11" s="4">
        <f t="shared" si="13"/>
        <v>1</v>
      </c>
      <c r="U11" s="3">
        <f t="shared" si="1"/>
        <v>0</v>
      </c>
      <c r="V11" s="1" t="str">
        <f t="shared" si="2"/>
        <v/>
      </c>
    </row>
    <row r="12" spans="1:22" x14ac:dyDescent="0.25">
      <c r="A12" s="2">
        <v>9</v>
      </c>
      <c r="B12" s="2">
        <v>3</v>
      </c>
      <c r="C12" s="7" t="s">
        <v>661</v>
      </c>
      <c r="D12" s="41" t="s">
        <v>11</v>
      </c>
      <c r="E12" s="2">
        <v>1</v>
      </c>
      <c r="G12" s="1" t="str">
        <f>IF(D12="","",VLOOKUP(D12,Table1[#All],2,FALSE))</f>
        <v xml:space="preserve">K &amp; S PRECISION METALS 251 .010x4x10 BRS SHT Metal </v>
      </c>
      <c r="H12" s="2">
        <f t="shared" si="14"/>
        <v>4</v>
      </c>
      <c r="I12" s="44">
        <f>IF(D12&lt;&gt;"",(VLOOKUP(D12,part_details,4,FALSE)+VLOOKUP(D12,part_details,5,FALSE)+VLOOKUP(D12,part_details,6,FALSE))*'Multi-level BOM'!E12,"")</f>
        <v>0.23925499999999997</v>
      </c>
      <c r="J12" s="4">
        <f t="shared" si="4"/>
        <v>1</v>
      </c>
      <c r="K12" s="4">
        <f t="shared" si="5"/>
        <v>1</v>
      </c>
      <c r="L12" s="4">
        <f t="shared" si="6"/>
        <v>4</v>
      </c>
      <c r="M12" s="4">
        <f t="shared" si="7"/>
        <v>1</v>
      </c>
      <c r="N12" s="4">
        <f t="shared" si="8"/>
        <v>1</v>
      </c>
      <c r="O12" s="4">
        <f t="shared" si="9"/>
        <v>1</v>
      </c>
      <c r="P12" s="4">
        <f t="shared" si="10"/>
        <v>1</v>
      </c>
      <c r="Q12" s="4">
        <f t="shared" si="11"/>
        <v>1</v>
      </c>
      <c r="R12" s="4">
        <f t="shared" si="12"/>
        <v>1</v>
      </c>
      <c r="S12" s="4">
        <f t="shared" si="13"/>
        <v>1</v>
      </c>
      <c r="U12" s="3">
        <f>IF(F12="x",I12,0)</f>
        <v>0</v>
      </c>
      <c r="V12" s="1" t="str">
        <f t="shared" si="2"/>
        <v/>
      </c>
    </row>
    <row r="13" spans="1:22" x14ac:dyDescent="0.25">
      <c r="A13" s="2">
        <v>10</v>
      </c>
      <c r="B13" s="2">
        <v>3</v>
      </c>
      <c r="C13" s="7" t="s">
        <v>984</v>
      </c>
      <c r="D13" s="41" t="s">
        <v>12</v>
      </c>
      <c r="E13" s="2">
        <v>1</v>
      </c>
      <c r="G13" s="1" t="str">
        <f>IF(D13="","",VLOOKUP(D13,Table1[#All],2,FALSE))</f>
        <v>M6-1.0 x 60mmbutton head  Screw</v>
      </c>
      <c r="H13" s="2">
        <f t="shared" si="14"/>
        <v>4</v>
      </c>
      <c r="I13" s="44">
        <f>IF(D13&lt;&gt;"",(VLOOKUP(D13,part_details,4,FALSE)+VLOOKUP(D13,part_details,5,FALSE)+VLOOKUP(D13,part_details,6,FALSE))*'Multi-level BOM'!E13,"")</f>
        <v>0.70173941653871441</v>
      </c>
      <c r="J13" s="4">
        <f t="shared" si="4"/>
        <v>1</v>
      </c>
      <c r="K13" s="4">
        <f t="shared" si="5"/>
        <v>1</v>
      </c>
      <c r="L13" s="4">
        <f t="shared" si="6"/>
        <v>4</v>
      </c>
      <c r="M13" s="4">
        <f t="shared" si="7"/>
        <v>1</v>
      </c>
      <c r="N13" s="4">
        <f t="shared" si="8"/>
        <v>1</v>
      </c>
      <c r="O13" s="4">
        <f t="shared" si="9"/>
        <v>1</v>
      </c>
      <c r="P13" s="4">
        <f t="shared" si="10"/>
        <v>1</v>
      </c>
      <c r="Q13" s="4">
        <f t="shared" si="11"/>
        <v>1</v>
      </c>
      <c r="R13" s="4">
        <f t="shared" si="12"/>
        <v>1</v>
      </c>
      <c r="S13" s="4">
        <f t="shared" si="13"/>
        <v>1</v>
      </c>
      <c r="U13" s="3">
        <f t="shared" ref="U13:U76" si="15">IF(F13="x",I13,0)</f>
        <v>0</v>
      </c>
      <c r="V13" s="1" t="str">
        <f t="shared" si="2"/>
        <v/>
      </c>
    </row>
    <row r="14" spans="1:22" x14ac:dyDescent="0.25">
      <c r="A14" s="2">
        <v>11</v>
      </c>
      <c r="B14" s="2">
        <v>3</v>
      </c>
      <c r="C14" s="7" t="s">
        <v>671</v>
      </c>
      <c r="D14" s="41" t="s">
        <v>13</v>
      </c>
      <c r="E14" s="2">
        <v>2</v>
      </c>
      <c r="G14" s="1" t="str">
        <f>IF(D14="","",VLOOKUP(D14,Table1[#All],2,FALSE))</f>
        <v>Washer, M6, 304 stainless, OD 12mm, .9mm thick</v>
      </c>
      <c r="H14" s="2">
        <f t="shared" si="14"/>
        <v>8</v>
      </c>
      <c r="I14" s="44">
        <f>IF(D14&lt;&gt;"",(VLOOKUP(D14,part_details,4,FALSE)+VLOOKUP(D14,part_details,5,FALSE)+VLOOKUP(D14,part_details,6,FALSE))*'Multi-level BOM'!E14,"")</f>
        <v>8.8180999999999995E-2</v>
      </c>
      <c r="J14" s="4">
        <f t="shared" si="4"/>
        <v>1</v>
      </c>
      <c r="K14" s="4">
        <f t="shared" si="5"/>
        <v>1</v>
      </c>
      <c r="L14" s="4">
        <f t="shared" si="6"/>
        <v>4</v>
      </c>
      <c r="M14" s="4">
        <f t="shared" si="7"/>
        <v>2</v>
      </c>
      <c r="N14" s="4">
        <f t="shared" si="8"/>
        <v>1</v>
      </c>
      <c r="O14" s="4">
        <f t="shared" si="9"/>
        <v>1</v>
      </c>
      <c r="P14" s="4">
        <f t="shared" si="10"/>
        <v>1</v>
      </c>
      <c r="Q14" s="4">
        <f t="shared" si="11"/>
        <v>1</v>
      </c>
      <c r="R14" s="4">
        <f t="shared" si="12"/>
        <v>1</v>
      </c>
      <c r="S14" s="4">
        <f t="shared" si="13"/>
        <v>1</v>
      </c>
      <c r="U14" s="3">
        <f t="shared" si="15"/>
        <v>0</v>
      </c>
      <c r="V14" s="1" t="str">
        <f t="shared" si="2"/>
        <v/>
      </c>
    </row>
    <row r="15" spans="1:22" x14ac:dyDescent="0.25">
      <c r="A15" s="2">
        <v>12</v>
      </c>
      <c r="C15" s="7" t="s">
        <v>727</v>
      </c>
      <c r="D15" s="41" t="s">
        <v>28</v>
      </c>
      <c r="E15" s="2">
        <v>1</v>
      </c>
      <c r="G15" s="1" t="str">
        <f>IF(D15="","",VLOOKUP(D15,Table1[#All],2,FALSE))</f>
        <v xml:space="preserve">M6 x 1.0mm Nylon Inserted Hex Lock Nuts 304 Stainless Steel </v>
      </c>
      <c r="H15" s="2">
        <f>PRODUCT(J15:S15)</f>
        <v>4</v>
      </c>
      <c r="I15" s="44">
        <f>IF(D15&lt;&gt;"",(VLOOKUP(D15,part_details,4,FALSE)+VLOOKUP(D15,part_details,5,FALSE)+VLOOKUP(D15,part_details,6,FALSE))*'Multi-level BOM'!E15,"")</f>
        <v>6.8110002193463456E-2</v>
      </c>
      <c r="J15" s="4">
        <f t="shared" ref="J15:S15" si="16">IF($B15="",J13,
    IF(J$3=$B15,$E15,
       IF(J$3&lt;$B15,J13,
           1
)))</f>
        <v>1</v>
      </c>
      <c r="K15" s="4">
        <f t="shared" si="16"/>
        <v>1</v>
      </c>
      <c r="L15" s="4">
        <f t="shared" si="16"/>
        <v>4</v>
      </c>
      <c r="M15" s="4">
        <f t="shared" si="16"/>
        <v>1</v>
      </c>
      <c r="N15" s="4">
        <f t="shared" si="16"/>
        <v>1</v>
      </c>
      <c r="O15" s="4">
        <f t="shared" si="16"/>
        <v>1</v>
      </c>
      <c r="P15" s="4">
        <f t="shared" si="16"/>
        <v>1</v>
      </c>
      <c r="Q15" s="4">
        <f t="shared" si="16"/>
        <v>1</v>
      </c>
      <c r="R15" s="4">
        <f t="shared" si="16"/>
        <v>1</v>
      </c>
      <c r="S15" s="4">
        <f t="shared" si="16"/>
        <v>1</v>
      </c>
      <c r="U15" s="3">
        <f t="shared" si="15"/>
        <v>0</v>
      </c>
      <c r="V15" s="1" t="str">
        <f t="shared" si="2"/>
        <v/>
      </c>
    </row>
    <row r="16" spans="1:22" x14ac:dyDescent="0.25">
      <c r="A16" s="2">
        <v>13</v>
      </c>
      <c r="C16" s="7"/>
      <c r="D16" s="41"/>
      <c r="G16" s="1" t="str">
        <f>IF(D16="","",VLOOKUP(D16,Table1[#All],2,FALSE))</f>
        <v/>
      </c>
      <c r="I16" s="44" t="str">
        <f>IF(D16&lt;&gt;"",VLOOKUP(D16,part_details,4,FALSE)*'Multi-level BOM'!E16,"")</f>
        <v/>
      </c>
      <c r="J16" s="4">
        <f t="shared" ref="J16:S16" si="17">IF($B16="",J14,
    IF(J$3=$B16,$E16,
       IF(J$3&lt;$B16,J14,
           1
)))</f>
        <v>1</v>
      </c>
      <c r="K16" s="4">
        <f t="shared" si="17"/>
        <v>1</v>
      </c>
      <c r="L16" s="4">
        <f t="shared" si="17"/>
        <v>4</v>
      </c>
      <c r="M16" s="4">
        <f t="shared" si="17"/>
        <v>2</v>
      </c>
      <c r="N16" s="4">
        <f t="shared" si="17"/>
        <v>1</v>
      </c>
      <c r="O16" s="4">
        <f t="shared" si="17"/>
        <v>1</v>
      </c>
      <c r="P16" s="4">
        <f t="shared" si="17"/>
        <v>1</v>
      </c>
      <c r="Q16" s="4">
        <f t="shared" si="17"/>
        <v>1</v>
      </c>
      <c r="R16" s="4">
        <f t="shared" si="17"/>
        <v>1</v>
      </c>
      <c r="S16" s="4">
        <f t="shared" si="17"/>
        <v>1</v>
      </c>
      <c r="U16" s="3">
        <f t="shared" si="15"/>
        <v>0</v>
      </c>
      <c r="V16" s="1" t="str">
        <f t="shared" si="2"/>
        <v/>
      </c>
    </row>
    <row r="17" spans="1:22" x14ac:dyDescent="0.25">
      <c r="A17" s="2">
        <v>14</v>
      </c>
      <c r="B17" s="2">
        <v>2</v>
      </c>
      <c r="C17" s="7" t="s">
        <v>983</v>
      </c>
      <c r="D17" s="41"/>
      <c r="E17" s="2">
        <v>4</v>
      </c>
      <c r="G17" s="1" t="str">
        <f>IF(D17="","",VLOOKUP(D17,Table1[#All],2,FALSE))</f>
        <v/>
      </c>
      <c r="H17" s="2">
        <f t="shared" ref="H17:H23" si="18">PRODUCT(J17:S17)</f>
        <v>4</v>
      </c>
      <c r="I17" s="45">
        <f>H17*SUM(I18:I23)</f>
        <v>18.288242109709728</v>
      </c>
      <c r="J17" s="4">
        <f t="shared" si="4"/>
        <v>1</v>
      </c>
      <c r="K17" s="4">
        <f t="shared" si="5"/>
        <v>1</v>
      </c>
      <c r="L17" s="4">
        <f t="shared" si="6"/>
        <v>4</v>
      </c>
      <c r="M17" s="4">
        <f t="shared" si="7"/>
        <v>1</v>
      </c>
      <c r="N17" s="4">
        <f t="shared" si="8"/>
        <v>1</v>
      </c>
      <c r="O17" s="4">
        <f t="shared" si="9"/>
        <v>1</v>
      </c>
      <c r="P17" s="4">
        <f t="shared" si="10"/>
        <v>1</v>
      </c>
      <c r="Q17" s="4">
        <f t="shared" si="11"/>
        <v>1</v>
      </c>
      <c r="R17" s="4">
        <f t="shared" si="12"/>
        <v>1</v>
      </c>
      <c r="S17" s="4">
        <f t="shared" si="13"/>
        <v>1</v>
      </c>
      <c r="U17" s="3">
        <f t="shared" si="15"/>
        <v>0</v>
      </c>
      <c r="V17" s="1" t="str">
        <f t="shared" si="2"/>
        <v/>
      </c>
    </row>
    <row r="18" spans="1:22" x14ac:dyDescent="0.25">
      <c r="A18" s="2">
        <v>15</v>
      </c>
      <c r="B18" s="2">
        <v>3</v>
      </c>
      <c r="C18" s="7" t="s">
        <v>658</v>
      </c>
      <c r="D18" s="41" t="s">
        <v>9</v>
      </c>
      <c r="E18" s="2">
        <v>2</v>
      </c>
      <c r="G18" s="1" t="str">
        <f>IF(D18="","",VLOOKUP(D18,Table1[#All],2,FALSE))</f>
        <v xml:space="preserve">Bearing, Flange F606ZZ, 6mm x 17mm x 6mm </v>
      </c>
      <c r="H18" s="2">
        <f t="shared" si="18"/>
        <v>8</v>
      </c>
      <c r="I18" s="44">
        <f>IF(D18&lt;&gt;"",(VLOOKUP(D18,part_details,4,FALSE)+VLOOKUP(D18,part_details,5,FALSE)+VLOOKUP(D18,part_details,6,FALSE))*'Multi-level BOM'!E18,"")</f>
        <v>2.94082</v>
      </c>
      <c r="J18" s="4">
        <f t="shared" si="4"/>
        <v>1</v>
      </c>
      <c r="K18" s="4">
        <f t="shared" si="5"/>
        <v>1</v>
      </c>
      <c r="L18" s="4">
        <f t="shared" si="6"/>
        <v>4</v>
      </c>
      <c r="M18" s="4">
        <f t="shared" si="7"/>
        <v>2</v>
      </c>
      <c r="N18" s="4">
        <f t="shared" si="8"/>
        <v>1</v>
      </c>
      <c r="O18" s="4">
        <f t="shared" si="9"/>
        <v>1</v>
      </c>
      <c r="P18" s="4">
        <f t="shared" si="10"/>
        <v>1</v>
      </c>
      <c r="Q18" s="4">
        <f t="shared" si="11"/>
        <v>1</v>
      </c>
      <c r="R18" s="4">
        <f t="shared" si="12"/>
        <v>1</v>
      </c>
      <c r="S18" s="4">
        <f t="shared" si="13"/>
        <v>1</v>
      </c>
      <c r="U18" s="3">
        <f t="shared" si="15"/>
        <v>0</v>
      </c>
      <c r="V18" s="1" t="str">
        <f t="shared" si="2"/>
        <v/>
      </c>
    </row>
    <row r="19" spans="1:22" x14ac:dyDescent="0.25">
      <c r="A19" s="2">
        <v>16</v>
      </c>
      <c r="B19" s="2">
        <v>3</v>
      </c>
      <c r="C19" s="7" t="s">
        <v>675</v>
      </c>
      <c r="D19" s="41" t="s">
        <v>10</v>
      </c>
      <c r="E19" s="2">
        <f>34.25+5</f>
        <v>39.25</v>
      </c>
      <c r="G19" s="1" t="str">
        <f>IF(D19="","",VLOOKUP(D19,Table1[#All],2,FALSE))</f>
        <v>uxcell 6063 Aluminum Round Tube 300mm Length 12.7mm OD 6mm Inner Dia Seamless Aluminum Straight Tubing 2 Pcs</v>
      </c>
      <c r="H19" s="2">
        <f t="shared" si="18"/>
        <v>157</v>
      </c>
      <c r="I19" s="44">
        <f>IF(D19&lt;&gt;"",(VLOOKUP(D19,part_details,4,FALSE)+VLOOKUP(D19,part_details,5,FALSE)+VLOOKUP(D19,part_details,6,FALSE))*'Multi-level BOM'!E19,"")</f>
        <v>0.72658945833333322</v>
      </c>
      <c r="J19" s="4">
        <f t="shared" si="4"/>
        <v>1</v>
      </c>
      <c r="K19" s="4">
        <f t="shared" si="5"/>
        <v>1</v>
      </c>
      <c r="L19" s="4">
        <f t="shared" si="6"/>
        <v>4</v>
      </c>
      <c r="M19" s="4">
        <f t="shared" si="7"/>
        <v>39.25</v>
      </c>
      <c r="N19" s="4">
        <f t="shared" si="8"/>
        <v>1</v>
      </c>
      <c r="O19" s="4">
        <f t="shared" si="9"/>
        <v>1</v>
      </c>
      <c r="P19" s="4">
        <f t="shared" si="10"/>
        <v>1</v>
      </c>
      <c r="Q19" s="4">
        <f t="shared" si="11"/>
        <v>1</v>
      </c>
      <c r="R19" s="4">
        <f t="shared" si="12"/>
        <v>1</v>
      </c>
      <c r="S19" s="4">
        <f t="shared" si="13"/>
        <v>1</v>
      </c>
      <c r="U19" s="3">
        <f t="shared" si="15"/>
        <v>0</v>
      </c>
      <c r="V19" s="1" t="str">
        <f t="shared" si="2"/>
        <v/>
      </c>
    </row>
    <row r="20" spans="1:22" x14ac:dyDescent="0.25">
      <c r="A20" s="2">
        <v>17</v>
      </c>
      <c r="B20" s="2">
        <v>3</v>
      </c>
      <c r="C20" s="7" t="s">
        <v>661</v>
      </c>
      <c r="D20" s="41" t="s">
        <v>11</v>
      </c>
      <c r="E20" s="2">
        <v>1</v>
      </c>
      <c r="G20" s="1" t="str">
        <f>IF(D20="","",VLOOKUP(D20,Table1[#All],2,FALSE))</f>
        <v xml:space="preserve">K &amp; S PRECISION METALS 251 .010x4x10 BRS SHT Metal </v>
      </c>
      <c r="H20" s="2">
        <f t="shared" si="18"/>
        <v>4</v>
      </c>
      <c r="I20" s="44">
        <f>IF(D20&lt;&gt;"",(VLOOKUP(D20,part_details,4,FALSE)+VLOOKUP(D20,part_details,5,FALSE)+VLOOKUP(D20,part_details,6,FALSE))*'Multi-level BOM'!E20,"")</f>
        <v>0.23925499999999997</v>
      </c>
      <c r="J20" s="4">
        <f t="shared" si="4"/>
        <v>1</v>
      </c>
      <c r="K20" s="4">
        <f t="shared" si="5"/>
        <v>1</v>
      </c>
      <c r="L20" s="4">
        <f t="shared" si="6"/>
        <v>4</v>
      </c>
      <c r="M20" s="4">
        <f t="shared" si="7"/>
        <v>1</v>
      </c>
      <c r="N20" s="4">
        <f t="shared" si="8"/>
        <v>1</v>
      </c>
      <c r="O20" s="4">
        <f t="shared" si="9"/>
        <v>1</v>
      </c>
      <c r="P20" s="4">
        <f t="shared" si="10"/>
        <v>1</v>
      </c>
      <c r="Q20" s="4">
        <f t="shared" si="11"/>
        <v>1</v>
      </c>
      <c r="R20" s="4">
        <f t="shared" si="12"/>
        <v>1</v>
      </c>
      <c r="S20" s="4">
        <f t="shared" si="13"/>
        <v>1</v>
      </c>
      <c r="U20" s="3">
        <f t="shared" si="15"/>
        <v>0</v>
      </c>
      <c r="V20" s="1" t="str">
        <f t="shared" si="2"/>
        <v/>
      </c>
    </row>
    <row r="21" spans="1:22" x14ac:dyDescent="0.25">
      <c r="A21" s="2">
        <v>18</v>
      </c>
      <c r="B21" s="2">
        <v>3</v>
      </c>
      <c r="C21" s="7" t="s">
        <v>730</v>
      </c>
      <c r="D21" s="41" t="s">
        <v>35</v>
      </c>
      <c r="E21" s="2">
        <v>1</v>
      </c>
      <c r="G21" s="1" t="str">
        <f>IF(D21="","",VLOOKUP(D21,Table1[#All],2,FALSE))</f>
        <v>M6 x 65mm Button Head Cap Screws Metric, Grade 12.9 Alloy Steel Black Oxide</v>
      </c>
      <c r="H21" s="2">
        <f t="shared" si="18"/>
        <v>4</v>
      </c>
      <c r="I21" s="44">
        <f>IF(D21&lt;&gt;"",(VLOOKUP(D21,part_details,4,FALSE)+VLOOKUP(D21,part_details,5,FALSE)+VLOOKUP(D21,part_details,6,FALSE))*'Multi-level BOM'!E21,"")</f>
        <v>0.50910506690063595</v>
      </c>
      <c r="J21" s="4">
        <f t="shared" si="4"/>
        <v>1</v>
      </c>
      <c r="K21" s="4">
        <f t="shared" si="5"/>
        <v>1</v>
      </c>
      <c r="L21" s="4">
        <f t="shared" si="6"/>
        <v>4</v>
      </c>
      <c r="M21" s="4">
        <f t="shared" si="7"/>
        <v>1</v>
      </c>
      <c r="N21" s="4">
        <f t="shared" si="8"/>
        <v>1</v>
      </c>
      <c r="O21" s="4">
        <f t="shared" si="9"/>
        <v>1</v>
      </c>
      <c r="P21" s="4">
        <f t="shared" si="10"/>
        <v>1</v>
      </c>
      <c r="Q21" s="4">
        <f t="shared" si="11"/>
        <v>1</v>
      </c>
      <c r="R21" s="4">
        <f t="shared" si="12"/>
        <v>1</v>
      </c>
      <c r="S21" s="4">
        <f t="shared" si="13"/>
        <v>1</v>
      </c>
      <c r="U21" s="3">
        <f t="shared" si="15"/>
        <v>0</v>
      </c>
      <c r="V21" s="1" t="str">
        <f t="shared" si="2"/>
        <v/>
      </c>
    </row>
    <row r="22" spans="1:22" x14ac:dyDescent="0.25">
      <c r="A22" s="2">
        <v>19</v>
      </c>
      <c r="B22" s="2">
        <v>3</v>
      </c>
      <c r="C22" s="7" t="s">
        <v>671</v>
      </c>
      <c r="D22" s="41" t="s">
        <v>13</v>
      </c>
      <c r="E22" s="2">
        <v>2</v>
      </c>
      <c r="G22" s="1" t="str">
        <f>IF(D22="","",VLOOKUP(D22,Table1[#All],2,FALSE))</f>
        <v>Washer, M6, 304 stainless, OD 12mm, .9mm thick</v>
      </c>
      <c r="H22" s="2">
        <f t="shared" si="18"/>
        <v>8</v>
      </c>
      <c r="I22" s="44">
        <f>IF(D22&lt;&gt;"",(VLOOKUP(D22,part_details,4,FALSE)+VLOOKUP(D22,part_details,5,FALSE)+VLOOKUP(D22,part_details,6,FALSE))*'Multi-level BOM'!E22,"")</f>
        <v>8.8180999999999995E-2</v>
      </c>
      <c r="J22" s="4">
        <f t="shared" si="4"/>
        <v>1</v>
      </c>
      <c r="K22" s="4">
        <f t="shared" si="5"/>
        <v>1</v>
      </c>
      <c r="L22" s="4">
        <f t="shared" si="6"/>
        <v>4</v>
      </c>
      <c r="M22" s="4">
        <f t="shared" si="7"/>
        <v>2</v>
      </c>
      <c r="N22" s="4">
        <f t="shared" si="8"/>
        <v>1</v>
      </c>
      <c r="O22" s="4">
        <f t="shared" si="9"/>
        <v>1</v>
      </c>
      <c r="P22" s="4">
        <f t="shared" si="10"/>
        <v>1</v>
      </c>
      <c r="Q22" s="4">
        <f t="shared" si="11"/>
        <v>1</v>
      </c>
      <c r="R22" s="4">
        <f t="shared" si="12"/>
        <v>1</v>
      </c>
      <c r="S22" s="4">
        <f t="shared" si="13"/>
        <v>1</v>
      </c>
      <c r="U22" s="3">
        <f t="shared" si="15"/>
        <v>0</v>
      </c>
      <c r="V22" s="1" t="str">
        <f t="shared" si="2"/>
        <v/>
      </c>
    </row>
    <row r="23" spans="1:22" x14ac:dyDescent="0.25">
      <c r="A23" s="2">
        <v>20</v>
      </c>
      <c r="C23" s="7" t="s">
        <v>727</v>
      </c>
      <c r="D23" s="41" t="s">
        <v>28</v>
      </c>
      <c r="E23" s="2">
        <v>1</v>
      </c>
      <c r="G23" s="1" t="str">
        <f>IF(D23="","",VLOOKUP(D23,Table1[#All],2,FALSE))</f>
        <v xml:space="preserve">M6 x 1.0mm Nylon Inserted Hex Lock Nuts 304 Stainless Steel </v>
      </c>
      <c r="H23" s="2">
        <f t="shared" si="18"/>
        <v>4</v>
      </c>
      <c r="I23" s="44">
        <f>IF(D23&lt;&gt;"",(VLOOKUP(D23,part_details,4,FALSE)+VLOOKUP(D23,part_details,5,FALSE)+VLOOKUP(D23,part_details,6,FALSE))*'Multi-level BOM'!E23,"")</f>
        <v>6.8110002193463456E-2</v>
      </c>
      <c r="J23" s="4">
        <f t="shared" ref="J23:S23" si="19">IF($B23="",J21,
    IF(J$3=$B23,$E23,
       IF(J$3&lt;$B23,J21,
           1
)))</f>
        <v>1</v>
      </c>
      <c r="K23" s="4">
        <f t="shared" si="19"/>
        <v>1</v>
      </c>
      <c r="L23" s="4">
        <f t="shared" si="19"/>
        <v>4</v>
      </c>
      <c r="M23" s="4">
        <f t="shared" si="19"/>
        <v>1</v>
      </c>
      <c r="N23" s="4">
        <f t="shared" si="19"/>
        <v>1</v>
      </c>
      <c r="O23" s="4">
        <f t="shared" si="19"/>
        <v>1</v>
      </c>
      <c r="P23" s="4">
        <f t="shared" si="19"/>
        <v>1</v>
      </c>
      <c r="Q23" s="4">
        <f t="shared" si="19"/>
        <v>1</v>
      </c>
      <c r="R23" s="4">
        <f t="shared" si="19"/>
        <v>1</v>
      </c>
      <c r="S23" s="4">
        <f t="shared" si="19"/>
        <v>1</v>
      </c>
      <c r="U23" s="3">
        <f t="shared" si="15"/>
        <v>0</v>
      </c>
      <c r="V23" s="1" t="str">
        <f t="shared" si="2"/>
        <v/>
      </c>
    </row>
    <row r="24" spans="1:22" x14ac:dyDescent="0.25">
      <c r="A24" s="2">
        <v>21</v>
      </c>
      <c r="C24" s="7"/>
      <c r="D24" s="41"/>
      <c r="G24" s="1" t="str">
        <f>IF(D24="","",VLOOKUP(D24,Table1[#All],2,FALSE))</f>
        <v/>
      </c>
      <c r="I24" s="44" t="str">
        <f>IF(D24&lt;&gt;"",VLOOKUP(D24,part_details,4,FALSE)*'Multi-level BOM'!E24,"")</f>
        <v/>
      </c>
      <c r="J24" s="4">
        <f t="shared" ref="J24:S24" si="20">IF($B24="",J22,
    IF(J$3=$B24,$E24,
       IF(J$3&lt;$B24,J22,
           1
)))</f>
        <v>1</v>
      </c>
      <c r="K24" s="4">
        <f t="shared" si="20"/>
        <v>1</v>
      </c>
      <c r="L24" s="4">
        <f t="shared" si="20"/>
        <v>4</v>
      </c>
      <c r="M24" s="4">
        <f t="shared" si="20"/>
        <v>2</v>
      </c>
      <c r="N24" s="4">
        <f t="shared" si="20"/>
        <v>1</v>
      </c>
      <c r="O24" s="4">
        <f t="shared" si="20"/>
        <v>1</v>
      </c>
      <c r="P24" s="4">
        <f t="shared" si="20"/>
        <v>1</v>
      </c>
      <c r="Q24" s="4">
        <f t="shared" si="20"/>
        <v>1</v>
      </c>
      <c r="R24" s="4">
        <f t="shared" si="20"/>
        <v>1</v>
      </c>
      <c r="S24" s="4">
        <f t="shared" si="20"/>
        <v>1</v>
      </c>
      <c r="U24" s="3">
        <f t="shared" si="15"/>
        <v>0</v>
      </c>
      <c r="V24" s="1" t="str">
        <f t="shared" si="2"/>
        <v/>
      </c>
    </row>
    <row r="25" spans="1:22" x14ac:dyDescent="0.25">
      <c r="A25" s="2">
        <v>22</v>
      </c>
      <c r="B25" s="2">
        <v>2</v>
      </c>
      <c r="C25" s="7" t="s">
        <v>876</v>
      </c>
      <c r="D25" s="41"/>
      <c r="E25" s="2">
        <v>1</v>
      </c>
      <c r="G25" s="1" t="str">
        <f>IF(D25="","",VLOOKUP(D25,Table1[#All],2,FALSE))</f>
        <v/>
      </c>
      <c r="H25" s="2">
        <f t="shared" ref="H25:H31" si="21">PRODUCT(J25:S25)</f>
        <v>1</v>
      </c>
      <c r="I25" s="45">
        <f>H25*SUM(I26:I33)</f>
        <v>5.9265836847880484</v>
      </c>
      <c r="J25" s="4">
        <f t="shared" si="4"/>
        <v>1</v>
      </c>
      <c r="K25" s="4">
        <f t="shared" si="5"/>
        <v>1</v>
      </c>
      <c r="L25" s="4">
        <f t="shared" si="6"/>
        <v>1</v>
      </c>
      <c r="M25" s="4">
        <f t="shared" si="7"/>
        <v>1</v>
      </c>
      <c r="N25" s="4">
        <f t="shared" si="8"/>
        <v>1</v>
      </c>
      <c r="O25" s="4">
        <f t="shared" si="9"/>
        <v>1</v>
      </c>
      <c r="P25" s="4">
        <f t="shared" si="10"/>
        <v>1</v>
      </c>
      <c r="Q25" s="4">
        <f t="shared" si="11"/>
        <v>1</v>
      </c>
      <c r="R25" s="4">
        <f t="shared" si="12"/>
        <v>1</v>
      </c>
      <c r="S25" s="4">
        <f t="shared" si="13"/>
        <v>1</v>
      </c>
      <c r="U25" s="3">
        <f t="shared" si="15"/>
        <v>0</v>
      </c>
      <c r="V25" s="1" t="str">
        <f t="shared" si="2"/>
        <v/>
      </c>
    </row>
    <row r="26" spans="1:22" x14ac:dyDescent="0.25">
      <c r="A26" s="2">
        <v>23</v>
      </c>
      <c r="B26" s="2">
        <v>3</v>
      </c>
      <c r="C26" s="7" t="s">
        <v>658</v>
      </c>
      <c r="D26" s="41" t="s">
        <v>9</v>
      </c>
      <c r="E26" s="2">
        <v>2</v>
      </c>
      <c r="G26" s="1" t="str">
        <f>IF(D26="","",VLOOKUP(D26,Table1[#All],2,FALSE))</f>
        <v xml:space="preserve">Bearing, Flange F606ZZ, 6mm x 17mm x 6mm </v>
      </c>
      <c r="H26" s="2">
        <f t="shared" si="21"/>
        <v>2</v>
      </c>
      <c r="I26" s="44">
        <f>IF(D26&lt;&gt;"",(VLOOKUP(D26,part_details,4,FALSE)+VLOOKUP(D26,part_details,5,FALSE)+VLOOKUP(D26,part_details,6,FALSE))*'Multi-level BOM'!E26,"")</f>
        <v>2.94082</v>
      </c>
      <c r="J26" s="4">
        <f t="shared" si="4"/>
        <v>1</v>
      </c>
      <c r="K26" s="4">
        <f t="shared" si="5"/>
        <v>1</v>
      </c>
      <c r="L26" s="4">
        <f t="shared" si="6"/>
        <v>1</v>
      </c>
      <c r="M26" s="4">
        <f t="shared" si="7"/>
        <v>2</v>
      </c>
      <c r="N26" s="4">
        <f t="shared" si="8"/>
        <v>1</v>
      </c>
      <c r="O26" s="4">
        <f t="shared" si="9"/>
        <v>1</v>
      </c>
      <c r="P26" s="4">
        <f t="shared" si="10"/>
        <v>1</v>
      </c>
      <c r="Q26" s="4">
        <f t="shared" si="11"/>
        <v>1</v>
      </c>
      <c r="R26" s="4">
        <f t="shared" si="12"/>
        <v>1</v>
      </c>
      <c r="S26" s="4">
        <f t="shared" si="13"/>
        <v>1</v>
      </c>
      <c r="U26" s="3">
        <f t="shared" si="15"/>
        <v>0</v>
      </c>
      <c r="V26" s="1" t="str">
        <f t="shared" si="2"/>
        <v/>
      </c>
    </row>
    <row r="27" spans="1:22" x14ac:dyDescent="0.25">
      <c r="A27" s="2">
        <v>24</v>
      </c>
      <c r="B27" s="2">
        <v>3</v>
      </c>
      <c r="C27" s="7" t="s">
        <v>877</v>
      </c>
      <c r="D27" s="41" t="s">
        <v>10</v>
      </c>
      <c r="E27" s="2">
        <v>5</v>
      </c>
      <c r="G27" s="1" t="str">
        <f>IF(D27="","",VLOOKUP(D27,Table1[#All],2,FALSE))</f>
        <v>uxcell 6063 Aluminum Round Tube 300mm Length 12.7mm OD 6mm Inner Dia Seamless Aluminum Straight Tubing 2 Pcs</v>
      </c>
      <c r="H27" s="2">
        <f t="shared" si="21"/>
        <v>5</v>
      </c>
      <c r="I27" s="44">
        <f>IF(D27&lt;&gt;"",(VLOOKUP(D27,part_details,4,FALSE)+VLOOKUP(D27,part_details,5,FALSE)+VLOOKUP(D27,part_details,6,FALSE))*'Multi-level BOM'!E27,"")</f>
        <v>9.2559166666666665E-2</v>
      </c>
      <c r="J27" s="4">
        <f t="shared" si="4"/>
        <v>1</v>
      </c>
      <c r="K27" s="4">
        <f t="shared" si="5"/>
        <v>1</v>
      </c>
      <c r="L27" s="4">
        <f t="shared" si="6"/>
        <v>1</v>
      </c>
      <c r="M27" s="4">
        <f t="shared" si="7"/>
        <v>5</v>
      </c>
      <c r="N27" s="4">
        <f t="shared" si="8"/>
        <v>1</v>
      </c>
      <c r="O27" s="4">
        <f t="shared" si="9"/>
        <v>1</v>
      </c>
      <c r="P27" s="4">
        <f t="shared" si="10"/>
        <v>1</v>
      </c>
      <c r="Q27" s="4">
        <f t="shared" si="11"/>
        <v>1</v>
      </c>
      <c r="R27" s="4">
        <f t="shared" si="12"/>
        <v>1</v>
      </c>
      <c r="S27" s="4">
        <f t="shared" si="13"/>
        <v>1</v>
      </c>
      <c r="U27" s="3">
        <f t="shared" si="15"/>
        <v>0</v>
      </c>
      <c r="V27" s="1" t="str">
        <f t="shared" si="2"/>
        <v/>
      </c>
    </row>
    <row r="28" spans="1:22" x14ac:dyDescent="0.25">
      <c r="A28" s="2">
        <v>25</v>
      </c>
      <c r="B28" s="2">
        <v>3</v>
      </c>
      <c r="C28" s="7" t="s">
        <v>661</v>
      </c>
      <c r="D28" s="41" t="s">
        <v>11</v>
      </c>
      <c r="E28" s="2">
        <v>1</v>
      </c>
      <c r="G28" s="1" t="str">
        <f>IF(D28="","",VLOOKUP(D28,Table1[#All],2,FALSE))</f>
        <v xml:space="preserve">K &amp; S PRECISION METALS 251 .010x4x10 BRS SHT Metal </v>
      </c>
      <c r="H28" s="2">
        <f t="shared" si="21"/>
        <v>1</v>
      </c>
      <c r="I28" s="44">
        <f>IF(D28&lt;&gt;"",(VLOOKUP(D28,part_details,4,FALSE)+VLOOKUP(D28,part_details,5,FALSE)+VLOOKUP(D28,part_details,6,FALSE))*'Multi-level BOM'!E28,"")</f>
        <v>0.23925499999999997</v>
      </c>
      <c r="J28" s="4">
        <f t="shared" si="4"/>
        <v>1</v>
      </c>
      <c r="K28" s="4">
        <f t="shared" si="5"/>
        <v>1</v>
      </c>
      <c r="L28" s="4">
        <f t="shared" si="6"/>
        <v>1</v>
      </c>
      <c r="M28" s="4">
        <f t="shared" si="7"/>
        <v>1</v>
      </c>
      <c r="N28" s="4">
        <f t="shared" si="8"/>
        <v>1</v>
      </c>
      <c r="O28" s="4">
        <f t="shared" si="9"/>
        <v>1</v>
      </c>
      <c r="P28" s="4">
        <f t="shared" si="10"/>
        <v>1</v>
      </c>
      <c r="Q28" s="4">
        <f t="shared" si="11"/>
        <v>1</v>
      </c>
      <c r="R28" s="4">
        <f t="shared" si="12"/>
        <v>1</v>
      </c>
      <c r="S28" s="4">
        <f t="shared" si="13"/>
        <v>1</v>
      </c>
      <c r="U28" s="3">
        <f t="shared" si="15"/>
        <v>0</v>
      </c>
      <c r="V28" s="1" t="str">
        <f t="shared" si="2"/>
        <v/>
      </c>
    </row>
    <row r="29" spans="1:22" x14ac:dyDescent="0.25">
      <c r="A29" s="2">
        <v>26</v>
      </c>
      <c r="B29" s="2">
        <v>3</v>
      </c>
      <c r="C29" s="28" t="s">
        <v>878</v>
      </c>
      <c r="D29" s="41" t="s">
        <v>69</v>
      </c>
      <c r="E29" s="2">
        <v>4</v>
      </c>
      <c r="G29" s="1" t="str">
        <f>IF(D29="","",VLOOKUP(D29,Table1[#All],2,FALSE))</f>
        <v>M6 x 25mm button head screw</v>
      </c>
      <c r="H29" s="2">
        <f t="shared" si="21"/>
        <v>4</v>
      </c>
      <c r="I29" s="44">
        <f>IF(D29&lt;&gt;"",(VLOOKUP(D29,part_details,4,FALSE)+VLOOKUP(D29,part_details,5,FALSE)+VLOOKUP(D29,part_details,6,FALSE))*'Multi-level BOM'!E29,"")</f>
        <v>0.88061416977407292</v>
      </c>
      <c r="J29" s="4">
        <f t="shared" si="4"/>
        <v>1</v>
      </c>
      <c r="K29" s="4">
        <f t="shared" si="5"/>
        <v>1</v>
      </c>
      <c r="L29" s="4">
        <f t="shared" si="6"/>
        <v>1</v>
      </c>
      <c r="M29" s="4">
        <f t="shared" si="7"/>
        <v>4</v>
      </c>
      <c r="N29" s="4">
        <f t="shared" si="8"/>
        <v>1</v>
      </c>
      <c r="O29" s="4">
        <f t="shared" si="9"/>
        <v>1</v>
      </c>
      <c r="P29" s="4">
        <f t="shared" si="10"/>
        <v>1</v>
      </c>
      <c r="Q29" s="4">
        <f t="shared" si="11"/>
        <v>1</v>
      </c>
      <c r="R29" s="4">
        <f t="shared" si="12"/>
        <v>1</v>
      </c>
      <c r="S29" s="4">
        <f t="shared" si="13"/>
        <v>1</v>
      </c>
      <c r="U29" s="3">
        <f t="shared" si="15"/>
        <v>0</v>
      </c>
      <c r="V29" s="1" t="str">
        <f t="shared" si="2"/>
        <v/>
      </c>
    </row>
    <row r="30" spans="1:22" x14ac:dyDescent="0.25">
      <c r="A30" s="2">
        <v>27</v>
      </c>
      <c r="B30" s="2">
        <v>3</v>
      </c>
      <c r="C30" s="7" t="s">
        <v>671</v>
      </c>
      <c r="D30" s="41" t="s">
        <v>13</v>
      </c>
      <c r="E30" s="2">
        <v>3</v>
      </c>
      <c r="G30" s="1" t="str">
        <f>IF(D30="","",VLOOKUP(D30,Table1[#All],2,FALSE))</f>
        <v>Washer, M6, 304 stainless, OD 12mm, .9mm thick</v>
      </c>
      <c r="H30" s="2">
        <f t="shared" si="21"/>
        <v>3</v>
      </c>
      <c r="I30" s="44">
        <f>IF(D30&lt;&gt;"",(VLOOKUP(D30,part_details,4,FALSE)+VLOOKUP(D30,part_details,5,FALSE)+VLOOKUP(D30,part_details,6,FALSE))*'Multi-level BOM'!E30,"")</f>
        <v>0.13227149999999999</v>
      </c>
      <c r="J30" s="4">
        <f t="shared" si="4"/>
        <v>1</v>
      </c>
      <c r="K30" s="4">
        <f t="shared" si="5"/>
        <v>1</v>
      </c>
      <c r="L30" s="4">
        <f t="shared" si="6"/>
        <v>1</v>
      </c>
      <c r="M30" s="4">
        <f t="shared" si="7"/>
        <v>3</v>
      </c>
      <c r="N30" s="4">
        <f t="shared" si="8"/>
        <v>1</v>
      </c>
      <c r="O30" s="4">
        <f t="shared" si="9"/>
        <v>1</v>
      </c>
      <c r="P30" s="4">
        <f t="shared" si="10"/>
        <v>1</v>
      </c>
      <c r="Q30" s="4">
        <f t="shared" si="11"/>
        <v>1</v>
      </c>
      <c r="R30" s="4">
        <f t="shared" si="12"/>
        <v>1</v>
      </c>
      <c r="S30" s="4">
        <f t="shared" si="13"/>
        <v>1</v>
      </c>
      <c r="U30" s="3">
        <f t="shared" si="15"/>
        <v>0</v>
      </c>
      <c r="V30" s="1" t="str">
        <f t="shared" si="2"/>
        <v/>
      </c>
    </row>
    <row r="31" spans="1:22" x14ac:dyDescent="0.25">
      <c r="A31" s="2">
        <v>28</v>
      </c>
      <c r="B31" s="2">
        <v>3</v>
      </c>
      <c r="C31" s="7" t="s">
        <v>727</v>
      </c>
      <c r="D31" s="41" t="s">
        <v>28</v>
      </c>
      <c r="E31" s="2">
        <v>1</v>
      </c>
      <c r="G31" s="1" t="str">
        <f>IF(D31="","",VLOOKUP(D31,Table1[#All],2,FALSE))</f>
        <v xml:space="preserve">M6 x 1.0mm Nylon Inserted Hex Lock Nuts 304 Stainless Steel </v>
      </c>
      <c r="H31" s="2">
        <f t="shared" si="21"/>
        <v>1</v>
      </c>
      <c r="I31" s="44">
        <f>IF(D31&lt;&gt;"",(VLOOKUP(D31,part_details,4,FALSE)+VLOOKUP(D31,part_details,5,FALSE)+VLOOKUP(D31,part_details,6,FALSE))*'Multi-level BOM'!E31,"")</f>
        <v>6.8110002193463456E-2</v>
      </c>
      <c r="J31" s="4">
        <f t="shared" ref="J31:S31" si="22">IF($B31="",J29,
    IF(J$3=$B31,$E31,
       IF(J$3&lt;$B31,J29,
           1
)))</f>
        <v>1</v>
      </c>
      <c r="K31" s="4">
        <f t="shared" si="22"/>
        <v>1</v>
      </c>
      <c r="L31" s="4">
        <f t="shared" si="22"/>
        <v>1</v>
      </c>
      <c r="M31" s="4">
        <f t="shared" si="22"/>
        <v>1</v>
      </c>
      <c r="N31" s="4">
        <f t="shared" si="22"/>
        <v>1</v>
      </c>
      <c r="O31" s="4">
        <f t="shared" si="22"/>
        <v>1</v>
      </c>
      <c r="P31" s="4">
        <f t="shared" si="22"/>
        <v>1</v>
      </c>
      <c r="Q31" s="4">
        <f t="shared" si="22"/>
        <v>1</v>
      </c>
      <c r="R31" s="4">
        <f t="shared" si="22"/>
        <v>1</v>
      </c>
      <c r="S31" s="4">
        <f t="shared" si="22"/>
        <v>1</v>
      </c>
      <c r="U31" s="3">
        <f t="shared" si="15"/>
        <v>0</v>
      </c>
      <c r="V31" s="1" t="str">
        <f t="shared" si="2"/>
        <v/>
      </c>
    </row>
    <row r="32" spans="1:22" x14ac:dyDescent="0.25">
      <c r="A32" s="2">
        <v>29</v>
      </c>
      <c r="B32" s="2">
        <v>3</v>
      </c>
      <c r="C32" s="7" t="s">
        <v>880</v>
      </c>
      <c r="D32" s="41" t="s">
        <v>70</v>
      </c>
      <c r="E32" s="2">
        <v>2</v>
      </c>
      <c r="G32" s="1" t="str">
        <f>IF(D32="","",VLOOKUP(D32,Table1[#All],2,FALSE))</f>
        <v>Aluminum bar .75 square, 12" long</v>
      </c>
      <c r="H32" s="2">
        <f t="shared" ref="H32:H47" si="23">PRODUCT(J32:S32)</f>
        <v>2</v>
      </c>
      <c r="I32" s="44">
        <f>IF(D32&lt;&gt;"",(VLOOKUP(D32,part_details,4,FALSE)+VLOOKUP(D32,part_details,5,FALSE)+VLOOKUP(D32,part_details,6,FALSE))*'Multi-level BOM'!E32,"")</f>
        <v>0.78647692307692307</v>
      </c>
      <c r="J32" s="4">
        <f t="shared" ref="J32:S32" si="24">IF($B32="",J30,
    IF(J$3=$B32,$E32,
       IF(J$3&lt;$B32,J30,
           1
)))</f>
        <v>1</v>
      </c>
      <c r="K32" s="4">
        <f t="shared" si="24"/>
        <v>1</v>
      </c>
      <c r="L32" s="4">
        <f t="shared" si="24"/>
        <v>1</v>
      </c>
      <c r="M32" s="4">
        <f t="shared" si="24"/>
        <v>2</v>
      </c>
      <c r="N32" s="4">
        <f t="shared" si="24"/>
        <v>1</v>
      </c>
      <c r="O32" s="4">
        <f t="shared" si="24"/>
        <v>1</v>
      </c>
      <c r="P32" s="4">
        <f t="shared" si="24"/>
        <v>1</v>
      </c>
      <c r="Q32" s="4">
        <f t="shared" si="24"/>
        <v>1</v>
      </c>
      <c r="R32" s="4">
        <f t="shared" si="24"/>
        <v>1</v>
      </c>
      <c r="S32" s="4">
        <f t="shared" si="24"/>
        <v>1</v>
      </c>
      <c r="U32" s="3">
        <f t="shared" si="15"/>
        <v>0</v>
      </c>
      <c r="V32" s="1" t="str">
        <f t="shared" si="2"/>
        <v/>
      </c>
    </row>
    <row r="33" spans="1:22" x14ac:dyDescent="0.25">
      <c r="A33" s="2">
        <v>30</v>
      </c>
      <c r="B33" s="2">
        <v>3</v>
      </c>
      <c r="C33" s="7" t="s">
        <v>881</v>
      </c>
      <c r="D33" s="41" t="s">
        <v>70</v>
      </c>
      <c r="E33" s="2">
        <v>2</v>
      </c>
      <c r="G33" s="1" t="str">
        <f>IF(D33="","",VLOOKUP(D33,Table1[#All],2,FALSE))</f>
        <v>Aluminum bar .75 square, 12" long</v>
      </c>
      <c r="H33" s="2">
        <f t="shared" si="23"/>
        <v>2</v>
      </c>
      <c r="I33" s="44">
        <f>IF(D33&lt;&gt;"",(VLOOKUP(D33,part_details,4,FALSE)+VLOOKUP(D33,part_details,5,FALSE)+VLOOKUP(D33,part_details,6,FALSE))*'Multi-level BOM'!E33,"")</f>
        <v>0.78647692307692307</v>
      </c>
      <c r="J33" s="4">
        <f t="shared" ref="J33:S33" si="25">IF($B33="",J31,
    IF(J$3=$B33,$E33,
       IF(J$3&lt;$B33,J31,
           1
)))</f>
        <v>1</v>
      </c>
      <c r="K33" s="4">
        <f t="shared" si="25"/>
        <v>1</v>
      </c>
      <c r="L33" s="4">
        <f t="shared" si="25"/>
        <v>1</v>
      </c>
      <c r="M33" s="4">
        <f t="shared" si="25"/>
        <v>2</v>
      </c>
      <c r="N33" s="4">
        <f t="shared" si="25"/>
        <v>1</v>
      </c>
      <c r="O33" s="4">
        <f t="shared" si="25"/>
        <v>1</v>
      </c>
      <c r="P33" s="4">
        <f t="shared" si="25"/>
        <v>1</v>
      </c>
      <c r="Q33" s="4">
        <f t="shared" si="25"/>
        <v>1</v>
      </c>
      <c r="R33" s="4">
        <f t="shared" si="25"/>
        <v>1</v>
      </c>
      <c r="S33" s="4">
        <f t="shared" si="25"/>
        <v>1</v>
      </c>
      <c r="U33" s="3">
        <f t="shared" si="15"/>
        <v>0</v>
      </c>
      <c r="V33" s="1" t="str">
        <f t="shared" si="2"/>
        <v/>
      </c>
    </row>
    <row r="34" spans="1:22" x14ac:dyDescent="0.25">
      <c r="A34" s="2">
        <v>31</v>
      </c>
      <c r="C34" s="7"/>
      <c r="D34" s="41"/>
      <c r="G34" s="1" t="str">
        <f>IF(D34="","",VLOOKUP(D34,Table1[#All],2,FALSE))</f>
        <v/>
      </c>
      <c r="I34" s="44" t="str">
        <f>IF(D34&lt;&gt;"",VLOOKUP(D34,part_details,4,FALSE)*'Multi-level BOM'!E34,"")</f>
        <v/>
      </c>
      <c r="J34" s="4">
        <f t="shared" ref="J34:S34" si="26">IF($B34="",J32,
    IF(J$3=$B34,$E34,
       IF(J$3&lt;$B34,J32,
           1
)))</f>
        <v>1</v>
      </c>
      <c r="K34" s="4">
        <f t="shared" si="26"/>
        <v>1</v>
      </c>
      <c r="L34" s="4">
        <f t="shared" si="26"/>
        <v>1</v>
      </c>
      <c r="M34" s="4">
        <f t="shared" si="26"/>
        <v>2</v>
      </c>
      <c r="N34" s="4">
        <f t="shared" si="26"/>
        <v>1</v>
      </c>
      <c r="O34" s="4">
        <f t="shared" si="26"/>
        <v>1</v>
      </c>
      <c r="P34" s="4">
        <f t="shared" si="26"/>
        <v>1</v>
      </c>
      <c r="Q34" s="4">
        <f t="shared" si="26"/>
        <v>1</v>
      </c>
      <c r="R34" s="4">
        <f t="shared" si="26"/>
        <v>1</v>
      </c>
      <c r="S34" s="4">
        <f t="shared" si="26"/>
        <v>1</v>
      </c>
      <c r="U34" s="3">
        <f t="shared" si="15"/>
        <v>0</v>
      </c>
      <c r="V34" s="1" t="str">
        <f t="shared" si="2"/>
        <v/>
      </c>
    </row>
    <row r="35" spans="1:22" x14ac:dyDescent="0.25">
      <c r="A35" s="2">
        <v>32</v>
      </c>
      <c r="B35" s="2">
        <v>2</v>
      </c>
      <c r="C35" s="7" t="s">
        <v>883</v>
      </c>
      <c r="D35" s="41"/>
      <c r="E35" s="2">
        <v>1</v>
      </c>
      <c r="G35" s="1" t="str">
        <f>IF(D35="","",VLOOKUP(D35,Table1[#All],2,FALSE))</f>
        <v/>
      </c>
      <c r="H35" s="2">
        <f t="shared" si="23"/>
        <v>1</v>
      </c>
      <c r="I35" s="45">
        <f>H35*SUM(I36:I43)</f>
        <v>5.9265836847880484</v>
      </c>
      <c r="J35" s="4">
        <f t="shared" si="4"/>
        <v>1</v>
      </c>
      <c r="K35" s="4">
        <f t="shared" si="5"/>
        <v>1</v>
      </c>
      <c r="L35" s="4">
        <f t="shared" si="6"/>
        <v>1</v>
      </c>
      <c r="M35" s="4">
        <f t="shared" si="7"/>
        <v>1</v>
      </c>
      <c r="N35" s="4">
        <f t="shared" si="8"/>
        <v>1</v>
      </c>
      <c r="O35" s="4">
        <f t="shared" si="9"/>
        <v>1</v>
      </c>
      <c r="P35" s="4">
        <f t="shared" si="10"/>
        <v>1</v>
      </c>
      <c r="Q35" s="4">
        <f t="shared" si="11"/>
        <v>1</v>
      </c>
      <c r="R35" s="4">
        <f t="shared" si="12"/>
        <v>1</v>
      </c>
      <c r="S35" s="4">
        <f t="shared" si="13"/>
        <v>1</v>
      </c>
      <c r="U35" s="3">
        <f t="shared" si="15"/>
        <v>0</v>
      </c>
      <c r="V35" s="1" t="str">
        <f t="shared" si="2"/>
        <v/>
      </c>
    </row>
    <row r="36" spans="1:22" x14ac:dyDescent="0.25">
      <c r="A36" s="2">
        <v>33</v>
      </c>
      <c r="B36" s="2">
        <v>3</v>
      </c>
      <c r="C36" s="7" t="s">
        <v>658</v>
      </c>
      <c r="D36" s="41" t="s">
        <v>9</v>
      </c>
      <c r="E36" s="2">
        <v>2</v>
      </c>
      <c r="G36" s="1" t="str">
        <f>IF(D36="","",VLOOKUP(D36,Table1[#All],2,FALSE))</f>
        <v xml:space="preserve">Bearing, Flange F606ZZ, 6mm x 17mm x 6mm </v>
      </c>
      <c r="H36" s="2">
        <f t="shared" si="23"/>
        <v>2</v>
      </c>
      <c r="I36" s="44">
        <f>IF(D36&lt;&gt;"",(VLOOKUP(D36,part_details,4,FALSE)+VLOOKUP(D36,part_details,5,FALSE)+VLOOKUP(D36,part_details,6,FALSE))*'Multi-level BOM'!E36,"")</f>
        <v>2.94082</v>
      </c>
      <c r="J36" s="4">
        <f t="shared" si="4"/>
        <v>1</v>
      </c>
      <c r="K36" s="4">
        <f t="shared" si="5"/>
        <v>1</v>
      </c>
      <c r="L36" s="4">
        <f t="shared" si="6"/>
        <v>1</v>
      </c>
      <c r="M36" s="4">
        <f t="shared" si="7"/>
        <v>2</v>
      </c>
      <c r="N36" s="4">
        <f t="shared" si="8"/>
        <v>1</v>
      </c>
      <c r="O36" s="4">
        <f t="shared" si="9"/>
        <v>1</v>
      </c>
      <c r="P36" s="4">
        <f t="shared" si="10"/>
        <v>1</v>
      </c>
      <c r="Q36" s="4">
        <f t="shared" si="11"/>
        <v>1</v>
      </c>
      <c r="R36" s="4">
        <f t="shared" si="12"/>
        <v>1</v>
      </c>
      <c r="S36" s="4">
        <f t="shared" si="13"/>
        <v>1</v>
      </c>
      <c r="U36" s="3">
        <f t="shared" si="15"/>
        <v>0</v>
      </c>
      <c r="V36" s="1" t="str">
        <f t="shared" si="2"/>
        <v/>
      </c>
    </row>
    <row r="37" spans="1:22" x14ac:dyDescent="0.25">
      <c r="A37" s="2">
        <v>34</v>
      </c>
      <c r="B37" s="2">
        <v>3</v>
      </c>
      <c r="C37" s="7" t="s">
        <v>877</v>
      </c>
      <c r="D37" s="41" t="s">
        <v>10</v>
      </c>
      <c r="E37" s="2">
        <v>5</v>
      </c>
      <c r="G37" s="1" t="str">
        <f>IF(D37="","",VLOOKUP(D37,Table1[#All],2,FALSE))</f>
        <v>uxcell 6063 Aluminum Round Tube 300mm Length 12.7mm OD 6mm Inner Dia Seamless Aluminum Straight Tubing 2 Pcs</v>
      </c>
      <c r="H37" s="2">
        <f t="shared" si="23"/>
        <v>5</v>
      </c>
      <c r="I37" s="44">
        <f>IF(D37&lt;&gt;"",(VLOOKUP(D37,part_details,4,FALSE)+VLOOKUP(D37,part_details,5,FALSE)+VLOOKUP(D37,part_details,6,FALSE))*'Multi-level BOM'!E37,"")</f>
        <v>9.2559166666666665E-2</v>
      </c>
      <c r="J37" s="4">
        <f t="shared" si="4"/>
        <v>1</v>
      </c>
      <c r="K37" s="4">
        <f t="shared" si="5"/>
        <v>1</v>
      </c>
      <c r="L37" s="4">
        <f t="shared" si="6"/>
        <v>1</v>
      </c>
      <c r="M37" s="4">
        <f t="shared" si="7"/>
        <v>5</v>
      </c>
      <c r="N37" s="4">
        <f t="shared" si="8"/>
        <v>1</v>
      </c>
      <c r="O37" s="4">
        <f t="shared" si="9"/>
        <v>1</v>
      </c>
      <c r="P37" s="4">
        <f t="shared" si="10"/>
        <v>1</v>
      </c>
      <c r="Q37" s="4">
        <f t="shared" si="11"/>
        <v>1</v>
      </c>
      <c r="R37" s="4">
        <f t="shared" si="12"/>
        <v>1</v>
      </c>
      <c r="S37" s="4">
        <f t="shared" si="13"/>
        <v>1</v>
      </c>
      <c r="U37" s="3">
        <f t="shared" si="15"/>
        <v>0</v>
      </c>
      <c r="V37" s="1" t="str">
        <f t="shared" si="2"/>
        <v/>
      </c>
    </row>
    <row r="38" spans="1:22" x14ac:dyDescent="0.25">
      <c r="A38" s="2">
        <v>35</v>
      </c>
      <c r="B38" s="2">
        <v>3</v>
      </c>
      <c r="C38" s="7" t="s">
        <v>661</v>
      </c>
      <c r="D38" s="41" t="s">
        <v>11</v>
      </c>
      <c r="E38" s="2">
        <v>1</v>
      </c>
      <c r="G38" s="1" t="str">
        <f>IF(D38="","",VLOOKUP(D38,Table1[#All],2,FALSE))</f>
        <v xml:space="preserve">K &amp; S PRECISION METALS 251 .010x4x10 BRS SHT Metal </v>
      </c>
      <c r="H38" s="2">
        <f t="shared" si="23"/>
        <v>1</v>
      </c>
      <c r="I38" s="44">
        <f>IF(D38&lt;&gt;"",(VLOOKUP(D38,part_details,4,FALSE)+VLOOKUP(D38,part_details,5,FALSE)+VLOOKUP(D38,part_details,6,FALSE))*'Multi-level BOM'!E38,"")</f>
        <v>0.23925499999999997</v>
      </c>
      <c r="J38" s="4">
        <f t="shared" si="4"/>
        <v>1</v>
      </c>
      <c r="K38" s="4">
        <f t="shared" si="5"/>
        <v>1</v>
      </c>
      <c r="L38" s="4">
        <f t="shared" si="6"/>
        <v>1</v>
      </c>
      <c r="M38" s="4">
        <f t="shared" si="7"/>
        <v>1</v>
      </c>
      <c r="N38" s="4">
        <f t="shared" si="8"/>
        <v>1</v>
      </c>
      <c r="O38" s="4">
        <f t="shared" si="9"/>
        <v>1</v>
      </c>
      <c r="P38" s="4">
        <f t="shared" si="10"/>
        <v>1</v>
      </c>
      <c r="Q38" s="4">
        <f t="shared" si="11"/>
        <v>1</v>
      </c>
      <c r="R38" s="4">
        <f t="shared" si="12"/>
        <v>1</v>
      </c>
      <c r="S38" s="4">
        <f t="shared" si="13"/>
        <v>1</v>
      </c>
      <c r="U38" s="3">
        <f t="shared" si="15"/>
        <v>0</v>
      </c>
      <c r="V38" s="1" t="str">
        <f t="shared" si="2"/>
        <v/>
      </c>
    </row>
    <row r="39" spans="1:22" x14ac:dyDescent="0.25">
      <c r="A39" s="2">
        <v>36</v>
      </c>
      <c r="B39" s="2">
        <v>3</v>
      </c>
      <c r="C39" s="28" t="s">
        <v>878</v>
      </c>
      <c r="D39" s="41" t="s">
        <v>69</v>
      </c>
      <c r="E39" s="2">
        <v>4</v>
      </c>
      <c r="G39" s="1" t="str">
        <f>IF(D39="","",VLOOKUP(D39,Table1[#All],2,FALSE))</f>
        <v>M6 x 25mm button head screw</v>
      </c>
      <c r="H39" s="2">
        <f t="shared" si="23"/>
        <v>4</v>
      </c>
      <c r="I39" s="44">
        <f>IF(D39&lt;&gt;"",(VLOOKUP(D39,part_details,4,FALSE)+VLOOKUP(D39,part_details,5,FALSE)+VLOOKUP(D39,part_details,6,FALSE))*'Multi-level BOM'!E39,"")</f>
        <v>0.88061416977407292</v>
      </c>
      <c r="J39" s="4">
        <f t="shared" si="4"/>
        <v>1</v>
      </c>
      <c r="K39" s="4">
        <f t="shared" si="5"/>
        <v>1</v>
      </c>
      <c r="L39" s="4">
        <f t="shared" si="6"/>
        <v>1</v>
      </c>
      <c r="M39" s="4">
        <f t="shared" si="7"/>
        <v>4</v>
      </c>
      <c r="N39" s="4">
        <f t="shared" si="8"/>
        <v>1</v>
      </c>
      <c r="O39" s="4">
        <f t="shared" si="9"/>
        <v>1</v>
      </c>
      <c r="P39" s="4">
        <f t="shared" si="10"/>
        <v>1</v>
      </c>
      <c r="Q39" s="4">
        <f t="shared" si="11"/>
        <v>1</v>
      </c>
      <c r="R39" s="4">
        <f t="shared" si="12"/>
        <v>1</v>
      </c>
      <c r="S39" s="4">
        <f t="shared" si="13"/>
        <v>1</v>
      </c>
      <c r="U39" s="3">
        <f t="shared" si="15"/>
        <v>0</v>
      </c>
      <c r="V39" s="1" t="str">
        <f t="shared" si="2"/>
        <v/>
      </c>
    </row>
    <row r="40" spans="1:22" x14ac:dyDescent="0.25">
      <c r="A40" s="2">
        <v>37</v>
      </c>
      <c r="B40" s="2">
        <v>3</v>
      </c>
      <c r="C40" s="7" t="s">
        <v>671</v>
      </c>
      <c r="D40" s="41" t="s">
        <v>13</v>
      </c>
      <c r="E40" s="2">
        <v>3</v>
      </c>
      <c r="G40" s="1" t="str">
        <f>IF(D40="","",VLOOKUP(D40,Table1[#All],2,FALSE))</f>
        <v>Washer, M6, 304 stainless, OD 12mm, .9mm thick</v>
      </c>
      <c r="H40" s="2">
        <f t="shared" si="23"/>
        <v>3</v>
      </c>
      <c r="I40" s="44">
        <f>IF(D40&lt;&gt;"",(VLOOKUP(D40,part_details,4,FALSE)+VLOOKUP(D40,part_details,5,FALSE)+VLOOKUP(D40,part_details,6,FALSE))*'Multi-level BOM'!E40,"")</f>
        <v>0.13227149999999999</v>
      </c>
      <c r="J40" s="4">
        <f t="shared" si="4"/>
        <v>1</v>
      </c>
      <c r="K40" s="4">
        <f t="shared" si="5"/>
        <v>1</v>
      </c>
      <c r="L40" s="4">
        <f t="shared" si="6"/>
        <v>1</v>
      </c>
      <c r="M40" s="4">
        <f t="shared" si="7"/>
        <v>3</v>
      </c>
      <c r="N40" s="4">
        <f t="shared" si="8"/>
        <v>1</v>
      </c>
      <c r="O40" s="4">
        <f t="shared" si="9"/>
        <v>1</v>
      </c>
      <c r="P40" s="4">
        <f t="shared" si="10"/>
        <v>1</v>
      </c>
      <c r="Q40" s="4">
        <f t="shared" si="11"/>
        <v>1</v>
      </c>
      <c r="R40" s="4">
        <f t="shared" si="12"/>
        <v>1</v>
      </c>
      <c r="S40" s="4">
        <f t="shared" si="13"/>
        <v>1</v>
      </c>
      <c r="U40" s="3">
        <f t="shared" si="15"/>
        <v>0</v>
      </c>
      <c r="V40" s="1" t="str">
        <f t="shared" si="2"/>
        <v/>
      </c>
    </row>
    <row r="41" spans="1:22" x14ac:dyDescent="0.25">
      <c r="A41" s="2">
        <v>38</v>
      </c>
      <c r="B41" s="2">
        <v>3</v>
      </c>
      <c r="C41" s="7" t="s">
        <v>727</v>
      </c>
      <c r="D41" s="41" t="s">
        <v>28</v>
      </c>
      <c r="E41" s="2">
        <v>1</v>
      </c>
      <c r="G41" s="1" t="str">
        <f>IF(D41="","",VLOOKUP(D41,Table1[#All],2,FALSE))</f>
        <v xml:space="preserve">M6 x 1.0mm Nylon Inserted Hex Lock Nuts 304 Stainless Steel </v>
      </c>
      <c r="H41" s="2">
        <f t="shared" si="23"/>
        <v>1</v>
      </c>
      <c r="I41" s="44">
        <f>IF(D41&lt;&gt;"",(VLOOKUP(D41,part_details,4,FALSE)+VLOOKUP(D41,part_details,5,FALSE)+VLOOKUP(D41,part_details,6,FALSE))*'Multi-level BOM'!E41,"")</f>
        <v>6.8110002193463456E-2</v>
      </c>
      <c r="J41" s="4">
        <f t="shared" ref="J41:S41" si="27">IF($B41="",J39,
    IF(J$3=$B41,$E41,
       IF(J$3&lt;$B41,J39,
           1
)))</f>
        <v>1</v>
      </c>
      <c r="K41" s="4">
        <f t="shared" si="27"/>
        <v>1</v>
      </c>
      <c r="L41" s="4">
        <f t="shared" si="27"/>
        <v>1</v>
      </c>
      <c r="M41" s="4">
        <f t="shared" si="27"/>
        <v>1</v>
      </c>
      <c r="N41" s="4">
        <f t="shared" si="27"/>
        <v>1</v>
      </c>
      <c r="O41" s="4">
        <f t="shared" si="27"/>
        <v>1</v>
      </c>
      <c r="P41" s="4">
        <f t="shared" si="27"/>
        <v>1</v>
      </c>
      <c r="Q41" s="4">
        <f t="shared" si="27"/>
        <v>1</v>
      </c>
      <c r="R41" s="4">
        <f t="shared" si="27"/>
        <v>1</v>
      </c>
      <c r="S41" s="4">
        <f t="shared" si="27"/>
        <v>1</v>
      </c>
      <c r="U41" s="3">
        <f t="shared" si="15"/>
        <v>0</v>
      </c>
      <c r="V41" s="1" t="str">
        <f t="shared" si="2"/>
        <v/>
      </c>
    </row>
    <row r="42" spans="1:22" x14ac:dyDescent="0.25">
      <c r="A42" s="2">
        <v>39</v>
      </c>
      <c r="B42" s="2">
        <v>3</v>
      </c>
      <c r="C42" s="7" t="s">
        <v>880</v>
      </c>
      <c r="D42" s="41" t="s">
        <v>70</v>
      </c>
      <c r="E42" s="2">
        <v>2</v>
      </c>
      <c r="G42" s="1" t="str">
        <f>IF(D42="","",VLOOKUP(D42,Table1[#All],2,FALSE))</f>
        <v>Aluminum bar .75 square, 12" long</v>
      </c>
      <c r="H42" s="2">
        <f>PRODUCT(J42:S42)</f>
        <v>2</v>
      </c>
      <c r="I42" s="44">
        <f>IF(D42&lt;&gt;"",(VLOOKUP(D42,part_details,4,FALSE)+VLOOKUP(D42,part_details,5,FALSE)+VLOOKUP(D42,part_details,6,FALSE))*'Multi-level BOM'!E42,"")</f>
        <v>0.78647692307692307</v>
      </c>
      <c r="J42" s="4">
        <f t="shared" ref="J42:S42" si="28">IF($B42="",J40,
    IF(J$3=$B42,$E42,
       IF(J$3&lt;$B42,J40,
           1
)))</f>
        <v>1</v>
      </c>
      <c r="K42" s="4">
        <f t="shared" si="28"/>
        <v>1</v>
      </c>
      <c r="L42" s="4">
        <f t="shared" si="28"/>
        <v>1</v>
      </c>
      <c r="M42" s="4">
        <f t="shared" si="28"/>
        <v>2</v>
      </c>
      <c r="N42" s="4">
        <f t="shared" si="28"/>
        <v>1</v>
      </c>
      <c r="O42" s="4">
        <f t="shared" si="28"/>
        <v>1</v>
      </c>
      <c r="P42" s="4">
        <f t="shared" si="28"/>
        <v>1</v>
      </c>
      <c r="Q42" s="4">
        <f t="shared" si="28"/>
        <v>1</v>
      </c>
      <c r="R42" s="4">
        <f t="shared" si="28"/>
        <v>1</v>
      </c>
      <c r="S42" s="4">
        <f t="shared" si="28"/>
        <v>1</v>
      </c>
      <c r="U42" s="3">
        <f t="shared" si="15"/>
        <v>0</v>
      </c>
      <c r="V42" s="1" t="str">
        <f t="shared" si="2"/>
        <v/>
      </c>
    </row>
    <row r="43" spans="1:22" x14ac:dyDescent="0.25">
      <c r="A43" s="2">
        <v>40</v>
      </c>
      <c r="B43" s="2">
        <v>3</v>
      </c>
      <c r="C43" s="7" t="s">
        <v>881</v>
      </c>
      <c r="D43" s="41" t="s">
        <v>70</v>
      </c>
      <c r="E43" s="2">
        <v>2</v>
      </c>
      <c r="G43" s="1" t="str">
        <f>IF(D43="","",VLOOKUP(D43,Table1[#All],2,FALSE))</f>
        <v>Aluminum bar .75 square, 12" long</v>
      </c>
      <c r="H43" s="2">
        <f>PRODUCT(J43:S43)</f>
        <v>2</v>
      </c>
      <c r="I43" s="44">
        <f>IF(D43&lt;&gt;"",(VLOOKUP(D43,part_details,4,FALSE)+VLOOKUP(D43,part_details,5,FALSE)+VLOOKUP(D43,part_details,6,FALSE))*'Multi-level BOM'!E43,"")</f>
        <v>0.78647692307692307</v>
      </c>
      <c r="J43" s="4">
        <f t="shared" ref="J43:S43" si="29">IF($B43="",J41,
    IF(J$3=$B43,$E43,
       IF(J$3&lt;$B43,J41,
           1
)))</f>
        <v>1</v>
      </c>
      <c r="K43" s="4">
        <f t="shared" si="29"/>
        <v>1</v>
      </c>
      <c r="L43" s="4">
        <f t="shared" si="29"/>
        <v>1</v>
      </c>
      <c r="M43" s="4">
        <f t="shared" si="29"/>
        <v>2</v>
      </c>
      <c r="N43" s="4">
        <f t="shared" si="29"/>
        <v>1</v>
      </c>
      <c r="O43" s="4">
        <f t="shared" si="29"/>
        <v>1</v>
      </c>
      <c r="P43" s="4">
        <f t="shared" si="29"/>
        <v>1</v>
      </c>
      <c r="Q43" s="4">
        <f t="shared" si="29"/>
        <v>1</v>
      </c>
      <c r="R43" s="4">
        <f t="shared" si="29"/>
        <v>1</v>
      </c>
      <c r="S43" s="4">
        <f t="shared" si="29"/>
        <v>1</v>
      </c>
      <c r="U43" s="3">
        <f t="shared" si="15"/>
        <v>0</v>
      </c>
      <c r="V43" s="1" t="str">
        <f t="shared" si="2"/>
        <v/>
      </c>
    </row>
    <row r="44" spans="1:22" x14ac:dyDescent="0.25">
      <c r="A44" s="2">
        <v>41</v>
      </c>
      <c r="C44" s="7"/>
      <c r="D44" s="41"/>
      <c r="G44" s="1" t="str">
        <f>IF(D44="","",VLOOKUP(D44,Table1[#All],2,FALSE))</f>
        <v/>
      </c>
      <c r="I44" s="44" t="str">
        <f>IF(D44&lt;&gt;"",VLOOKUP(D44,part_details,4,FALSE)*'Multi-level BOM'!E44,"")</f>
        <v/>
      </c>
      <c r="J44" s="4">
        <f t="shared" ref="J44:S44" si="30">IF($B44="",J42,
    IF(J$3=$B44,$E44,
       IF(J$3&lt;$B44,J42,
           1
)))</f>
        <v>1</v>
      </c>
      <c r="K44" s="4">
        <f t="shared" si="30"/>
        <v>1</v>
      </c>
      <c r="L44" s="4">
        <f t="shared" si="30"/>
        <v>1</v>
      </c>
      <c r="M44" s="4">
        <f t="shared" si="30"/>
        <v>2</v>
      </c>
      <c r="N44" s="4">
        <f t="shared" si="30"/>
        <v>1</v>
      </c>
      <c r="O44" s="4">
        <f t="shared" si="30"/>
        <v>1</v>
      </c>
      <c r="P44" s="4">
        <f t="shared" si="30"/>
        <v>1</v>
      </c>
      <c r="Q44" s="4">
        <f t="shared" si="30"/>
        <v>1</v>
      </c>
      <c r="R44" s="4">
        <f t="shared" si="30"/>
        <v>1</v>
      </c>
      <c r="S44" s="4">
        <f t="shared" si="30"/>
        <v>1</v>
      </c>
      <c r="U44" s="3">
        <f t="shared" si="15"/>
        <v>0</v>
      </c>
      <c r="V44" s="1" t="str">
        <f t="shared" si="2"/>
        <v/>
      </c>
    </row>
    <row r="45" spans="1:22" x14ac:dyDescent="0.25">
      <c r="A45" s="2">
        <v>42</v>
      </c>
      <c r="B45" s="2">
        <v>2</v>
      </c>
      <c r="C45" s="7" t="s">
        <v>677</v>
      </c>
      <c r="D45" s="41"/>
      <c r="E45" s="2">
        <v>1</v>
      </c>
      <c r="G45" s="1" t="str">
        <f>IF(D45="","",VLOOKUP(D45,Table1[#All],2,FALSE))</f>
        <v/>
      </c>
      <c r="H45" s="2">
        <f t="shared" si="23"/>
        <v>1</v>
      </c>
      <c r="I45" s="45">
        <f>H45*SUM(I46:I51)</f>
        <v>49.519117005154634</v>
      </c>
      <c r="J45" s="4">
        <f t="shared" ref="J45:S45" si="31">IF($B45="",J33,
    IF(J$3=$B45,$E45,
       IF(J$3&lt;$B45,J33,
           1
)))</f>
        <v>1</v>
      </c>
      <c r="K45" s="4">
        <f t="shared" si="31"/>
        <v>1</v>
      </c>
      <c r="L45" s="4">
        <f t="shared" si="31"/>
        <v>1</v>
      </c>
      <c r="M45" s="4">
        <f t="shared" si="31"/>
        <v>1</v>
      </c>
      <c r="N45" s="4">
        <f t="shared" si="31"/>
        <v>1</v>
      </c>
      <c r="O45" s="4">
        <f t="shared" si="31"/>
        <v>1</v>
      </c>
      <c r="P45" s="4">
        <f t="shared" si="31"/>
        <v>1</v>
      </c>
      <c r="Q45" s="4">
        <f t="shared" si="31"/>
        <v>1</v>
      </c>
      <c r="R45" s="4">
        <f t="shared" si="31"/>
        <v>1</v>
      </c>
      <c r="S45" s="4">
        <f t="shared" si="31"/>
        <v>1</v>
      </c>
      <c r="U45" s="3">
        <f t="shared" si="15"/>
        <v>0</v>
      </c>
      <c r="V45" s="1" t="str">
        <f t="shared" si="2"/>
        <v/>
      </c>
    </row>
    <row r="46" spans="1:22" x14ac:dyDescent="0.25">
      <c r="A46" s="2">
        <v>43</v>
      </c>
      <c r="B46" s="2">
        <v>3</v>
      </c>
      <c r="C46" s="7" t="s">
        <v>678</v>
      </c>
      <c r="D46" s="41" t="s">
        <v>14</v>
      </c>
      <c r="E46" s="2">
        <v>1</v>
      </c>
      <c r="F46" s="2" t="s">
        <v>916</v>
      </c>
      <c r="G46" s="1" t="str">
        <f>IF(D46="","",VLOOKUP(D46,Table1[#All],2,FALSE))</f>
        <v>0.9 deg Nema 23 Step Motor Bipolar 1.26Nm(178.4oz.in) 2.8A 4-lead, 6.35 shaft dia</v>
      </c>
      <c r="H46" s="2">
        <f t="shared" si="23"/>
        <v>1</v>
      </c>
      <c r="I46" s="44">
        <f>IF(D46&lt;&gt;"",(VLOOKUP(D46,part_details,4,FALSE)+VLOOKUP(D46,part_details,5,FALSE)+VLOOKUP(D46,part_details,6,FALSE))*'Multi-level BOM'!E46,"")</f>
        <v>38.346199999999996</v>
      </c>
      <c r="J46" s="4">
        <f t="shared" ref="J46:S46" si="32">IF($B46="",J34,
    IF(J$3=$B46,$E46,
       IF(J$3&lt;$B46,J34,
           1
)))</f>
        <v>1</v>
      </c>
      <c r="K46" s="4">
        <f t="shared" si="32"/>
        <v>1</v>
      </c>
      <c r="L46" s="4">
        <f t="shared" si="32"/>
        <v>1</v>
      </c>
      <c r="M46" s="4">
        <f t="shared" si="32"/>
        <v>1</v>
      </c>
      <c r="N46" s="4">
        <f t="shared" si="32"/>
        <v>1</v>
      </c>
      <c r="O46" s="4">
        <f t="shared" si="32"/>
        <v>1</v>
      </c>
      <c r="P46" s="4">
        <f t="shared" si="32"/>
        <v>1</v>
      </c>
      <c r="Q46" s="4">
        <f t="shared" si="32"/>
        <v>1</v>
      </c>
      <c r="R46" s="4">
        <f t="shared" si="32"/>
        <v>1</v>
      </c>
      <c r="S46" s="4">
        <f t="shared" si="32"/>
        <v>1</v>
      </c>
      <c r="U46" s="3">
        <f t="shared" si="15"/>
        <v>38.346199999999996</v>
      </c>
      <c r="V46" s="1" t="str">
        <f t="shared" si="2"/>
        <v>A-0008</v>
      </c>
    </row>
    <row r="47" spans="1:22" x14ac:dyDescent="0.25">
      <c r="A47" s="2">
        <v>44</v>
      </c>
      <c r="B47" s="2">
        <v>3</v>
      </c>
      <c r="C47" s="7" t="s">
        <v>680</v>
      </c>
      <c r="D47" s="41" t="s">
        <v>15</v>
      </c>
      <c r="E47" s="2">
        <f>4*38.5+0.5</f>
        <v>154.5</v>
      </c>
      <c r="G47" s="1" t="str">
        <f>IF(D47="","",VLOOKUP(D47,Table1[#All],2,FALSE))</f>
        <v>uxcell 6063 Aluminum Round Tube 300mm Length 12mm OD 5mm Inner Dia Seamless Aluminum Straight Tubing</v>
      </c>
      <c r="H47" s="2">
        <f t="shared" si="23"/>
        <v>154.5</v>
      </c>
      <c r="I47" s="44">
        <f>IF(D47&lt;&gt;"",(VLOOKUP(D47,part_details,4,FALSE)+VLOOKUP(D47,part_details,5,FALSE)+VLOOKUP(D47,part_details,6,FALSE))*'Multi-level BOM'!E47,"")</f>
        <v>5.6640215000000005</v>
      </c>
      <c r="J47" s="4">
        <f t="shared" ref="J47:S47" si="33">IF($B47="",J45,
    IF(J$3=$B47,$E47,
       IF(J$3&lt;$B47,J45,
           1
)))</f>
        <v>1</v>
      </c>
      <c r="K47" s="4">
        <f t="shared" si="33"/>
        <v>1</v>
      </c>
      <c r="L47" s="4">
        <f t="shared" si="33"/>
        <v>1</v>
      </c>
      <c r="M47" s="4">
        <f t="shared" si="33"/>
        <v>154.5</v>
      </c>
      <c r="N47" s="4">
        <f t="shared" si="33"/>
        <v>1</v>
      </c>
      <c r="O47" s="4">
        <f t="shared" si="33"/>
        <v>1</v>
      </c>
      <c r="P47" s="4">
        <f t="shared" si="33"/>
        <v>1</v>
      </c>
      <c r="Q47" s="4">
        <f t="shared" si="33"/>
        <v>1</v>
      </c>
      <c r="R47" s="4">
        <f t="shared" si="33"/>
        <v>1</v>
      </c>
      <c r="S47" s="4">
        <f t="shared" si="33"/>
        <v>1</v>
      </c>
      <c r="U47" s="3">
        <f t="shared" si="15"/>
        <v>0</v>
      </c>
      <c r="V47" s="1" t="str">
        <f t="shared" si="2"/>
        <v/>
      </c>
    </row>
    <row r="48" spans="1:22" x14ac:dyDescent="0.25">
      <c r="A48" s="2">
        <v>45</v>
      </c>
      <c r="B48" s="2">
        <v>3</v>
      </c>
      <c r="C48" s="28" t="s">
        <v>741</v>
      </c>
      <c r="D48" s="41" t="s">
        <v>16</v>
      </c>
      <c r="E48" s="2">
        <v>4</v>
      </c>
      <c r="G48" s="1" t="str">
        <f>IF(D48="","",VLOOKUP(D48,Table1[#All],2,FALSE))</f>
        <v>M5 x 65mm 12.9 Alloy Steel Hex Socket Head Cap Screws Bolt Black</v>
      </c>
      <c r="H48" s="2">
        <f>PRODUCT(J48:S48)</f>
        <v>4</v>
      </c>
      <c r="I48" s="44">
        <f>IF(D48&lt;&gt;"",(VLOOKUP(D48,part_details,4,FALSE)+VLOOKUP(D48,part_details,5,FALSE)+VLOOKUP(D48,part_details,6,FALSE))*'Multi-level BOM'!E48,"")</f>
        <v>1.9263434963807844</v>
      </c>
      <c r="J48" s="4">
        <f t="shared" si="4"/>
        <v>1</v>
      </c>
      <c r="K48" s="4">
        <f t="shared" si="5"/>
        <v>1</v>
      </c>
      <c r="L48" s="4">
        <f t="shared" si="6"/>
        <v>1</v>
      </c>
      <c r="M48" s="4">
        <f t="shared" si="7"/>
        <v>4</v>
      </c>
      <c r="N48" s="4">
        <f t="shared" si="8"/>
        <v>1</v>
      </c>
      <c r="O48" s="4">
        <f t="shared" si="9"/>
        <v>1</v>
      </c>
      <c r="P48" s="4">
        <f t="shared" si="10"/>
        <v>1</v>
      </c>
      <c r="Q48" s="4">
        <f t="shared" si="11"/>
        <v>1</v>
      </c>
      <c r="R48" s="4">
        <f t="shared" si="12"/>
        <v>1</v>
      </c>
      <c r="S48" s="4">
        <f t="shared" si="13"/>
        <v>1</v>
      </c>
      <c r="U48" s="3">
        <f t="shared" si="15"/>
        <v>0</v>
      </c>
      <c r="V48" s="1" t="str">
        <f t="shared" si="2"/>
        <v/>
      </c>
    </row>
    <row r="49" spans="1:22" x14ac:dyDescent="0.25">
      <c r="A49" s="2">
        <v>46</v>
      </c>
      <c r="B49" s="2">
        <v>3</v>
      </c>
      <c r="C49" s="7" t="s">
        <v>690</v>
      </c>
      <c r="D49" s="41" t="s">
        <v>19</v>
      </c>
      <c r="E49" s="2">
        <v>1</v>
      </c>
      <c r="G49" s="1" t="str">
        <f>IF(D49="","",VLOOKUP(D49,Table1[#All],2,FALSE))</f>
        <v xml:space="preserve">BALITENSEN 4 pcs 2GT 20 teeth Timing Pulley bore 6.35 for GT2 belt width 10mm for CNC 3D printer(GT2 20teeth) </v>
      </c>
      <c r="H49" s="2">
        <f>PRODUCT(J49:S49)</f>
        <v>1</v>
      </c>
      <c r="I49" s="44">
        <f>IF(D49&lt;&gt;"",(VLOOKUP(D49,part_details,4,FALSE)+VLOOKUP(D49,part_details,5,FALSE)+VLOOKUP(D49,part_details,6,FALSE))*'Multi-level BOM'!E49,"")</f>
        <v>3.13375</v>
      </c>
      <c r="J49" s="4">
        <f t="shared" si="4"/>
        <v>1</v>
      </c>
      <c r="K49" s="4">
        <f t="shared" si="5"/>
        <v>1</v>
      </c>
      <c r="L49" s="4">
        <f t="shared" si="6"/>
        <v>1</v>
      </c>
      <c r="M49" s="4">
        <f t="shared" si="7"/>
        <v>1</v>
      </c>
      <c r="N49" s="4">
        <f t="shared" si="8"/>
        <v>1</v>
      </c>
      <c r="O49" s="4">
        <f t="shared" si="9"/>
        <v>1</v>
      </c>
      <c r="P49" s="4">
        <f t="shared" si="10"/>
        <v>1</v>
      </c>
      <c r="Q49" s="4">
        <f t="shared" si="11"/>
        <v>1</v>
      </c>
      <c r="R49" s="4">
        <f t="shared" si="12"/>
        <v>1</v>
      </c>
      <c r="S49" s="4">
        <f t="shared" si="13"/>
        <v>1</v>
      </c>
      <c r="U49" s="3">
        <f t="shared" si="15"/>
        <v>0</v>
      </c>
      <c r="V49" s="1" t="str">
        <f t="shared" si="2"/>
        <v/>
      </c>
    </row>
    <row r="50" spans="1:22" x14ac:dyDescent="0.25">
      <c r="A50" s="2">
        <v>47</v>
      </c>
      <c r="B50" s="2">
        <v>3</v>
      </c>
      <c r="C50" s="7" t="s">
        <v>671</v>
      </c>
      <c r="D50" s="41" t="s">
        <v>13</v>
      </c>
      <c r="E50" s="2">
        <v>4</v>
      </c>
      <c r="G50" s="1" t="str">
        <f>IF(D50="","",VLOOKUP(D50,Table1[#All],2,FALSE))</f>
        <v>Washer, M6, 304 stainless, OD 12mm, .9mm thick</v>
      </c>
      <c r="H50" s="2">
        <f>PRODUCT(J50:S50)</f>
        <v>4</v>
      </c>
      <c r="I50" s="44">
        <f>IF(D50&lt;&gt;"",(VLOOKUP(D50,part_details,4,FALSE)+VLOOKUP(D50,part_details,5,FALSE)+VLOOKUP(D50,part_details,6,FALSE))*'Multi-level BOM'!E50,"")</f>
        <v>0.17636199999999999</v>
      </c>
      <c r="J50" s="4">
        <f t="shared" si="4"/>
        <v>1</v>
      </c>
      <c r="K50" s="4">
        <f t="shared" si="5"/>
        <v>1</v>
      </c>
      <c r="L50" s="4">
        <f t="shared" si="6"/>
        <v>1</v>
      </c>
      <c r="M50" s="4">
        <f t="shared" si="7"/>
        <v>4</v>
      </c>
      <c r="N50" s="4">
        <f t="shared" si="8"/>
        <v>1</v>
      </c>
      <c r="O50" s="4">
        <f t="shared" si="9"/>
        <v>1</v>
      </c>
      <c r="P50" s="4">
        <f t="shared" si="10"/>
        <v>1</v>
      </c>
      <c r="Q50" s="4">
        <f t="shared" si="11"/>
        <v>1</v>
      </c>
      <c r="R50" s="4">
        <f t="shared" si="12"/>
        <v>1</v>
      </c>
      <c r="S50" s="4">
        <f t="shared" si="13"/>
        <v>1</v>
      </c>
      <c r="U50" s="3">
        <f t="shared" si="15"/>
        <v>0</v>
      </c>
      <c r="V50" s="1" t="str">
        <f t="shared" si="2"/>
        <v/>
      </c>
    </row>
    <row r="51" spans="1:22" x14ac:dyDescent="0.25">
      <c r="A51" s="2">
        <v>48</v>
      </c>
      <c r="B51" s="2">
        <v>3</v>
      </c>
      <c r="C51" s="7" t="s">
        <v>727</v>
      </c>
      <c r="D51" s="41" t="s">
        <v>28</v>
      </c>
      <c r="E51" s="2">
        <v>4</v>
      </c>
      <c r="G51" s="1" t="str">
        <f>IF(D51="","",VLOOKUP(D51,Table1[#All],2,FALSE))</f>
        <v xml:space="preserve">M6 x 1.0mm Nylon Inserted Hex Lock Nuts 304 Stainless Steel </v>
      </c>
      <c r="H51" s="2">
        <f>PRODUCT(J51:S51)</f>
        <v>4</v>
      </c>
      <c r="I51" s="44">
        <f>IF(D51&lt;&gt;"",(VLOOKUP(D51,part_details,4,FALSE)+VLOOKUP(D51,part_details,5,FALSE)+VLOOKUP(D51,part_details,6,FALSE))*'Multi-level BOM'!E51,"")</f>
        <v>0.27244000877385383</v>
      </c>
      <c r="J51" s="4">
        <f t="shared" si="4"/>
        <v>1</v>
      </c>
      <c r="K51" s="4">
        <f t="shared" si="5"/>
        <v>1</v>
      </c>
      <c r="L51" s="4">
        <f t="shared" si="6"/>
        <v>1</v>
      </c>
      <c r="M51" s="4">
        <f t="shared" si="7"/>
        <v>4</v>
      </c>
      <c r="N51" s="4">
        <f t="shared" si="8"/>
        <v>1</v>
      </c>
      <c r="O51" s="4">
        <f t="shared" si="9"/>
        <v>1</v>
      </c>
      <c r="P51" s="4">
        <f t="shared" si="10"/>
        <v>1</v>
      </c>
      <c r="Q51" s="4">
        <f t="shared" si="11"/>
        <v>1</v>
      </c>
      <c r="R51" s="4">
        <f t="shared" si="12"/>
        <v>1</v>
      </c>
      <c r="S51" s="4">
        <f t="shared" si="13"/>
        <v>1</v>
      </c>
      <c r="U51" s="3">
        <f t="shared" si="15"/>
        <v>0</v>
      </c>
      <c r="V51" s="1" t="str">
        <f t="shared" si="2"/>
        <v/>
      </c>
    </row>
    <row r="52" spans="1:22" x14ac:dyDescent="0.25">
      <c r="A52" s="2">
        <v>49</v>
      </c>
      <c r="C52" s="7"/>
      <c r="D52" s="41"/>
      <c r="G52" s="1" t="str">
        <f>IF(D52="","",VLOOKUP(D52,Table1[#All],2,FALSE))</f>
        <v/>
      </c>
      <c r="I52" s="44" t="str">
        <f>IF(D52&lt;&gt;"",VLOOKUP(D52,part_details,4,FALSE)*'Multi-level BOM'!E52,"")</f>
        <v/>
      </c>
      <c r="J52" s="4">
        <f t="shared" si="4"/>
        <v>1</v>
      </c>
      <c r="K52" s="4">
        <f t="shared" si="5"/>
        <v>1</v>
      </c>
      <c r="L52" s="4">
        <f t="shared" si="6"/>
        <v>1</v>
      </c>
      <c r="M52" s="4">
        <f t="shared" si="7"/>
        <v>4</v>
      </c>
      <c r="N52" s="4">
        <f t="shared" si="8"/>
        <v>1</v>
      </c>
      <c r="O52" s="4">
        <f t="shared" si="9"/>
        <v>1</v>
      </c>
      <c r="P52" s="4">
        <f t="shared" si="10"/>
        <v>1</v>
      </c>
      <c r="Q52" s="4">
        <f t="shared" si="11"/>
        <v>1</v>
      </c>
      <c r="R52" s="4">
        <f t="shared" si="12"/>
        <v>1</v>
      </c>
      <c r="S52" s="4">
        <f t="shared" si="13"/>
        <v>1</v>
      </c>
      <c r="U52" s="3">
        <f t="shared" si="15"/>
        <v>0</v>
      </c>
      <c r="V52" s="1" t="str">
        <f t="shared" si="2"/>
        <v/>
      </c>
    </row>
    <row r="53" spans="1:22" x14ac:dyDescent="0.25">
      <c r="A53" s="2">
        <v>50</v>
      </c>
      <c r="B53" s="2">
        <v>2</v>
      </c>
      <c r="C53" s="7" t="s">
        <v>682</v>
      </c>
      <c r="D53" s="41"/>
      <c r="E53" s="2">
        <v>1</v>
      </c>
      <c r="G53" s="1" t="str">
        <f>IF(D53="","",VLOOKUP(D53,Table1[#All],2,FALSE))</f>
        <v/>
      </c>
      <c r="H53" s="2">
        <f t="shared" ref="H53:H59" si="34">PRODUCT(J53:S53)</f>
        <v>1</v>
      </c>
      <c r="I53" s="45">
        <f>H53*SUM(I54:I59)</f>
        <v>51.627517142319213</v>
      </c>
      <c r="J53" s="4">
        <f t="shared" si="4"/>
        <v>1</v>
      </c>
      <c r="K53" s="4">
        <f t="shared" si="5"/>
        <v>1</v>
      </c>
      <c r="L53" s="4">
        <f t="shared" si="6"/>
        <v>1</v>
      </c>
      <c r="M53" s="4">
        <f t="shared" si="7"/>
        <v>1</v>
      </c>
      <c r="N53" s="4">
        <f t="shared" si="8"/>
        <v>1</v>
      </c>
      <c r="O53" s="4">
        <f t="shared" si="9"/>
        <v>1</v>
      </c>
      <c r="P53" s="4">
        <f t="shared" si="10"/>
        <v>1</v>
      </c>
      <c r="Q53" s="4">
        <f t="shared" si="11"/>
        <v>1</v>
      </c>
      <c r="R53" s="4">
        <f t="shared" si="12"/>
        <v>1</v>
      </c>
      <c r="S53" s="4">
        <f t="shared" si="13"/>
        <v>1</v>
      </c>
      <c r="U53" s="3">
        <f t="shared" si="15"/>
        <v>0</v>
      </c>
      <c r="V53" s="1" t="str">
        <f t="shared" si="2"/>
        <v/>
      </c>
    </row>
    <row r="54" spans="1:22" x14ac:dyDescent="0.25">
      <c r="A54" s="2">
        <v>51</v>
      </c>
      <c r="B54" s="2">
        <v>3</v>
      </c>
      <c r="C54" s="7" t="s">
        <v>678</v>
      </c>
      <c r="D54" s="41" t="s">
        <v>14</v>
      </c>
      <c r="E54" s="2">
        <v>1</v>
      </c>
      <c r="F54" s="2" t="s">
        <v>916</v>
      </c>
      <c r="G54" s="1" t="str">
        <f>IF(D54="","",VLOOKUP(D54,Table1[#All],2,FALSE))</f>
        <v>0.9 deg Nema 23 Step Motor Bipolar 1.26Nm(178.4oz.in) 2.8A 4-lead, 6.35 shaft dia</v>
      </c>
      <c r="H54" s="2">
        <f t="shared" si="34"/>
        <v>1</v>
      </c>
      <c r="I54" s="44">
        <f>IF(D54&lt;&gt;"",(VLOOKUP(D54,part_details,4,FALSE)+VLOOKUP(D54,part_details,5,FALSE)+VLOOKUP(D54,part_details,6,FALSE))*'Multi-level BOM'!E54,"")</f>
        <v>38.346199999999996</v>
      </c>
      <c r="J54" s="4">
        <f t="shared" si="4"/>
        <v>1</v>
      </c>
      <c r="K54" s="4">
        <f t="shared" si="5"/>
        <v>1</v>
      </c>
      <c r="L54" s="4">
        <f t="shared" si="6"/>
        <v>1</v>
      </c>
      <c r="M54" s="4">
        <f t="shared" si="7"/>
        <v>1</v>
      </c>
      <c r="N54" s="4">
        <f t="shared" si="8"/>
        <v>1</v>
      </c>
      <c r="O54" s="4">
        <f t="shared" si="9"/>
        <v>1</v>
      </c>
      <c r="P54" s="4">
        <f t="shared" si="10"/>
        <v>1</v>
      </c>
      <c r="Q54" s="4">
        <f t="shared" si="11"/>
        <v>1</v>
      </c>
      <c r="R54" s="4">
        <f t="shared" si="12"/>
        <v>1</v>
      </c>
      <c r="S54" s="4">
        <f t="shared" si="13"/>
        <v>1</v>
      </c>
      <c r="U54" s="3">
        <f t="shared" si="15"/>
        <v>38.346199999999996</v>
      </c>
      <c r="V54" s="1" t="str">
        <f t="shared" si="2"/>
        <v>A-0008</v>
      </c>
    </row>
    <row r="55" spans="1:22" x14ac:dyDescent="0.25">
      <c r="A55" s="2">
        <v>52</v>
      </c>
      <c r="B55" s="2">
        <v>3</v>
      </c>
      <c r="C55" s="7" t="s">
        <v>683</v>
      </c>
      <c r="D55" s="41" t="s">
        <v>15</v>
      </c>
      <c r="E55" s="2">
        <f>4*49.5+0.5</f>
        <v>198.5</v>
      </c>
      <c r="G55" s="1" t="str">
        <f>IF(D55="","",VLOOKUP(D55,Table1[#All],2,FALSE))</f>
        <v>uxcell 6063 Aluminum Round Tube 300mm Length 12mm OD 5mm Inner Dia Seamless Aluminum Straight Tubing</v>
      </c>
      <c r="H55" s="2">
        <f t="shared" si="34"/>
        <v>198.5</v>
      </c>
      <c r="I55" s="44">
        <f>IF(D55&lt;&gt;"",(VLOOKUP(D55,part_details,4,FALSE)+VLOOKUP(D55,part_details,5,FALSE)+VLOOKUP(D55,part_details,6,FALSE))*'Multi-level BOM'!E55,"")</f>
        <v>7.2770761666666672</v>
      </c>
      <c r="J55" s="4">
        <f t="shared" si="4"/>
        <v>1</v>
      </c>
      <c r="K55" s="4">
        <f t="shared" si="5"/>
        <v>1</v>
      </c>
      <c r="L55" s="4">
        <f t="shared" si="6"/>
        <v>1</v>
      </c>
      <c r="M55" s="4">
        <f t="shared" si="7"/>
        <v>198.5</v>
      </c>
      <c r="N55" s="4">
        <f t="shared" si="8"/>
        <v>1</v>
      </c>
      <c r="O55" s="4">
        <f t="shared" si="9"/>
        <v>1</v>
      </c>
      <c r="P55" s="4">
        <f t="shared" si="10"/>
        <v>1</v>
      </c>
      <c r="Q55" s="4">
        <f t="shared" si="11"/>
        <v>1</v>
      </c>
      <c r="R55" s="4">
        <f t="shared" si="12"/>
        <v>1</v>
      </c>
      <c r="S55" s="4">
        <f t="shared" si="13"/>
        <v>1</v>
      </c>
      <c r="U55" s="3">
        <f t="shared" si="15"/>
        <v>0</v>
      </c>
      <c r="V55" s="1" t="str">
        <f t="shared" si="2"/>
        <v/>
      </c>
    </row>
    <row r="56" spans="1:22" x14ac:dyDescent="0.25">
      <c r="A56" s="2">
        <v>53</v>
      </c>
      <c r="B56" s="2">
        <v>3</v>
      </c>
      <c r="C56" s="28" t="s">
        <v>742</v>
      </c>
      <c r="D56" s="41" t="s">
        <v>36</v>
      </c>
      <c r="E56" s="2">
        <v>4</v>
      </c>
      <c r="G56" s="1" t="str">
        <f>IF(D56="","",VLOOKUP(D56,Table1[#All],2,FALSE))</f>
        <v>M5-0.8 X 75MM Socket Head Cap Screws,  Black Oxide Coated Steel</v>
      </c>
      <c r="H56" s="2">
        <f t="shared" si="34"/>
        <v>4</v>
      </c>
      <c r="I56" s="44">
        <f>IF(D56&lt;&gt;"",(VLOOKUP(D56,part_details,4,FALSE)+VLOOKUP(D56,part_details,5,FALSE)+VLOOKUP(D56,part_details,6,FALSE))*'Multi-level BOM'!E56,"")</f>
        <v>2.4216889668787003</v>
      </c>
      <c r="J56" s="4">
        <f t="shared" si="4"/>
        <v>1</v>
      </c>
      <c r="K56" s="4">
        <f t="shared" si="5"/>
        <v>1</v>
      </c>
      <c r="L56" s="4">
        <f t="shared" si="6"/>
        <v>1</v>
      </c>
      <c r="M56" s="4">
        <f t="shared" si="7"/>
        <v>4</v>
      </c>
      <c r="N56" s="4">
        <f t="shared" si="8"/>
        <v>1</v>
      </c>
      <c r="O56" s="4">
        <f t="shared" si="9"/>
        <v>1</v>
      </c>
      <c r="P56" s="4">
        <f t="shared" si="10"/>
        <v>1</v>
      </c>
      <c r="Q56" s="4">
        <f t="shared" si="11"/>
        <v>1</v>
      </c>
      <c r="R56" s="4">
        <f t="shared" si="12"/>
        <v>1</v>
      </c>
      <c r="S56" s="4">
        <f t="shared" si="13"/>
        <v>1</v>
      </c>
      <c r="U56" s="3">
        <f t="shared" si="15"/>
        <v>0</v>
      </c>
      <c r="V56" s="1" t="str">
        <f t="shared" si="2"/>
        <v/>
      </c>
    </row>
    <row r="57" spans="1:22" x14ac:dyDescent="0.25">
      <c r="A57" s="2">
        <v>54</v>
      </c>
      <c r="B57" s="2">
        <v>3</v>
      </c>
      <c r="C57" s="7" t="s">
        <v>690</v>
      </c>
      <c r="D57" s="41" t="s">
        <v>19</v>
      </c>
      <c r="E57" s="2">
        <v>1</v>
      </c>
      <c r="G57" s="1" t="str">
        <f>IF(D57="","",VLOOKUP(D57,Table1[#All],2,FALSE))</f>
        <v xml:space="preserve">BALITENSEN 4 pcs 2GT 20 teeth Timing Pulley bore 6.35 for GT2 belt width 10mm for CNC 3D printer(GT2 20teeth) </v>
      </c>
      <c r="H57" s="2">
        <f t="shared" si="34"/>
        <v>1</v>
      </c>
      <c r="I57" s="44">
        <f>IF(D57&lt;&gt;"",(VLOOKUP(D57,part_details,4,FALSE)+VLOOKUP(D57,part_details,5,FALSE)+VLOOKUP(D57,part_details,6,FALSE))*'Multi-level BOM'!E57,"")</f>
        <v>3.13375</v>
      </c>
      <c r="J57" s="4">
        <f t="shared" si="4"/>
        <v>1</v>
      </c>
      <c r="K57" s="4">
        <f t="shared" si="5"/>
        <v>1</v>
      </c>
      <c r="L57" s="4">
        <f t="shared" si="6"/>
        <v>1</v>
      </c>
      <c r="M57" s="4">
        <f t="shared" si="7"/>
        <v>1</v>
      </c>
      <c r="N57" s="4">
        <f t="shared" si="8"/>
        <v>1</v>
      </c>
      <c r="O57" s="4">
        <f t="shared" si="9"/>
        <v>1</v>
      </c>
      <c r="P57" s="4">
        <f t="shared" si="10"/>
        <v>1</v>
      </c>
      <c r="Q57" s="4">
        <f t="shared" si="11"/>
        <v>1</v>
      </c>
      <c r="R57" s="4">
        <f t="shared" si="12"/>
        <v>1</v>
      </c>
      <c r="S57" s="4">
        <f t="shared" si="13"/>
        <v>1</v>
      </c>
      <c r="U57" s="3">
        <f t="shared" si="15"/>
        <v>0</v>
      </c>
      <c r="V57" s="1" t="str">
        <f t="shared" si="2"/>
        <v/>
      </c>
    </row>
    <row r="58" spans="1:22" x14ac:dyDescent="0.25">
      <c r="A58" s="2">
        <v>55</v>
      </c>
      <c r="B58" s="2">
        <v>3</v>
      </c>
      <c r="C58" s="7" t="s">
        <v>671</v>
      </c>
      <c r="D58" s="41" t="s">
        <v>13</v>
      </c>
      <c r="E58" s="2">
        <v>4</v>
      </c>
      <c r="G58" s="1" t="str">
        <f>IF(D58="","",VLOOKUP(D58,Table1[#All],2,FALSE))</f>
        <v>Washer, M6, 304 stainless, OD 12mm, .9mm thick</v>
      </c>
      <c r="H58" s="2">
        <f t="shared" si="34"/>
        <v>4</v>
      </c>
      <c r="I58" s="44">
        <f>IF(D58&lt;&gt;"",(VLOOKUP(D58,part_details,4,FALSE)+VLOOKUP(D58,part_details,5,FALSE)+VLOOKUP(D58,part_details,6,FALSE))*'Multi-level BOM'!E58,"")</f>
        <v>0.17636199999999999</v>
      </c>
      <c r="J58" s="4">
        <f t="shared" si="4"/>
        <v>1</v>
      </c>
      <c r="K58" s="4">
        <f t="shared" si="5"/>
        <v>1</v>
      </c>
      <c r="L58" s="4">
        <f t="shared" si="6"/>
        <v>1</v>
      </c>
      <c r="M58" s="4">
        <f t="shared" si="7"/>
        <v>4</v>
      </c>
      <c r="N58" s="4">
        <f t="shared" si="8"/>
        <v>1</v>
      </c>
      <c r="O58" s="4">
        <f t="shared" si="9"/>
        <v>1</v>
      </c>
      <c r="P58" s="4">
        <f t="shared" si="10"/>
        <v>1</v>
      </c>
      <c r="Q58" s="4">
        <f t="shared" si="11"/>
        <v>1</v>
      </c>
      <c r="R58" s="4">
        <f t="shared" si="12"/>
        <v>1</v>
      </c>
      <c r="S58" s="4">
        <f t="shared" si="13"/>
        <v>1</v>
      </c>
      <c r="U58" s="3">
        <f t="shared" si="15"/>
        <v>0</v>
      </c>
      <c r="V58" s="1" t="str">
        <f t="shared" si="2"/>
        <v/>
      </c>
    </row>
    <row r="59" spans="1:22" x14ac:dyDescent="0.25">
      <c r="A59" s="2">
        <v>56</v>
      </c>
      <c r="B59" s="2">
        <v>3</v>
      </c>
      <c r="C59" s="7" t="s">
        <v>727</v>
      </c>
      <c r="D59" s="41" t="s">
        <v>28</v>
      </c>
      <c r="E59" s="2">
        <v>4</v>
      </c>
      <c r="G59" s="1" t="str">
        <f>IF(D59="","",VLOOKUP(D59,Table1[#All],2,FALSE))</f>
        <v xml:space="preserve">M6 x 1.0mm Nylon Inserted Hex Lock Nuts 304 Stainless Steel </v>
      </c>
      <c r="H59" s="2">
        <f t="shared" si="34"/>
        <v>4</v>
      </c>
      <c r="I59" s="44">
        <f>IF(D59&lt;&gt;"",(VLOOKUP(D59,part_details,4,FALSE)+VLOOKUP(D59,part_details,5,FALSE)+VLOOKUP(D59,part_details,6,FALSE))*'Multi-level BOM'!E59,"")</f>
        <v>0.27244000877385383</v>
      </c>
      <c r="J59" s="4">
        <f t="shared" si="4"/>
        <v>1</v>
      </c>
      <c r="K59" s="4">
        <f t="shared" si="5"/>
        <v>1</v>
      </c>
      <c r="L59" s="4">
        <f t="shared" si="6"/>
        <v>1</v>
      </c>
      <c r="M59" s="4">
        <f t="shared" si="7"/>
        <v>4</v>
      </c>
      <c r="N59" s="4">
        <f t="shared" si="8"/>
        <v>1</v>
      </c>
      <c r="O59" s="4">
        <f t="shared" si="9"/>
        <v>1</v>
      </c>
      <c r="P59" s="4">
        <f t="shared" si="10"/>
        <v>1</v>
      </c>
      <c r="Q59" s="4">
        <f t="shared" si="11"/>
        <v>1</v>
      </c>
      <c r="R59" s="4">
        <f t="shared" si="12"/>
        <v>1</v>
      </c>
      <c r="S59" s="4">
        <f t="shared" si="13"/>
        <v>1</v>
      </c>
      <c r="U59" s="3">
        <f t="shared" si="15"/>
        <v>0</v>
      </c>
      <c r="V59" s="1" t="str">
        <f t="shared" si="2"/>
        <v/>
      </c>
    </row>
    <row r="60" spans="1:22" x14ac:dyDescent="0.25">
      <c r="A60" s="2">
        <v>57</v>
      </c>
      <c r="C60" s="7"/>
      <c r="D60" s="41"/>
      <c r="G60" s="1" t="str">
        <f>IF(D60="","",VLOOKUP(D60,Table1[#All],2,FALSE))</f>
        <v/>
      </c>
      <c r="I60" s="44" t="str">
        <f>IF(D60&lt;&gt;"",VLOOKUP(D60,part_details,4,FALSE)*'Multi-level BOM'!E60,"")</f>
        <v/>
      </c>
      <c r="J60" s="4">
        <f t="shared" si="4"/>
        <v>1</v>
      </c>
      <c r="K60" s="4">
        <f t="shared" si="5"/>
        <v>1</v>
      </c>
      <c r="L60" s="4">
        <f t="shared" si="6"/>
        <v>1</v>
      </c>
      <c r="M60" s="4">
        <f t="shared" si="7"/>
        <v>4</v>
      </c>
      <c r="N60" s="4">
        <f t="shared" si="8"/>
        <v>1</v>
      </c>
      <c r="O60" s="4">
        <f t="shared" si="9"/>
        <v>1</v>
      </c>
      <c r="P60" s="4">
        <f t="shared" si="10"/>
        <v>1</v>
      </c>
      <c r="Q60" s="4">
        <f t="shared" si="11"/>
        <v>1</v>
      </c>
      <c r="R60" s="4">
        <f t="shared" si="12"/>
        <v>1</v>
      </c>
      <c r="S60" s="4">
        <f t="shared" si="13"/>
        <v>1</v>
      </c>
      <c r="U60" s="3">
        <f t="shared" si="15"/>
        <v>0</v>
      </c>
      <c r="V60" s="1" t="str">
        <f t="shared" si="2"/>
        <v/>
      </c>
    </row>
    <row r="61" spans="1:22" x14ac:dyDescent="0.25">
      <c r="A61" s="2">
        <v>58</v>
      </c>
      <c r="B61" s="2">
        <v>2</v>
      </c>
      <c r="C61" s="7" t="s">
        <v>684</v>
      </c>
      <c r="D61" s="41" t="s">
        <v>17</v>
      </c>
      <c r="E61" s="2">
        <v>2</v>
      </c>
      <c r="G61" s="1" t="str">
        <f>IF(D61="","",VLOOKUP(D61,Table1[#All],2,FALSE))</f>
        <v xml:space="preserve">
Machifit 500mm Length MGN15 Linear Rail Guide with MGN15H Linear Rail Block</v>
      </c>
      <c r="H61" s="2">
        <f>PRODUCT(J61:S61)</f>
        <v>2</v>
      </c>
      <c r="I61" s="45">
        <f>IF(D61&lt;&gt;"",(VLOOKUP(D61,part_details,4,FALSE)+VLOOKUP(D61,part_details,5,FALSE)+VLOOKUP(D61,part_details,6,FALSE))*'Multi-level BOM'!E61,"")</f>
        <v>60.001921474007439</v>
      </c>
      <c r="J61" s="4">
        <f t="shared" si="4"/>
        <v>1</v>
      </c>
      <c r="K61" s="4">
        <f t="shared" si="5"/>
        <v>1</v>
      </c>
      <c r="L61" s="4">
        <f t="shared" si="6"/>
        <v>2</v>
      </c>
      <c r="M61" s="4">
        <f t="shared" si="7"/>
        <v>1</v>
      </c>
      <c r="N61" s="4">
        <f t="shared" si="8"/>
        <v>1</v>
      </c>
      <c r="O61" s="4">
        <f t="shared" si="9"/>
        <v>1</v>
      </c>
      <c r="P61" s="4">
        <f t="shared" si="10"/>
        <v>1</v>
      </c>
      <c r="Q61" s="4">
        <f t="shared" si="11"/>
        <v>1</v>
      </c>
      <c r="R61" s="4">
        <f t="shared" si="12"/>
        <v>1</v>
      </c>
      <c r="S61" s="4">
        <f t="shared" si="13"/>
        <v>1</v>
      </c>
      <c r="U61" s="3">
        <f t="shared" si="15"/>
        <v>0</v>
      </c>
      <c r="V61" s="1" t="str">
        <f t="shared" si="2"/>
        <v/>
      </c>
    </row>
    <row r="62" spans="1:22" x14ac:dyDescent="0.25">
      <c r="A62" s="2">
        <v>59</v>
      </c>
      <c r="C62" s="7"/>
      <c r="D62" s="41"/>
      <c r="G62" s="1" t="str">
        <f>IF(D62="","",VLOOKUP(D62,Table1[#All],2,FALSE))</f>
        <v/>
      </c>
      <c r="I62" s="45" t="str">
        <f>IF(D62&lt;&gt;"",VLOOKUP(D62,part_details,4,FALSE)*'Multi-level BOM'!E62,"")</f>
        <v/>
      </c>
      <c r="J62" s="4">
        <f t="shared" si="4"/>
        <v>1</v>
      </c>
      <c r="K62" s="4">
        <f t="shared" si="5"/>
        <v>1</v>
      </c>
      <c r="L62" s="4">
        <f t="shared" si="6"/>
        <v>2</v>
      </c>
      <c r="M62" s="4">
        <f t="shared" si="7"/>
        <v>1</v>
      </c>
      <c r="N62" s="4">
        <f t="shared" si="8"/>
        <v>1</v>
      </c>
      <c r="O62" s="4">
        <f t="shared" si="9"/>
        <v>1</v>
      </c>
      <c r="P62" s="4">
        <f t="shared" si="10"/>
        <v>1</v>
      </c>
      <c r="Q62" s="4">
        <f t="shared" si="11"/>
        <v>1</v>
      </c>
      <c r="R62" s="4">
        <f t="shared" si="12"/>
        <v>1</v>
      </c>
      <c r="S62" s="4">
        <f t="shared" si="13"/>
        <v>1</v>
      </c>
      <c r="U62" s="3">
        <f t="shared" si="15"/>
        <v>0</v>
      </c>
      <c r="V62" s="1" t="str">
        <f t="shared" si="2"/>
        <v/>
      </c>
    </row>
    <row r="63" spans="1:22" x14ac:dyDescent="0.25">
      <c r="A63" s="2">
        <v>60</v>
      </c>
      <c r="B63" s="2">
        <v>2</v>
      </c>
      <c r="C63" s="7" t="s">
        <v>747</v>
      </c>
      <c r="D63" s="41" t="s">
        <v>18</v>
      </c>
      <c r="E63" s="2">
        <v>26</v>
      </c>
      <c r="G63" s="1" t="str">
        <f>IF(D63="","",VLOOKUP(D63,Table1[#All],2,FALSE))</f>
        <v>M3-0.5x30mm Socket Head Cap Bolts Screws, 304 Stainless Steel 18-8, Allen Socket Drive, Fully Machine Thread, Bright Finish</v>
      </c>
      <c r="H63" s="2">
        <f>PRODUCT(J63:S63)</f>
        <v>26</v>
      </c>
      <c r="I63" s="45">
        <f>IF(D63&lt;&gt;"",(VLOOKUP(D63,part_details,4,FALSE)+VLOOKUP(D63,part_details,5,FALSE)+VLOOKUP(D63,part_details,6,FALSE))*'Multi-level BOM'!E63,"")</f>
        <v>3.2734079842070614</v>
      </c>
      <c r="J63" s="4">
        <f t="shared" si="4"/>
        <v>1</v>
      </c>
      <c r="K63" s="4">
        <f t="shared" si="5"/>
        <v>1</v>
      </c>
      <c r="L63" s="4">
        <f t="shared" si="6"/>
        <v>26</v>
      </c>
      <c r="M63" s="4">
        <f t="shared" si="7"/>
        <v>1</v>
      </c>
      <c r="N63" s="4">
        <f t="shared" si="8"/>
        <v>1</v>
      </c>
      <c r="O63" s="4">
        <f t="shared" si="9"/>
        <v>1</v>
      </c>
      <c r="P63" s="4">
        <f t="shared" si="10"/>
        <v>1</v>
      </c>
      <c r="Q63" s="4">
        <f t="shared" si="11"/>
        <v>1</v>
      </c>
      <c r="R63" s="4">
        <f t="shared" si="12"/>
        <v>1</v>
      </c>
      <c r="S63" s="4">
        <f t="shared" si="13"/>
        <v>1</v>
      </c>
      <c r="U63" s="3">
        <f t="shared" si="15"/>
        <v>0</v>
      </c>
      <c r="V63" s="1" t="str">
        <f t="shared" si="2"/>
        <v/>
      </c>
    </row>
    <row r="64" spans="1:22" x14ac:dyDescent="0.25">
      <c r="A64" s="2">
        <v>61</v>
      </c>
      <c r="B64" s="2">
        <v>2</v>
      </c>
      <c r="C64" s="7" t="s">
        <v>761</v>
      </c>
      <c r="D64" s="41" t="s">
        <v>41</v>
      </c>
      <c r="E64" s="2">
        <v>26</v>
      </c>
      <c r="G64" s="1" t="str">
        <f>IF(D64="","",VLOOKUP(D64,Table1[#All],2,FALSE))</f>
        <v>M3x6mmx0.5mm Stainless Steel Flat Washer</v>
      </c>
      <c r="H64" s="2">
        <f>PRODUCT(J64:S64)</f>
        <v>26</v>
      </c>
      <c r="I64" s="45">
        <f>IF(D64&lt;&gt;"",(VLOOKUP(D64,part_details,4,FALSE)+VLOOKUP(D64,part_details,5,FALSE)+VLOOKUP(D64,part_details,6,FALSE))*'Multi-level BOM'!E64,"")</f>
        <v>0.39352445711778888</v>
      </c>
      <c r="J64" s="4">
        <f t="shared" si="4"/>
        <v>1</v>
      </c>
      <c r="K64" s="4">
        <f t="shared" si="5"/>
        <v>1</v>
      </c>
      <c r="L64" s="4">
        <f t="shared" si="6"/>
        <v>26</v>
      </c>
      <c r="M64" s="4">
        <f t="shared" si="7"/>
        <v>1</v>
      </c>
      <c r="N64" s="4">
        <f t="shared" si="8"/>
        <v>1</v>
      </c>
      <c r="O64" s="4">
        <f t="shared" si="9"/>
        <v>1</v>
      </c>
      <c r="P64" s="4">
        <f t="shared" si="10"/>
        <v>1</v>
      </c>
      <c r="Q64" s="4">
        <f t="shared" si="11"/>
        <v>1</v>
      </c>
      <c r="R64" s="4">
        <f t="shared" si="12"/>
        <v>1</v>
      </c>
      <c r="S64" s="4">
        <f t="shared" si="13"/>
        <v>1</v>
      </c>
      <c r="U64" s="3">
        <f t="shared" si="15"/>
        <v>0</v>
      </c>
      <c r="V64" s="1" t="str">
        <f t="shared" si="2"/>
        <v/>
      </c>
    </row>
    <row r="65" spans="1:22" x14ac:dyDescent="0.25">
      <c r="A65" s="2">
        <v>62</v>
      </c>
      <c r="B65" s="2">
        <v>2</v>
      </c>
      <c r="C65" s="7" t="s">
        <v>762</v>
      </c>
      <c r="D65" s="41" t="s">
        <v>40</v>
      </c>
      <c r="E65" s="2">
        <v>26</v>
      </c>
      <c r="G65" s="1" t="str">
        <f>IF(D65="","",VLOOKUP(D65,Table1[#All],2,FALSE))</f>
        <v>M3 x 0.5mm 304 Stainless Steel Self-Lock Nylon Inserted Hex Lock Nuts,</v>
      </c>
      <c r="H65" s="2">
        <f>PRODUCT(J65:S65)</f>
        <v>26</v>
      </c>
      <c r="I65" s="45">
        <f>IF(D65&lt;&gt;"",(VLOOKUP(D65,part_details,4,FALSE)+VLOOKUP(D65,part_details,5,FALSE)+VLOOKUP(D65,part_details,6,FALSE))*'Multi-level BOM'!E65,"")</f>
        <v>1.1412209256415875</v>
      </c>
      <c r="J65" s="4">
        <f t="shared" si="4"/>
        <v>1</v>
      </c>
      <c r="K65" s="4">
        <f t="shared" si="5"/>
        <v>1</v>
      </c>
      <c r="L65" s="4">
        <f t="shared" si="6"/>
        <v>26</v>
      </c>
      <c r="M65" s="4">
        <f t="shared" si="7"/>
        <v>1</v>
      </c>
      <c r="N65" s="4">
        <f t="shared" si="8"/>
        <v>1</v>
      </c>
      <c r="O65" s="4">
        <f t="shared" si="9"/>
        <v>1</v>
      </c>
      <c r="P65" s="4">
        <f t="shared" si="10"/>
        <v>1</v>
      </c>
      <c r="Q65" s="4">
        <f t="shared" si="11"/>
        <v>1</v>
      </c>
      <c r="R65" s="4">
        <f t="shared" si="12"/>
        <v>1</v>
      </c>
      <c r="S65" s="4">
        <f t="shared" si="13"/>
        <v>1</v>
      </c>
      <c r="U65" s="3">
        <f t="shared" si="15"/>
        <v>0</v>
      </c>
      <c r="V65" s="1" t="str">
        <f t="shared" si="2"/>
        <v/>
      </c>
    </row>
    <row r="66" spans="1:22" x14ac:dyDescent="0.25">
      <c r="A66" s="2">
        <v>63</v>
      </c>
      <c r="B66" s="2">
        <v>2</v>
      </c>
      <c r="C66" s="7" t="s">
        <v>778</v>
      </c>
      <c r="D66" s="41" t="s">
        <v>44</v>
      </c>
      <c r="E66" s="2">
        <v>5</v>
      </c>
      <c r="G66" s="1" t="str">
        <f>IF(D66="","",VLOOKUP(D66,Table1[#All],2,FALSE))</f>
        <v>GT2x9 mm Kevlar-reinforced timing belt</v>
      </c>
      <c r="H66" s="2">
        <f>PRODUCT(J66:S66)</f>
        <v>5</v>
      </c>
      <c r="I66" s="45">
        <f>IF(D66&lt;&gt;"",(VLOOKUP(D66,part_details,4,FALSE)+VLOOKUP(D66,part_details,5,FALSE)+VLOOKUP(D66,part_details,6,FALSE))*'Multi-level BOM'!E66,"")</f>
        <v>36.290000000000006</v>
      </c>
      <c r="J66" s="4">
        <f t="shared" si="4"/>
        <v>1</v>
      </c>
      <c r="K66" s="4">
        <f t="shared" si="5"/>
        <v>1</v>
      </c>
      <c r="L66" s="4">
        <f t="shared" si="6"/>
        <v>5</v>
      </c>
      <c r="M66" s="4">
        <f t="shared" si="7"/>
        <v>1</v>
      </c>
      <c r="N66" s="4">
        <f t="shared" si="8"/>
        <v>1</v>
      </c>
      <c r="O66" s="4">
        <f t="shared" si="9"/>
        <v>1</v>
      </c>
      <c r="P66" s="4">
        <f t="shared" si="10"/>
        <v>1</v>
      </c>
      <c r="Q66" s="4">
        <f t="shared" si="11"/>
        <v>1</v>
      </c>
      <c r="R66" s="4">
        <f t="shared" si="12"/>
        <v>1</v>
      </c>
      <c r="S66" s="4">
        <f t="shared" si="13"/>
        <v>1</v>
      </c>
      <c r="U66" s="3">
        <f t="shared" si="15"/>
        <v>0</v>
      </c>
      <c r="V66" s="1" t="str">
        <f t="shared" si="2"/>
        <v/>
      </c>
    </row>
    <row r="67" spans="1:22" x14ac:dyDescent="0.25">
      <c r="A67" s="2">
        <v>64</v>
      </c>
      <c r="C67" s="7"/>
      <c r="D67" s="41"/>
      <c r="G67" s="1" t="str">
        <f>IF(D67="","",VLOOKUP(D67,Table1[#All],2,FALSE))</f>
        <v/>
      </c>
      <c r="I67" s="45" t="str">
        <f>IF(D67&lt;&gt;"",VLOOKUP(D67,part_details,4,FALSE)*'Multi-level BOM'!E67,"")</f>
        <v/>
      </c>
      <c r="J67" s="4">
        <f t="shared" si="4"/>
        <v>1</v>
      </c>
      <c r="K67" s="4">
        <f t="shared" si="5"/>
        <v>1</v>
      </c>
      <c r="L67" s="4">
        <f t="shared" si="6"/>
        <v>5</v>
      </c>
      <c r="M67" s="4">
        <f t="shared" si="7"/>
        <v>1</v>
      </c>
      <c r="N67" s="4">
        <f t="shared" si="8"/>
        <v>1</v>
      </c>
      <c r="O67" s="4">
        <f t="shared" si="9"/>
        <v>1</v>
      </c>
      <c r="P67" s="4">
        <f t="shared" si="10"/>
        <v>1</v>
      </c>
      <c r="Q67" s="4">
        <f t="shared" si="11"/>
        <v>1</v>
      </c>
      <c r="R67" s="4">
        <f t="shared" si="12"/>
        <v>1</v>
      </c>
      <c r="S67" s="4">
        <f t="shared" si="13"/>
        <v>1</v>
      </c>
      <c r="U67" s="3">
        <f t="shared" si="15"/>
        <v>0</v>
      </c>
      <c r="V67" s="1" t="str">
        <f t="shared" si="2"/>
        <v/>
      </c>
    </row>
    <row r="68" spans="1:22" x14ac:dyDescent="0.25">
      <c r="A68" s="2">
        <v>65</v>
      </c>
      <c r="B68" s="2">
        <v>1</v>
      </c>
      <c r="C68" s="7" t="s">
        <v>646</v>
      </c>
      <c r="D68" s="41"/>
      <c r="E68" s="2">
        <v>1</v>
      </c>
      <c r="G68" s="1" t="str">
        <f>IF(D68="","",VLOOKUP(D68,Table1[#All],2,FALSE))</f>
        <v/>
      </c>
      <c r="H68" s="2">
        <f>PRODUCT(J68:S68)</f>
        <v>1</v>
      </c>
      <c r="I68" s="45">
        <f>H68*SUM(I69,I71,I78,I86,I87,I89,I90,I91)</f>
        <v>49.021410371799362</v>
      </c>
      <c r="J68" s="4">
        <f t="shared" si="4"/>
        <v>1</v>
      </c>
      <c r="K68" s="4">
        <f t="shared" si="5"/>
        <v>1</v>
      </c>
      <c r="L68" s="4">
        <f t="shared" si="6"/>
        <v>1</v>
      </c>
      <c r="M68" s="4">
        <f t="shared" si="7"/>
        <v>1</v>
      </c>
      <c r="N68" s="4">
        <f t="shared" si="8"/>
        <v>1</v>
      </c>
      <c r="O68" s="4">
        <f t="shared" si="9"/>
        <v>1</v>
      </c>
      <c r="P68" s="4">
        <f t="shared" si="10"/>
        <v>1</v>
      </c>
      <c r="Q68" s="4">
        <f t="shared" si="11"/>
        <v>1</v>
      </c>
      <c r="R68" s="4">
        <f t="shared" si="12"/>
        <v>1</v>
      </c>
      <c r="S68" s="4">
        <f t="shared" si="13"/>
        <v>1</v>
      </c>
      <c r="U68" s="3">
        <f t="shared" si="15"/>
        <v>0</v>
      </c>
      <c r="V68" s="1" t="str">
        <f t="shared" ref="V68:V132" si="35">IF(F68="x",D68,"")</f>
        <v/>
      </c>
    </row>
    <row r="69" spans="1:22" x14ac:dyDescent="0.25">
      <c r="A69" s="2">
        <v>66</v>
      </c>
      <c r="B69" s="2">
        <v>2</v>
      </c>
      <c r="C69" s="7" t="s">
        <v>722</v>
      </c>
      <c r="D69" s="41" t="s">
        <v>23</v>
      </c>
      <c r="E69" s="2">
        <v>1</v>
      </c>
      <c r="G69" s="1" t="str">
        <f>IF(D69="","",VLOOKUP(D69,Table1[#All],2,FALSE))</f>
        <v>1/4" cast aluminum plate 3" x 22"</v>
      </c>
      <c r="H69" s="2">
        <f>PRODUCT(J69:S69)</f>
        <v>1</v>
      </c>
      <c r="I69" s="45">
        <f>IF(D69&lt;&gt;"",(VLOOKUP(D69,part_details,4,FALSE)+VLOOKUP(D69,part_details,5,FALSE)+VLOOKUP(D69,part_details,6,FALSE))*'Multi-level BOM'!E69,"")</f>
        <v>0</v>
      </c>
      <c r="J69" s="4">
        <f t="shared" si="4"/>
        <v>1</v>
      </c>
      <c r="K69" s="4">
        <f t="shared" si="5"/>
        <v>1</v>
      </c>
      <c r="L69" s="4">
        <f t="shared" si="6"/>
        <v>1</v>
      </c>
      <c r="M69" s="4">
        <f t="shared" si="7"/>
        <v>1</v>
      </c>
      <c r="N69" s="4">
        <f t="shared" si="8"/>
        <v>1</v>
      </c>
      <c r="O69" s="4">
        <f t="shared" si="9"/>
        <v>1</v>
      </c>
      <c r="P69" s="4">
        <f t="shared" si="10"/>
        <v>1</v>
      </c>
      <c r="Q69" s="4">
        <f t="shared" si="11"/>
        <v>1</v>
      </c>
      <c r="R69" s="4">
        <f t="shared" si="12"/>
        <v>1</v>
      </c>
      <c r="S69" s="4">
        <f t="shared" si="13"/>
        <v>1</v>
      </c>
      <c r="U69" s="3">
        <f t="shared" si="15"/>
        <v>0</v>
      </c>
      <c r="V69" s="1" t="str">
        <f t="shared" si="35"/>
        <v/>
      </c>
    </row>
    <row r="70" spans="1:22" x14ac:dyDescent="0.25">
      <c r="A70" s="2">
        <v>67</v>
      </c>
      <c r="C70" s="7"/>
      <c r="D70" s="41"/>
      <c r="G70" s="1" t="str">
        <f>IF(D70="","",VLOOKUP(D70,Table1[#All],2,FALSE))</f>
        <v/>
      </c>
      <c r="I70" s="44" t="str">
        <f>IF(D70&lt;&gt;"",VLOOKUP(D70,part_details,4,FALSE)*'Multi-level BOM'!E70,"")</f>
        <v/>
      </c>
      <c r="J70" s="4">
        <f t="shared" si="4"/>
        <v>1</v>
      </c>
      <c r="K70" s="4">
        <f t="shared" si="5"/>
        <v>1</v>
      </c>
      <c r="L70" s="4">
        <f t="shared" si="6"/>
        <v>1</v>
      </c>
      <c r="M70" s="4">
        <f t="shared" si="7"/>
        <v>1</v>
      </c>
      <c r="N70" s="4">
        <f t="shared" si="8"/>
        <v>1</v>
      </c>
      <c r="O70" s="4">
        <f t="shared" si="9"/>
        <v>1</v>
      </c>
      <c r="P70" s="4">
        <f t="shared" si="10"/>
        <v>1</v>
      </c>
      <c r="Q70" s="4">
        <f t="shared" si="11"/>
        <v>1</v>
      </c>
      <c r="R70" s="4">
        <f t="shared" si="12"/>
        <v>1</v>
      </c>
      <c r="S70" s="4">
        <f t="shared" si="13"/>
        <v>1</v>
      </c>
      <c r="U70" s="3">
        <f t="shared" si="15"/>
        <v>0</v>
      </c>
      <c r="V70" s="1" t="str">
        <f t="shared" si="35"/>
        <v/>
      </c>
    </row>
    <row r="71" spans="1:22" x14ac:dyDescent="0.25">
      <c r="A71" s="2">
        <v>68</v>
      </c>
      <c r="B71" s="2">
        <v>2</v>
      </c>
      <c r="C71" s="7" t="s">
        <v>672</v>
      </c>
      <c r="D71" s="41"/>
      <c r="E71" s="2">
        <v>2</v>
      </c>
      <c r="G71" s="1" t="str">
        <f>IF(D71="","",VLOOKUP(D71,Table1[#All],2,FALSE))</f>
        <v/>
      </c>
      <c r="H71" s="2">
        <f t="shared" ref="H71:H76" si="36">PRODUCT(J71:S71)</f>
        <v>2</v>
      </c>
      <c r="I71" s="45">
        <f>H71*SUM(I72:I76)</f>
        <v>7.1680774748848428</v>
      </c>
      <c r="J71" s="4">
        <f t="shared" si="4"/>
        <v>1</v>
      </c>
      <c r="K71" s="4">
        <f t="shared" si="5"/>
        <v>1</v>
      </c>
      <c r="L71" s="4">
        <f t="shared" si="6"/>
        <v>2</v>
      </c>
      <c r="M71" s="4">
        <f t="shared" si="7"/>
        <v>1</v>
      </c>
      <c r="N71" s="4">
        <f t="shared" si="8"/>
        <v>1</v>
      </c>
      <c r="O71" s="4">
        <f t="shared" si="9"/>
        <v>1</v>
      </c>
      <c r="P71" s="4">
        <f t="shared" si="10"/>
        <v>1</v>
      </c>
      <c r="Q71" s="4">
        <f t="shared" si="11"/>
        <v>1</v>
      </c>
      <c r="R71" s="4">
        <f t="shared" si="12"/>
        <v>1</v>
      </c>
      <c r="S71" s="4">
        <f t="shared" si="13"/>
        <v>1</v>
      </c>
      <c r="U71" s="3">
        <f t="shared" si="15"/>
        <v>0</v>
      </c>
      <c r="V71" s="1" t="str">
        <f t="shared" si="35"/>
        <v/>
      </c>
    </row>
    <row r="72" spans="1:22" x14ac:dyDescent="0.25">
      <c r="A72" s="2">
        <v>69</v>
      </c>
      <c r="B72" s="2">
        <v>3</v>
      </c>
      <c r="C72" s="8" t="s">
        <v>658</v>
      </c>
      <c r="D72" s="41" t="s">
        <v>9</v>
      </c>
      <c r="E72" s="2">
        <v>2</v>
      </c>
      <c r="G72" s="1" t="str">
        <f>IF(D72="","",VLOOKUP(D72,Table1[#All],2,FALSE))</f>
        <v xml:space="preserve">Bearing, Flange F606ZZ, 6mm x 17mm x 6mm </v>
      </c>
      <c r="H72" s="2">
        <f t="shared" si="36"/>
        <v>4</v>
      </c>
      <c r="I72" s="44">
        <f>IF(D72&lt;&gt;"",(VLOOKUP(D72,part_details,4,FALSE)+VLOOKUP(D72,part_details,5,FALSE)+VLOOKUP(D72,part_details,6,FALSE))*'Multi-level BOM'!E72,"")</f>
        <v>2.94082</v>
      </c>
      <c r="J72" s="4">
        <f t="shared" si="4"/>
        <v>1</v>
      </c>
      <c r="K72" s="4">
        <f t="shared" si="5"/>
        <v>1</v>
      </c>
      <c r="L72" s="4">
        <f t="shared" si="6"/>
        <v>2</v>
      </c>
      <c r="M72" s="4">
        <f t="shared" si="7"/>
        <v>2</v>
      </c>
      <c r="N72" s="4">
        <f t="shared" si="8"/>
        <v>1</v>
      </c>
      <c r="O72" s="4">
        <f t="shared" si="9"/>
        <v>1</v>
      </c>
      <c r="P72" s="4">
        <f t="shared" si="10"/>
        <v>1</v>
      </c>
      <c r="Q72" s="4">
        <f t="shared" si="11"/>
        <v>1</v>
      </c>
      <c r="R72" s="4">
        <f t="shared" si="12"/>
        <v>1</v>
      </c>
      <c r="S72" s="4">
        <f t="shared" si="13"/>
        <v>1</v>
      </c>
      <c r="U72" s="3">
        <f t="shared" si="15"/>
        <v>0</v>
      </c>
      <c r="V72" s="1" t="str">
        <f t="shared" si="35"/>
        <v/>
      </c>
    </row>
    <row r="73" spans="1:22" x14ac:dyDescent="0.25">
      <c r="A73" s="2">
        <v>70</v>
      </c>
      <c r="B73" s="2">
        <v>3</v>
      </c>
      <c r="C73" s="8" t="s">
        <v>661</v>
      </c>
      <c r="D73" s="41" t="s">
        <v>11</v>
      </c>
      <c r="E73" s="2">
        <v>1</v>
      </c>
      <c r="G73" s="1" t="str">
        <f>IF(D73="","",VLOOKUP(D73,Table1[#All],2,FALSE))</f>
        <v xml:space="preserve">K &amp; S PRECISION METALS 251 .010x4x10 BRS SHT Metal </v>
      </c>
      <c r="H73" s="2">
        <f t="shared" si="36"/>
        <v>2</v>
      </c>
      <c r="I73" s="44">
        <f>IF(D73&lt;&gt;"",(VLOOKUP(D73,part_details,4,FALSE)+VLOOKUP(D73,part_details,5,FALSE)+VLOOKUP(D73,part_details,6,FALSE))*'Multi-level BOM'!E73,"")</f>
        <v>0.23925499999999997</v>
      </c>
      <c r="J73" s="4">
        <f t="shared" si="4"/>
        <v>1</v>
      </c>
      <c r="K73" s="4">
        <f t="shared" si="5"/>
        <v>1</v>
      </c>
      <c r="L73" s="4">
        <f t="shared" si="6"/>
        <v>2</v>
      </c>
      <c r="M73" s="4">
        <f t="shared" si="7"/>
        <v>1</v>
      </c>
      <c r="N73" s="4">
        <f t="shared" si="8"/>
        <v>1</v>
      </c>
      <c r="O73" s="4">
        <f t="shared" si="9"/>
        <v>1</v>
      </c>
      <c r="P73" s="4">
        <f t="shared" si="10"/>
        <v>1</v>
      </c>
      <c r="Q73" s="4">
        <f t="shared" si="11"/>
        <v>1</v>
      </c>
      <c r="R73" s="4">
        <f t="shared" si="12"/>
        <v>1</v>
      </c>
      <c r="S73" s="4">
        <f t="shared" si="13"/>
        <v>1</v>
      </c>
      <c r="U73" s="3">
        <f t="shared" si="15"/>
        <v>0</v>
      </c>
      <c r="V73" s="1" t="str">
        <f t="shared" si="35"/>
        <v/>
      </c>
    </row>
    <row r="74" spans="1:22" x14ac:dyDescent="0.25">
      <c r="A74" s="2">
        <v>71</v>
      </c>
      <c r="B74" s="2">
        <v>3</v>
      </c>
      <c r="C74" s="8" t="s">
        <v>752</v>
      </c>
      <c r="D74" s="41" t="s">
        <v>37</v>
      </c>
      <c r="E74" s="2">
        <v>1</v>
      </c>
      <c r="G74" s="1" t="str">
        <f>IF(D74="","",VLOOKUP(D74,Table1[#All],2,FALSE))</f>
        <v>M6 Flat/Countersunk Head Socket Screws (M6 x 22mm)</v>
      </c>
      <c r="H74" s="2">
        <f t="shared" si="36"/>
        <v>2</v>
      </c>
      <c r="I74" s="44">
        <f>IF(D74&lt;&gt;"",(VLOOKUP(D74,part_details,4,FALSE)+VLOOKUP(D74,part_details,5,FALSE)+VLOOKUP(D74,part_details,6,FALSE))*'Multi-level BOM'!E74,"")</f>
        <v>0.247672735248958</v>
      </c>
      <c r="J74" s="4">
        <f t="shared" si="4"/>
        <v>1</v>
      </c>
      <c r="K74" s="4">
        <f t="shared" si="5"/>
        <v>1</v>
      </c>
      <c r="L74" s="4">
        <f t="shared" si="6"/>
        <v>2</v>
      </c>
      <c r="M74" s="4">
        <f t="shared" si="7"/>
        <v>1</v>
      </c>
      <c r="N74" s="4">
        <f t="shared" si="8"/>
        <v>1</v>
      </c>
      <c r="O74" s="4">
        <f t="shared" si="9"/>
        <v>1</v>
      </c>
      <c r="P74" s="4">
        <f t="shared" si="10"/>
        <v>1</v>
      </c>
      <c r="Q74" s="4">
        <f t="shared" si="11"/>
        <v>1</v>
      </c>
      <c r="R74" s="4">
        <f t="shared" si="12"/>
        <v>1</v>
      </c>
      <c r="S74" s="4">
        <f t="shared" si="13"/>
        <v>1</v>
      </c>
      <c r="U74" s="3">
        <f t="shared" si="15"/>
        <v>0</v>
      </c>
      <c r="V74" s="1" t="str">
        <f t="shared" si="35"/>
        <v/>
      </c>
    </row>
    <row r="75" spans="1:22" x14ac:dyDescent="0.25">
      <c r="A75" s="2">
        <v>72</v>
      </c>
      <c r="B75" s="2">
        <v>3</v>
      </c>
      <c r="C75" s="8" t="s">
        <v>671</v>
      </c>
      <c r="D75" s="41" t="s">
        <v>13</v>
      </c>
      <c r="E75" s="2">
        <v>2</v>
      </c>
      <c r="G75" s="1" t="str">
        <f>IF(D75="","",VLOOKUP(D75,Table1[#All],2,FALSE))</f>
        <v>Washer, M6, 304 stainless, OD 12mm, .9mm thick</v>
      </c>
      <c r="H75" s="2">
        <f t="shared" si="36"/>
        <v>4</v>
      </c>
      <c r="I75" s="44">
        <f>IF(D75&lt;&gt;"",(VLOOKUP(D75,part_details,4,FALSE)+VLOOKUP(D75,part_details,5,FALSE)+VLOOKUP(D75,part_details,6,FALSE))*'Multi-level BOM'!E75,"")</f>
        <v>8.8180999999999995E-2</v>
      </c>
      <c r="J75" s="4">
        <f t="shared" si="4"/>
        <v>1</v>
      </c>
      <c r="K75" s="4">
        <f t="shared" si="5"/>
        <v>1</v>
      </c>
      <c r="L75" s="4">
        <f t="shared" si="6"/>
        <v>2</v>
      </c>
      <c r="M75" s="4">
        <f t="shared" si="7"/>
        <v>2</v>
      </c>
      <c r="N75" s="4">
        <f t="shared" si="8"/>
        <v>1</v>
      </c>
      <c r="O75" s="4">
        <f t="shared" si="9"/>
        <v>1</v>
      </c>
      <c r="P75" s="4">
        <f t="shared" si="10"/>
        <v>1</v>
      </c>
      <c r="Q75" s="4">
        <f t="shared" si="11"/>
        <v>1</v>
      </c>
      <c r="R75" s="4">
        <f t="shared" si="12"/>
        <v>1</v>
      </c>
      <c r="S75" s="4">
        <f t="shared" si="13"/>
        <v>1</v>
      </c>
      <c r="U75" s="3">
        <f t="shared" si="15"/>
        <v>0</v>
      </c>
      <c r="V75" s="1" t="str">
        <f t="shared" si="35"/>
        <v/>
      </c>
    </row>
    <row r="76" spans="1:22" x14ac:dyDescent="0.25">
      <c r="A76" s="2">
        <v>73</v>
      </c>
      <c r="B76" s="2">
        <v>3</v>
      </c>
      <c r="C76" s="8" t="s">
        <v>727</v>
      </c>
      <c r="D76" s="41" t="s">
        <v>28</v>
      </c>
      <c r="E76" s="2">
        <v>1</v>
      </c>
      <c r="G76" s="1" t="str">
        <f>IF(D76="","",VLOOKUP(D76,Table1[#All],2,FALSE))</f>
        <v xml:space="preserve">M6 x 1.0mm Nylon Inserted Hex Lock Nuts 304 Stainless Steel </v>
      </c>
      <c r="H76" s="2">
        <f t="shared" si="36"/>
        <v>2</v>
      </c>
      <c r="I76" s="44">
        <f>IF(D76&lt;&gt;"",(VLOOKUP(D76,part_details,4,FALSE)+VLOOKUP(D76,part_details,5,FALSE)+VLOOKUP(D76,part_details,6,FALSE))*'Multi-level BOM'!E76,"")</f>
        <v>6.8110002193463456E-2</v>
      </c>
      <c r="J76" s="4">
        <f t="shared" si="4"/>
        <v>1</v>
      </c>
      <c r="K76" s="4">
        <f t="shared" si="5"/>
        <v>1</v>
      </c>
      <c r="L76" s="4">
        <f t="shared" si="6"/>
        <v>2</v>
      </c>
      <c r="M76" s="4">
        <f t="shared" si="7"/>
        <v>1</v>
      </c>
      <c r="N76" s="4">
        <f t="shared" si="8"/>
        <v>1</v>
      </c>
      <c r="O76" s="4">
        <f t="shared" si="9"/>
        <v>1</v>
      </c>
      <c r="P76" s="4">
        <f t="shared" si="10"/>
        <v>1</v>
      </c>
      <c r="Q76" s="4">
        <f t="shared" si="11"/>
        <v>1</v>
      </c>
      <c r="R76" s="4">
        <f t="shared" si="12"/>
        <v>1</v>
      </c>
      <c r="S76" s="4">
        <f t="shared" si="13"/>
        <v>1</v>
      </c>
      <c r="U76" s="3">
        <f t="shared" si="15"/>
        <v>0</v>
      </c>
      <c r="V76" s="1" t="str">
        <f t="shared" si="35"/>
        <v/>
      </c>
    </row>
    <row r="77" spans="1:22" x14ac:dyDescent="0.25">
      <c r="A77" s="2">
        <v>74</v>
      </c>
      <c r="C77" s="7"/>
      <c r="D77" s="41"/>
      <c r="G77" s="1" t="str">
        <f>IF(D77="","",VLOOKUP(D77,Table1[#All],2,FALSE))</f>
        <v/>
      </c>
      <c r="I77" s="44" t="str">
        <f>IF(D77&lt;&gt;"",VLOOKUP(D77,part_details,4,FALSE)*'Multi-level BOM'!E77,"")</f>
        <v/>
      </c>
      <c r="J77" s="4">
        <f t="shared" si="4"/>
        <v>1</v>
      </c>
      <c r="K77" s="4">
        <f t="shared" si="5"/>
        <v>1</v>
      </c>
      <c r="L77" s="4">
        <f t="shared" si="6"/>
        <v>2</v>
      </c>
      <c r="M77" s="4">
        <f t="shared" si="7"/>
        <v>1</v>
      </c>
      <c r="N77" s="4">
        <f t="shared" si="8"/>
        <v>1</v>
      </c>
      <c r="O77" s="4">
        <f t="shared" si="9"/>
        <v>1</v>
      </c>
      <c r="P77" s="4">
        <f t="shared" si="10"/>
        <v>1</v>
      </c>
      <c r="Q77" s="4">
        <f t="shared" si="11"/>
        <v>1</v>
      </c>
      <c r="R77" s="4">
        <f t="shared" si="12"/>
        <v>1</v>
      </c>
      <c r="S77" s="4">
        <f t="shared" si="13"/>
        <v>1</v>
      </c>
      <c r="U77" s="3">
        <f t="shared" ref="U77:U142" si="37">IF(F77="x",I77,0)</f>
        <v>0</v>
      </c>
      <c r="V77" s="1" t="str">
        <f t="shared" si="35"/>
        <v/>
      </c>
    </row>
    <row r="78" spans="1:22" x14ac:dyDescent="0.25">
      <c r="A78" s="2">
        <v>75</v>
      </c>
      <c r="B78" s="2">
        <v>2</v>
      </c>
      <c r="C78" s="7" t="s">
        <v>673</v>
      </c>
      <c r="D78" s="41"/>
      <c r="E78" s="2">
        <v>2</v>
      </c>
      <c r="G78" s="1" t="str">
        <f>IF(D78="","",VLOOKUP(D78,Table1[#All],2,FALSE))</f>
        <v/>
      </c>
      <c r="H78" s="2">
        <f t="shared" ref="H78:H84" si="38">PRODUCT(J78:S78)</f>
        <v>2</v>
      </c>
      <c r="I78" s="45">
        <f>H78*SUM(I79:I84)</f>
        <v>7.7606348271623888</v>
      </c>
      <c r="J78" s="4">
        <f t="shared" si="4"/>
        <v>1</v>
      </c>
      <c r="K78" s="4">
        <f t="shared" si="5"/>
        <v>1</v>
      </c>
      <c r="L78" s="4">
        <f t="shared" si="6"/>
        <v>2</v>
      </c>
      <c r="M78" s="4">
        <f t="shared" si="7"/>
        <v>1</v>
      </c>
      <c r="N78" s="4">
        <f t="shared" si="8"/>
        <v>1</v>
      </c>
      <c r="O78" s="4">
        <f t="shared" si="9"/>
        <v>1</v>
      </c>
      <c r="P78" s="4">
        <f t="shared" si="10"/>
        <v>1</v>
      </c>
      <c r="Q78" s="4">
        <f t="shared" si="11"/>
        <v>1</v>
      </c>
      <c r="R78" s="4">
        <f t="shared" si="12"/>
        <v>1</v>
      </c>
      <c r="S78" s="4">
        <f t="shared" si="13"/>
        <v>1</v>
      </c>
      <c r="U78" s="3">
        <f t="shared" si="37"/>
        <v>0</v>
      </c>
      <c r="V78" s="1" t="str">
        <f t="shared" si="35"/>
        <v/>
      </c>
    </row>
    <row r="79" spans="1:22" x14ac:dyDescent="0.25">
      <c r="A79" s="2">
        <v>76</v>
      </c>
      <c r="B79" s="2">
        <v>3</v>
      </c>
      <c r="C79" s="8" t="s">
        <v>658</v>
      </c>
      <c r="D79" s="41" t="s">
        <v>9</v>
      </c>
      <c r="E79" s="2">
        <v>2</v>
      </c>
      <c r="G79" s="1" t="str">
        <f>IF(D79="","",VLOOKUP(D79,Table1[#All],2,FALSE))</f>
        <v xml:space="preserve">Bearing, Flange F606ZZ, 6mm x 17mm x 6mm </v>
      </c>
      <c r="H79" s="2">
        <f t="shared" si="38"/>
        <v>4</v>
      </c>
      <c r="I79" s="44">
        <f>IF(D79&lt;&gt;"",(VLOOKUP(D79,part_details,4,FALSE)+VLOOKUP(D79,part_details,5,FALSE)+VLOOKUP(D79,part_details,6,FALSE))*'Multi-level BOM'!E79,"")</f>
        <v>2.94082</v>
      </c>
      <c r="J79" s="4">
        <f t="shared" si="4"/>
        <v>1</v>
      </c>
      <c r="K79" s="4">
        <f t="shared" si="5"/>
        <v>1</v>
      </c>
      <c r="L79" s="4">
        <f t="shared" si="6"/>
        <v>2</v>
      </c>
      <c r="M79" s="4">
        <f t="shared" si="7"/>
        <v>2</v>
      </c>
      <c r="N79" s="4">
        <f t="shared" si="8"/>
        <v>1</v>
      </c>
      <c r="O79" s="4">
        <f t="shared" si="9"/>
        <v>1</v>
      </c>
      <c r="P79" s="4">
        <f t="shared" si="10"/>
        <v>1</v>
      </c>
      <c r="Q79" s="4">
        <f t="shared" si="11"/>
        <v>1</v>
      </c>
      <c r="R79" s="4">
        <f t="shared" si="12"/>
        <v>1</v>
      </c>
      <c r="S79" s="4">
        <f t="shared" si="13"/>
        <v>1</v>
      </c>
      <c r="U79" s="3">
        <f t="shared" si="37"/>
        <v>0</v>
      </c>
      <c r="V79" s="1" t="str">
        <f t="shared" si="35"/>
        <v/>
      </c>
    </row>
    <row r="80" spans="1:22" x14ac:dyDescent="0.25">
      <c r="A80" s="2">
        <v>77</v>
      </c>
      <c r="B80" s="2">
        <v>3</v>
      </c>
      <c r="C80" s="8" t="s">
        <v>674</v>
      </c>
      <c r="D80" s="41" t="s">
        <v>10</v>
      </c>
      <c r="E80" s="2">
        <f>11.9+5</f>
        <v>16.899999999999999</v>
      </c>
      <c r="G80" s="1" t="str">
        <f>IF(D80="","",VLOOKUP(D80,Table1[#All],2,FALSE))</f>
        <v>uxcell 6063 Aluminum Round Tube 300mm Length 12.7mm OD 6mm Inner Dia Seamless Aluminum Straight Tubing 2 Pcs</v>
      </c>
      <c r="H80" s="2">
        <f t="shared" si="38"/>
        <v>33.799999999999997</v>
      </c>
      <c r="I80" s="44">
        <f>IF(D80&lt;&gt;"",(VLOOKUP(D80,part_details,4,FALSE)+VLOOKUP(D80,part_details,5,FALSE)+VLOOKUP(D80,part_details,6,FALSE))*'Multi-level BOM'!E80,"")</f>
        <v>0.3128499833333333</v>
      </c>
      <c r="J80" s="4">
        <f t="shared" si="4"/>
        <v>1</v>
      </c>
      <c r="K80" s="4">
        <f t="shared" si="5"/>
        <v>1</v>
      </c>
      <c r="L80" s="4">
        <f t="shared" si="6"/>
        <v>2</v>
      </c>
      <c r="M80" s="4">
        <f t="shared" si="7"/>
        <v>16.899999999999999</v>
      </c>
      <c r="N80" s="4">
        <f t="shared" si="8"/>
        <v>1</v>
      </c>
      <c r="O80" s="4">
        <f t="shared" si="9"/>
        <v>1</v>
      </c>
      <c r="P80" s="4">
        <f t="shared" si="10"/>
        <v>1</v>
      </c>
      <c r="Q80" s="4">
        <f t="shared" si="11"/>
        <v>1</v>
      </c>
      <c r="R80" s="4">
        <f t="shared" si="12"/>
        <v>1</v>
      </c>
      <c r="S80" s="4">
        <f t="shared" si="13"/>
        <v>1</v>
      </c>
      <c r="U80" s="3">
        <f t="shared" si="37"/>
        <v>0</v>
      </c>
      <c r="V80" s="1" t="str">
        <f t="shared" si="35"/>
        <v/>
      </c>
    </row>
    <row r="81" spans="1:22" x14ac:dyDescent="0.25">
      <c r="A81" s="2">
        <v>78</v>
      </c>
      <c r="B81" s="2">
        <v>3</v>
      </c>
      <c r="C81" s="8" t="s">
        <v>661</v>
      </c>
      <c r="D81" s="41" t="s">
        <v>11</v>
      </c>
      <c r="E81" s="2">
        <v>1</v>
      </c>
      <c r="G81" s="1" t="str">
        <f>IF(D81="","",VLOOKUP(D81,Table1[#All],2,FALSE))</f>
        <v xml:space="preserve">K &amp; S PRECISION METALS 251 .010x4x10 BRS SHT Metal </v>
      </c>
      <c r="H81" s="2">
        <f t="shared" si="38"/>
        <v>2</v>
      </c>
      <c r="I81" s="44">
        <f>IF(D81&lt;&gt;"",(VLOOKUP(D81,part_details,4,FALSE)+VLOOKUP(D81,part_details,5,FALSE)+VLOOKUP(D81,part_details,6,FALSE))*'Multi-level BOM'!E81,"")</f>
        <v>0.23925499999999997</v>
      </c>
      <c r="J81" s="4">
        <f t="shared" si="4"/>
        <v>1</v>
      </c>
      <c r="K81" s="4">
        <f t="shared" si="5"/>
        <v>1</v>
      </c>
      <c r="L81" s="4">
        <f t="shared" si="6"/>
        <v>2</v>
      </c>
      <c r="M81" s="4">
        <f t="shared" si="7"/>
        <v>1</v>
      </c>
      <c r="N81" s="4">
        <f t="shared" si="8"/>
        <v>1</v>
      </c>
      <c r="O81" s="4">
        <f t="shared" si="9"/>
        <v>1</v>
      </c>
      <c r="P81" s="4">
        <f t="shared" si="10"/>
        <v>1</v>
      </c>
      <c r="Q81" s="4">
        <f t="shared" si="11"/>
        <v>1</v>
      </c>
      <c r="R81" s="4">
        <f t="shared" si="12"/>
        <v>1</v>
      </c>
      <c r="S81" s="4">
        <f t="shared" si="13"/>
        <v>1</v>
      </c>
      <c r="U81" s="3">
        <f t="shared" si="37"/>
        <v>0</v>
      </c>
      <c r="V81" s="1" t="str">
        <f t="shared" si="35"/>
        <v/>
      </c>
    </row>
    <row r="82" spans="1:22" x14ac:dyDescent="0.25">
      <c r="A82" s="2">
        <v>79</v>
      </c>
      <c r="B82" s="2">
        <v>3</v>
      </c>
      <c r="C82" s="8" t="s">
        <v>753</v>
      </c>
      <c r="D82" s="41" t="s">
        <v>38</v>
      </c>
      <c r="E82" s="2">
        <v>1</v>
      </c>
      <c r="G82" s="1" t="str">
        <f>IF(D82="","",VLOOKUP(D82,Table1[#All],2,FALSE))</f>
        <v>M6-1.0 x 35mm Flat Head Socket  Screws</v>
      </c>
      <c r="H82" s="2">
        <f t="shared" si="38"/>
        <v>2</v>
      </c>
      <c r="I82" s="44">
        <f>IF(D82&lt;&gt;"",(VLOOKUP(D82,part_details,4,FALSE)+VLOOKUP(D82,part_details,5,FALSE)+VLOOKUP(D82,part_details,6,FALSE))*'Multi-level BOM'!E82,"")</f>
        <v>0.27519192805439785</v>
      </c>
      <c r="J82" s="4">
        <f t="shared" si="4"/>
        <v>1</v>
      </c>
      <c r="K82" s="4">
        <f t="shared" si="5"/>
        <v>1</v>
      </c>
      <c r="L82" s="4">
        <f t="shared" si="6"/>
        <v>2</v>
      </c>
      <c r="M82" s="4">
        <f t="shared" si="7"/>
        <v>1</v>
      </c>
      <c r="N82" s="4">
        <f t="shared" si="8"/>
        <v>1</v>
      </c>
      <c r="O82" s="4">
        <f t="shared" si="9"/>
        <v>1</v>
      </c>
      <c r="P82" s="4">
        <f t="shared" si="10"/>
        <v>1</v>
      </c>
      <c r="Q82" s="4">
        <f t="shared" si="11"/>
        <v>1</v>
      </c>
      <c r="R82" s="4">
        <f t="shared" si="12"/>
        <v>1</v>
      </c>
      <c r="S82" s="4">
        <f t="shared" si="13"/>
        <v>1</v>
      </c>
      <c r="U82" s="3">
        <f t="shared" si="37"/>
        <v>0</v>
      </c>
      <c r="V82" s="1" t="str">
        <f t="shared" si="35"/>
        <v/>
      </c>
    </row>
    <row r="83" spans="1:22" x14ac:dyDescent="0.25">
      <c r="A83" s="2">
        <v>80</v>
      </c>
      <c r="B83" s="2">
        <v>3</v>
      </c>
      <c r="C83" s="8" t="s">
        <v>671</v>
      </c>
      <c r="D83" s="41" t="s">
        <v>13</v>
      </c>
      <c r="E83" s="2">
        <v>1</v>
      </c>
      <c r="G83" s="1" t="str">
        <f>IF(D83="","",VLOOKUP(D83,Table1[#All],2,FALSE))</f>
        <v>Washer, M6, 304 stainless, OD 12mm, .9mm thick</v>
      </c>
      <c r="H83" s="2">
        <f t="shared" si="38"/>
        <v>2</v>
      </c>
      <c r="I83" s="44">
        <f>IF(D83&lt;&gt;"",(VLOOKUP(D83,part_details,4,FALSE)+VLOOKUP(D83,part_details,5,FALSE)+VLOOKUP(D83,part_details,6,FALSE))*'Multi-level BOM'!E83,"")</f>
        <v>4.4090499999999998E-2</v>
      </c>
      <c r="J83" s="4">
        <f t="shared" si="4"/>
        <v>1</v>
      </c>
      <c r="K83" s="4">
        <f t="shared" si="5"/>
        <v>1</v>
      </c>
      <c r="L83" s="4">
        <f t="shared" si="6"/>
        <v>2</v>
      </c>
      <c r="M83" s="4">
        <f t="shared" si="7"/>
        <v>1</v>
      </c>
      <c r="N83" s="4">
        <f t="shared" si="8"/>
        <v>1</v>
      </c>
      <c r="O83" s="4">
        <f t="shared" si="9"/>
        <v>1</v>
      </c>
      <c r="P83" s="4">
        <f t="shared" si="10"/>
        <v>1</v>
      </c>
      <c r="Q83" s="4">
        <f t="shared" si="11"/>
        <v>1</v>
      </c>
      <c r="R83" s="4">
        <f t="shared" si="12"/>
        <v>1</v>
      </c>
      <c r="S83" s="4">
        <f t="shared" si="13"/>
        <v>1</v>
      </c>
      <c r="U83" s="3">
        <f t="shared" si="37"/>
        <v>0</v>
      </c>
      <c r="V83" s="1" t="str">
        <f t="shared" si="35"/>
        <v/>
      </c>
    </row>
    <row r="84" spans="1:22" x14ac:dyDescent="0.25">
      <c r="A84" s="2">
        <v>81</v>
      </c>
      <c r="B84" s="2">
        <v>3</v>
      </c>
      <c r="C84" s="8" t="s">
        <v>727</v>
      </c>
      <c r="D84" s="41" t="s">
        <v>28</v>
      </c>
      <c r="E84" s="2">
        <v>1</v>
      </c>
      <c r="G84" s="1" t="str">
        <f>IF(D84="","",VLOOKUP(D84,Table1[#All],2,FALSE))</f>
        <v xml:space="preserve">M6 x 1.0mm Nylon Inserted Hex Lock Nuts 304 Stainless Steel </v>
      </c>
      <c r="H84" s="2">
        <f t="shared" si="38"/>
        <v>2</v>
      </c>
      <c r="I84" s="44">
        <f>IF(D84&lt;&gt;"",(VLOOKUP(D84,part_details,4,FALSE)+VLOOKUP(D84,part_details,5,FALSE)+VLOOKUP(D84,part_details,6,FALSE))*'Multi-level BOM'!E84,"")</f>
        <v>6.8110002193463456E-2</v>
      </c>
      <c r="J84" s="4">
        <f t="shared" si="4"/>
        <v>1</v>
      </c>
      <c r="K84" s="4">
        <f t="shared" si="5"/>
        <v>1</v>
      </c>
      <c r="L84" s="4">
        <f t="shared" si="6"/>
        <v>2</v>
      </c>
      <c r="M84" s="4">
        <f t="shared" si="7"/>
        <v>1</v>
      </c>
      <c r="N84" s="4">
        <f t="shared" si="8"/>
        <v>1</v>
      </c>
      <c r="O84" s="4">
        <f t="shared" si="9"/>
        <v>1</v>
      </c>
      <c r="P84" s="4">
        <f t="shared" si="10"/>
        <v>1</v>
      </c>
      <c r="Q84" s="4">
        <f t="shared" si="11"/>
        <v>1</v>
      </c>
      <c r="R84" s="4">
        <f t="shared" si="12"/>
        <v>1</v>
      </c>
      <c r="S84" s="4">
        <f t="shared" si="13"/>
        <v>1</v>
      </c>
      <c r="U84" s="3">
        <f t="shared" si="37"/>
        <v>0</v>
      </c>
      <c r="V84" s="1" t="str">
        <f t="shared" si="35"/>
        <v/>
      </c>
    </row>
    <row r="85" spans="1:22" x14ac:dyDescent="0.25">
      <c r="A85" s="2">
        <v>82</v>
      </c>
      <c r="C85" s="7"/>
      <c r="I85" s="44" t="str">
        <f>IF(D85&lt;&gt;"",VLOOKUP(D85,part_details,4,FALSE)*'Multi-level BOM'!E85,"")</f>
        <v/>
      </c>
      <c r="J85" s="4">
        <f t="shared" si="4"/>
        <v>1</v>
      </c>
      <c r="K85" s="4">
        <f t="shared" si="5"/>
        <v>1</v>
      </c>
      <c r="L85" s="4">
        <f t="shared" si="6"/>
        <v>2</v>
      </c>
      <c r="M85" s="4">
        <f t="shared" si="7"/>
        <v>1</v>
      </c>
      <c r="N85" s="4">
        <f t="shared" si="8"/>
        <v>1</v>
      </c>
      <c r="O85" s="4">
        <f t="shared" si="9"/>
        <v>1</v>
      </c>
      <c r="P85" s="4">
        <f t="shared" si="10"/>
        <v>1</v>
      </c>
      <c r="Q85" s="4">
        <f t="shared" si="11"/>
        <v>1</v>
      </c>
      <c r="R85" s="4">
        <f t="shared" si="12"/>
        <v>1</v>
      </c>
      <c r="S85" s="4">
        <f t="shared" si="13"/>
        <v>1</v>
      </c>
      <c r="U85" s="3">
        <f t="shared" si="37"/>
        <v>0</v>
      </c>
      <c r="V85" s="1" t="str">
        <f t="shared" si="35"/>
        <v/>
      </c>
    </row>
    <row r="86" spans="1:22" x14ac:dyDescent="0.25">
      <c r="A86" s="2">
        <v>83</v>
      </c>
      <c r="B86" s="2">
        <v>2</v>
      </c>
      <c r="C86" s="7" t="s">
        <v>723</v>
      </c>
      <c r="D86" s="2" t="s">
        <v>22</v>
      </c>
      <c r="E86" s="2">
        <v>1</v>
      </c>
      <c r="G86" s="1" t="str">
        <f>IF(D86="","",VLOOKUP(D86,Table1[#All],2,FALSE))</f>
        <v>400mm MGN12 Linear Rail Guide with MGN12H Carriage Block</v>
      </c>
      <c r="H86" s="2">
        <f t="shared" ref="H86:H91" si="39">PRODUCT(J86:S86)</f>
        <v>1</v>
      </c>
      <c r="I86" s="45">
        <f>IF(D86&lt;&gt;"",(VLOOKUP(D86,part_details,4,FALSE)+VLOOKUP(D86,part_details,5,FALSE)+VLOOKUP(D86,part_details,6,FALSE))*'Multi-level BOM'!E86,"")</f>
        <v>19.979999999999997</v>
      </c>
      <c r="J86" s="4">
        <f t="shared" si="4"/>
        <v>1</v>
      </c>
      <c r="K86" s="4">
        <f t="shared" si="5"/>
        <v>1</v>
      </c>
      <c r="L86" s="4">
        <f t="shared" si="6"/>
        <v>1</v>
      </c>
      <c r="M86" s="4">
        <f t="shared" si="7"/>
        <v>1</v>
      </c>
      <c r="N86" s="4">
        <f t="shared" si="8"/>
        <v>1</v>
      </c>
      <c r="O86" s="4">
        <f t="shared" si="9"/>
        <v>1</v>
      </c>
      <c r="P86" s="4">
        <f t="shared" si="10"/>
        <v>1</v>
      </c>
      <c r="Q86" s="4">
        <f t="shared" si="11"/>
        <v>1</v>
      </c>
      <c r="R86" s="4">
        <f t="shared" si="12"/>
        <v>1</v>
      </c>
      <c r="S86" s="4">
        <f t="shared" si="13"/>
        <v>1</v>
      </c>
      <c r="U86" s="3">
        <f t="shared" si="37"/>
        <v>0</v>
      </c>
      <c r="V86" s="1" t="str">
        <f t="shared" si="35"/>
        <v/>
      </c>
    </row>
    <row r="87" spans="1:22" x14ac:dyDescent="0.25">
      <c r="A87" s="2">
        <v>84</v>
      </c>
      <c r="B87" s="2">
        <v>2</v>
      </c>
      <c r="C87" s="34" t="s">
        <v>724</v>
      </c>
      <c r="D87" s="35" t="s">
        <v>27</v>
      </c>
      <c r="E87" s="35">
        <v>1</v>
      </c>
      <c r="G87" s="1" t="str">
        <f>IF(D87="","",VLOOKUP(D87,Table1[#All],2,FALSE))</f>
        <v>Machifit MGN12C Linear Rail Block for MGN12 Linear Rail Guide</v>
      </c>
      <c r="H87" s="2">
        <f t="shared" si="39"/>
        <v>1</v>
      </c>
      <c r="I87" s="45">
        <f>IF(D87&lt;&gt;"",(VLOOKUP(D87,part_details,4,FALSE)+VLOOKUP(D87,part_details,5,FALSE)+VLOOKUP(D87,part_details,6,FALSE))*'Multi-level BOM'!E87,"")</f>
        <v>11.319500000000001</v>
      </c>
      <c r="J87" s="4">
        <f t="shared" si="4"/>
        <v>1</v>
      </c>
      <c r="K87" s="4">
        <f t="shared" si="5"/>
        <v>1</v>
      </c>
      <c r="L87" s="4">
        <f t="shared" si="6"/>
        <v>1</v>
      </c>
      <c r="M87" s="4">
        <f t="shared" si="7"/>
        <v>1</v>
      </c>
      <c r="N87" s="4">
        <f t="shared" si="8"/>
        <v>1</v>
      </c>
      <c r="O87" s="4">
        <f t="shared" si="9"/>
        <v>1</v>
      </c>
      <c r="P87" s="4">
        <f t="shared" si="10"/>
        <v>1</v>
      </c>
      <c r="Q87" s="4">
        <f t="shared" si="11"/>
        <v>1</v>
      </c>
      <c r="R87" s="4">
        <f t="shared" si="12"/>
        <v>1</v>
      </c>
      <c r="S87" s="4">
        <f t="shared" si="13"/>
        <v>1</v>
      </c>
      <c r="U87" s="3">
        <f t="shared" si="37"/>
        <v>0</v>
      </c>
      <c r="V87" s="1" t="str">
        <f t="shared" si="35"/>
        <v/>
      </c>
    </row>
    <row r="88" spans="1:22" x14ac:dyDescent="0.25">
      <c r="A88" s="2">
        <v>85</v>
      </c>
      <c r="C88" s="7"/>
      <c r="G88" s="1" t="str">
        <f>IF(D88="","",VLOOKUP(D88,Table1[#All],2,FALSE))</f>
        <v/>
      </c>
      <c r="H88" s="2">
        <f t="shared" si="39"/>
        <v>1</v>
      </c>
      <c r="I88" s="45" t="str">
        <f>IF(D88&lt;&gt;"",VLOOKUP(D88,part_details,4,FALSE)*'Multi-level BOM'!E88,"")</f>
        <v/>
      </c>
      <c r="J88" s="4">
        <f t="shared" si="4"/>
        <v>1</v>
      </c>
      <c r="K88" s="4">
        <f t="shared" si="5"/>
        <v>1</v>
      </c>
      <c r="L88" s="4">
        <f t="shared" si="6"/>
        <v>1</v>
      </c>
      <c r="M88" s="4">
        <f t="shared" si="7"/>
        <v>1</v>
      </c>
      <c r="N88" s="4">
        <f t="shared" si="8"/>
        <v>1</v>
      </c>
      <c r="O88" s="4">
        <f t="shared" si="9"/>
        <v>1</v>
      </c>
      <c r="P88" s="4">
        <f t="shared" si="10"/>
        <v>1</v>
      </c>
      <c r="Q88" s="4">
        <f t="shared" si="11"/>
        <v>1</v>
      </c>
      <c r="R88" s="4">
        <f t="shared" si="12"/>
        <v>1</v>
      </c>
      <c r="S88" s="4">
        <f t="shared" si="13"/>
        <v>1</v>
      </c>
      <c r="U88" s="3">
        <f t="shared" si="37"/>
        <v>0</v>
      </c>
      <c r="V88" s="1" t="str">
        <f t="shared" si="35"/>
        <v/>
      </c>
    </row>
    <row r="89" spans="1:22" x14ac:dyDescent="0.25">
      <c r="A89" s="2">
        <v>86</v>
      </c>
      <c r="B89" s="2">
        <v>2</v>
      </c>
      <c r="C89" s="7" t="s">
        <v>756</v>
      </c>
      <c r="D89" s="2" t="s">
        <v>39</v>
      </c>
      <c r="E89" s="2">
        <v>20</v>
      </c>
      <c r="G89" s="1" t="str">
        <f>IF(D89="","",VLOOKUP(D89,Table1[#All],2,FALSE))</f>
        <v>M3-0.5x20mm Socket Head Cap Bolts Screws, 304 Stainless Steel 18-8, Allen Socket Drive, Fully Machine Thread, Bright Finish</v>
      </c>
      <c r="H89" s="2">
        <f t="shared" si="39"/>
        <v>20</v>
      </c>
      <c r="I89" s="45">
        <f>IF(D89&lt;&gt;"",(VLOOKUP(D89,part_details,4,FALSE)+VLOOKUP(D89,part_details,5,FALSE)+VLOOKUP(D89,part_details,6,FALSE))*'Multi-level BOM'!E89,"")</f>
        <v>1.6126246983987713</v>
      </c>
      <c r="J89" s="4">
        <f t="shared" si="4"/>
        <v>1</v>
      </c>
      <c r="K89" s="4">
        <f t="shared" si="5"/>
        <v>1</v>
      </c>
      <c r="L89" s="4">
        <f t="shared" si="6"/>
        <v>20</v>
      </c>
      <c r="M89" s="4">
        <f t="shared" si="7"/>
        <v>1</v>
      </c>
      <c r="N89" s="4">
        <f t="shared" si="8"/>
        <v>1</v>
      </c>
      <c r="O89" s="4">
        <f t="shared" si="9"/>
        <v>1</v>
      </c>
      <c r="P89" s="4">
        <f t="shared" si="10"/>
        <v>1</v>
      </c>
      <c r="Q89" s="4">
        <f t="shared" si="11"/>
        <v>1</v>
      </c>
      <c r="R89" s="4">
        <f t="shared" si="12"/>
        <v>1</v>
      </c>
      <c r="S89" s="4">
        <f t="shared" si="13"/>
        <v>1</v>
      </c>
      <c r="U89" s="3">
        <f t="shared" si="37"/>
        <v>0</v>
      </c>
      <c r="V89" s="1" t="str">
        <f t="shared" si="35"/>
        <v/>
      </c>
    </row>
    <row r="90" spans="1:22" x14ac:dyDescent="0.25">
      <c r="A90" s="2">
        <v>87</v>
      </c>
      <c r="B90" s="2">
        <v>2</v>
      </c>
      <c r="C90" s="7" t="s">
        <v>761</v>
      </c>
      <c r="D90" s="2" t="s">
        <v>41</v>
      </c>
      <c r="E90" s="2">
        <v>20</v>
      </c>
      <c r="G90" s="1" t="str">
        <f>IF(D90="","",VLOOKUP(D90,Table1[#All],2,FALSE))</f>
        <v>M3x6mmx0.5mm Stainless Steel Flat Washer</v>
      </c>
      <c r="H90" s="2">
        <f t="shared" si="39"/>
        <v>20</v>
      </c>
      <c r="I90" s="45">
        <f>IF(D90&lt;&gt;"",(VLOOKUP(D90,part_details,4,FALSE)+VLOOKUP(D90,part_details,5,FALSE)+VLOOKUP(D90,part_details,6,FALSE))*'Multi-level BOM'!E90,"")</f>
        <v>0.30271112085983759</v>
      </c>
      <c r="J90" s="4">
        <f t="shared" si="4"/>
        <v>1</v>
      </c>
      <c r="K90" s="4">
        <f t="shared" si="5"/>
        <v>1</v>
      </c>
      <c r="L90" s="4">
        <f t="shared" si="6"/>
        <v>20</v>
      </c>
      <c r="M90" s="4">
        <f t="shared" si="7"/>
        <v>1</v>
      </c>
      <c r="N90" s="4">
        <f t="shared" si="8"/>
        <v>1</v>
      </c>
      <c r="O90" s="4">
        <f t="shared" si="9"/>
        <v>1</v>
      </c>
      <c r="P90" s="4">
        <f t="shared" si="10"/>
        <v>1</v>
      </c>
      <c r="Q90" s="4">
        <f t="shared" si="11"/>
        <v>1</v>
      </c>
      <c r="R90" s="4">
        <f t="shared" si="12"/>
        <v>1</v>
      </c>
      <c r="S90" s="4">
        <f t="shared" si="13"/>
        <v>1</v>
      </c>
      <c r="U90" s="3">
        <f t="shared" si="37"/>
        <v>0</v>
      </c>
      <c r="V90" s="1" t="str">
        <f t="shared" si="35"/>
        <v/>
      </c>
    </row>
    <row r="91" spans="1:22" x14ac:dyDescent="0.25">
      <c r="A91" s="2">
        <v>88</v>
      </c>
      <c r="B91" s="2">
        <v>2</v>
      </c>
      <c r="C91" s="7" t="s">
        <v>762</v>
      </c>
      <c r="D91" s="2" t="s">
        <v>40</v>
      </c>
      <c r="E91" s="2">
        <v>20</v>
      </c>
      <c r="G91" s="1" t="str">
        <f>IF(D91="","",VLOOKUP(D91,Table1[#All],2,FALSE))</f>
        <v>M3 x 0.5mm 304 Stainless Steel Self-Lock Nylon Inserted Hex Lock Nuts,</v>
      </c>
      <c r="H91" s="2">
        <f t="shared" si="39"/>
        <v>20</v>
      </c>
      <c r="I91" s="45">
        <f>IF(D91&lt;&gt;"",(VLOOKUP(D91,part_details,4,FALSE)+VLOOKUP(D91,part_details,5,FALSE)+VLOOKUP(D91,part_details,6,FALSE))*'Multi-level BOM'!E91,"")</f>
        <v>0.87786225049352873</v>
      </c>
      <c r="J91" s="4">
        <f t="shared" si="4"/>
        <v>1</v>
      </c>
      <c r="K91" s="4">
        <f t="shared" si="5"/>
        <v>1</v>
      </c>
      <c r="L91" s="4">
        <f t="shared" si="6"/>
        <v>20</v>
      </c>
      <c r="M91" s="4">
        <f t="shared" si="7"/>
        <v>1</v>
      </c>
      <c r="N91" s="4">
        <f t="shared" si="8"/>
        <v>1</v>
      </c>
      <c r="O91" s="4">
        <f t="shared" si="9"/>
        <v>1</v>
      </c>
      <c r="P91" s="4">
        <f t="shared" si="10"/>
        <v>1</v>
      </c>
      <c r="Q91" s="4">
        <f t="shared" si="11"/>
        <v>1</v>
      </c>
      <c r="R91" s="4">
        <f t="shared" si="12"/>
        <v>1</v>
      </c>
      <c r="S91" s="4">
        <f t="shared" si="13"/>
        <v>1</v>
      </c>
      <c r="U91" s="3">
        <f t="shared" si="37"/>
        <v>0</v>
      </c>
      <c r="V91" s="1" t="str">
        <f t="shared" si="35"/>
        <v/>
      </c>
    </row>
    <row r="92" spans="1:22" x14ac:dyDescent="0.25">
      <c r="A92" s="2">
        <v>89</v>
      </c>
      <c r="C92" s="7"/>
      <c r="I92" s="45"/>
      <c r="J92" s="4">
        <f t="shared" si="4"/>
        <v>1</v>
      </c>
      <c r="K92" s="4">
        <f t="shared" si="5"/>
        <v>1</v>
      </c>
      <c r="L92" s="4">
        <f t="shared" si="6"/>
        <v>20</v>
      </c>
      <c r="M92" s="4">
        <f t="shared" si="7"/>
        <v>1</v>
      </c>
      <c r="N92" s="4">
        <f t="shared" si="8"/>
        <v>1</v>
      </c>
      <c r="O92" s="4">
        <f t="shared" si="9"/>
        <v>1</v>
      </c>
      <c r="P92" s="4">
        <f t="shared" si="10"/>
        <v>1</v>
      </c>
      <c r="Q92" s="4">
        <f t="shared" si="11"/>
        <v>1</v>
      </c>
      <c r="R92" s="4">
        <f t="shared" si="12"/>
        <v>1</v>
      </c>
      <c r="S92" s="4">
        <f t="shared" si="13"/>
        <v>1</v>
      </c>
      <c r="U92" s="3">
        <f t="shared" si="37"/>
        <v>0</v>
      </c>
      <c r="V92" s="1" t="str">
        <f t="shared" si="35"/>
        <v/>
      </c>
    </row>
    <row r="93" spans="1:22" x14ac:dyDescent="0.25">
      <c r="A93" s="2">
        <v>90</v>
      </c>
      <c r="B93" s="2">
        <v>1</v>
      </c>
      <c r="C93" s="7" t="s">
        <v>644</v>
      </c>
      <c r="E93" s="2">
        <v>1</v>
      </c>
      <c r="G93" s="1" t="str">
        <f>IF(D93="","",VLOOKUP(D93,Table1[#All],2,FALSE))</f>
        <v/>
      </c>
      <c r="H93" s="2">
        <f>PRODUCT(J93:S93)</f>
        <v>1</v>
      </c>
      <c r="I93" s="45">
        <f>H93*SUM(I94:I96,I100)</f>
        <v>349.63244992086658</v>
      </c>
      <c r="J93" s="4">
        <f t="shared" si="4"/>
        <v>1</v>
      </c>
      <c r="K93" s="4">
        <f t="shared" si="5"/>
        <v>1</v>
      </c>
      <c r="L93" s="4">
        <f t="shared" si="6"/>
        <v>1</v>
      </c>
      <c r="M93" s="4">
        <f t="shared" si="7"/>
        <v>1</v>
      </c>
      <c r="N93" s="4">
        <f t="shared" si="8"/>
        <v>1</v>
      </c>
      <c r="O93" s="4">
        <f t="shared" si="9"/>
        <v>1</v>
      </c>
      <c r="P93" s="4">
        <f t="shared" si="10"/>
        <v>1</v>
      </c>
      <c r="Q93" s="4">
        <f t="shared" si="11"/>
        <v>1</v>
      </c>
      <c r="R93" s="4">
        <f t="shared" si="12"/>
        <v>1</v>
      </c>
      <c r="S93" s="4">
        <f t="shared" si="13"/>
        <v>1</v>
      </c>
      <c r="U93" s="3">
        <f t="shared" si="37"/>
        <v>0</v>
      </c>
      <c r="V93" s="1" t="str">
        <f t="shared" si="35"/>
        <v/>
      </c>
    </row>
    <row r="94" spans="1:22" x14ac:dyDescent="0.25">
      <c r="A94" s="2">
        <v>91</v>
      </c>
      <c r="B94" s="2">
        <v>2</v>
      </c>
      <c r="C94" s="7" t="s">
        <v>691</v>
      </c>
      <c r="D94" s="2" t="s">
        <v>8</v>
      </c>
      <c r="E94" s="2">
        <v>1</v>
      </c>
      <c r="F94" s="2" t="s">
        <v>916</v>
      </c>
      <c r="G94" s="1" t="str">
        <f>IF(D94="","",VLOOKUP(D94,Table1[#All],2,FALSE))</f>
        <v xml:space="preserve">3/8" thick T6061 Aluminum plate, 28" x 24" </v>
      </c>
      <c r="H94" s="2">
        <f>PRODUCT(J94:S94)</f>
        <v>1</v>
      </c>
      <c r="I94" s="45">
        <f>IF(D94&lt;&gt;"",(VLOOKUP(D94,part_details,4,FALSE)+VLOOKUP(D94,part_details,5,FALSE)+VLOOKUP(D94,part_details,6,FALSE))*'Multi-level BOM'!E94,"")</f>
        <v>96.435000000000002</v>
      </c>
      <c r="J94" s="4">
        <f t="shared" si="4"/>
        <v>1</v>
      </c>
      <c r="K94" s="4">
        <f t="shared" si="5"/>
        <v>1</v>
      </c>
      <c r="L94" s="4">
        <f t="shared" si="6"/>
        <v>1</v>
      </c>
      <c r="M94" s="4">
        <f t="shared" si="7"/>
        <v>1</v>
      </c>
      <c r="N94" s="4">
        <f t="shared" si="8"/>
        <v>1</v>
      </c>
      <c r="O94" s="4">
        <f t="shared" si="9"/>
        <v>1</v>
      </c>
      <c r="P94" s="4">
        <f t="shared" si="10"/>
        <v>1</v>
      </c>
      <c r="Q94" s="4">
        <f t="shared" si="11"/>
        <v>1</v>
      </c>
      <c r="R94" s="4">
        <f t="shared" si="12"/>
        <v>1</v>
      </c>
      <c r="S94" s="4">
        <f t="shared" si="13"/>
        <v>1</v>
      </c>
      <c r="U94" s="3">
        <f t="shared" si="37"/>
        <v>96.435000000000002</v>
      </c>
      <c r="V94" s="1" t="str">
        <f t="shared" si="35"/>
        <v>A-0002</v>
      </c>
    </row>
    <row r="95" spans="1:22" x14ac:dyDescent="0.25">
      <c r="A95" s="2">
        <v>92</v>
      </c>
      <c r="B95" s="2">
        <v>2</v>
      </c>
      <c r="C95" s="7" t="s">
        <v>692</v>
      </c>
      <c r="D95" s="2" t="s">
        <v>20</v>
      </c>
      <c r="E95" s="2">
        <v>3</v>
      </c>
      <c r="G95" s="1" t="str">
        <f>IF(D95="","",VLOOKUP(D95,Table1[#All],2,FALSE))</f>
        <v>40x80 Aluminum Extrusion - 8 Series, Base 40, 625mm long, both ends tapped, with helicoil inserts</v>
      </c>
      <c r="H95" s="2">
        <f>PRODUCT(J95:S95)</f>
        <v>3</v>
      </c>
      <c r="I95" s="45">
        <f>IF(D95&lt;&gt;"",(VLOOKUP(D95,part_details,4,FALSE)+VLOOKUP(D95,part_details,5,FALSE)+VLOOKUP(D95,part_details,6,FALSE))*'Multi-level BOM'!E95,"")</f>
        <v>132.61000000000001</v>
      </c>
      <c r="J95" s="4">
        <f t="shared" si="4"/>
        <v>1</v>
      </c>
      <c r="K95" s="4">
        <f t="shared" si="5"/>
        <v>1</v>
      </c>
      <c r="L95" s="4">
        <f t="shared" si="6"/>
        <v>3</v>
      </c>
      <c r="M95" s="4">
        <f t="shared" si="7"/>
        <v>1</v>
      </c>
      <c r="N95" s="4">
        <f t="shared" si="8"/>
        <v>1</v>
      </c>
      <c r="O95" s="4">
        <f t="shared" si="9"/>
        <v>1</v>
      </c>
      <c r="P95" s="4">
        <f t="shared" si="10"/>
        <v>1</v>
      </c>
      <c r="Q95" s="4">
        <f t="shared" si="11"/>
        <v>1</v>
      </c>
      <c r="R95" s="4">
        <f t="shared" si="12"/>
        <v>1</v>
      </c>
      <c r="S95" s="4">
        <f t="shared" si="13"/>
        <v>1</v>
      </c>
      <c r="U95" s="3">
        <f t="shared" si="37"/>
        <v>0</v>
      </c>
      <c r="V95" s="1" t="str">
        <f t="shared" si="35"/>
        <v/>
      </c>
    </row>
    <row r="96" spans="1:22" x14ac:dyDescent="0.25">
      <c r="A96" s="2">
        <v>93</v>
      </c>
      <c r="B96" s="2">
        <v>2</v>
      </c>
      <c r="C96" s="7" t="s">
        <v>971</v>
      </c>
      <c r="D96" s="2" t="s">
        <v>21</v>
      </c>
      <c r="E96" s="2">
        <v>6</v>
      </c>
      <c r="G96" s="1" t="str">
        <f>IF(D96="","",VLOOKUP(D96,Table1[#All],2,FALSE))</f>
        <v>M8 x 1.25 socket cap screw, 30mm long</v>
      </c>
      <c r="H96" s="2">
        <f>PRODUCT(J96:S96)</f>
        <v>6</v>
      </c>
      <c r="I96" s="45">
        <f>IF(D96&lt;&gt;"",(VLOOKUP(D96,part_details,4,FALSE)+VLOOKUP(D96,part_details,5,FALSE)+VLOOKUP(D96,part_details,6,FALSE))*'Multi-level BOM'!E96,"")</f>
        <v>1.981381881991664</v>
      </c>
      <c r="J96" s="4">
        <f t="shared" si="4"/>
        <v>1</v>
      </c>
      <c r="K96" s="4">
        <f t="shared" si="5"/>
        <v>1</v>
      </c>
      <c r="L96" s="4">
        <f t="shared" si="6"/>
        <v>6</v>
      </c>
      <c r="M96" s="4">
        <f t="shared" si="7"/>
        <v>1</v>
      </c>
      <c r="N96" s="4">
        <f t="shared" si="8"/>
        <v>1</v>
      </c>
      <c r="O96" s="4">
        <f t="shared" si="9"/>
        <v>1</v>
      </c>
      <c r="P96" s="4">
        <f t="shared" si="10"/>
        <v>1</v>
      </c>
      <c r="Q96" s="4">
        <f t="shared" si="11"/>
        <v>1</v>
      </c>
      <c r="R96" s="4">
        <f t="shared" si="12"/>
        <v>1</v>
      </c>
      <c r="S96" s="4">
        <f t="shared" si="13"/>
        <v>1</v>
      </c>
      <c r="U96" s="3">
        <f t="shared" si="37"/>
        <v>0</v>
      </c>
      <c r="V96" s="1" t="str">
        <f t="shared" si="35"/>
        <v/>
      </c>
    </row>
    <row r="97" spans="1:22" x14ac:dyDescent="0.25">
      <c r="A97" s="2">
        <v>94</v>
      </c>
      <c r="B97" s="2">
        <v>2</v>
      </c>
      <c r="C97" s="7" t="s">
        <v>972</v>
      </c>
      <c r="D97" s="2" t="s">
        <v>77</v>
      </c>
      <c r="E97" s="2">
        <v>6</v>
      </c>
      <c r="G97" s="1" t="str">
        <f>IF(D97="","",VLOOKUP(D97,Table1[#All],2,FALSE))</f>
        <v>M8  flat washers, Stainless steel 18-8</v>
      </c>
      <c r="H97" s="2">
        <f>PRODUCT(J97:S97)</f>
        <v>6</v>
      </c>
      <c r="I97" s="44">
        <f>IF(D97&lt;&gt;"",VLOOKUP(D97,part_details,4,FALSE)*'Multi-level BOM'!E97,"")</f>
        <v>0.48</v>
      </c>
      <c r="J97" s="4">
        <f t="shared" ref="J97:S97" si="40">IF($B97="",J95,
    IF(J$3=$B97,$E97,
       IF(J$3&lt;$B97,J95,
           1
)))</f>
        <v>1</v>
      </c>
      <c r="K97" s="4">
        <f t="shared" si="40"/>
        <v>1</v>
      </c>
      <c r="L97" s="4">
        <f t="shared" si="40"/>
        <v>6</v>
      </c>
      <c r="M97" s="4">
        <f t="shared" si="40"/>
        <v>1</v>
      </c>
      <c r="N97" s="4">
        <f t="shared" si="40"/>
        <v>1</v>
      </c>
      <c r="O97" s="4">
        <f t="shared" si="40"/>
        <v>1</v>
      </c>
      <c r="P97" s="4">
        <f t="shared" si="40"/>
        <v>1</v>
      </c>
      <c r="Q97" s="4">
        <f t="shared" si="40"/>
        <v>1</v>
      </c>
      <c r="R97" s="4">
        <f t="shared" si="40"/>
        <v>1</v>
      </c>
      <c r="S97" s="4">
        <f t="shared" si="40"/>
        <v>1</v>
      </c>
      <c r="U97" s="3">
        <f>IF(F97="x",I97,0)</f>
        <v>0</v>
      </c>
      <c r="V97" s="1" t="str">
        <f>IF(F97="x",D97,"")</f>
        <v/>
      </c>
    </row>
    <row r="98" spans="1:22" x14ac:dyDescent="0.25">
      <c r="A98" s="2">
        <v>95</v>
      </c>
      <c r="C98" s="7"/>
      <c r="G98" s="1" t="str">
        <f>IF(D98="","",VLOOKUP(D98,Table1[#All],2,FALSE))</f>
        <v/>
      </c>
      <c r="I98" s="44" t="str">
        <f>IF(D98&lt;&gt;"",VLOOKUP(D98,part_details,4,FALSE)*'Multi-level BOM'!E98,"")</f>
        <v/>
      </c>
      <c r="J98" s="4">
        <f t="shared" ref="J98:S98" si="41">IF($B98="",J96,
    IF(J$3=$B98,$E98,
       IF(J$3&lt;$B98,J96,
           1
)))</f>
        <v>1</v>
      </c>
      <c r="K98" s="4">
        <f t="shared" si="41"/>
        <v>1</v>
      </c>
      <c r="L98" s="4">
        <f t="shared" si="41"/>
        <v>6</v>
      </c>
      <c r="M98" s="4">
        <f t="shared" si="41"/>
        <v>1</v>
      </c>
      <c r="N98" s="4">
        <f t="shared" si="41"/>
        <v>1</v>
      </c>
      <c r="O98" s="4">
        <f t="shared" si="41"/>
        <v>1</v>
      </c>
      <c r="P98" s="4">
        <f t="shared" si="41"/>
        <v>1</v>
      </c>
      <c r="Q98" s="4">
        <f t="shared" si="41"/>
        <v>1</v>
      </c>
      <c r="R98" s="4">
        <f t="shared" si="41"/>
        <v>1</v>
      </c>
      <c r="S98" s="4">
        <f t="shared" si="41"/>
        <v>1</v>
      </c>
      <c r="U98" s="3">
        <f t="shared" si="37"/>
        <v>0</v>
      </c>
      <c r="V98" s="1" t="str">
        <f t="shared" si="35"/>
        <v/>
      </c>
    </row>
    <row r="99" spans="1:22" x14ac:dyDescent="0.25">
      <c r="A99" s="2">
        <v>96</v>
      </c>
      <c r="C99" s="7"/>
      <c r="G99" s="1" t="str">
        <f>IF(D99="","",VLOOKUP(D99,Table1[#All],2,FALSE))</f>
        <v/>
      </c>
      <c r="I99" s="44" t="str">
        <f>IF(D99&lt;&gt;"",VLOOKUP(D99,part_details,4,FALSE)*'Multi-level BOM'!E99,"")</f>
        <v/>
      </c>
      <c r="J99" s="4">
        <f t="shared" ref="J99:S101" si="42">IF($B99="",J98,
    IF(J$3=$B99,$E99,
       IF(J$3&lt;$B99,J98,
           1
)))</f>
        <v>1</v>
      </c>
      <c r="K99" s="4">
        <f t="shared" si="42"/>
        <v>1</v>
      </c>
      <c r="L99" s="4">
        <f t="shared" si="42"/>
        <v>6</v>
      </c>
      <c r="M99" s="4">
        <f t="shared" si="42"/>
        <v>1</v>
      </c>
      <c r="N99" s="4">
        <f t="shared" si="42"/>
        <v>1</v>
      </c>
      <c r="O99" s="4">
        <f t="shared" si="42"/>
        <v>1</v>
      </c>
      <c r="P99" s="4">
        <f t="shared" si="42"/>
        <v>1</v>
      </c>
      <c r="Q99" s="4">
        <f t="shared" si="42"/>
        <v>1</v>
      </c>
      <c r="R99" s="4">
        <f t="shared" si="42"/>
        <v>1</v>
      </c>
      <c r="S99" s="4">
        <f t="shared" si="42"/>
        <v>1</v>
      </c>
      <c r="U99" s="3">
        <f t="shared" si="37"/>
        <v>0</v>
      </c>
      <c r="V99" s="1" t="str">
        <f t="shared" si="35"/>
        <v/>
      </c>
    </row>
    <row r="100" spans="1:22" x14ac:dyDescent="0.25">
      <c r="A100" s="2">
        <v>97</v>
      </c>
      <c r="B100" s="2">
        <v>2</v>
      </c>
      <c r="C100" s="7" t="s">
        <v>884</v>
      </c>
      <c r="E100" s="2">
        <v>0</v>
      </c>
      <c r="G100" s="1" t="str">
        <f>IF(D100="","",VLOOKUP(D100,Table1[#All],2,FALSE))</f>
        <v/>
      </c>
      <c r="H100" s="2">
        <v>1</v>
      </c>
      <c r="I100" s="45">
        <f>H100*SUM(I101:I130)</f>
        <v>118.60606803887489</v>
      </c>
      <c r="J100" s="4">
        <f t="shared" si="42"/>
        <v>1</v>
      </c>
      <c r="K100" s="4">
        <f t="shared" si="42"/>
        <v>1</v>
      </c>
      <c r="L100" s="4">
        <f t="shared" si="42"/>
        <v>0</v>
      </c>
      <c r="M100" s="4">
        <f t="shared" si="42"/>
        <v>1</v>
      </c>
      <c r="N100" s="4">
        <f t="shared" si="42"/>
        <v>1</v>
      </c>
      <c r="O100" s="4">
        <f t="shared" si="42"/>
        <v>1</v>
      </c>
      <c r="P100" s="4">
        <f t="shared" si="42"/>
        <v>1</v>
      </c>
      <c r="Q100" s="4">
        <f t="shared" si="42"/>
        <v>1</v>
      </c>
      <c r="R100" s="4">
        <f t="shared" si="42"/>
        <v>1</v>
      </c>
      <c r="S100" s="4">
        <f t="shared" si="42"/>
        <v>1</v>
      </c>
      <c r="U100" s="3">
        <f t="shared" si="37"/>
        <v>0</v>
      </c>
      <c r="V100" s="1" t="str">
        <f t="shared" si="35"/>
        <v/>
      </c>
    </row>
    <row r="101" spans="1:22" x14ac:dyDescent="0.25">
      <c r="A101" s="2">
        <v>98</v>
      </c>
      <c r="B101" s="2">
        <v>3</v>
      </c>
      <c r="C101" s="7" t="s">
        <v>885</v>
      </c>
      <c r="D101" s="2" t="s">
        <v>71</v>
      </c>
      <c r="E101" s="2">
        <v>1</v>
      </c>
      <c r="G101" s="1" t="str">
        <f>IF(D101="","",VLOOKUP(D101,Table1[#All],2,FALSE))</f>
        <v xml:space="preserve">Aluminum plate (T6061).25 thick, 12" x 5" </v>
      </c>
      <c r="H101" s="2">
        <f t="shared" ref="H101:H130" si="43">PRODUCT(J101:S101)</f>
        <v>0</v>
      </c>
      <c r="I101" s="44">
        <f>IF(D101&lt;&gt;"",(VLOOKUP(D101,part_details,4,FALSE)+VLOOKUP(D101,part_details,5,FALSE)+VLOOKUP(D101,part_details,6,FALSE))*'Multi-level BOM'!E101,"")</f>
        <v>19.110200000000003</v>
      </c>
      <c r="J101" s="4">
        <f t="shared" si="42"/>
        <v>1</v>
      </c>
      <c r="K101" s="4">
        <f t="shared" si="42"/>
        <v>1</v>
      </c>
      <c r="L101" s="4">
        <f t="shared" si="42"/>
        <v>0</v>
      </c>
      <c r="M101" s="4">
        <f t="shared" si="42"/>
        <v>1</v>
      </c>
      <c r="N101" s="4">
        <f t="shared" si="42"/>
        <v>1</v>
      </c>
      <c r="O101" s="4">
        <f t="shared" si="42"/>
        <v>1</v>
      </c>
      <c r="P101" s="4">
        <f t="shared" si="42"/>
        <v>1</v>
      </c>
      <c r="Q101" s="4">
        <f t="shared" si="42"/>
        <v>1</v>
      </c>
      <c r="R101" s="4">
        <f t="shared" si="42"/>
        <v>1</v>
      </c>
      <c r="S101" s="4">
        <f t="shared" si="42"/>
        <v>1</v>
      </c>
      <c r="U101" s="3">
        <f t="shared" si="37"/>
        <v>0</v>
      </c>
      <c r="V101" s="1" t="str">
        <f t="shared" si="35"/>
        <v/>
      </c>
    </row>
    <row r="102" spans="1:22" x14ac:dyDescent="0.25">
      <c r="A102" s="2">
        <v>99</v>
      </c>
      <c r="B102" s="2">
        <v>3</v>
      </c>
      <c r="C102" s="7" t="s">
        <v>886</v>
      </c>
      <c r="D102" s="2" t="s">
        <v>72</v>
      </c>
      <c r="E102" s="2">
        <v>3</v>
      </c>
      <c r="G102" s="1" t="str">
        <f>IF(D102="","",VLOOKUP(D102,Table1[#All],2,FALSE))</f>
        <v>M4 x 20mm Metric Hex Socket Countersunk Head Screw</v>
      </c>
      <c r="H102" s="2">
        <f t="shared" si="43"/>
        <v>0</v>
      </c>
      <c r="I102" s="44">
        <f>IF(D102&lt;&gt;"",(VLOOKUP(D102,part_details,4,FALSE)+VLOOKUP(D102,part_details,5,FALSE)+VLOOKUP(D102,part_details,6,FALSE))*'Multi-level BOM'!E102,"")</f>
        <v>0.39174600000000004</v>
      </c>
      <c r="J102" s="4">
        <f t="shared" ref="J102:S114" si="44">IF($B102="",J101,
    IF(J$3=$B102,$E102,
       IF(J$3&lt;$B102,J101,
           1
)))</f>
        <v>1</v>
      </c>
      <c r="K102" s="4">
        <f t="shared" si="44"/>
        <v>1</v>
      </c>
      <c r="L102" s="4">
        <f t="shared" si="44"/>
        <v>0</v>
      </c>
      <c r="M102" s="4">
        <f t="shared" si="44"/>
        <v>3</v>
      </c>
      <c r="N102" s="4">
        <f t="shared" si="44"/>
        <v>1</v>
      </c>
      <c r="O102" s="4">
        <f t="shared" si="44"/>
        <v>1</v>
      </c>
      <c r="P102" s="4">
        <f t="shared" si="44"/>
        <v>1</v>
      </c>
      <c r="Q102" s="4">
        <f t="shared" si="44"/>
        <v>1</v>
      </c>
      <c r="R102" s="4">
        <f t="shared" si="44"/>
        <v>1</v>
      </c>
      <c r="S102" s="4">
        <f t="shared" si="44"/>
        <v>1</v>
      </c>
      <c r="U102" s="3">
        <f t="shared" si="37"/>
        <v>0</v>
      </c>
      <c r="V102" s="1" t="str">
        <f t="shared" si="35"/>
        <v/>
      </c>
    </row>
    <row r="103" spans="1:22" x14ac:dyDescent="0.25">
      <c r="A103" s="2">
        <v>100</v>
      </c>
      <c r="B103" s="2">
        <v>3</v>
      </c>
      <c r="C103" s="7" t="s">
        <v>891</v>
      </c>
      <c r="D103" s="2" t="s">
        <v>32</v>
      </c>
      <c r="E103" s="2">
        <v>6</v>
      </c>
      <c r="G103" s="1" t="str">
        <f>IF(D103="","",VLOOKUP(D103,Table1[#All],2,FALSE))</f>
        <v>M5-0.8 x 16mm Button Head Socket Cap Screws</v>
      </c>
      <c r="H103" s="2">
        <f t="shared" si="43"/>
        <v>0</v>
      </c>
      <c r="I103" s="44">
        <f>IF(D103&lt;&gt;"",(VLOOKUP(D103,part_details,4,FALSE)+VLOOKUP(D103,part_details,5,FALSE)+VLOOKUP(D103,part_details,6,FALSE))*'Multi-level BOM'!E103,"")</f>
        <v>0.99069094099583199</v>
      </c>
      <c r="J103" s="4">
        <f t="shared" si="44"/>
        <v>1</v>
      </c>
      <c r="K103" s="4">
        <f t="shared" si="44"/>
        <v>1</v>
      </c>
      <c r="L103" s="4">
        <f t="shared" si="44"/>
        <v>0</v>
      </c>
      <c r="M103" s="4">
        <f t="shared" si="44"/>
        <v>6</v>
      </c>
      <c r="N103" s="4">
        <f t="shared" si="44"/>
        <v>1</v>
      </c>
      <c r="O103" s="4">
        <f t="shared" si="44"/>
        <v>1</v>
      </c>
      <c r="P103" s="4">
        <f t="shared" si="44"/>
        <v>1</v>
      </c>
      <c r="Q103" s="4">
        <f t="shared" si="44"/>
        <v>1</v>
      </c>
      <c r="R103" s="4">
        <f t="shared" si="44"/>
        <v>1</v>
      </c>
      <c r="S103" s="4">
        <f t="shared" si="44"/>
        <v>1</v>
      </c>
      <c r="U103" s="3">
        <f t="shared" si="37"/>
        <v>0</v>
      </c>
      <c r="V103" s="1" t="str">
        <f t="shared" si="35"/>
        <v/>
      </c>
    </row>
    <row r="104" spans="1:22" x14ac:dyDescent="0.25">
      <c r="A104" s="2">
        <v>101</v>
      </c>
      <c r="B104" s="2">
        <v>3</v>
      </c>
      <c r="C104" s="7" t="s">
        <v>892</v>
      </c>
      <c r="D104" s="2" t="s">
        <v>68</v>
      </c>
      <c r="E104" s="2">
        <v>6</v>
      </c>
      <c r="G104" s="1" t="str">
        <f>IF(D104="","",VLOOKUP(D104,Table1[#All],2,FALSE))</f>
        <v>M5x10mmx1mm Stainless Steel Metric Round Flat Washer</v>
      </c>
      <c r="H104" s="2">
        <f t="shared" si="43"/>
        <v>0</v>
      </c>
      <c r="I104" s="44">
        <f>IF(D104&lt;&gt;"",(VLOOKUP(D104,part_details,4,FALSE)+VLOOKUP(D104,part_details,5,FALSE)+VLOOKUP(D104,part_details,6,FALSE))*'Multi-level BOM'!E104,"")</f>
        <v>0.14612691379688525</v>
      </c>
      <c r="J104" s="4">
        <f t="shared" si="44"/>
        <v>1</v>
      </c>
      <c r="K104" s="4">
        <f t="shared" si="44"/>
        <v>1</v>
      </c>
      <c r="L104" s="4">
        <f t="shared" si="44"/>
        <v>0</v>
      </c>
      <c r="M104" s="4">
        <f t="shared" si="44"/>
        <v>6</v>
      </c>
      <c r="N104" s="4">
        <f t="shared" si="44"/>
        <v>1</v>
      </c>
      <c r="O104" s="4">
        <f t="shared" si="44"/>
        <v>1</v>
      </c>
      <c r="P104" s="4">
        <f t="shared" si="44"/>
        <v>1</v>
      </c>
      <c r="Q104" s="4">
        <f t="shared" si="44"/>
        <v>1</v>
      </c>
      <c r="R104" s="4">
        <f t="shared" si="44"/>
        <v>1</v>
      </c>
      <c r="S104" s="4">
        <f t="shared" si="44"/>
        <v>1</v>
      </c>
      <c r="U104" s="3">
        <f t="shared" si="37"/>
        <v>0</v>
      </c>
      <c r="V104" s="1" t="str">
        <f t="shared" si="35"/>
        <v/>
      </c>
    </row>
    <row r="105" spans="1:22" x14ac:dyDescent="0.25">
      <c r="A105" s="2">
        <v>102</v>
      </c>
      <c r="B105" s="2">
        <v>3</v>
      </c>
      <c r="C105" s="7" t="s">
        <v>893</v>
      </c>
      <c r="D105" s="2" t="s">
        <v>33</v>
      </c>
      <c r="E105" s="2">
        <v>6</v>
      </c>
      <c r="G105" s="1" t="str">
        <f>IF(D105="","",VLOOKUP(D105,Table1[#All],2,FALSE))</f>
        <v>Sliding T Slot Nuts 4040 Series M5 26 Pack T Nuts Carbon Steel</v>
      </c>
      <c r="H105" s="2">
        <f t="shared" si="43"/>
        <v>0</v>
      </c>
      <c r="I105" s="44">
        <f>IF(D105&lt;&gt;"",(VLOOKUP(D105,part_details,4,FALSE)+VLOOKUP(D105,part_details,5,FALSE)+VLOOKUP(D105,part_details,6,FALSE))*'Multi-level BOM'!E105,"")</f>
        <v>2.0349461538461542</v>
      </c>
      <c r="J105" s="4">
        <f t="shared" si="44"/>
        <v>1</v>
      </c>
      <c r="K105" s="4">
        <f t="shared" si="44"/>
        <v>1</v>
      </c>
      <c r="L105" s="4">
        <f t="shared" si="44"/>
        <v>0</v>
      </c>
      <c r="M105" s="4">
        <f t="shared" si="44"/>
        <v>6</v>
      </c>
      <c r="N105" s="4">
        <f t="shared" si="44"/>
        <v>1</v>
      </c>
      <c r="O105" s="4">
        <f t="shared" si="44"/>
        <v>1</v>
      </c>
      <c r="P105" s="4">
        <f t="shared" si="44"/>
        <v>1</v>
      </c>
      <c r="Q105" s="4">
        <f t="shared" si="44"/>
        <v>1</v>
      </c>
      <c r="R105" s="4">
        <f t="shared" si="44"/>
        <v>1</v>
      </c>
      <c r="S105" s="4">
        <f t="shared" si="44"/>
        <v>1</v>
      </c>
      <c r="U105" s="3">
        <f t="shared" si="37"/>
        <v>0</v>
      </c>
      <c r="V105" s="1" t="str">
        <f t="shared" si="35"/>
        <v/>
      </c>
    </row>
    <row r="106" spans="1:22" x14ac:dyDescent="0.25">
      <c r="A106" s="2">
        <v>103</v>
      </c>
      <c r="B106" s="2">
        <v>3</v>
      </c>
      <c r="C106" s="7" t="s">
        <v>889</v>
      </c>
      <c r="D106" s="2" t="s">
        <v>71</v>
      </c>
      <c r="E106" s="2">
        <v>1</v>
      </c>
      <c r="G106" s="1" t="str">
        <f>IF(D106="","",VLOOKUP(D106,Table1[#All],2,FALSE))</f>
        <v xml:space="preserve">Aluminum plate (T6061).25 thick, 12" x 5" </v>
      </c>
      <c r="H106" s="2">
        <f t="shared" si="43"/>
        <v>0</v>
      </c>
      <c r="I106" s="44">
        <f>IF(D106&lt;&gt;"",(VLOOKUP(D106,part_details,4,FALSE)+VLOOKUP(D106,part_details,5,FALSE)+VLOOKUP(D106,part_details,6,FALSE))*'Multi-level BOM'!E106,"")</f>
        <v>19.110200000000003</v>
      </c>
      <c r="J106" s="4">
        <f t="shared" si="44"/>
        <v>1</v>
      </c>
      <c r="K106" s="4">
        <f t="shared" si="44"/>
        <v>1</v>
      </c>
      <c r="L106" s="4">
        <f t="shared" si="44"/>
        <v>0</v>
      </c>
      <c r="M106" s="4">
        <f t="shared" si="44"/>
        <v>1</v>
      </c>
      <c r="N106" s="4">
        <f t="shared" si="44"/>
        <v>1</v>
      </c>
      <c r="O106" s="4">
        <f t="shared" si="44"/>
        <v>1</v>
      </c>
      <c r="P106" s="4">
        <f t="shared" si="44"/>
        <v>1</v>
      </c>
      <c r="Q106" s="4">
        <f t="shared" si="44"/>
        <v>1</v>
      </c>
      <c r="R106" s="4">
        <f t="shared" si="44"/>
        <v>1</v>
      </c>
      <c r="S106" s="4">
        <f t="shared" si="44"/>
        <v>1</v>
      </c>
      <c r="U106" s="3">
        <f t="shared" si="37"/>
        <v>0</v>
      </c>
      <c r="V106" s="1" t="str">
        <f t="shared" si="35"/>
        <v/>
      </c>
    </row>
    <row r="107" spans="1:22" x14ac:dyDescent="0.25">
      <c r="A107" s="2">
        <v>104</v>
      </c>
      <c r="B107" s="2">
        <v>3</v>
      </c>
      <c r="C107" s="7" t="s">
        <v>886</v>
      </c>
      <c r="D107" s="2" t="s">
        <v>72</v>
      </c>
      <c r="E107" s="2">
        <v>3</v>
      </c>
      <c r="G107" s="1" t="str">
        <f>IF(D107="","",VLOOKUP(D107,Table1[#All],2,FALSE))</f>
        <v>M4 x 20mm Metric Hex Socket Countersunk Head Screw</v>
      </c>
      <c r="H107" s="2">
        <f t="shared" si="43"/>
        <v>0</v>
      </c>
      <c r="I107" s="44">
        <f>IF(D107&lt;&gt;"",(VLOOKUP(D107,part_details,4,FALSE)+VLOOKUP(D107,part_details,5,FALSE)+VLOOKUP(D107,part_details,6,FALSE))*'Multi-level BOM'!E107,"")</f>
        <v>0.39174600000000004</v>
      </c>
      <c r="J107" s="4">
        <f t="shared" si="44"/>
        <v>1</v>
      </c>
      <c r="K107" s="4">
        <f t="shared" si="44"/>
        <v>1</v>
      </c>
      <c r="L107" s="4">
        <f t="shared" si="44"/>
        <v>0</v>
      </c>
      <c r="M107" s="4">
        <f t="shared" si="44"/>
        <v>3</v>
      </c>
      <c r="N107" s="4">
        <f t="shared" si="44"/>
        <v>1</v>
      </c>
      <c r="O107" s="4">
        <f t="shared" si="44"/>
        <v>1</v>
      </c>
      <c r="P107" s="4">
        <f t="shared" si="44"/>
        <v>1</v>
      </c>
      <c r="Q107" s="4">
        <f t="shared" si="44"/>
        <v>1</v>
      </c>
      <c r="R107" s="4">
        <f t="shared" si="44"/>
        <v>1</v>
      </c>
      <c r="S107" s="4">
        <f t="shared" si="44"/>
        <v>1</v>
      </c>
      <c r="U107" s="3">
        <f t="shared" si="37"/>
        <v>0</v>
      </c>
      <c r="V107" s="1" t="str">
        <f t="shared" si="35"/>
        <v/>
      </c>
    </row>
    <row r="108" spans="1:22" x14ac:dyDescent="0.25">
      <c r="A108" s="2">
        <v>105</v>
      </c>
      <c r="B108" s="2">
        <v>3</v>
      </c>
      <c r="C108" s="7" t="s">
        <v>891</v>
      </c>
      <c r="D108" s="2" t="s">
        <v>32</v>
      </c>
      <c r="E108" s="2">
        <v>6</v>
      </c>
      <c r="G108" s="1" t="str">
        <f>IF(D108="","",VLOOKUP(D108,Table1[#All],2,FALSE))</f>
        <v>M5-0.8 x 16mm Button Head Socket Cap Screws</v>
      </c>
      <c r="H108" s="2">
        <f t="shared" si="43"/>
        <v>0</v>
      </c>
      <c r="I108" s="44">
        <f>IF(D108&lt;&gt;"",(VLOOKUP(D108,part_details,4,FALSE)+VLOOKUP(D108,part_details,5,FALSE)+VLOOKUP(D108,part_details,6,FALSE))*'Multi-level BOM'!E108,"")</f>
        <v>0.99069094099583199</v>
      </c>
      <c r="J108" s="4">
        <f t="shared" si="44"/>
        <v>1</v>
      </c>
      <c r="K108" s="4">
        <f t="shared" si="44"/>
        <v>1</v>
      </c>
      <c r="L108" s="4">
        <f t="shared" si="44"/>
        <v>0</v>
      </c>
      <c r="M108" s="4">
        <f t="shared" si="44"/>
        <v>6</v>
      </c>
      <c r="N108" s="4">
        <f t="shared" si="44"/>
        <v>1</v>
      </c>
      <c r="O108" s="4">
        <f t="shared" si="44"/>
        <v>1</v>
      </c>
      <c r="P108" s="4">
        <f t="shared" si="44"/>
        <v>1</v>
      </c>
      <c r="Q108" s="4">
        <f t="shared" si="44"/>
        <v>1</v>
      </c>
      <c r="R108" s="4">
        <f t="shared" si="44"/>
        <v>1</v>
      </c>
      <c r="S108" s="4">
        <f t="shared" si="44"/>
        <v>1</v>
      </c>
      <c r="U108" s="3">
        <f t="shared" si="37"/>
        <v>0</v>
      </c>
      <c r="V108" s="1" t="str">
        <f t="shared" si="35"/>
        <v/>
      </c>
    </row>
    <row r="109" spans="1:22" x14ac:dyDescent="0.25">
      <c r="A109" s="2">
        <v>106</v>
      </c>
      <c r="B109" s="2">
        <v>3</v>
      </c>
      <c r="C109" s="7" t="s">
        <v>892</v>
      </c>
      <c r="D109" s="2" t="s">
        <v>68</v>
      </c>
      <c r="E109" s="2">
        <v>6</v>
      </c>
      <c r="G109" s="1" t="str">
        <f>IF(D109="","",VLOOKUP(D109,Table1[#All],2,FALSE))</f>
        <v>M5x10mmx1mm Stainless Steel Metric Round Flat Washer</v>
      </c>
      <c r="H109" s="2">
        <f t="shared" si="43"/>
        <v>0</v>
      </c>
      <c r="I109" s="44">
        <f>IF(D109&lt;&gt;"",(VLOOKUP(D109,part_details,4,FALSE)+VLOOKUP(D109,part_details,5,FALSE)+VLOOKUP(D109,part_details,6,FALSE))*'Multi-level BOM'!E109,"")</f>
        <v>0.14612691379688525</v>
      </c>
      <c r="J109" s="4">
        <f t="shared" si="44"/>
        <v>1</v>
      </c>
      <c r="K109" s="4">
        <f t="shared" si="44"/>
        <v>1</v>
      </c>
      <c r="L109" s="4">
        <f t="shared" si="44"/>
        <v>0</v>
      </c>
      <c r="M109" s="4">
        <f t="shared" si="44"/>
        <v>6</v>
      </c>
      <c r="N109" s="4">
        <f t="shared" si="44"/>
        <v>1</v>
      </c>
      <c r="O109" s="4">
        <f t="shared" si="44"/>
        <v>1</v>
      </c>
      <c r="P109" s="4">
        <f t="shared" si="44"/>
        <v>1</v>
      </c>
      <c r="Q109" s="4">
        <f t="shared" si="44"/>
        <v>1</v>
      </c>
      <c r="R109" s="4">
        <f t="shared" si="44"/>
        <v>1</v>
      </c>
      <c r="S109" s="4">
        <f t="shared" si="44"/>
        <v>1</v>
      </c>
      <c r="U109" s="3">
        <f t="shared" si="37"/>
        <v>0</v>
      </c>
      <c r="V109" s="1" t="str">
        <f t="shared" si="35"/>
        <v/>
      </c>
    </row>
    <row r="110" spans="1:22" x14ac:dyDescent="0.25">
      <c r="A110" s="2">
        <v>107</v>
      </c>
      <c r="B110" s="2">
        <v>3</v>
      </c>
      <c r="C110" s="7" t="s">
        <v>893</v>
      </c>
      <c r="D110" s="2" t="s">
        <v>33</v>
      </c>
      <c r="E110" s="2">
        <v>6</v>
      </c>
      <c r="G110" s="1" t="str">
        <f>IF(D110="","",VLOOKUP(D110,Table1[#All],2,FALSE))</f>
        <v>Sliding T Slot Nuts 4040 Series M5 26 Pack T Nuts Carbon Steel</v>
      </c>
      <c r="H110" s="2">
        <f t="shared" si="43"/>
        <v>0</v>
      </c>
      <c r="I110" s="44">
        <f>IF(D110&lt;&gt;"",(VLOOKUP(D110,part_details,4,FALSE)+VLOOKUP(D110,part_details,5,FALSE)+VLOOKUP(D110,part_details,6,FALSE))*'Multi-level BOM'!E110,"")</f>
        <v>2.0349461538461542</v>
      </c>
      <c r="J110" s="4">
        <f t="shared" si="44"/>
        <v>1</v>
      </c>
      <c r="K110" s="4">
        <f t="shared" si="44"/>
        <v>1</v>
      </c>
      <c r="L110" s="4">
        <f t="shared" si="44"/>
        <v>0</v>
      </c>
      <c r="M110" s="4">
        <f t="shared" si="44"/>
        <v>6</v>
      </c>
      <c r="N110" s="4">
        <f t="shared" si="44"/>
        <v>1</v>
      </c>
      <c r="O110" s="4">
        <f t="shared" si="44"/>
        <v>1</v>
      </c>
      <c r="P110" s="4">
        <f t="shared" si="44"/>
        <v>1</v>
      </c>
      <c r="Q110" s="4">
        <f t="shared" si="44"/>
        <v>1</v>
      </c>
      <c r="R110" s="4">
        <f t="shared" si="44"/>
        <v>1</v>
      </c>
      <c r="S110" s="4">
        <f t="shared" si="44"/>
        <v>1</v>
      </c>
      <c r="U110" s="3">
        <f t="shared" si="37"/>
        <v>0</v>
      </c>
      <c r="V110" s="1" t="str">
        <f t="shared" si="35"/>
        <v/>
      </c>
    </row>
    <row r="111" spans="1:22" x14ac:dyDescent="0.25">
      <c r="A111" s="2">
        <v>108</v>
      </c>
      <c r="B111" s="2">
        <v>3</v>
      </c>
      <c r="C111" s="7" t="s">
        <v>890</v>
      </c>
      <c r="D111" s="2" t="s">
        <v>71</v>
      </c>
      <c r="E111" s="2">
        <v>1</v>
      </c>
      <c r="G111" s="1" t="str">
        <f>IF(D111="","",VLOOKUP(D111,Table1[#All],2,FALSE))</f>
        <v xml:space="preserve">Aluminum plate (T6061).25 thick, 12" x 5" </v>
      </c>
      <c r="H111" s="2">
        <f t="shared" si="43"/>
        <v>0</v>
      </c>
      <c r="I111" s="44">
        <f>IF(D111&lt;&gt;"",(VLOOKUP(D111,part_details,4,FALSE)+VLOOKUP(D111,part_details,5,FALSE)+VLOOKUP(D111,part_details,6,FALSE))*'Multi-level BOM'!E111,"")</f>
        <v>19.110200000000003</v>
      </c>
      <c r="J111" s="4">
        <f t="shared" si="44"/>
        <v>1</v>
      </c>
      <c r="K111" s="4">
        <f t="shared" si="44"/>
        <v>1</v>
      </c>
      <c r="L111" s="4">
        <f t="shared" si="44"/>
        <v>0</v>
      </c>
      <c r="M111" s="4">
        <f t="shared" si="44"/>
        <v>1</v>
      </c>
      <c r="N111" s="4">
        <f t="shared" si="44"/>
        <v>1</v>
      </c>
      <c r="O111" s="4">
        <f t="shared" si="44"/>
        <v>1</v>
      </c>
      <c r="P111" s="4">
        <f t="shared" si="44"/>
        <v>1</v>
      </c>
      <c r="Q111" s="4">
        <f t="shared" si="44"/>
        <v>1</v>
      </c>
      <c r="R111" s="4">
        <f t="shared" si="44"/>
        <v>1</v>
      </c>
      <c r="S111" s="4">
        <f t="shared" si="44"/>
        <v>1</v>
      </c>
      <c r="U111" s="3">
        <f t="shared" si="37"/>
        <v>0</v>
      </c>
      <c r="V111" s="1" t="str">
        <f t="shared" si="35"/>
        <v/>
      </c>
    </row>
    <row r="112" spans="1:22" x14ac:dyDescent="0.25">
      <c r="A112" s="2">
        <v>109</v>
      </c>
      <c r="B112" s="2">
        <v>3</v>
      </c>
      <c r="C112" s="7" t="s">
        <v>886</v>
      </c>
      <c r="D112" s="2" t="s">
        <v>72</v>
      </c>
      <c r="E112" s="2">
        <v>3</v>
      </c>
      <c r="G112" s="1" t="str">
        <f>IF(D112="","",VLOOKUP(D112,Table1[#All],2,FALSE))</f>
        <v>M4 x 20mm Metric Hex Socket Countersunk Head Screw</v>
      </c>
      <c r="H112" s="2">
        <f t="shared" si="43"/>
        <v>0</v>
      </c>
      <c r="I112" s="44">
        <f>IF(D112&lt;&gt;"",(VLOOKUP(D112,part_details,4,FALSE)+VLOOKUP(D112,part_details,5,FALSE)+VLOOKUP(D112,part_details,6,FALSE))*'Multi-level BOM'!E112,"")</f>
        <v>0.39174600000000004</v>
      </c>
      <c r="J112" s="4">
        <f t="shared" si="44"/>
        <v>1</v>
      </c>
      <c r="K112" s="4">
        <f t="shared" si="44"/>
        <v>1</v>
      </c>
      <c r="L112" s="4">
        <f t="shared" si="44"/>
        <v>0</v>
      </c>
      <c r="M112" s="4">
        <f t="shared" si="44"/>
        <v>3</v>
      </c>
      <c r="N112" s="4">
        <f t="shared" si="44"/>
        <v>1</v>
      </c>
      <c r="O112" s="4">
        <f t="shared" si="44"/>
        <v>1</v>
      </c>
      <c r="P112" s="4">
        <f t="shared" si="44"/>
        <v>1</v>
      </c>
      <c r="Q112" s="4">
        <f t="shared" si="44"/>
        <v>1</v>
      </c>
      <c r="R112" s="4">
        <f t="shared" si="44"/>
        <v>1</v>
      </c>
      <c r="S112" s="4">
        <f t="shared" si="44"/>
        <v>1</v>
      </c>
      <c r="U112" s="3">
        <f t="shared" si="37"/>
        <v>0</v>
      </c>
      <c r="V112" s="1" t="str">
        <f t="shared" si="35"/>
        <v/>
      </c>
    </row>
    <row r="113" spans="1:22" x14ac:dyDescent="0.25">
      <c r="A113" s="2">
        <v>110</v>
      </c>
      <c r="B113" s="2">
        <v>3</v>
      </c>
      <c r="C113" s="7" t="s">
        <v>891</v>
      </c>
      <c r="D113" s="2" t="s">
        <v>32</v>
      </c>
      <c r="E113" s="2">
        <v>6</v>
      </c>
      <c r="G113" s="1" t="str">
        <f>IF(D113="","",VLOOKUP(D113,Table1[#All],2,FALSE))</f>
        <v>M5-0.8 x 16mm Button Head Socket Cap Screws</v>
      </c>
      <c r="H113" s="2">
        <f t="shared" si="43"/>
        <v>0</v>
      </c>
      <c r="I113" s="44">
        <f>IF(D113&lt;&gt;"",(VLOOKUP(D113,part_details,4,FALSE)+VLOOKUP(D113,part_details,5,FALSE)+VLOOKUP(D113,part_details,6,FALSE))*'Multi-level BOM'!E113,"")</f>
        <v>0.99069094099583199</v>
      </c>
      <c r="J113" s="4">
        <f t="shared" si="44"/>
        <v>1</v>
      </c>
      <c r="K113" s="4">
        <f t="shared" si="44"/>
        <v>1</v>
      </c>
      <c r="L113" s="4">
        <f t="shared" si="44"/>
        <v>0</v>
      </c>
      <c r="M113" s="4">
        <f t="shared" si="44"/>
        <v>6</v>
      </c>
      <c r="N113" s="4">
        <f t="shared" si="44"/>
        <v>1</v>
      </c>
      <c r="O113" s="4">
        <f t="shared" si="44"/>
        <v>1</v>
      </c>
      <c r="P113" s="4">
        <f t="shared" si="44"/>
        <v>1</v>
      </c>
      <c r="Q113" s="4">
        <f t="shared" si="44"/>
        <v>1</v>
      </c>
      <c r="R113" s="4">
        <f t="shared" si="44"/>
        <v>1</v>
      </c>
      <c r="S113" s="4">
        <f t="shared" si="44"/>
        <v>1</v>
      </c>
      <c r="U113" s="3">
        <f t="shared" si="37"/>
        <v>0</v>
      </c>
      <c r="V113" s="1" t="str">
        <f t="shared" si="35"/>
        <v/>
      </c>
    </row>
    <row r="114" spans="1:22" x14ac:dyDescent="0.25">
      <c r="A114" s="2">
        <v>111</v>
      </c>
      <c r="B114" s="2">
        <v>3</v>
      </c>
      <c r="C114" s="7" t="s">
        <v>892</v>
      </c>
      <c r="D114" s="2" t="s">
        <v>68</v>
      </c>
      <c r="E114" s="2">
        <v>6</v>
      </c>
      <c r="G114" s="1" t="str">
        <f>IF(D114="","",VLOOKUP(D114,Table1[#All],2,FALSE))</f>
        <v>M5x10mmx1mm Stainless Steel Metric Round Flat Washer</v>
      </c>
      <c r="H114" s="2">
        <f t="shared" si="43"/>
        <v>0</v>
      </c>
      <c r="I114" s="44">
        <f>IF(D114&lt;&gt;"",(VLOOKUP(D114,part_details,4,FALSE)+VLOOKUP(D114,part_details,5,FALSE)+VLOOKUP(D114,part_details,6,FALSE))*'Multi-level BOM'!E114,"")</f>
        <v>0.14612691379688525</v>
      </c>
      <c r="J114" s="4">
        <f t="shared" si="44"/>
        <v>1</v>
      </c>
      <c r="K114" s="4">
        <f t="shared" si="44"/>
        <v>1</v>
      </c>
      <c r="L114" s="4">
        <f t="shared" si="44"/>
        <v>0</v>
      </c>
      <c r="M114" s="4">
        <f t="shared" si="44"/>
        <v>6</v>
      </c>
      <c r="N114" s="4">
        <f t="shared" si="44"/>
        <v>1</v>
      </c>
      <c r="O114" s="4">
        <f t="shared" si="44"/>
        <v>1</v>
      </c>
      <c r="P114" s="4">
        <f t="shared" si="44"/>
        <v>1</v>
      </c>
      <c r="Q114" s="4">
        <f t="shared" si="44"/>
        <v>1</v>
      </c>
      <c r="R114" s="4">
        <f t="shared" si="44"/>
        <v>1</v>
      </c>
      <c r="S114" s="4">
        <f t="shared" si="44"/>
        <v>1</v>
      </c>
      <c r="U114" s="3">
        <f t="shared" si="37"/>
        <v>0</v>
      </c>
      <c r="V114" s="1" t="str">
        <f t="shared" si="35"/>
        <v/>
      </c>
    </row>
    <row r="115" spans="1:22" x14ac:dyDescent="0.25">
      <c r="A115" s="2">
        <v>112</v>
      </c>
      <c r="B115" s="2">
        <v>3</v>
      </c>
      <c r="C115" s="7" t="s">
        <v>893</v>
      </c>
      <c r="D115" s="2" t="s">
        <v>33</v>
      </c>
      <c r="E115" s="2">
        <v>6</v>
      </c>
      <c r="G115" s="1" t="str">
        <f>IF(D115="","",VLOOKUP(D115,Table1[#All],2,FALSE))</f>
        <v>Sliding T Slot Nuts 4040 Series M5 26 Pack T Nuts Carbon Steel</v>
      </c>
      <c r="H115" s="2">
        <f t="shared" si="43"/>
        <v>0</v>
      </c>
      <c r="I115" s="44">
        <f>IF(D115&lt;&gt;"",(VLOOKUP(D115,part_details,4,FALSE)+VLOOKUP(D115,part_details,5,FALSE)+VLOOKUP(D115,part_details,6,FALSE))*'Multi-level BOM'!E115,"")</f>
        <v>2.0349461538461542</v>
      </c>
      <c r="J115" s="4">
        <f t="shared" ref="J115:S127" si="45">IF($B115="",J114,
    IF(J$3=$B115,$E115,
       IF(J$3&lt;$B115,J114,
           1
)))</f>
        <v>1</v>
      </c>
      <c r="K115" s="4">
        <f t="shared" si="45"/>
        <v>1</v>
      </c>
      <c r="L115" s="4">
        <f t="shared" si="45"/>
        <v>0</v>
      </c>
      <c r="M115" s="4">
        <f t="shared" si="45"/>
        <v>6</v>
      </c>
      <c r="N115" s="4">
        <f t="shared" si="45"/>
        <v>1</v>
      </c>
      <c r="O115" s="4">
        <f t="shared" si="45"/>
        <v>1</v>
      </c>
      <c r="P115" s="4">
        <f t="shared" si="45"/>
        <v>1</v>
      </c>
      <c r="Q115" s="4">
        <f t="shared" si="45"/>
        <v>1</v>
      </c>
      <c r="R115" s="4">
        <f t="shared" si="45"/>
        <v>1</v>
      </c>
      <c r="S115" s="4">
        <f t="shared" si="45"/>
        <v>1</v>
      </c>
      <c r="U115" s="3">
        <f t="shared" si="37"/>
        <v>0</v>
      </c>
      <c r="V115" s="1" t="str">
        <f t="shared" si="35"/>
        <v/>
      </c>
    </row>
    <row r="116" spans="1:22" x14ac:dyDescent="0.25">
      <c r="A116" s="2">
        <v>113</v>
      </c>
      <c r="B116" s="2">
        <v>3</v>
      </c>
      <c r="C116" s="7" t="s">
        <v>895</v>
      </c>
      <c r="D116" s="2" t="s">
        <v>73</v>
      </c>
      <c r="E116" s="2">
        <v>1</v>
      </c>
      <c r="G116" s="1" t="str">
        <f>IF(D116="","",VLOOKUP(D116,Table1[#All],2,FALSE))</f>
        <v xml:space="preserve">Aluminum plate (T6061).25 thick, 4" x 16" </v>
      </c>
      <c r="H116" s="2">
        <f t="shared" si="43"/>
        <v>0</v>
      </c>
      <c r="I116" s="44">
        <f>IF(D116&lt;&gt;"",(VLOOKUP(D116,part_details,4,FALSE)+VLOOKUP(D116,part_details,5,FALSE)+VLOOKUP(D116,part_details,6,FALSE))*'Multi-level BOM'!E116,"")</f>
        <v>15.0146</v>
      </c>
      <c r="J116" s="4">
        <f t="shared" si="45"/>
        <v>1</v>
      </c>
      <c r="K116" s="4">
        <f t="shared" si="45"/>
        <v>1</v>
      </c>
      <c r="L116" s="4">
        <f t="shared" si="45"/>
        <v>0</v>
      </c>
      <c r="M116" s="4">
        <f t="shared" si="45"/>
        <v>1</v>
      </c>
      <c r="N116" s="4">
        <f t="shared" si="45"/>
        <v>1</v>
      </c>
      <c r="O116" s="4">
        <f t="shared" si="45"/>
        <v>1</v>
      </c>
      <c r="P116" s="4">
        <f t="shared" si="45"/>
        <v>1</v>
      </c>
      <c r="Q116" s="4">
        <f t="shared" si="45"/>
        <v>1</v>
      </c>
      <c r="R116" s="4">
        <f t="shared" si="45"/>
        <v>1</v>
      </c>
      <c r="S116" s="4">
        <f t="shared" si="45"/>
        <v>1</v>
      </c>
      <c r="U116" s="3">
        <f t="shared" si="37"/>
        <v>0</v>
      </c>
      <c r="V116" s="1" t="str">
        <f t="shared" si="35"/>
        <v/>
      </c>
    </row>
    <row r="117" spans="1:22" x14ac:dyDescent="0.25">
      <c r="A117" s="2">
        <v>114</v>
      </c>
      <c r="B117" s="2">
        <v>3</v>
      </c>
      <c r="C117" s="7" t="s">
        <v>886</v>
      </c>
      <c r="D117" s="2" t="s">
        <v>72</v>
      </c>
      <c r="E117" s="2">
        <v>2</v>
      </c>
      <c r="G117" s="1" t="str">
        <f>IF(D117="","",VLOOKUP(D117,Table1[#All],2,FALSE))</f>
        <v>M4 x 20mm Metric Hex Socket Countersunk Head Screw</v>
      </c>
      <c r="H117" s="2">
        <f t="shared" si="43"/>
        <v>0</v>
      </c>
      <c r="I117" s="44">
        <f>IF(D117&lt;&gt;"",(VLOOKUP(D117,part_details,4,FALSE)+VLOOKUP(D117,part_details,5,FALSE)+VLOOKUP(D117,part_details,6,FALSE))*'Multi-level BOM'!E117,"")</f>
        <v>0.26116400000000001</v>
      </c>
      <c r="J117" s="4">
        <f t="shared" si="45"/>
        <v>1</v>
      </c>
      <c r="K117" s="4">
        <f t="shared" si="45"/>
        <v>1</v>
      </c>
      <c r="L117" s="4">
        <f t="shared" si="45"/>
        <v>0</v>
      </c>
      <c r="M117" s="4">
        <f t="shared" si="45"/>
        <v>2</v>
      </c>
      <c r="N117" s="4">
        <f t="shared" si="45"/>
        <v>1</v>
      </c>
      <c r="O117" s="4">
        <f t="shared" si="45"/>
        <v>1</v>
      </c>
      <c r="P117" s="4">
        <f t="shared" si="45"/>
        <v>1</v>
      </c>
      <c r="Q117" s="4">
        <f t="shared" si="45"/>
        <v>1</v>
      </c>
      <c r="R117" s="4">
        <f t="shared" si="45"/>
        <v>1</v>
      </c>
      <c r="S117" s="4">
        <f t="shared" si="45"/>
        <v>1</v>
      </c>
      <c r="U117" s="3">
        <f t="shared" si="37"/>
        <v>0</v>
      </c>
      <c r="V117" s="1" t="str">
        <f t="shared" si="35"/>
        <v/>
      </c>
    </row>
    <row r="118" spans="1:22" x14ac:dyDescent="0.25">
      <c r="A118" s="2">
        <v>115</v>
      </c>
      <c r="B118" s="2">
        <v>3</v>
      </c>
      <c r="C118" s="7" t="s">
        <v>894</v>
      </c>
      <c r="D118" s="2" t="s">
        <v>32</v>
      </c>
      <c r="E118" s="2">
        <v>3</v>
      </c>
      <c r="G118" s="1" t="str">
        <f>IF(D118="","",VLOOKUP(D118,Table1[#All],2,FALSE))</f>
        <v>M5-0.8 x 16mm Button Head Socket Cap Screws</v>
      </c>
      <c r="H118" s="2">
        <f t="shared" si="43"/>
        <v>0</v>
      </c>
      <c r="I118" s="44">
        <f>IF(D118&lt;&gt;"",(VLOOKUP(D118,part_details,4,FALSE)+VLOOKUP(D118,part_details,5,FALSE)+VLOOKUP(D118,part_details,6,FALSE))*'Multi-level BOM'!E118,"")</f>
        <v>0.495345470497916</v>
      </c>
      <c r="J118" s="4">
        <f t="shared" si="45"/>
        <v>1</v>
      </c>
      <c r="K118" s="4">
        <f t="shared" si="45"/>
        <v>1</v>
      </c>
      <c r="L118" s="4">
        <f t="shared" si="45"/>
        <v>0</v>
      </c>
      <c r="M118" s="4">
        <f t="shared" si="45"/>
        <v>3</v>
      </c>
      <c r="N118" s="4">
        <f t="shared" si="45"/>
        <v>1</v>
      </c>
      <c r="O118" s="4">
        <f t="shared" si="45"/>
        <v>1</v>
      </c>
      <c r="P118" s="4">
        <f t="shared" si="45"/>
        <v>1</v>
      </c>
      <c r="Q118" s="4">
        <f t="shared" si="45"/>
        <v>1</v>
      </c>
      <c r="R118" s="4">
        <f t="shared" si="45"/>
        <v>1</v>
      </c>
      <c r="S118" s="4">
        <f t="shared" si="45"/>
        <v>1</v>
      </c>
      <c r="U118" s="3">
        <f t="shared" si="37"/>
        <v>0</v>
      </c>
      <c r="V118" s="1" t="str">
        <f t="shared" si="35"/>
        <v/>
      </c>
    </row>
    <row r="119" spans="1:22" x14ac:dyDescent="0.25">
      <c r="A119" s="2">
        <v>116</v>
      </c>
      <c r="B119" s="2">
        <v>3</v>
      </c>
      <c r="C119" s="7" t="s">
        <v>892</v>
      </c>
      <c r="D119" s="2" t="s">
        <v>68</v>
      </c>
      <c r="E119" s="2">
        <v>3</v>
      </c>
      <c r="G119" s="1" t="str">
        <f>IF(D119="","",VLOOKUP(D119,Table1[#All],2,FALSE))</f>
        <v>M5x10mmx1mm Stainless Steel Metric Round Flat Washer</v>
      </c>
      <c r="H119" s="2">
        <f t="shared" si="43"/>
        <v>0</v>
      </c>
      <c r="I119" s="44">
        <f>IF(D119&lt;&gt;"",(VLOOKUP(D119,part_details,4,FALSE)+VLOOKUP(D119,part_details,5,FALSE)+VLOOKUP(D119,part_details,6,FALSE))*'Multi-level BOM'!E119,"")</f>
        <v>7.3063456898442625E-2</v>
      </c>
      <c r="J119" s="4">
        <f t="shared" si="45"/>
        <v>1</v>
      </c>
      <c r="K119" s="4">
        <f t="shared" si="45"/>
        <v>1</v>
      </c>
      <c r="L119" s="4">
        <f t="shared" si="45"/>
        <v>0</v>
      </c>
      <c r="M119" s="4">
        <f t="shared" si="45"/>
        <v>3</v>
      </c>
      <c r="N119" s="4">
        <f t="shared" si="45"/>
        <v>1</v>
      </c>
      <c r="O119" s="4">
        <f t="shared" si="45"/>
        <v>1</v>
      </c>
      <c r="P119" s="4">
        <f t="shared" si="45"/>
        <v>1</v>
      </c>
      <c r="Q119" s="4">
        <f t="shared" si="45"/>
        <v>1</v>
      </c>
      <c r="R119" s="4">
        <f t="shared" si="45"/>
        <v>1</v>
      </c>
      <c r="S119" s="4">
        <f t="shared" si="45"/>
        <v>1</v>
      </c>
      <c r="U119" s="3">
        <f t="shared" si="37"/>
        <v>0</v>
      </c>
      <c r="V119" s="1" t="str">
        <f t="shared" si="35"/>
        <v/>
      </c>
    </row>
    <row r="120" spans="1:22" x14ac:dyDescent="0.25">
      <c r="A120" s="2">
        <v>117</v>
      </c>
      <c r="B120" s="2">
        <v>3</v>
      </c>
      <c r="C120" s="7" t="s">
        <v>893</v>
      </c>
      <c r="D120" s="2" t="s">
        <v>33</v>
      </c>
      <c r="E120" s="2">
        <v>3</v>
      </c>
      <c r="G120" s="1" t="str">
        <f>IF(D120="","",VLOOKUP(D120,Table1[#All],2,FALSE))</f>
        <v>Sliding T Slot Nuts 4040 Series M5 26 Pack T Nuts Carbon Steel</v>
      </c>
      <c r="H120" s="2">
        <f t="shared" si="43"/>
        <v>0</v>
      </c>
      <c r="I120" s="44">
        <f>IF(D120&lt;&gt;"",(VLOOKUP(D120,part_details,4,FALSE)+VLOOKUP(D120,part_details,5,FALSE)+VLOOKUP(D120,part_details,6,FALSE))*'Multi-level BOM'!E120,"")</f>
        <v>1.0174730769230771</v>
      </c>
      <c r="J120" s="4">
        <f t="shared" si="45"/>
        <v>1</v>
      </c>
      <c r="K120" s="4">
        <f t="shared" si="45"/>
        <v>1</v>
      </c>
      <c r="L120" s="4">
        <f t="shared" si="45"/>
        <v>0</v>
      </c>
      <c r="M120" s="4">
        <f t="shared" si="45"/>
        <v>3</v>
      </c>
      <c r="N120" s="4">
        <f t="shared" si="45"/>
        <v>1</v>
      </c>
      <c r="O120" s="4">
        <f t="shared" si="45"/>
        <v>1</v>
      </c>
      <c r="P120" s="4">
        <f t="shared" si="45"/>
        <v>1</v>
      </c>
      <c r="Q120" s="4">
        <f t="shared" si="45"/>
        <v>1</v>
      </c>
      <c r="R120" s="4">
        <f t="shared" si="45"/>
        <v>1</v>
      </c>
      <c r="S120" s="4">
        <f t="shared" si="45"/>
        <v>1</v>
      </c>
      <c r="U120" s="3">
        <f t="shared" si="37"/>
        <v>0</v>
      </c>
      <c r="V120" s="1" t="str">
        <f t="shared" si="35"/>
        <v/>
      </c>
    </row>
    <row r="121" spans="1:22" x14ac:dyDescent="0.25">
      <c r="A121" s="2">
        <v>118</v>
      </c>
      <c r="B121" s="2">
        <v>3</v>
      </c>
      <c r="C121" s="7" t="s">
        <v>896</v>
      </c>
      <c r="D121" s="2" t="s">
        <v>73</v>
      </c>
      <c r="E121" s="2">
        <v>1</v>
      </c>
      <c r="G121" s="1" t="str">
        <f>IF(D121="","",VLOOKUP(D121,Table1[#All],2,FALSE))</f>
        <v xml:space="preserve">Aluminum plate (T6061).25 thick, 4" x 16" </v>
      </c>
      <c r="H121" s="2">
        <f t="shared" si="43"/>
        <v>0</v>
      </c>
      <c r="I121" s="44">
        <f>IF(D121&lt;&gt;"",(VLOOKUP(D121,part_details,4,FALSE)+VLOOKUP(D121,part_details,5,FALSE)+VLOOKUP(D121,part_details,6,FALSE))*'Multi-level BOM'!E121,"")</f>
        <v>15.0146</v>
      </c>
      <c r="J121" s="4">
        <f t="shared" si="45"/>
        <v>1</v>
      </c>
      <c r="K121" s="4">
        <f t="shared" si="45"/>
        <v>1</v>
      </c>
      <c r="L121" s="4">
        <f t="shared" si="45"/>
        <v>0</v>
      </c>
      <c r="M121" s="4">
        <f t="shared" si="45"/>
        <v>1</v>
      </c>
      <c r="N121" s="4">
        <f t="shared" si="45"/>
        <v>1</v>
      </c>
      <c r="O121" s="4">
        <f t="shared" si="45"/>
        <v>1</v>
      </c>
      <c r="P121" s="4">
        <f t="shared" si="45"/>
        <v>1</v>
      </c>
      <c r="Q121" s="4">
        <f t="shared" si="45"/>
        <v>1</v>
      </c>
      <c r="R121" s="4">
        <f t="shared" si="45"/>
        <v>1</v>
      </c>
      <c r="S121" s="4">
        <f t="shared" si="45"/>
        <v>1</v>
      </c>
      <c r="U121" s="3">
        <f t="shared" si="37"/>
        <v>0</v>
      </c>
      <c r="V121" s="1" t="str">
        <f t="shared" si="35"/>
        <v/>
      </c>
    </row>
    <row r="122" spans="1:22" x14ac:dyDescent="0.25">
      <c r="A122" s="2">
        <v>119</v>
      </c>
      <c r="B122" s="2">
        <v>3</v>
      </c>
      <c r="C122" s="7" t="s">
        <v>886</v>
      </c>
      <c r="D122" s="2" t="s">
        <v>72</v>
      </c>
      <c r="E122" s="2">
        <v>2</v>
      </c>
      <c r="G122" s="1" t="str">
        <f>IF(D122="","",VLOOKUP(D122,Table1[#All],2,FALSE))</f>
        <v>M4 x 20mm Metric Hex Socket Countersunk Head Screw</v>
      </c>
      <c r="H122" s="2">
        <f t="shared" si="43"/>
        <v>0</v>
      </c>
      <c r="I122" s="44">
        <f>IF(D122&lt;&gt;"",(VLOOKUP(D122,part_details,4,FALSE)+VLOOKUP(D122,part_details,5,FALSE)+VLOOKUP(D122,part_details,6,FALSE))*'Multi-level BOM'!E122,"")</f>
        <v>0.26116400000000001</v>
      </c>
      <c r="J122" s="4">
        <f t="shared" si="45"/>
        <v>1</v>
      </c>
      <c r="K122" s="4">
        <f t="shared" si="45"/>
        <v>1</v>
      </c>
      <c r="L122" s="4">
        <f t="shared" si="45"/>
        <v>0</v>
      </c>
      <c r="M122" s="4">
        <f t="shared" si="45"/>
        <v>2</v>
      </c>
      <c r="N122" s="4">
        <f t="shared" si="45"/>
        <v>1</v>
      </c>
      <c r="O122" s="4">
        <f t="shared" si="45"/>
        <v>1</v>
      </c>
      <c r="P122" s="4">
        <f t="shared" si="45"/>
        <v>1</v>
      </c>
      <c r="Q122" s="4">
        <f t="shared" si="45"/>
        <v>1</v>
      </c>
      <c r="R122" s="4">
        <f t="shared" si="45"/>
        <v>1</v>
      </c>
      <c r="S122" s="4">
        <f t="shared" si="45"/>
        <v>1</v>
      </c>
      <c r="U122" s="3">
        <f t="shared" si="37"/>
        <v>0</v>
      </c>
      <c r="V122" s="1" t="str">
        <f t="shared" si="35"/>
        <v/>
      </c>
    </row>
    <row r="123" spans="1:22" ht="14.45" x14ac:dyDescent="0.3">
      <c r="A123" s="2">
        <v>120</v>
      </c>
      <c r="B123" s="2">
        <v>3</v>
      </c>
      <c r="C123" s="7" t="s">
        <v>891</v>
      </c>
      <c r="D123" s="2" t="s">
        <v>32</v>
      </c>
      <c r="E123" s="2">
        <v>3</v>
      </c>
      <c r="G123" s="1" t="str">
        <f>IF(D123="","",VLOOKUP(D123,Table1[#All],2,FALSE))</f>
        <v>M5-0.8 x 16mm Button Head Socket Cap Screws</v>
      </c>
      <c r="H123" s="2">
        <f t="shared" si="43"/>
        <v>0</v>
      </c>
      <c r="I123" s="44">
        <f>IF(D123&lt;&gt;"",(VLOOKUP(D123,part_details,4,FALSE)+VLOOKUP(D123,part_details,5,FALSE)+VLOOKUP(D123,part_details,6,FALSE))*'Multi-level BOM'!E123,"")</f>
        <v>0.495345470497916</v>
      </c>
      <c r="J123" s="4">
        <f t="shared" si="45"/>
        <v>1</v>
      </c>
      <c r="K123" s="4">
        <f t="shared" si="45"/>
        <v>1</v>
      </c>
      <c r="L123" s="4">
        <f t="shared" si="45"/>
        <v>0</v>
      </c>
      <c r="M123" s="4">
        <f t="shared" si="45"/>
        <v>3</v>
      </c>
      <c r="N123" s="4">
        <f t="shared" si="45"/>
        <v>1</v>
      </c>
      <c r="O123" s="4">
        <f t="shared" si="45"/>
        <v>1</v>
      </c>
      <c r="P123" s="4">
        <f t="shared" si="45"/>
        <v>1</v>
      </c>
      <c r="Q123" s="4">
        <f t="shared" si="45"/>
        <v>1</v>
      </c>
      <c r="R123" s="4">
        <f t="shared" si="45"/>
        <v>1</v>
      </c>
      <c r="S123" s="4">
        <f t="shared" si="45"/>
        <v>1</v>
      </c>
      <c r="U123" s="3">
        <f t="shared" si="37"/>
        <v>0</v>
      </c>
      <c r="V123" s="1" t="str">
        <f t="shared" si="35"/>
        <v/>
      </c>
    </row>
    <row r="124" spans="1:22" ht="14.45" x14ac:dyDescent="0.3">
      <c r="A124" s="2">
        <v>121</v>
      </c>
      <c r="B124" s="2">
        <v>3</v>
      </c>
      <c r="C124" s="7" t="s">
        <v>892</v>
      </c>
      <c r="D124" s="2" t="s">
        <v>68</v>
      </c>
      <c r="E124" s="2">
        <v>3</v>
      </c>
      <c r="G124" s="1" t="str">
        <f>IF(D124="","",VLOOKUP(D124,Table1[#All],2,FALSE))</f>
        <v>M5x10mmx1mm Stainless Steel Metric Round Flat Washer</v>
      </c>
      <c r="H124" s="2">
        <f t="shared" si="43"/>
        <v>0</v>
      </c>
      <c r="I124" s="44">
        <f>IF(D124&lt;&gt;"",(VLOOKUP(D124,part_details,4,FALSE)+VLOOKUP(D124,part_details,5,FALSE)+VLOOKUP(D124,part_details,6,FALSE))*'Multi-level BOM'!E124,"")</f>
        <v>7.3063456898442625E-2</v>
      </c>
      <c r="J124" s="4">
        <f t="shared" si="45"/>
        <v>1</v>
      </c>
      <c r="K124" s="4">
        <f t="shared" si="45"/>
        <v>1</v>
      </c>
      <c r="L124" s="4">
        <f t="shared" si="45"/>
        <v>0</v>
      </c>
      <c r="M124" s="4">
        <f t="shared" si="45"/>
        <v>3</v>
      </c>
      <c r="N124" s="4">
        <f t="shared" si="45"/>
        <v>1</v>
      </c>
      <c r="O124" s="4">
        <f t="shared" si="45"/>
        <v>1</v>
      </c>
      <c r="P124" s="4">
        <f t="shared" si="45"/>
        <v>1</v>
      </c>
      <c r="Q124" s="4">
        <f t="shared" si="45"/>
        <v>1</v>
      </c>
      <c r="R124" s="4">
        <f t="shared" si="45"/>
        <v>1</v>
      </c>
      <c r="S124" s="4">
        <f t="shared" si="45"/>
        <v>1</v>
      </c>
      <c r="U124" s="3">
        <f t="shared" si="37"/>
        <v>0</v>
      </c>
      <c r="V124" s="1" t="str">
        <f t="shared" si="35"/>
        <v/>
      </c>
    </row>
    <row r="125" spans="1:22" ht="14.45" x14ac:dyDescent="0.3">
      <c r="A125" s="2">
        <v>122</v>
      </c>
      <c r="B125" s="2">
        <v>3</v>
      </c>
      <c r="C125" s="7" t="s">
        <v>893</v>
      </c>
      <c r="D125" s="2" t="s">
        <v>33</v>
      </c>
      <c r="E125" s="2">
        <v>3</v>
      </c>
      <c r="G125" s="1" t="str">
        <f>IF(D125="","",VLOOKUP(D125,Table1[#All],2,FALSE))</f>
        <v>Sliding T Slot Nuts 4040 Series M5 26 Pack T Nuts Carbon Steel</v>
      </c>
      <c r="H125" s="2">
        <f t="shared" si="43"/>
        <v>0</v>
      </c>
      <c r="I125" s="44">
        <f>IF(D125&lt;&gt;"",(VLOOKUP(D125,part_details,4,FALSE)+VLOOKUP(D125,part_details,5,FALSE)+VLOOKUP(D125,part_details,6,FALSE))*'Multi-level BOM'!E125,"")</f>
        <v>1.0174730769230771</v>
      </c>
      <c r="J125" s="4">
        <f t="shared" si="45"/>
        <v>1</v>
      </c>
      <c r="K125" s="4">
        <f t="shared" si="45"/>
        <v>1</v>
      </c>
      <c r="L125" s="4">
        <f t="shared" si="45"/>
        <v>0</v>
      </c>
      <c r="M125" s="4">
        <f t="shared" si="45"/>
        <v>3</v>
      </c>
      <c r="N125" s="4">
        <f t="shared" si="45"/>
        <v>1</v>
      </c>
      <c r="O125" s="4">
        <f t="shared" si="45"/>
        <v>1</v>
      </c>
      <c r="P125" s="4">
        <f t="shared" si="45"/>
        <v>1</v>
      </c>
      <c r="Q125" s="4">
        <f t="shared" si="45"/>
        <v>1</v>
      </c>
      <c r="R125" s="4">
        <f t="shared" si="45"/>
        <v>1</v>
      </c>
      <c r="S125" s="4">
        <f t="shared" si="45"/>
        <v>1</v>
      </c>
      <c r="U125" s="3">
        <f t="shared" si="37"/>
        <v>0</v>
      </c>
      <c r="V125" s="1" t="str">
        <f t="shared" si="35"/>
        <v/>
      </c>
    </row>
    <row r="126" spans="1:22" ht="14.45" x14ac:dyDescent="0.3">
      <c r="A126" s="2">
        <v>123</v>
      </c>
      <c r="B126" s="2">
        <v>3</v>
      </c>
      <c r="C126" s="7" t="s">
        <v>897</v>
      </c>
      <c r="D126" s="2" t="s">
        <v>73</v>
      </c>
      <c r="E126" s="2">
        <v>1</v>
      </c>
      <c r="G126" s="1" t="str">
        <f>IF(D126="","",VLOOKUP(D126,Table1[#All],2,FALSE))</f>
        <v xml:space="preserve">Aluminum plate (T6061).25 thick, 4" x 16" </v>
      </c>
      <c r="H126" s="2">
        <f t="shared" si="43"/>
        <v>0</v>
      </c>
      <c r="I126" s="44">
        <f>IF(D126&lt;&gt;"",(VLOOKUP(D126,part_details,4,FALSE)+VLOOKUP(D126,part_details,5,FALSE)+VLOOKUP(D126,part_details,6,FALSE))*'Multi-level BOM'!E126,"")</f>
        <v>15.0146</v>
      </c>
      <c r="J126" s="4">
        <f t="shared" si="45"/>
        <v>1</v>
      </c>
      <c r="K126" s="4">
        <f t="shared" si="45"/>
        <v>1</v>
      </c>
      <c r="L126" s="4">
        <f t="shared" si="45"/>
        <v>0</v>
      </c>
      <c r="M126" s="4">
        <f t="shared" si="45"/>
        <v>1</v>
      </c>
      <c r="N126" s="4">
        <f t="shared" si="45"/>
        <v>1</v>
      </c>
      <c r="O126" s="4">
        <f t="shared" si="45"/>
        <v>1</v>
      </c>
      <c r="P126" s="4">
        <f t="shared" si="45"/>
        <v>1</v>
      </c>
      <c r="Q126" s="4">
        <f t="shared" si="45"/>
        <v>1</v>
      </c>
      <c r="R126" s="4">
        <f t="shared" si="45"/>
        <v>1</v>
      </c>
      <c r="S126" s="4">
        <f t="shared" si="45"/>
        <v>1</v>
      </c>
      <c r="U126" s="3">
        <f t="shared" si="37"/>
        <v>0</v>
      </c>
      <c r="V126" s="1" t="str">
        <f t="shared" si="35"/>
        <v/>
      </c>
    </row>
    <row r="127" spans="1:22" ht="14.45" x14ac:dyDescent="0.3">
      <c r="A127" s="2">
        <v>124</v>
      </c>
      <c r="B127" s="2">
        <v>3</v>
      </c>
      <c r="C127" s="7" t="s">
        <v>886</v>
      </c>
      <c r="D127" s="2" t="s">
        <v>72</v>
      </c>
      <c r="E127" s="2">
        <v>2</v>
      </c>
      <c r="G127" s="1" t="str">
        <f>IF(D127="","",VLOOKUP(D127,Table1[#All],2,FALSE))</f>
        <v>M4 x 20mm Metric Hex Socket Countersunk Head Screw</v>
      </c>
      <c r="H127" s="2">
        <f t="shared" si="43"/>
        <v>0</v>
      </c>
      <c r="I127" s="44">
        <f>IF(D127&lt;&gt;"",(VLOOKUP(D127,part_details,4,FALSE)+VLOOKUP(D127,part_details,5,FALSE)+VLOOKUP(D127,part_details,6,FALSE))*'Multi-level BOM'!E127,"")</f>
        <v>0.26116400000000001</v>
      </c>
      <c r="J127" s="4">
        <f t="shared" si="45"/>
        <v>1</v>
      </c>
      <c r="K127" s="4">
        <f t="shared" si="45"/>
        <v>1</v>
      </c>
      <c r="L127" s="4">
        <f t="shared" si="45"/>
        <v>0</v>
      </c>
      <c r="M127" s="4">
        <f t="shared" si="45"/>
        <v>2</v>
      </c>
      <c r="N127" s="4">
        <f t="shared" si="45"/>
        <v>1</v>
      </c>
      <c r="O127" s="4">
        <f t="shared" si="45"/>
        <v>1</v>
      </c>
      <c r="P127" s="4">
        <f t="shared" si="45"/>
        <v>1</v>
      </c>
      <c r="Q127" s="4">
        <f t="shared" si="45"/>
        <v>1</v>
      </c>
      <c r="R127" s="4">
        <f t="shared" si="45"/>
        <v>1</v>
      </c>
      <c r="S127" s="4">
        <f t="shared" si="45"/>
        <v>1</v>
      </c>
      <c r="U127" s="3">
        <f t="shared" si="37"/>
        <v>0</v>
      </c>
      <c r="V127" s="1" t="str">
        <f t="shared" si="35"/>
        <v/>
      </c>
    </row>
    <row r="128" spans="1:22" ht="14.45" x14ac:dyDescent="0.3">
      <c r="A128" s="2">
        <v>125</v>
      </c>
      <c r="B128" s="2">
        <v>3</v>
      </c>
      <c r="C128" s="7" t="s">
        <v>891</v>
      </c>
      <c r="D128" s="2" t="s">
        <v>32</v>
      </c>
      <c r="E128" s="2">
        <v>3</v>
      </c>
      <c r="G128" s="1" t="str">
        <f>IF(D128="","",VLOOKUP(D128,Table1[#All],2,FALSE))</f>
        <v>M5-0.8 x 16mm Button Head Socket Cap Screws</v>
      </c>
      <c r="H128" s="2">
        <f t="shared" si="43"/>
        <v>0</v>
      </c>
      <c r="I128" s="44">
        <f>IF(D128&lt;&gt;"",(VLOOKUP(D128,part_details,4,FALSE)+VLOOKUP(D128,part_details,5,FALSE)+VLOOKUP(D128,part_details,6,FALSE))*'Multi-level BOM'!E128,"")</f>
        <v>0.495345470497916</v>
      </c>
      <c r="J128" s="4">
        <f t="shared" ref="J128:S128" si="46">IF($B128="",J127,
    IF(J$3=$B128,$E128,
       IF(J$3&lt;$B128,J127,
           1
)))</f>
        <v>1</v>
      </c>
      <c r="K128" s="4">
        <f t="shared" si="46"/>
        <v>1</v>
      </c>
      <c r="L128" s="4">
        <f t="shared" si="46"/>
        <v>0</v>
      </c>
      <c r="M128" s="4">
        <f t="shared" si="46"/>
        <v>3</v>
      </c>
      <c r="N128" s="4">
        <f t="shared" si="46"/>
        <v>1</v>
      </c>
      <c r="O128" s="4">
        <f t="shared" si="46"/>
        <v>1</v>
      </c>
      <c r="P128" s="4">
        <f t="shared" si="46"/>
        <v>1</v>
      </c>
      <c r="Q128" s="4">
        <f t="shared" si="46"/>
        <v>1</v>
      </c>
      <c r="R128" s="4">
        <f t="shared" si="46"/>
        <v>1</v>
      </c>
      <c r="S128" s="4">
        <f t="shared" si="46"/>
        <v>1</v>
      </c>
      <c r="U128" s="3">
        <f t="shared" si="37"/>
        <v>0</v>
      </c>
      <c r="V128" s="1" t="str">
        <f t="shared" si="35"/>
        <v/>
      </c>
    </row>
    <row r="129" spans="1:22" ht="14.45" x14ac:dyDescent="0.3">
      <c r="A129" s="2">
        <v>126</v>
      </c>
      <c r="B129" s="2">
        <v>3</v>
      </c>
      <c r="C129" s="7" t="s">
        <v>892</v>
      </c>
      <c r="D129" s="2" t="s">
        <v>68</v>
      </c>
      <c r="E129" s="2">
        <v>3</v>
      </c>
      <c r="G129" s="1" t="str">
        <f>IF(D129="","",VLOOKUP(D129,Table1[#All],2,FALSE))</f>
        <v>M5x10mmx1mm Stainless Steel Metric Round Flat Washer</v>
      </c>
      <c r="H129" s="2">
        <f t="shared" si="43"/>
        <v>0</v>
      </c>
      <c r="I129" s="44">
        <f>IF(D129&lt;&gt;"",(VLOOKUP(D129,part_details,4,FALSE)+VLOOKUP(D129,part_details,5,FALSE)+VLOOKUP(D129,part_details,6,FALSE))*'Multi-level BOM'!E129,"")</f>
        <v>7.3063456898442625E-2</v>
      </c>
      <c r="J129" s="4">
        <f t="shared" ref="J129:S129" si="47">IF($B129="",J128,
    IF(J$3=$B129,$E129,
       IF(J$3&lt;$B129,J128,
           1
)))</f>
        <v>1</v>
      </c>
      <c r="K129" s="4">
        <f t="shared" si="47"/>
        <v>1</v>
      </c>
      <c r="L129" s="4">
        <f t="shared" si="47"/>
        <v>0</v>
      </c>
      <c r="M129" s="4">
        <f t="shared" si="47"/>
        <v>3</v>
      </c>
      <c r="N129" s="4">
        <f t="shared" si="47"/>
        <v>1</v>
      </c>
      <c r="O129" s="4">
        <f t="shared" si="47"/>
        <v>1</v>
      </c>
      <c r="P129" s="4">
        <f t="shared" si="47"/>
        <v>1</v>
      </c>
      <c r="Q129" s="4">
        <f t="shared" si="47"/>
        <v>1</v>
      </c>
      <c r="R129" s="4">
        <f t="shared" si="47"/>
        <v>1</v>
      </c>
      <c r="S129" s="4">
        <f t="shared" si="47"/>
        <v>1</v>
      </c>
      <c r="U129" s="3">
        <f t="shared" si="37"/>
        <v>0</v>
      </c>
      <c r="V129" s="1" t="str">
        <f t="shared" si="35"/>
        <v/>
      </c>
    </row>
    <row r="130" spans="1:22" ht="14.45" x14ac:dyDescent="0.3">
      <c r="A130" s="2">
        <v>127</v>
      </c>
      <c r="B130" s="2">
        <v>3</v>
      </c>
      <c r="C130" s="7" t="s">
        <v>893</v>
      </c>
      <c r="D130" s="2" t="s">
        <v>33</v>
      </c>
      <c r="E130" s="2">
        <v>3</v>
      </c>
      <c r="G130" s="1" t="str">
        <f>IF(D130="","",VLOOKUP(D130,Table1[#All],2,FALSE))</f>
        <v>Sliding T Slot Nuts 4040 Series M5 26 Pack T Nuts Carbon Steel</v>
      </c>
      <c r="H130" s="2">
        <f t="shared" si="43"/>
        <v>0</v>
      </c>
      <c r="I130" s="44">
        <f>IF(D130&lt;&gt;"",(VLOOKUP(D130,part_details,4,FALSE)+VLOOKUP(D130,part_details,5,FALSE)+VLOOKUP(D130,part_details,6,FALSE))*'Multi-level BOM'!E130,"")</f>
        <v>1.0174730769230771</v>
      </c>
      <c r="J130" s="4">
        <f t="shared" ref="J130:S130" si="48">IF($B130="",J129,
    IF(J$3=$B130,$E130,
       IF(J$3&lt;$B130,J129,
           1
)))</f>
        <v>1</v>
      </c>
      <c r="K130" s="4">
        <f t="shared" si="48"/>
        <v>1</v>
      </c>
      <c r="L130" s="4">
        <f t="shared" si="48"/>
        <v>0</v>
      </c>
      <c r="M130" s="4">
        <f t="shared" si="48"/>
        <v>3</v>
      </c>
      <c r="N130" s="4">
        <f t="shared" si="48"/>
        <v>1</v>
      </c>
      <c r="O130" s="4">
        <f t="shared" si="48"/>
        <v>1</v>
      </c>
      <c r="P130" s="4">
        <f t="shared" si="48"/>
        <v>1</v>
      </c>
      <c r="Q130" s="4">
        <f t="shared" si="48"/>
        <v>1</v>
      </c>
      <c r="R130" s="4">
        <f t="shared" si="48"/>
        <v>1</v>
      </c>
      <c r="S130" s="4">
        <f t="shared" si="48"/>
        <v>1</v>
      </c>
      <c r="U130" s="3">
        <f t="shared" si="37"/>
        <v>0</v>
      </c>
      <c r="V130" s="1" t="str">
        <f t="shared" si="35"/>
        <v/>
      </c>
    </row>
    <row r="131" spans="1:22" x14ac:dyDescent="0.25">
      <c r="A131" s="2">
        <v>128</v>
      </c>
      <c r="C131" s="7"/>
      <c r="G131" s="1" t="str">
        <f>IF(D131="","",VLOOKUP(D131,Table1[#All],2,FALSE))</f>
        <v/>
      </c>
      <c r="I131" s="44" t="str">
        <f>IF(D131&lt;&gt;"",VLOOKUP(D131,part_details,4,FALSE)*'Multi-level BOM'!E131,"")</f>
        <v/>
      </c>
      <c r="J131" s="4">
        <f t="shared" ref="J131:S131" si="49">IF($B131="",J130,
    IF(J$3=$B131,$E131,
       IF(J$3&lt;$B131,J130,
           1
)))</f>
        <v>1</v>
      </c>
      <c r="K131" s="4">
        <f t="shared" si="49"/>
        <v>1</v>
      </c>
      <c r="L131" s="4">
        <f t="shared" si="49"/>
        <v>0</v>
      </c>
      <c r="M131" s="4">
        <f t="shared" si="49"/>
        <v>3</v>
      </c>
      <c r="N131" s="4">
        <f t="shared" si="49"/>
        <v>1</v>
      </c>
      <c r="O131" s="4">
        <f t="shared" si="49"/>
        <v>1</v>
      </c>
      <c r="P131" s="4">
        <f t="shared" si="49"/>
        <v>1</v>
      </c>
      <c r="Q131" s="4">
        <f t="shared" si="49"/>
        <v>1</v>
      </c>
      <c r="R131" s="4">
        <f t="shared" si="49"/>
        <v>1</v>
      </c>
      <c r="S131" s="4">
        <f t="shared" si="49"/>
        <v>1</v>
      </c>
      <c r="U131" s="3">
        <f t="shared" si="37"/>
        <v>0</v>
      </c>
      <c r="V131" s="1" t="str">
        <f t="shared" si="35"/>
        <v/>
      </c>
    </row>
    <row r="132" spans="1:22" ht="15.75" x14ac:dyDescent="0.25">
      <c r="A132" s="2">
        <v>129</v>
      </c>
      <c r="B132" s="2">
        <v>1</v>
      </c>
      <c r="C132" s="7" t="s">
        <v>970</v>
      </c>
      <c r="D132" s="2" t="s">
        <v>21</v>
      </c>
      <c r="E132" s="2">
        <v>6</v>
      </c>
      <c r="G132" s="1" t="str">
        <f>IF(D132="","",VLOOKUP(D132,Table1[#All],2,FALSE))</f>
        <v>M8 x 1.25 socket cap screw, 30mm long</v>
      </c>
      <c r="H132" s="2">
        <f>PRODUCT(J132:S132)</f>
        <v>6</v>
      </c>
      <c r="I132" s="47">
        <f>IF(D132&lt;&gt;"",(VLOOKUP(D132,part_details,4,FALSE)+VLOOKUP(D132,part_details,5,FALSE)+VLOOKUP(D132,part_details,6,FALSE))*'Multi-level BOM'!E132,"")</f>
        <v>1.981381881991664</v>
      </c>
      <c r="J132" s="4">
        <f t="shared" ref="J132:S132" si="50">IF($B132="",J131,
    IF(J$3=$B132,$E132,
       IF(J$3&lt;$B132,J131,
           1
)))</f>
        <v>1</v>
      </c>
      <c r="K132" s="4">
        <f t="shared" si="50"/>
        <v>6</v>
      </c>
      <c r="L132" s="4">
        <f t="shared" si="50"/>
        <v>1</v>
      </c>
      <c r="M132" s="4">
        <f t="shared" si="50"/>
        <v>1</v>
      </c>
      <c r="N132" s="4">
        <f t="shared" si="50"/>
        <v>1</v>
      </c>
      <c r="O132" s="4">
        <f t="shared" si="50"/>
        <v>1</v>
      </c>
      <c r="P132" s="4">
        <f t="shared" si="50"/>
        <v>1</v>
      </c>
      <c r="Q132" s="4">
        <f t="shared" si="50"/>
        <v>1</v>
      </c>
      <c r="R132" s="4">
        <f t="shared" si="50"/>
        <v>1</v>
      </c>
      <c r="S132" s="4">
        <f t="shared" si="50"/>
        <v>1</v>
      </c>
      <c r="U132" s="3">
        <f t="shared" si="37"/>
        <v>0</v>
      </c>
      <c r="V132" s="1" t="str">
        <f t="shared" si="35"/>
        <v/>
      </c>
    </row>
    <row r="133" spans="1:22" ht="15.75" x14ac:dyDescent="0.25">
      <c r="A133" s="2">
        <v>130</v>
      </c>
      <c r="B133" s="2">
        <v>1</v>
      </c>
      <c r="C133" s="7" t="s">
        <v>972</v>
      </c>
      <c r="D133" s="2" t="s">
        <v>77</v>
      </c>
      <c r="E133" s="2">
        <v>6</v>
      </c>
      <c r="G133" s="1" t="str">
        <f>IF(D133="","",VLOOKUP(D133,Table1[#All],2,FALSE))</f>
        <v>M8  flat washers, Stainless steel 18-8</v>
      </c>
      <c r="H133" s="2">
        <f>PRODUCT(J133:S133)</f>
        <v>6</v>
      </c>
      <c r="I133" s="47">
        <f>IF(D133&lt;&gt;"",VLOOKUP(D133,part_details,4,FALSE)*'Multi-level BOM'!E133,"")</f>
        <v>0.48</v>
      </c>
      <c r="J133" s="4">
        <f t="shared" ref="J133:S133" si="51">IF($B133="",J131,
    IF(J$3=$B133,$E133,
       IF(J$3&lt;$B133,J131,
           1
)))</f>
        <v>1</v>
      </c>
      <c r="K133" s="4">
        <f t="shared" si="51"/>
        <v>6</v>
      </c>
      <c r="L133" s="4">
        <f t="shared" si="51"/>
        <v>1</v>
      </c>
      <c r="M133" s="4">
        <f t="shared" si="51"/>
        <v>1</v>
      </c>
      <c r="N133" s="4">
        <f t="shared" si="51"/>
        <v>1</v>
      </c>
      <c r="O133" s="4">
        <f t="shared" si="51"/>
        <v>1</v>
      </c>
      <c r="P133" s="4">
        <f t="shared" si="51"/>
        <v>1</v>
      </c>
      <c r="Q133" s="4">
        <f t="shared" si="51"/>
        <v>1</v>
      </c>
      <c r="R133" s="4">
        <f t="shared" si="51"/>
        <v>1</v>
      </c>
      <c r="S133" s="4">
        <f t="shared" si="51"/>
        <v>1</v>
      </c>
      <c r="U133" s="3">
        <f t="shared" si="37"/>
        <v>0</v>
      </c>
      <c r="V133" s="1" t="str">
        <f>IF(F133="x",D133,"")</f>
        <v/>
      </c>
    </row>
    <row r="134" spans="1:22" x14ac:dyDescent="0.25">
      <c r="A134" s="2">
        <v>131</v>
      </c>
      <c r="C134" s="7"/>
      <c r="I134" s="44" t="str">
        <f>IF(D134&lt;&gt;"",VLOOKUP(D134,part_details,4,FALSE)*'Multi-level BOM'!E134,"")</f>
        <v/>
      </c>
      <c r="J134" s="4">
        <f t="shared" ref="J134:S134" si="52">IF($B134="",J132,
    IF(J$3=$B134,$E134,
       IF(J$3&lt;$B134,J132,
           1
)))</f>
        <v>1</v>
      </c>
      <c r="K134" s="4">
        <f t="shared" si="52"/>
        <v>6</v>
      </c>
      <c r="L134" s="4">
        <f t="shared" si="52"/>
        <v>1</v>
      </c>
      <c r="M134" s="4">
        <f t="shared" si="52"/>
        <v>1</v>
      </c>
      <c r="N134" s="4">
        <f t="shared" si="52"/>
        <v>1</v>
      </c>
      <c r="O134" s="4">
        <f t="shared" si="52"/>
        <v>1</v>
      </c>
      <c r="P134" s="4">
        <f t="shared" si="52"/>
        <v>1</v>
      </c>
      <c r="Q134" s="4">
        <f t="shared" si="52"/>
        <v>1</v>
      </c>
      <c r="R134" s="4">
        <f t="shared" si="52"/>
        <v>1</v>
      </c>
      <c r="S134" s="4">
        <f t="shared" si="52"/>
        <v>1</v>
      </c>
      <c r="U134" s="3">
        <f t="shared" si="37"/>
        <v>0</v>
      </c>
      <c r="V134" s="1" t="str">
        <f t="shared" ref="V134:V197" si="53">IF(F134="x",D134,"")</f>
        <v/>
      </c>
    </row>
    <row r="135" spans="1:22" x14ac:dyDescent="0.25">
      <c r="A135" s="2">
        <v>132</v>
      </c>
      <c r="C135" s="7"/>
      <c r="G135" s="1" t="str">
        <f>IF(D135="","",VLOOKUP(D135,Table1[#All],2,FALSE))</f>
        <v/>
      </c>
      <c r="I135" s="44" t="str">
        <f>IF(D135&lt;&gt;"",VLOOKUP(D135,part_details,4,FALSE)*'Multi-level BOM'!E135,"")</f>
        <v/>
      </c>
      <c r="J135" s="4">
        <f t="shared" ref="J135:S135" si="54">IF($B135="",J134,
    IF(J$3=$B135,$E135,
       IF(J$3&lt;$B135,J134,
           1
)))</f>
        <v>1</v>
      </c>
      <c r="K135" s="4">
        <f t="shared" si="54"/>
        <v>6</v>
      </c>
      <c r="L135" s="4">
        <f t="shared" si="54"/>
        <v>1</v>
      </c>
      <c r="M135" s="4">
        <f t="shared" si="54"/>
        <v>1</v>
      </c>
      <c r="N135" s="4">
        <f t="shared" si="54"/>
        <v>1</v>
      </c>
      <c r="O135" s="4">
        <f t="shared" si="54"/>
        <v>1</v>
      </c>
      <c r="P135" s="4">
        <f t="shared" si="54"/>
        <v>1</v>
      </c>
      <c r="Q135" s="4">
        <f t="shared" si="54"/>
        <v>1</v>
      </c>
      <c r="R135" s="4">
        <f t="shared" si="54"/>
        <v>1</v>
      </c>
      <c r="S135" s="4">
        <f t="shared" si="54"/>
        <v>1</v>
      </c>
      <c r="U135" s="3">
        <f t="shared" si="37"/>
        <v>0</v>
      </c>
      <c r="V135" s="1" t="str">
        <f t="shared" si="53"/>
        <v/>
      </c>
    </row>
    <row r="136" spans="1:22" ht="15.75" x14ac:dyDescent="0.25">
      <c r="A136" s="2">
        <v>133</v>
      </c>
      <c r="B136" s="2">
        <v>1</v>
      </c>
      <c r="C136" s="7" t="s">
        <v>700</v>
      </c>
      <c r="E136" s="2">
        <v>1</v>
      </c>
      <c r="G136" s="1" t="str">
        <f>IF(D136="","",VLOOKUP(D136,Table1[#All],2,FALSE))</f>
        <v/>
      </c>
      <c r="H136" s="2">
        <f t="shared" ref="H136:H141" si="55">PRODUCT(J136:S136)</f>
        <v>1</v>
      </c>
      <c r="I136" s="47">
        <f>H136*SUM(I137,I159,I179)</f>
        <v>319.69457785917456</v>
      </c>
      <c r="J136" s="4">
        <f t="shared" ref="J136:S149" si="56">IF($B136="",J135,
    IF(J$3=$B136,$E136,
       IF(J$3&lt;$B136,J135,
           1
)))</f>
        <v>1</v>
      </c>
      <c r="K136" s="4">
        <f t="shared" si="56"/>
        <v>1</v>
      </c>
      <c r="L136" s="4">
        <f t="shared" si="56"/>
        <v>1</v>
      </c>
      <c r="M136" s="4">
        <f t="shared" si="56"/>
        <v>1</v>
      </c>
      <c r="N136" s="4">
        <f t="shared" si="56"/>
        <v>1</v>
      </c>
      <c r="O136" s="4">
        <f t="shared" si="56"/>
        <v>1</v>
      </c>
      <c r="P136" s="4">
        <f t="shared" si="56"/>
        <v>1</v>
      </c>
      <c r="Q136" s="4">
        <f t="shared" si="56"/>
        <v>1</v>
      </c>
      <c r="R136" s="4">
        <f t="shared" si="56"/>
        <v>1</v>
      </c>
      <c r="S136" s="4">
        <f t="shared" si="56"/>
        <v>1</v>
      </c>
      <c r="U136" s="3">
        <f t="shared" si="37"/>
        <v>0</v>
      </c>
      <c r="V136" s="1" t="str">
        <f t="shared" si="53"/>
        <v/>
      </c>
    </row>
    <row r="137" spans="1:22" x14ac:dyDescent="0.25">
      <c r="A137" s="2">
        <v>134</v>
      </c>
      <c r="B137" s="2">
        <v>2</v>
      </c>
      <c r="C137" s="7" t="s">
        <v>713</v>
      </c>
      <c r="E137" s="2">
        <v>1</v>
      </c>
      <c r="G137" s="1" t="str">
        <f>IF(D137="","",VLOOKUP(D137,Table1[#All],2,FALSE))</f>
        <v/>
      </c>
      <c r="H137" s="2">
        <f t="shared" si="55"/>
        <v>1</v>
      </c>
      <c r="I137" s="45">
        <f>H137*SUM(I138:I156)</f>
        <v>111.17168330533573</v>
      </c>
      <c r="J137" s="4">
        <f t="shared" si="56"/>
        <v>1</v>
      </c>
      <c r="K137" s="4">
        <f t="shared" si="56"/>
        <v>1</v>
      </c>
      <c r="L137" s="4">
        <f t="shared" si="56"/>
        <v>1</v>
      </c>
      <c r="M137" s="4">
        <f t="shared" si="56"/>
        <v>1</v>
      </c>
      <c r="N137" s="4">
        <f t="shared" si="56"/>
        <v>1</v>
      </c>
      <c r="O137" s="4">
        <f t="shared" si="56"/>
        <v>1</v>
      </c>
      <c r="P137" s="4">
        <f t="shared" si="56"/>
        <v>1</v>
      </c>
      <c r="Q137" s="4">
        <f t="shared" si="56"/>
        <v>1</v>
      </c>
      <c r="R137" s="4">
        <f t="shared" si="56"/>
        <v>1</v>
      </c>
      <c r="S137" s="4">
        <f t="shared" si="56"/>
        <v>1</v>
      </c>
      <c r="U137" s="3">
        <f t="shared" si="37"/>
        <v>0</v>
      </c>
      <c r="V137" s="1" t="str">
        <f t="shared" si="53"/>
        <v/>
      </c>
    </row>
    <row r="138" spans="1:22" x14ac:dyDescent="0.25">
      <c r="A138" s="2">
        <v>135</v>
      </c>
      <c r="B138" s="2">
        <v>3</v>
      </c>
      <c r="C138" s="8" t="s">
        <v>701</v>
      </c>
      <c r="D138" s="2" t="s">
        <v>17</v>
      </c>
      <c r="E138" s="2">
        <v>1</v>
      </c>
      <c r="F138" s="2" t="s">
        <v>916</v>
      </c>
      <c r="G138" s="1" t="str">
        <f>IF(D138="","",VLOOKUP(D138,Table1[#All],2,FALSE))</f>
        <v xml:space="preserve">
Machifit 500mm Length MGN15 Linear Rail Guide with MGN15H Linear Rail Block</v>
      </c>
      <c r="H138" s="2">
        <f t="shared" si="55"/>
        <v>1</v>
      </c>
      <c r="I138" s="44">
        <f>IF(D138&lt;&gt;"",(VLOOKUP(D138,part_details,4,FALSE)+VLOOKUP(D138,part_details,5,FALSE)+VLOOKUP(D138,part_details,6,FALSE))*'Multi-level BOM'!E138,"")</f>
        <v>30.000960737003719</v>
      </c>
      <c r="J138" s="4">
        <f t="shared" si="56"/>
        <v>1</v>
      </c>
      <c r="K138" s="4">
        <f t="shared" si="56"/>
        <v>1</v>
      </c>
      <c r="L138" s="4">
        <f t="shared" si="56"/>
        <v>1</v>
      </c>
      <c r="M138" s="4">
        <f t="shared" si="56"/>
        <v>1</v>
      </c>
      <c r="N138" s="4">
        <f t="shared" si="56"/>
        <v>1</v>
      </c>
      <c r="O138" s="4">
        <f t="shared" si="56"/>
        <v>1</v>
      </c>
      <c r="P138" s="4">
        <f t="shared" si="56"/>
        <v>1</v>
      </c>
      <c r="Q138" s="4">
        <f t="shared" si="56"/>
        <v>1</v>
      </c>
      <c r="R138" s="4">
        <f t="shared" si="56"/>
        <v>1</v>
      </c>
      <c r="S138" s="4">
        <f t="shared" si="56"/>
        <v>1</v>
      </c>
      <c r="U138" s="3">
        <f t="shared" si="37"/>
        <v>30.000960737003719</v>
      </c>
      <c r="V138" s="1" t="str">
        <f t="shared" si="53"/>
        <v>A-0011</v>
      </c>
    </row>
    <row r="139" spans="1:22" x14ac:dyDescent="0.25">
      <c r="A139" s="2">
        <v>136</v>
      </c>
      <c r="B139" s="2">
        <v>3</v>
      </c>
      <c r="C139" s="8" t="s">
        <v>686</v>
      </c>
      <c r="D139" s="2" t="s">
        <v>18</v>
      </c>
      <c r="E139" s="2">
        <v>13</v>
      </c>
      <c r="G139" s="1" t="str">
        <f>IF(D139="","",VLOOKUP(D139,Table1[#All],2,FALSE))</f>
        <v>M3-0.5x30mm Socket Head Cap Bolts Screws, 304 Stainless Steel 18-8, Allen Socket Drive, Fully Machine Thread, Bright Finish</v>
      </c>
      <c r="H139" s="2">
        <f t="shared" si="55"/>
        <v>13</v>
      </c>
      <c r="I139" s="44">
        <f>IF(D139&lt;&gt;"",(VLOOKUP(D139,part_details,4,FALSE)+VLOOKUP(D139,part_details,5,FALSE)+VLOOKUP(D139,part_details,6,FALSE))*'Multi-level BOM'!E139,"")</f>
        <v>1.6367039921035307</v>
      </c>
      <c r="J139" s="4">
        <f t="shared" si="56"/>
        <v>1</v>
      </c>
      <c r="K139" s="4">
        <f t="shared" si="56"/>
        <v>1</v>
      </c>
      <c r="L139" s="4">
        <f t="shared" si="56"/>
        <v>1</v>
      </c>
      <c r="M139" s="4">
        <f t="shared" si="56"/>
        <v>13</v>
      </c>
      <c r="N139" s="4">
        <f t="shared" si="56"/>
        <v>1</v>
      </c>
      <c r="O139" s="4">
        <f t="shared" si="56"/>
        <v>1</v>
      </c>
      <c r="P139" s="4">
        <f t="shared" si="56"/>
        <v>1</v>
      </c>
      <c r="Q139" s="4">
        <f t="shared" si="56"/>
        <v>1</v>
      </c>
      <c r="R139" s="4">
        <f t="shared" si="56"/>
        <v>1</v>
      </c>
      <c r="S139" s="4">
        <f t="shared" si="56"/>
        <v>1</v>
      </c>
      <c r="U139" s="3">
        <f t="shared" si="37"/>
        <v>0</v>
      </c>
      <c r="V139" s="1" t="str">
        <f t="shared" si="53"/>
        <v/>
      </c>
    </row>
    <row r="140" spans="1:22" x14ac:dyDescent="0.25">
      <c r="A140" s="2">
        <v>137</v>
      </c>
      <c r="B140" s="2">
        <v>3</v>
      </c>
      <c r="C140" s="8" t="s">
        <v>1056</v>
      </c>
      <c r="D140" s="2" t="s">
        <v>24</v>
      </c>
      <c r="E140" s="2">
        <v>13</v>
      </c>
      <c r="G140" s="1" t="str">
        <f>IF(D140="","",VLOOKUP(D140,Table1[#All],2,FALSE))</f>
        <v>M3 Thread T-Nut for 40 Series European Aluminium Profile Hammer Head</v>
      </c>
      <c r="H140" s="2">
        <f t="shared" si="55"/>
        <v>13</v>
      </c>
      <c r="I140" s="44">
        <f>IF(D140&lt;&gt;"",(VLOOKUP(D140,part_details,4,FALSE)+VLOOKUP(D140,part_details,5,FALSE)+VLOOKUP(D140,part_details,6,FALSE))*'Multi-level BOM'!E140,"")</f>
        <v>3.2109220000000001</v>
      </c>
      <c r="J140" s="4">
        <f t="shared" si="56"/>
        <v>1</v>
      </c>
      <c r="K140" s="4">
        <f t="shared" si="56"/>
        <v>1</v>
      </c>
      <c r="L140" s="4">
        <f t="shared" si="56"/>
        <v>1</v>
      </c>
      <c r="M140" s="4">
        <f t="shared" si="56"/>
        <v>13</v>
      </c>
      <c r="N140" s="4">
        <f t="shared" si="56"/>
        <v>1</v>
      </c>
      <c r="O140" s="4">
        <f t="shared" si="56"/>
        <v>1</v>
      </c>
      <c r="P140" s="4">
        <f t="shared" si="56"/>
        <v>1</v>
      </c>
      <c r="Q140" s="4">
        <f t="shared" si="56"/>
        <v>1</v>
      </c>
      <c r="R140" s="4">
        <f t="shared" si="56"/>
        <v>1</v>
      </c>
      <c r="S140" s="4">
        <f t="shared" si="56"/>
        <v>1</v>
      </c>
      <c r="U140" s="3">
        <f t="shared" si="37"/>
        <v>0</v>
      </c>
      <c r="V140" s="1" t="str">
        <f t="shared" si="53"/>
        <v/>
      </c>
    </row>
    <row r="141" spans="1:22" x14ac:dyDescent="0.25">
      <c r="A141" s="2">
        <v>138</v>
      </c>
      <c r="B141" s="2">
        <v>3</v>
      </c>
      <c r="C141" s="8" t="s">
        <v>703</v>
      </c>
      <c r="D141" s="2" t="s">
        <v>25</v>
      </c>
      <c r="E141" s="2">
        <v>1</v>
      </c>
      <c r="G141" s="1" t="str">
        <f>IF(D141="","",VLOOKUP(D141,Table1[#All],2,FALSE))</f>
        <v>0.9deg Nema 17 Stepper Motor Bipolar 2A 46Ncm/65oz.in 42x42x48mm 4-Wires DIY CNC</v>
      </c>
      <c r="H141" s="2">
        <f t="shared" si="55"/>
        <v>1</v>
      </c>
      <c r="I141" s="44">
        <f>IF(D141&lt;&gt;"",(VLOOKUP(D141,part_details,4,FALSE)+VLOOKUP(D141,part_details,5,FALSE)+VLOOKUP(D141,part_details,6,FALSE))*'Multi-level BOM'!E141,"")</f>
        <v>23.434999999999999</v>
      </c>
      <c r="J141" s="4">
        <f t="shared" si="56"/>
        <v>1</v>
      </c>
      <c r="K141" s="4">
        <f t="shared" si="56"/>
        <v>1</v>
      </c>
      <c r="L141" s="4">
        <f t="shared" si="56"/>
        <v>1</v>
      </c>
      <c r="M141" s="4">
        <f t="shared" si="56"/>
        <v>1</v>
      </c>
      <c r="N141" s="4">
        <f t="shared" si="56"/>
        <v>1</v>
      </c>
      <c r="O141" s="4">
        <f t="shared" si="56"/>
        <v>1</v>
      </c>
      <c r="P141" s="4">
        <f t="shared" si="56"/>
        <v>1</v>
      </c>
      <c r="Q141" s="4">
        <f t="shared" si="56"/>
        <v>1</v>
      </c>
      <c r="R141" s="4">
        <f t="shared" si="56"/>
        <v>1</v>
      </c>
      <c r="S141" s="4">
        <f t="shared" si="56"/>
        <v>1</v>
      </c>
      <c r="U141" s="3">
        <f t="shared" si="37"/>
        <v>0</v>
      </c>
      <c r="V141" s="1" t="str">
        <f t="shared" si="53"/>
        <v/>
      </c>
    </row>
    <row r="142" spans="1:22" x14ac:dyDescent="0.25">
      <c r="A142" s="2">
        <v>139</v>
      </c>
      <c r="B142" s="2">
        <v>3</v>
      </c>
      <c r="C142" s="8" t="s">
        <v>864</v>
      </c>
      <c r="D142" s="2" t="s">
        <v>67</v>
      </c>
      <c r="E142" s="2">
        <v>4</v>
      </c>
      <c r="G142" s="1" t="str">
        <f>IF(D142="","",VLOOKUP(D142,Table1[#All],2,FALSE))</f>
        <v xml:space="preserve">M4 x 10mm Alloy Steel Hex Bolt Socket Head Cap Screws </v>
      </c>
      <c r="H142" s="2">
        <f t="shared" ref="H142:H150" si="57">PRODUCT(J142:S142)</f>
        <v>4</v>
      </c>
      <c r="I142" s="44">
        <f>IF(D142&lt;&gt;"",(VLOOKUP(D142,part_details,4,FALSE)+VLOOKUP(D142,part_details,5,FALSE)+VLOOKUP(D142,part_details,6,FALSE))*'Multi-level BOM'!E142,"")</f>
        <v>0.5503838561087957</v>
      </c>
      <c r="J142" s="4">
        <f t="shared" si="56"/>
        <v>1</v>
      </c>
      <c r="K142" s="4">
        <f t="shared" si="56"/>
        <v>1</v>
      </c>
      <c r="L142" s="4">
        <f t="shared" si="56"/>
        <v>1</v>
      </c>
      <c r="M142" s="4">
        <f t="shared" si="56"/>
        <v>4</v>
      </c>
      <c r="N142" s="4">
        <f t="shared" si="56"/>
        <v>1</v>
      </c>
      <c r="O142" s="4">
        <f t="shared" si="56"/>
        <v>1</v>
      </c>
      <c r="P142" s="4">
        <f t="shared" si="56"/>
        <v>1</v>
      </c>
      <c r="Q142" s="4">
        <f t="shared" si="56"/>
        <v>1</v>
      </c>
      <c r="R142" s="4">
        <f t="shared" si="56"/>
        <v>1</v>
      </c>
      <c r="S142" s="4">
        <f t="shared" si="56"/>
        <v>1</v>
      </c>
      <c r="U142" s="3">
        <f t="shared" si="37"/>
        <v>0</v>
      </c>
      <c r="V142" s="1" t="str">
        <f t="shared" si="53"/>
        <v/>
      </c>
    </row>
    <row r="143" spans="1:22" x14ac:dyDescent="0.25">
      <c r="A143" s="2">
        <v>140</v>
      </c>
      <c r="B143" s="2">
        <v>3</v>
      </c>
      <c r="C143" s="8" t="s">
        <v>770</v>
      </c>
      <c r="D143" s="2" t="s">
        <v>47</v>
      </c>
      <c r="E143" s="2">
        <v>4</v>
      </c>
      <c r="G143" s="1" t="str">
        <f>IF(D143="","",VLOOKUP(D143,Table1[#All],2,FALSE))</f>
        <v xml:space="preserve">M4x12mmx1 mm Stainless Steel Round Flat Washer </v>
      </c>
      <c r="H143" s="2">
        <f t="shared" si="57"/>
        <v>4</v>
      </c>
      <c r="I143" s="44">
        <f>IF(D143&lt;&gt;"",(VLOOKUP(D143,part_details,4,FALSE)+VLOOKUP(D143,part_details,5,FALSE)+VLOOKUP(D143,part_details,6,FALSE))*'Multi-level BOM'!E143,"")</f>
        <v>6.8797982013599462E-2</v>
      </c>
      <c r="J143" s="4">
        <f t="shared" si="56"/>
        <v>1</v>
      </c>
      <c r="K143" s="4">
        <f t="shared" si="56"/>
        <v>1</v>
      </c>
      <c r="L143" s="4">
        <f t="shared" si="56"/>
        <v>1</v>
      </c>
      <c r="M143" s="4">
        <f t="shared" si="56"/>
        <v>4</v>
      </c>
      <c r="N143" s="4">
        <f t="shared" si="56"/>
        <v>1</v>
      </c>
      <c r="O143" s="4">
        <f t="shared" si="56"/>
        <v>1</v>
      </c>
      <c r="P143" s="4">
        <f t="shared" si="56"/>
        <v>1</v>
      </c>
      <c r="Q143" s="4">
        <f t="shared" si="56"/>
        <v>1</v>
      </c>
      <c r="R143" s="4">
        <f t="shared" si="56"/>
        <v>1</v>
      </c>
      <c r="S143" s="4">
        <f t="shared" si="56"/>
        <v>1</v>
      </c>
      <c r="U143" s="3">
        <f t="shared" ref="U143:U206" si="58">IF(F143="x",I143,0)</f>
        <v>0</v>
      </c>
      <c r="V143" s="1" t="str">
        <f t="shared" si="53"/>
        <v/>
      </c>
    </row>
    <row r="144" spans="1:22" x14ac:dyDescent="0.25">
      <c r="A144" s="2">
        <v>141</v>
      </c>
      <c r="B144" s="2">
        <v>3</v>
      </c>
      <c r="C144" s="8" t="s">
        <v>861</v>
      </c>
      <c r="D144" s="2" t="s">
        <v>26</v>
      </c>
      <c r="E144" s="2">
        <v>1</v>
      </c>
      <c r="G144" s="1" t="str">
        <f>IF(D144="","",VLOOKUP(D144,Table1[#All],2,FALSE))</f>
        <v>8mm T8x2 Lead Screw Trapezoidal ACME w/ Small Delrin Anti-Backlash Nut kit</v>
      </c>
      <c r="H144" s="2">
        <f t="shared" si="57"/>
        <v>1</v>
      </c>
      <c r="I144" s="44">
        <f>IF(D144&lt;&gt;"",(VLOOKUP(D144,part_details,4,FALSE)+VLOOKUP(D144,part_details,5,FALSE)+VLOOKUP(D144,part_details,6,FALSE))*'Multi-level BOM'!E144,"")</f>
        <v>21.837250000000001</v>
      </c>
      <c r="J144" s="4">
        <f t="shared" si="56"/>
        <v>1</v>
      </c>
      <c r="K144" s="4">
        <f t="shared" si="56"/>
        <v>1</v>
      </c>
      <c r="L144" s="4">
        <f t="shared" si="56"/>
        <v>1</v>
      </c>
      <c r="M144" s="4">
        <f t="shared" si="56"/>
        <v>1</v>
      </c>
      <c r="N144" s="4">
        <f t="shared" si="56"/>
        <v>1</v>
      </c>
      <c r="O144" s="4">
        <f t="shared" si="56"/>
        <v>1</v>
      </c>
      <c r="P144" s="4">
        <f t="shared" si="56"/>
        <v>1</v>
      </c>
      <c r="Q144" s="4">
        <f t="shared" si="56"/>
        <v>1</v>
      </c>
      <c r="R144" s="4">
        <f t="shared" si="56"/>
        <v>1</v>
      </c>
      <c r="S144" s="4">
        <f t="shared" si="56"/>
        <v>1</v>
      </c>
      <c r="U144" s="3">
        <f t="shared" si="58"/>
        <v>0</v>
      </c>
      <c r="V144" s="1" t="str">
        <f t="shared" si="53"/>
        <v/>
      </c>
    </row>
    <row r="145" spans="1:22" x14ac:dyDescent="0.25">
      <c r="A145" s="2">
        <v>142</v>
      </c>
      <c r="B145" s="2">
        <v>3</v>
      </c>
      <c r="C145" s="8" t="s">
        <v>862</v>
      </c>
      <c r="D145" s="2" t="s">
        <v>66</v>
      </c>
      <c r="E145" s="2">
        <v>1</v>
      </c>
      <c r="G145" s="1" t="str">
        <f>IF(D145="","",VLOOKUP(D145,Table1[#All],2,FALSE))</f>
        <v>Flexible Couplings 5mm to 8mm NEMA 17 Shaft Coupler</v>
      </c>
      <c r="H145" s="2">
        <f t="shared" si="57"/>
        <v>1</v>
      </c>
      <c r="I145" s="44">
        <f>IF(D145&lt;&gt;"",(VLOOKUP(D145,part_details,4,FALSE)+VLOOKUP(D145,part_details,5,FALSE)+VLOOKUP(D145,part_details,6,FALSE))*'Multi-level BOM'!E145,"")</f>
        <v>5.088916666666667</v>
      </c>
      <c r="J145" s="4">
        <f t="shared" si="56"/>
        <v>1</v>
      </c>
      <c r="K145" s="4">
        <f t="shared" si="56"/>
        <v>1</v>
      </c>
      <c r="L145" s="4">
        <f t="shared" si="56"/>
        <v>1</v>
      </c>
      <c r="M145" s="4">
        <f t="shared" si="56"/>
        <v>1</v>
      </c>
      <c r="N145" s="4">
        <f t="shared" si="56"/>
        <v>1</v>
      </c>
      <c r="O145" s="4">
        <f t="shared" si="56"/>
        <v>1</v>
      </c>
      <c r="P145" s="4">
        <f t="shared" si="56"/>
        <v>1</v>
      </c>
      <c r="Q145" s="4">
        <f t="shared" si="56"/>
        <v>1</v>
      </c>
      <c r="R145" s="4">
        <f t="shared" si="56"/>
        <v>1</v>
      </c>
      <c r="S145" s="4">
        <f t="shared" si="56"/>
        <v>1</v>
      </c>
      <c r="U145" s="3">
        <f t="shared" si="58"/>
        <v>0</v>
      </c>
      <c r="V145" s="1" t="str">
        <f t="shared" si="53"/>
        <v/>
      </c>
    </row>
    <row r="146" spans="1:22" x14ac:dyDescent="0.25">
      <c r="A146" s="2">
        <v>143</v>
      </c>
      <c r="B146" s="2">
        <v>3</v>
      </c>
      <c r="C146" s="8" t="s">
        <v>905</v>
      </c>
      <c r="D146" s="2" t="s">
        <v>51</v>
      </c>
      <c r="E146" s="2">
        <v>1</v>
      </c>
      <c r="G146" s="1" t="str">
        <f>IF(D146="","",VLOOKUP(D146,Table1[#All],2,FALSE))</f>
        <v>Aluminum angle 2.5" x 2.5" x .25" x 100mm</v>
      </c>
      <c r="H146" s="2">
        <f t="shared" si="57"/>
        <v>1</v>
      </c>
      <c r="I146" s="44">
        <f>IF(D146&lt;&gt;"",(VLOOKUP(D146,part_details,4,FALSE)+VLOOKUP(D146,part_details,5,FALSE)+VLOOKUP(D146,part_details,6,FALSE))*'Multi-level BOM'!E146,"")</f>
        <v>5.4508333333333328</v>
      </c>
      <c r="J146" s="4">
        <f t="shared" si="56"/>
        <v>1</v>
      </c>
      <c r="K146" s="4">
        <f t="shared" si="56"/>
        <v>1</v>
      </c>
      <c r="L146" s="4">
        <f t="shared" si="56"/>
        <v>1</v>
      </c>
      <c r="M146" s="4">
        <f t="shared" si="56"/>
        <v>1</v>
      </c>
      <c r="N146" s="4">
        <f t="shared" si="56"/>
        <v>1</v>
      </c>
      <c r="O146" s="4">
        <f t="shared" si="56"/>
        <v>1</v>
      </c>
      <c r="P146" s="4">
        <f t="shared" si="56"/>
        <v>1</v>
      </c>
      <c r="Q146" s="4">
        <f t="shared" si="56"/>
        <v>1</v>
      </c>
      <c r="R146" s="4">
        <f t="shared" si="56"/>
        <v>1</v>
      </c>
      <c r="S146" s="4">
        <f t="shared" si="56"/>
        <v>1</v>
      </c>
      <c r="U146" s="3">
        <f t="shared" si="58"/>
        <v>0</v>
      </c>
      <c r="V146" s="1" t="str">
        <f t="shared" si="53"/>
        <v/>
      </c>
    </row>
    <row r="147" spans="1:22" x14ac:dyDescent="0.25">
      <c r="A147" s="2">
        <v>144</v>
      </c>
      <c r="B147" s="2">
        <v>3</v>
      </c>
      <c r="C147" s="8" t="s">
        <v>866</v>
      </c>
      <c r="D147" s="2" t="s">
        <v>32</v>
      </c>
      <c r="E147" s="2">
        <v>3</v>
      </c>
      <c r="G147" s="1" t="str">
        <f>IF(D147="","",VLOOKUP(D147,Table1[#All],2,FALSE))</f>
        <v>M5-0.8 x 16mm Button Head Socket Cap Screws</v>
      </c>
      <c r="H147" s="2">
        <f t="shared" si="57"/>
        <v>3</v>
      </c>
      <c r="I147" s="44">
        <f>IF(D147&lt;&gt;"",(VLOOKUP(D147,part_details,4,FALSE)+VLOOKUP(D147,part_details,5,FALSE)+VLOOKUP(D147,part_details,6,FALSE))*'Multi-level BOM'!E147,"")</f>
        <v>0.495345470497916</v>
      </c>
      <c r="J147" s="4">
        <f t="shared" si="56"/>
        <v>1</v>
      </c>
      <c r="K147" s="4">
        <f t="shared" si="56"/>
        <v>1</v>
      </c>
      <c r="L147" s="4">
        <f t="shared" si="56"/>
        <v>1</v>
      </c>
      <c r="M147" s="4">
        <f t="shared" si="56"/>
        <v>3</v>
      </c>
      <c r="N147" s="4">
        <f t="shared" si="56"/>
        <v>1</v>
      </c>
      <c r="O147" s="4">
        <f t="shared" si="56"/>
        <v>1</v>
      </c>
      <c r="P147" s="4">
        <f t="shared" si="56"/>
        <v>1</v>
      </c>
      <c r="Q147" s="4">
        <f t="shared" si="56"/>
        <v>1</v>
      </c>
      <c r="R147" s="4">
        <f t="shared" si="56"/>
        <v>1</v>
      </c>
      <c r="S147" s="4">
        <f t="shared" si="56"/>
        <v>1</v>
      </c>
      <c r="U147" s="3">
        <f t="shared" si="58"/>
        <v>0</v>
      </c>
      <c r="V147" s="1" t="str">
        <f t="shared" si="53"/>
        <v/>
      </c>
    </row>
    <row r="148" spans="1:22" x14ac:dyDescent="0.25">
      <c r="A148" s="2">
        <v>145</v>
      </c>
      <c r="B148" s="2">
        <v>3</v>
      </c>
      <c r="C148" s="8" t="s">
        <v>867</v>
      </c>
      <c r="D148" s="2" t="s">
        <v>68</v>
      </c>
      <c r="E148" s="2">
        <v>3</v>
      </c>
      <c r="G148" s="1" t="str">
        <f>IF(D148="","",VLOOKUP(D148,Table1[#All],2,FALSE))</f>
        <v>M5x10mmx1mm Stainless Steel Metric Round Flat Washer</v>
      </c>
      <c r="H148" s="2">
        <f t="shared" si="57"/>
        <v>3</v>
      </c>
      <c r="I148" s="44">
        <f>IF(D148&lt;&gt;"",(VLOOKUP(D148,part_details,4,FALSE)+VLOOKUP(D148,part_details,5,FALSE)+VLOOKUP(D148,part_details,6,FALSE))*'Multi-level BOM'!E148,"")</f>
        <v>7.3063456898442625E-2</v>
      </c>
      <c r="J148" s="4">
        <f t="shared" si="56"/>
        <v>1</v>
      </c>
      <c r="K148" s="4">
        <f t="shared" si="56"/>
        <v>1</v>
      </c>
      <c r="L148" s="4">
        <f t="shared" si="56"/>
        <v>1</v>
      </c>
      <c r="M148" s="4">
        <f t="shared" si="56"/>
        <v>3</v>
      </c>
      <c r="N148" s="4">
        <f t="shared" si="56"/>
        <v>1</v>
      </c>
      <c r="O148" s="4">
        <f t="shared" si="56"/>
        <v>1</v>
      </c>
      <c r="P148" s="4">
        <f t="shared" si="56"/>
        <v>1</v>
      </c>
      <c r="Q148" s="4">
        <f t="shared" si="56"/>
        <v>1</v>
      </c>
      <c r="R148" s="4">
        <f t="shared" si="56"/>
        <v>1</v>
      </c>
      <c r="S148" s="4">
        <f t="shared" si="56"/>
        <v>1</v>
      </c>
      <c r="U148" s="3">
        <f t="shared" si="58"/>
        <v>0</v>
      </c>
      <c r="V148" s="1" t="str">
        <f t="shared" si="53"/>
        <v/>
      </c>
    </row>
    <row r="149" spans="1:22" x14ac:dyDescent="0.25">
      <c r="A149" s="2">
        <v>146</v>
      </c>
      <c r="B149" s="2">
        <v>3</v>
      </c>
      <c r="C149" s="8" t="s">
        <v>710</v>
      </c>
      <c r="D149" s="2" t="s">
        <v>33</v>
      </c>
      <c r="E149" s="2">
        <v>3</v>
      </c>
      <c r="G149" s="1" t="str">
        <f>IF(D149="","",VLOOKUP(D149,Table1[#All],2,FALSE))</f>
        <v>Sliding T Slot Nuts 4040 Series M5 26 Pack T Nuts Carbon Steel</v>
      </c>
      <c r="H149" s="2">
        <f t="shared" si="57"/>
        <v>3</v>
      </c>
      <c r="I149" s="44">
        <f>IF(D149&lt;&gt;"",(VLOOKUP(D149,part_details,4,FALSE)+VLOOKUP(D149,part_details,5,FALSE)+VLOOKUP(D149,part_details,6,FALSE))*'Multi-level BOM'!E149,"")</f>
        <v>1.0174730769230771</v>
      </c>
      <c r="J149" s="4">
        <f t="shared" si="56"/>
        <v>1</v>
      </c>
      <c r="K149" s="4">
        <f t="shared" si="56"/>
        <v>1</v>
      </c>
      <c r="L149" s="4">
        <f t="shared" si="56"/>
        <v>1</v>
      </c>
      <c r="M149" s="4">
        <f t="shared" si="56"/>
        <v>3</v>
      </c>
      <c r="N149" s="4">
        <f t="shared" si="56"/>
        <v>1</v>
      </c>
      <c r="O149" s="4">
        <f t="shared" si="56"/>
        <v>1</v>
      </c>
      <c r="P149" s="4">
        <f t="shared" si="56"/>
        <v>1</v>
      </c>
      <c r="Q149" s="4">
        <f t="shared" si="56"/>
        <v>1</v>
      </c>
      <c r="R149" s="4">
        <f t="shared" si="56"/>
        <v>1</v>
      </c>
      <c r="S149" s="4">
        <f t="shared" si="56"/>
        <v>1</v>
      </c>
      <c r="U149" s="3">
        <f t="shared" si="58"/>
        <v>0</v>
      </c>
      <c r="V149" s="1" t="str">
        <f t="shared" si="53"/>
        <v/>
      </c>
    </row>
    <row r="150" spans="1:22" x14ac:dyDescent="0.25">
      <c r="A150" s="2">
        <v>147</v>
      </c>
      <c r="B150" s="2">
        <v>3</v>
      </c>
      <c r="C150" s="8" t="s">
        <v>863</v>
      </c>
      <c r="D150" s="2" t="s">
        <v>74</v>
      </c>
      <c r="E150" s="2">
        <v>1</v>
      </c>
      <c r="G150" s="1" t="str">
        <f>IF(D150="","",VLOOKUP(D150,Table1[#All],2,FALSE))</f>
        <v xml:space="preserve">Aluminum angle 2" x 1" x .125 thick, 12" long </v>
      </c>
      <c r="H150" s="2">
        <f t="shared" si="57"/>
        <v>1</v>
      </c>
      <c r="I150" s="44">
        <f>IF(D150&lt;&gt;"",(VLOOKUP(D150,part_details,4,FALSE)+VLOOKUP(D150,part_details,5,FALSE)+VLOOKUP(D150,part_details,6,FALSE))*'Multi-level BOM'!E150,"")</f>
        <v>0</v>
      </c>
      <c r="J150" s="4">
        <f t="shared" ref="J150:S154" si="59">IF($B150="",J149,
    IF(J$3=$B150,$E150,
       IF(J$3&lt;$B150,J149,
           1
)))</f>
        <v>1</v>
      </c>
      <c r="K150" s="4">
        <f t="shared" si="59"/>
        <v>1</v>
      </c>
      <c r="L150" s="4">
        <f t="shared" si="59"/>
        <v>1</v>
      </c>
      <c r="M150" s="4">
        <f t="shared" si="59"/>
        <v>1</v>
      </c>
      <c r="N150" s="4">
        <f t="shared" si="59"/>
        <v>1</v>
      </c>
      <c r="O150" s="4">
        <f t="shared" si="59"/>
        <v>1</v>
      </c>
      <c r="P150" s="4">
        <f t="shared" si="59"/>
        <v>1</v>
      </c>
      <c r="Q150" s="4">
        <f t="shared" si="59"/>
        <v>1</v>
      </c>
      <c r="R150" s="4">
        <f t="shared" si="59"/>
        <v>1</v>
      </c>
      <c r="S150" s="4">
        <f t="shared" si="59"/>
        <v>1</v>
      </c>
      <c r="U150" s="3">
        <f t="shared" si="58"/>
        <v>0</v>
      </c>
      <c r="V150" s="1" t="str">
        <f t="shared" si="53"/>
        <v/>
      </c>
    </row>
    <row r="151" spans="1:22" x14ac:dyDescent="0.25">
      <c r="A151" s="2">
        <v>148</v>
      </c>
      <c r="B151" s="2">
        <v>3</v>
      </c>
      <c r="C151" s="8" t="s">
        <v>874</v>
      </c>
      <c r="D151" s="2" t="s">
        <v>51</v>
      </c>
      <c r="E151" s="2">
        <v>1</v>
      </c>
      <c r="G151" s="1" t="str">
        <f>IF(D151="","",VLOOKUP(D151,Table1[#All],2,FALSE))</f>
        <v>Aluminum angle 2.5" x 2.5" x .25" x 100mm</v>
      </c>
      <c r="H151" s="2">
        <f t="shared" ref="H151:H156" si="60">PRODUCT(J151:S151)</f>
        <v>1</v>
      </c>
      <c r="I151" s="44">
        <f>IF(D151&lt;&gt;"",(VLOOKUP(D151,part_details,4,FALSE)+VLOOKUP(D151,part_details,5,FALSE)+VLOOKUP(D151,part_details,6,FALSE))*'Multi-level BOM'!E151,"")</f>
        <v>5.4508333333333328</v>
      </c>
      <c r="J151" s="4">
        <f t="shared" si="59"/>
        <v>1</v>
      </c>
      <c r="K151" s="4">
        <f t="shared" si="59"/>
        <v>1</v>
      </c>
      <c r="L151" s="4">
        <f t="shared" si="59"/>
        <v>1</v>
      </c>
      <c r="M151" s="4">
        <f t="shared" si="59"/>
        <v>1</v>
      </c>
      <c r="N151" s="4">
        <f t="shared" si="59"/>
        <v>1</v>
      </c>
      <c r="O151" s="4">
        <f t="shared" si="59"/>
        <v>1</v>
      </c>
      <c r="P151" s="4">
        <f t="shared" si="59"/>
        <v>1</v>
      </c>
      <c r="Q151" s="4">
        <f t="shared" si="59"/>
        <v>1</v>
      </c>
      <c r="R151" s="4">
        <f t="shared" si="59"/>
        <v>1</v>
      </c>
      <c r="S151" s="4">
        <f t="shared" si="59"/>
        <v>1</v>
      </c>
      <c r="U151" s="3">
        <f t="shared" si="58"/>
        <v>0</v>
      </c>
      <c r="V151" s="1" t="str">
        <f t="shared" si="53"/>
        <v/>
      </c>
    </row>
    <row r="152" spans="1:22" x14ac:dyDescent="0.25">
      <c r="A152" s="2">
        <v>149</v>
      </c>
      <c r="B152" s="2">
        <v>3</v>
      </c>
      <c r="C152" s="8" t="s">
        <v>873</v>
      </c>
      <c r="D152" s="2" t="s">
        <v>51</v>
      </c>
      <c r="E152" s="2">
        <v>1</v>
      </c>
      <c r="G152" s="1" t="str">
        <f>IF(D152="","",VLOOKUP(D152,Table1[#All],2,FALSE))</f>
        <v>Aluminum angle 2.5" x 2.5" x .25" x 100mm</v>
      </c>
      <c r="H152" s="2">
        <f t="shared" si="60"/>
        <v>1</v>
      </c>
      <c r="I152" s="44">
        <f>IF(D152&lt;&gt;"",(VLOOKUP(D152,part_details,4,FALSE)+VLOOKUP(D152,part_details,5,FALSE)+VLOOKUP(D152,part_details,6,FALSE))*'Multi-level BOM'!E152,"")</f>
        <v>5.4508333333333328</v>
      </c>
      <c r="J152" s="4">
        <f t="shared" si="59"/>
        <v>1</v>
      </c>
      <c r="K152" s="4">
        <f t="shared" si="59"/>
        <v>1</v>
      </c>
      <c r="L152" s="4">
        <f t="shared" si="59"/>
        <v>1</v>
      </c>
      <c r="M152" s="4">
        <f t="shared" si="59"/>
        <v>1</v>
      </c>
      <c r="N152" s="4">
        <f t="shared" si="59"/>
        <v>1</v>
      </c>
      <c r="O152" s="4">
        <f t="shared" si="59"/>
        <v>1</v>
      </c>
      <c r="P152" s="4">
        <f t="shared" si="59"/>
        <v>1</v>
      </c>
      <c r="Q152" s="4">
        <f t="shared" si="59"/>
        <v>1</v>
      </c>
      <c r="R152" s="4">
        <f t="shared" si="59"/>
        <v>1</v>
      </c>
      <c r="S152" s="4">
        <f t="shared" si="59"/>
        <v>1</v>
      </c>
      <c r="U152" s="3">
        <f t="shared" si="58"/>
        <v>0</v>
      </c>
      <c r="V152" s="1" t="str">
        <f t="shared" si="53"/>
        <v/>
      </c>
    </row>
    <row r="153" spans="1:22" x14ac:dyDescent="0.25">
      <c r="A153" s="2">
        <v>150</v>
      </c>
      <c r="B153" s="2">
        <v>3</v>
      </c>
      <c r="C153" s="8" t="s">
        <v>765</v>
      </c>
      <c r="D153" s="2" t="s">
        <v>42</v>
      </c>
      <c r="E153" s="2">
        <v>1</v>
      </c>
      <c r="G153" s="1" t="str">
        <f>IF(D153="","",VLOOKUP(D153,Table1[#All],2,FALSE))</f>
        <v>DIN 319 Ball Knob, .63" diameter, M4 threaded hole</v>
      </c>
      <c r="H153" s="2">
        <f t="shared" si="60"/>
        <v>1</v>
      </c>
      <c r="I153" s="44">
        <f>IF(D153&lt;&gt;"",(VLOOKUP(D153,part_details,4,FALSE)+VLOOKUP(D153,part_details,5,FALSE)+VLOOKUP(D153,part_details,6,FALSE))*'Multi-level BOM'!E153,"")</f>
        <v>7.2021000000000006</v>
      </c>
      <c r="J153" s="4">
        <f t="shared" si="59"/>
        <v>1</v>
      </c>
      <c r="K153" s="4">
        <f t="shared" si="59"/>
        <v>1</v>
      </c>
      <c r="L153" s="4">
        <f t="shared" si="59"/>
        <v>1</v>
      </c>
      <c r="M153" s="4">
        <f t="shared" si="59"/>
        <v>1</v>
      </c>
      <c r="N153" s="4">
        <f t="shared" si="59"/>
        <v>1</v>
      </c>
      <c r="O153" s="4">
        <f t="shared" si="59"/>
        <v>1</v>
      </c>
      <c r="P153" s="4">
        <f t="shared" si="59"/>
        <v>1</v>
      </c>
      <c r="Q153" s="4">
        <f t="shared" si="59"/>
        <v>1</v>
      </c>
      <c r="R153" s="4">
        <f t="shared" si="59"/>
        <v>1</v>
      </c>
      <c r="S153" s="4">
        <f t="shared" si="59"/>
        <v>1</v>
      </c>
      <c r="U153" s="3">
        <f t="shared" si="58"/>
        <v>0</v>
      </c>
      <c r="V153" s="1" t="str">
        <f t="shared" si="53"/>
        <v/>
      </c>
    </row>
    <row r="154" spans="1:22" x14ac:dyDescent="0.25">
      <c r="A154" s="2">
        <v>151</v>
      </c>
      <c r="B154" s="2">
        <v>3</v>
      </c>
      <c r="C154" s="30" t="s">
        <v>799</v>
      </c>
      <c r="E154" s="2">
        <v>1</v>
      </c>
      <c r="G154" s="1" t="str">
        <f>IF(D154="","",VLOOKUP(D154,Table1[#All],2,FALSE))</f>
        <v/>
      </c>
      <c r="H154" s="2">
        <f t="shared" si="60"/>
        <v>1</v>
      </c>
      <c r="I154" s="44" t="str">
        <f>IF(D154&lt;&gt;"",(VLOOKUP(D154,part_details,4,FALSE)+VLOOKUP(D154,part_details,5,FALSE)+VLOOKUP(D154,part_details,6,FALSE))*'Multi-level BOM'!E154,"")</f>
        <v/>
      </c>
      <c r="J154" s="4">
        <f t="shared" si="59"/>
        <v>1</v>
      </c>
      <c r="K154" s="4">
        <f t="shared" si="59"/>
        <v>1</v>
      </c>
      <c r="L154" s="4">
        <f t="shared" si="59"/>
        <v>1</v>
      </c>
      <c r="M154" s="4">
        <f t="shared" si="59"/>
        <v>1</v>
      </c>
      <c r="N154" s="4">
        <f t="shared" si="59"/>
        <v>1</v>
      </c>
      <c r="O154" s="4">
        <f t="shared" si="59"/>
        <v>1</v>
      </c>
      <c r="P154" s="4">
        <f t="shared" si="59"/>
        <v>1</v>
      </c>
      <c r="Q154" s="4">
        <f t="shared" si="59"/>
        <v>1</v>
      </c>
      <c r="R154" s="4">
        <f t="shared" si="59"/>
        <v>1</v>
      </c>
      <c r="S154" s="4">
        <f t="shared" si="59"/>
        <v>1</v>
      </c>
      <c r="U154" s="3">
        <f t="shared" si="58"/>
        <v>0</v>
      </c>
      <c r="V154" s="1" t="str">
        <f t="shared" si="53"/>
        <v/>
      </c>
    </row>
    <row r="155" spans="1:22" x14ac:dyDescent="0.25">
      <c r="A155" s="2">
        <v>152</v>
      </c>
      <c r="B155" s="2">
        <v>3</v>
      </c>
      <c r="C155" s="30" t="s">
        <v>800</v>
      </c>
      <c r="D155" s="2" t="s">
        <v>46</v>
      </c>
      <c r="E155" s="2">
        <v>2</v>
      </c>
      <c r="G155" s="1" t="str">
        <f>IF(D155="","",VLOOKUP(D155,Table1[#All],2,FALSE))</f>
        <v>M4 x 0.7mm 304 Stainless Steel Nylon Lock Nuts</v>
      </c>
      <c r="H155" s="2">
        <f t="shared" si="60"/>
        <v>2</v>
      </c>
      <c r="I155" s="44">
        <f>IF(D155&lt;&gt;"",(VLOOKUP(D155,part_details,4,FALSE)+VLOOKUP(D155,part_details,5,FALSE)+VLOOKUP(D155,part_details,6,FALSE))*'Multi-level BOM'!E155,"")</f>
        <v>9.9069094099583213E-2</v>
      </c>
      <c r="J155" s="4">
        <f t="shared" ref="J155:S155" si="61">IF($B155="",J154,
    IF(J$3=$B155,$E155,
       IF(J$3&lt;$B155,J154,
           1
)))</f>
        <v>1</v>
      </c>
      <c r="K155" s="4">
        <f t="shared" si="61"/>
        <v>1</v>
      </c>
      <c r="L155" s="4">
        <f t="shared" si="61"/>
        <v>1</v>
      </c>
      <c r="M155" s="4">
        <f t="shared" si="61"/>
        <v>2</v>
      </c>
      <c r="N155" s="4">
        <f t="shared" si="61"/>
        <v>1</v>
      </c>
      <c r="O155" s="4">
        <f t="shared" si="61"/>
        <v>1</v>
      </c>
      <c r="P155" s="4">
        <f t="shared" si="61"/>
        <v>1</v>
      </c>
      <c r="Q155" s="4">
        <f t="shared" si="61"/>
        <v>1</v>
      </c>
      <c r="R155" s="4">
        <f t="shared" si="61"/>
        <v>1</v>
      </c>
      <c r="S155" s="4">
        <f t="shared" si="61"/>
        <v>1</v>
      </c>
      <c r="U155" s="3">
        <f t="shared" si="58"/>
        <v>0</v>
      </c>
      <c r="V155" s="1" t="str">
        <f t="shared" si="53"/>
        <v/>
      </c>
    </row>
    <row r="156" spans="1:22" x14ac:dyDescent="0.25">
      <c r="A156" s="2">
        <v>153</v>
      </c>
      <c r="B156" s="2">
        <v>3</v>
      </c>
      <c r="C156" s="30" t="s">
        <v>770</v>
      </c>
      <c r="D156" s="2" t="s">
        <v>47</v>
      </c>
      <c r="E156" s="2">
        <v>6</v>
      </c>
      <c r="G156" s="1" t="str">
        <f>IF(D156="","",VLOOKUP(D156,Table1[#All],2,FALSE))</f>
        <v xml:space="preserve">M4x12mmx1 mm Stainless Steel Round Flat Washer </v>
      </c>
      <c r="H156" s="2">
        <f t="shared" si="60"/>
        <v>6</v>
      </c>
      <c r="I156" s="44">
        <f>IF(D156&lt;&gt;"",(VLOOKUP(D156,part_details,4,FALSE)+VLOOKUP(D156,part_details,5,FALSE)+VLOOKUP(D156,part_details,6,FALSE))*'Multi-level BOM'!E156,"")</f>
        <v>0.10319697302039919</v>
      </c>
      <c r="J156" s="4">
        <f t="shared" ref="J156:S156" si="62">IF($B156="",J155,
    IF(J$3=$B156,$E156,
       IF(J$3&lt;$B156,J155,
           1
)))</f>
        <v>1</v>
      </c>
      <c r="K156" s="4">
        <f t="shared" si="62"/>
        <v>1</v>
      </c>
      <c r="L156" s="4">
        <f t="shared" si="62"/>
        <v>1</v>
      </c>
      <c r="M156" s="4">
        <f t="shared" si="62"/>
        <v>6</v>
      </c>
      <c r="N156" s="4">
        <f t="shared" si="62"/>
        <v>1</v>
      </c>
      <c r="O156" s="4">
        <f t="shared" si="62"/>
        <v>1</v>
      </c>
      <c r="P156" s="4">
        <f t="shared" si="62"/>
        <v>1</v>
      </c>
      <c r="Q156" s="4">
        <f t="shared" si="62"/>
        <v>1</v>
      </c>
      <c r="R156" s="4">
        <f t="shared" si="62"/>
        <v>1</v>
      </c>
      <c r="S156" s="4">
        <f t="shared" si="62"/>
        <v>1</v>
      </c>
      <c r="U156" s="3">
        <f t="shared" si="58"/>
        <v>0</v>
      </c>
      <c r="V156" s="1" t="str">
        <f t="shared" si="53"/>
        <v/>
      </c>
    </row>
    <row r="157" spans="1:22" x14ac:dyDescent="0.25">
      <c r="A157" s="2">
        <v>154</v>
      </c>
      <c r="C157" s="8"/>
      <c r="G157" s="1" t="str">
        <f>IF(D157="","",VLOOKUP(D157,Table1[#All],2,FALSE))</f>
        <v/>
      </c>
      <c r="I157" s="44" t="str">
        <f>IF(D157&lt;&gt;"",VLOOKUP(D157,part_details,4,FALSE)*'Multi-level BOM'!E157,"")</f>
        <v/>
      </c>
      <c r="J157" s="4">
        <f t="shared" ref="J157:S157" si="63">IF($B157="",J156,
    IF(J$3=$B157,$E157,
       IF(J$3&lt;$B157,J156,
           1
)))</f>
        <v>1</v>
      </c>
      <c r="K157" s="4">
        <f t="shared" si="63"/>
        <v>1</v>
      </c>
      <c r="L157" s="4">
        <f t="shared" si="63"/>
        <v>1</v>
      </c>
      <c r="M157" s="4">
        <f t="shared" si="63"/>
        <v>6</v>
      </c>
      <c r="N157" s="4">
        <f t="shared" si="63"/>
        <v>1</v>
      </c>
      <c r="O157" s="4">
        <f t="shared" si="63"/>
        <v>1</v>
      </c>
      <c r="P157" s="4">
        <f t="shared" si="63"/>
        <v>1</v>
      </c>
      <c r="Q157" s="4">
        <f t="shared" si="63"/>
        <v>1</v>
      </c>
      <c r="R157" s="4">
        <f t="shared" si="63"/>
        <v>1</v>
      </c>
      <c r="S157" s="4">
        <f t="shared" si="63"/>
        <v>1</v>
      </c>
      <c r="U157" s="3">
        <f t="shared" si="58"/>
        <v>0</v>
      </c>
      <c r="V157" s="1" t="str">
        <f t="shared" si="53"/>
        <v/>
      </c>
    </row>
    <row r="158" spans="1:22" x14ac:dyDescent="0.25">
      <c r="A158" s="2">
        <v>155</v>
      </c>
      <c r="C158" s="8"/>
      <c r="I158" s="44" t="str">
        <f>IF(D158&lt;&gt;"",VLOOKUP(D158,part_details,4,FALSE)*'Multi-level BOM'!E158,"")</f>
        <v/>
      </c>
      <c r="J158" s="4">
        <f t="shared" ref="J158:S158" si="64">IF($B158="",J157,
    IF(J$3=$B158,$E158,
       IF(J$3&lt;$B158,J157,
           1
)))</f>
        <v>1</v>
      </c>
      <c r="K158" s="4">
        <f t="shared" si="64"/>
        <v>1</v>
      </c>
      <c r="L158" s="4">
        <f t="shared" si="64"/>
        <v>1</v>
      </c>
      <c r="M158" s="4">
        <f t="shared" si="64"/>
        <v>6</v>
      </c>
      <c r="N158" s="4">
        <f t="shared" si="64"/>
        <v>1</v>
      </c>
      <c r="O158" s="4">
        <f t="shared" si="64"/>
        <v>1</v>
      </c>
      <c r="P158" s="4">
        <f t="shared" si="64"/>
        <v>1</v>
      </c>
      <c r="Q158" s="4">
        <f t="shared" si="64"/>
        <v>1</v>
      </c>
      <c r="R158" s="4">
        <f t="shared" si="64"/>
        <v>1</v>
      </c>
      <c r="S158" s="4">
        <f t="shared" si="64"/>
        <v>1</v>
      </c>
      <c r="U158" s="3">
        <f t="shared" si="58"/>
        <v>0</v>
      </c>
      <c r="V158" s="1" t="str">
        <f t="shared" si="53"/>
        <v/>
      </c>
    </row>
    <row r="159" spans="1:22" x14ac:dyDescent="0.25">
      <c r="A159" s="2">
        <v>156</v>
      </c>
      <c r="B159" s="2">
        <v>2</v>
      </c>
      <c r="C159" s="7" t="s">
        <v>712</v>
      </c>
      <c r="E159" s="2">
        <v>1</v>
      </c>
      <c r="G159" s="1" t="str">
        <f>IF(D159="","",VLOOKUP(D159,Table1[#All],2,FALSE))</f>
        <v/>
      </c>
      <c r="H159" s="2">
        <f t="shared" ref="H159:H171" si="65">PRODUCT(J159:S159)</f>
        <v>1</v>
      </c>
      <c r="I159" s="45">
        <f>H159*SUM(I160:I177)</f>
        <v>104.34400485533573</v>
      </c>
      <c r="J159" s="4">
        <f t="shared" ref="J159:S160" si="66">IF($B159="",J158,
    IF(J$3=$B159,$E159,
       IF(J$3&lt;$B159,J158,
           1
)))</f>
        <v>1</v>
      </c>
      <c r="K159" s="4">
        <f t="shared" si="66"/>
        <v>1</v>
      </c>
      <c r="L159" s="4">
        <f t="shared" si="66"/>
        <v>1</v>
      </c>
      <c r="M159" s="4">
        <f t="shared" si="66"/>
        <v>1</v>
      </c>
      <c r="N159" s="4">
        <f t="shared" si="66"/>
        <v>1</v>
      </c>
      <c r="O159" s="4">
        <f t="shared" si="66"/>
        <v>1</v>
      </c>
      <c r="P159" s="4">
        <f t="shared" si="66"/>
        <v>1</v>
      </c>
      <c r="Q159" s="4">
        <f t="shared" si="66"/>
        <v>1</v>
      </c>
      <c r="R159" s="4">
        <f t="shared" si="66"/>
        <v>1</v>
      </c>
      <c r="S159" s="4">
        <f t="shared" si="66"/>
        <v>1</v>
      </c>
      <c r="U159" s="3">
        <f t="shared" si="58"/>
        <v>0</v>
      </c>
      <c r="V159" s="1" t="str">
        <f t="shared" si="53"/>
        <v/>
      </c>
    </row>
    <row r="160" spans="1:22" x14ac:dyDescent="0.25">
      <c r="A160" s="2">
        <v>157</v>
      </c>
      <c r="B160" s="2">
        <v>3</v>
      </c>
      <c r="C160" s="8" t="s">
        <v>701</v>
      </c>
      <c r="D160" s="2" t="s">
        <v>17</v>
      </c>
      <c r="E160" s="2">
        <v>1</v>
      </c>
      <c r="F160" s="2" t="s">
        <v>916</v>
      </c>
      <c r="G160" s="1" t="str">
        <f>IF(D160="","",VLOOKUP(D160,Table1[#All],2,FALSE))</f>
        <v xml:space="preserve">
Machifit 500mm Length MGN15 Linear Rail Guide with MGN15H Linear Rail Block</v>
      </c>
      <c r="H160" s="2">
        <f t="shared" si="65"/>
        <v>1</v>
      </c>
      <c r="I160" s="44">
        <f>IF(D160&lt;&gt;"",(VLOOKUP(D160,part_details,4,FALSE)+VLOOKUP(D160,part_details,5,FALSE)+VLOOKUP(D160,part_details,6,FALSE))*'Multi-level BOM'!E160,"")</f>
        <v>30.000960737003719</v>
      </c>
      <c r="J160" s="4">
        <f t="shared" si="66"/>
        <v>1</v>
      </c>
      <c r="K160" s="4">
        <f t="shared" si="66"/>
        <v>1</v>
      </c>
      <c r="L160" s="4">
        <f t="shared" si="66"/>
        <v>1</v>
      </c>
      <c r="M160" s="4">
        <f t="shared" si="66"/>
        <v>1</v>
      </c>
      <c r="N160" s="4">
        <f t="shared" si="66"/>
        <v>1</v>
      </c>
      <c r="O160" s="4">
        <f t="shared" si="66"/>
        <v>1</v>
      </c>
      <c r="P160" s="4">
        <f t="shared" si="66"/>
        <v>1</v>
      </c>
      <c r="Q160" s="4">
        <f t="shared" si="66"/>
        <v>1</v>
      </c>
      <c r="R160" s="4">
        <f t="shared" si="66"/>
        <v>1</v>
      </c>
      <c r="S160" s="4">
        <f t="shared" si="66"/>
        <v>1</v>
      </c>
      <c r="U160" s="3">
        <f t="shared" si="58"/>
        <v>30.000960737003719</v>
      </c>
      <c r="V160" s="1" t="str">
        <f t="shared" si="53"/>
        <v>A-0011</v>
      </c>
    </row>
    <row r="161" spans="1:22" x14ac:dyDescent="0.25">
      <c r="A161" s="2">
        <v>158</v>
      </c>
      <c r="B161" s="2">
        <v>3</v>
      </c>
      <c r="C161" s="8" t="s">
        <v>686</v>
      </c>
      <c r="D161" s="2" t="s">
        <v>18</v>
      </c>
      <c r="E161" s="2">
        <v>13</v>
      </c>
      <c r="G161" s="1" t="str">
        <f>IF(D161="","",VLOOKUP(D161,Table1[#All],2,FALSE))</f>
        <v>M3-0.5x30mm Socket Head Cap Bolts Screws, 304 Stainless Steel 18-8, Allen Socket Drive, Fully Machine Thread, Bright Finish</v>
      </c>
      <c r="H161" s="2">
        <f t="shared" si="65"/>
        <v>13</v>
      </c>
      <c r="I161" s="44">
        <f>IF(D161&lt;&gt;"",(VLOOKUP(D161,part_details,4,FALSE)+VLOOKUP(D161,part_details,5,FALSE)+VLOOKUP(D161,part_details,6,FALSE))*'Multi-level BOM'!E161,"")</f>
        <v>1.6367039921035307</v>
      </c>
      <c r="J161" s="4">
        <f t="shared" ref="J161:S161" si="67">IF($B161="",J160,
    IF(J$3=$B161,$E161,
       IF(J$3&lt;$B161,J160,
           1
)))</f>
        <v>1</v>
      </c>
      <c r="K161" s="4">
        <f t="shared" si="67"/>
        <v>1</v>
      </c>
      <c r="L161" s="4">
        <f t="shared" si="67"/>
        <v>1</v>
      </c>
      <c r="M161" s="4">
        <f t="shared" si="67"/>
        <v>13</v>
      </c>
      <c r="N161" s="4">
        <f t="shared" si="67"/>
        <v>1</v>
      </c>
      <c r="O161" s="4">
        <f t="shared" si="67"/>
        <v>1</v>
      </c>
      <c r="P161" s="4">
        <f t="shared" si="67"/>
        <v>1</v>
      </c>
      <c r="Q161" s="4">
        <f t="shared" si="67"/>
        <v>1</v>
      </c>
      <c r="R161" s="4">
        <f t="shared" si="67"/>
        <v>1</v>
      </c>
      <c r="S161" s="4">
        <f t="shared" si="67"/>
        <v>1</v>
      </c>
      <c r="U161" s="3">
        <f t="shared" si="58"/>
        <v>0</v>
      </c>
      <c r="V161" s="1" t="str">
        <f t="shared" si="53"/>
        <v/>
      </c>
    </row>
    <row r="162" spans="1:22" x14ac:dyDescent="0.25">
      <c r="A162" s="2">
        <v>159</v>
      </c>
      <c r="B162" s="2">
        <v>3</v>
      </c>
      <c r="C162" s="8" t="s">
        <v>1056</v>
      </c>
      <c r="D162" s="2" t="s">
        <v>24</v>
      </c>
      <c r="E162" s="2">
        <v>13</v>
      </c>
      <c r="G162" s="1" t="str">
        <f>IF(D162="","",VLOOKUP(D162,Table1[#All],2,FALSE))</f>
        <v>M3 Thread T-Nut for 40 Series European Aluminium Profile Hammer Head</v>
      </c>
      <c r="H162" s="2">
        <f t="shared" si="65"/>
        <v>13</v>
      </c>
      <c r="I162" s="44">
        <f>IF(D162&lt;&gt;"",(VLOOKUP(D162,part_details,4,FALSE)+VLOOKUP(D162,part_details,5,FALSE)+VLOOKUP(D162,part_details,6,FALSE))*'Multi-level BOM'!E162,"")</f>
        <v>3.2109220000000001</v>
      </c>
      <c r="J162" s="4">
        <f t="shared" ref="J162:S162" si="68">IF($B162="",J161,
    IF(J$3=$B162,$E162,
       IF(J$3&lt;$B162,J161,
           1
)))</f>
        <v>1</v>
      </c>
      <c r="K162" s="4">
        <f t="shared" si="68"/>
        <v>1</v>
      </c>
      <c r="L162" s="4">
        <f t="shared" si="68"/>
        <v>1</v>
      </c>
      <c r="M162" s="4">
        <f t="shared" si="68"/>
        <v>13</v>
      </c>
      <c r="N162" s="4">
        <f t="shared" si="68"/>
        <v>1</v>
      </c>
      <c r="O162" s="4">
        <f t="shared" si="68"/>
        <v>1</v>
      </c>
      <c r="P162" s="4">
        <f t="shared" si="68"/>
        <v>1</v>
      </c>
      <c r="Q162" s="4">
        <f t="shared" si="68"/>
        <v>1</v>
      </c>
      <c r="R162" s="4">
        <f t="shared" si="68"/>
        <v>1</v>
      </c>
      <c r="S162" s="4">
        <f t="shared" si="68"/>
        <v>1</v>
      </c>
      <c r="U162" s="3">
        <f t="shared" si="58"/>
        <v>0</v>
      </c>
      <c r="V162" s="1" t="str">
        <f t="shared" si="53"/>
        <v/>
      </c>
    </row>
    <row r="163" spans="1:22" x14ac:dyDescent="0.25">
      <c r="A163" s="2">
        <v>160</v>
      </c>
      <c r="B163" s="2">
        <v>3</v>
      </c>
      <c r="C163" s="8" t="s">
        <v>703</v>
      </c>
      <c r="D163" s="2" t="s">
        <v>25</v>
      </c>
      <c r="E163" s="2">
        <v>1</v>
      </c>
      <c r="G163" s="1" t="str">
        <f>IF(D163="","",VLOOKUP(D163,Table1[#All],2,FALSE))</f>
        <v>0.9deg Nema 17 Stepper Motor Bipolar 2A 46Ncm/65oz.in 42x42x48mm 4-Wires DIY CNC</v>
      </c>
      <c r="H163" s="2">
        <f t="shared" si="65"/>
        <v>1</v>
      </c>
      <c r="I163" s="44">
        <f>IF(D163&lt;&gt;"",(VLOOKUP(D163,part_details,4,FALSE)+VLOOKUP(D163,part_details,5,FALSE)+VLOOKUP(D163,part_details,6,FALSE))*'Multi-level BOM'!E163,"")</f>
        <v>23.434999999999999</v>
      </c>
      <c r="J163" s="4">
        <f t="shared" ref="J163:S163" si="69">IF($B163="",J162,
    IF(J$3=$B163,$E163,
       IF(J$3&lt;$B163,J162,
           1
)))</f>
        <v>1</v>
      </c>
      <c r="K163" s="4">
        <f t="shared" si="69"/>
        <v>1</v>
      </c>
      <c r="L163" s="4">
        <f t="shared" si="69"/>
        <v>1</v>
      </c>
      <c r="M163" s="4">
        <f t="shared" si="69"/>
        <v>1</v>
      </c>
      <c r="N163" s="4">
        <f t="shared" si="69"/>
        <v>1</v>
      </c>
      <c r="O163" s="4">
        <f t="shared" si="69"/>
        <v>1</v>
      </c>
      <c r="P163" s="4">
        <f t="shared" si="69"/>
        <v>1</v>
      </c>
      <c r="Q163" s="4">
        <f t="shared" si="69"/>
        <v>1</v>
      </c>
      <c r="R163" s="4">
        <f t="shared" si="69"/>
        <v>1</v>
      </c>
      <c r="S163" s="4">
        <f t="shared" si="69"/>
        <v>1</v>
      </c>
      <c r="U163" s="3">
        <f t="shared" si="58"/>
        <v>0</v>
      </c>
      <c r="V163" s="1" t="str">
        <f t="shared" si="53"/>
        <v/>
      </c>
    </row>
    <row r="164" spans="1:22" x14ac:dyDescent="0.25">
      <c r="A164" s="2">
        <v>161</v>
      </c>
      <c r="B164" s="2">
        <v>3</v>
      </c>
      <c r="C164" s="8" t="s">
        <v>864</v>
      </c>
      <c r="D164" s="2" t="s">
        <v>67</v>
      </c>
      <c r="E164" s="2">
        <v>4</v>
      </c>
      <c r="G164" s="1" t="str">
        <f>IF(D164="","",VLOOKUP(D164,Table1[#All],2,FALSE))</f>
        <v xml:space="preserve">M4 x 10mm Alloy Steel Hex Bolt Socket Head Cap Screws </v>
      </c>
      <c r="H164" s="2">
        <f t="shared" si="65"/>
        <v>4</v>
      </c>
      <c r="I164" s="44">
        <f>IF(D164&lt;&gt;"",(VLOOKUP(D164,part_details,4,FALSE)+VLOOKUP(D164,part_details,5,FALSE)+VLOOKUP(D164,part_details,6,FALSE))*'Multi-level BOM'!E164,"")</f>
        <v>0.5503838561087957</v>
      </c>
      <c r="J164" s="4">
        <f t="shared" ref="J164:S164" si="70">IF($B164="",J163,
    IF(J$3=$B164,$E164,
       IF(J$3&lt;$B164,J163,
           1
)))</f>
        <v>1</v>
      </c>
      <c r="K164" s="4">
        <f t="shared" si="70"/>
        <v>1</v>
      </c>
      <c r="L164" s="4">
        <f t="shared" si="70"/>
        <v>1</v>
      </c>
      <c r="M164" s="4">
        <f t="shared" si="70"/>
        <v>4</v>
      </c>
      <c r="N164" s="4">
        <f t="shared" si="70"/>
        <v>1</v>
      </c>
      <c r="O164" s="4">
        <f t="shared" si="70"/>
        <v>1</v>
      </c>
      <c r="P164" s="4">
        <f t="shared" si="70"/>
        <v>1</v>
      </c>
      <c r="Q164" s="4">
        <f t="shared" si="70"/>
        <v>1</v>
      </c>
      <c r="R164" s="4">
        <f t="shared" si="70"/>
        <v>1</v>
      </c>
      <c r="S164" s="4">
        <f t="shared" si="70"/>
        <v>1</v>
      </c>
      <c r="U164" s="3">
        <f t="shared" si="58"/>
        <v>0</v>
      </c>
      <c r="V164" s="1" t="str">
        <f t="shared" si="53"/>
        <v/>
      </c>
    </row>
    <row r="165" spans="1:22" x14ac:dyDescent="0.25">
      <c r="A165" s="2">
        <v>162</v>
      </c>
      <c r="B165" s="2">
        <v>3</v>
      </c>
      <c r="C165" s="8" t="s">
        <v>770</v>
      </c>
      <c r="D165" s="2" t="s">
        <v>47</v>
      </c>
      <c r="E165" s="2">
        <v>4</v>
      </c>
      <c r="G165" s="1" t="str">
        <f>IF(D165="","",VLOOKUP(D165,Table1[#All],2,FALSE))</f>
        <v xml:space="preserve">M4x12mmx1 mm Stainless Steel Round Flat Washer </v>
      </c>
      <c r="H165" s="2">
        <f t="shared" si="65"/>
        <v>4</v>
      </c>
      <c r="I165" s="44">
        <f>IF(D165&lt;&gt;"",(VLOOKUP(D165,part_details,4,FALSE)+VLOOKUP(D165,part_details,5,FALSE)+VLOOKUP(D165,part_details,6,FALSE))*'Multi-level BOM'!E165,"")</f>
        <v>6.8797982013599462E-2</v>
      </c>
      <c r="J165" s="4">
        <f t="shared" ref="J165:S165" si="71">IF($B165="",J164,
    IF(J$3=$B165,$E165,
       IF(J$3&lt;$B165,J164,
           1
)))</f>
        <v>1</v>
      </c>
      <c r="K165" s="4">
        <f t="shared" si="71"/>
        <v>1</v>
      </c>
      <c r="L165" s="4">
        <f t="shared" si="71"/>
        <v>1</v>
      </c>
      <c r="M165" s="4">
        <f t="shared" si="71"/>
        <v>4</v>
      </c>
      <c r="N165" s="4">
        <f t="shared" si="71"/>
        <v>1</v>
      </c>
      <c r="O165" s="4">
        <f t="shared" si="71"/>
        <v>1</v>
      </c>
      <c r="P165" s="4">
        <f t="shared" si="71"/>
        <v>1</v>
      </c>
      <c r="Q165" s="4">
        <f t="shared" si="71"/>
        <v>1</v>
      </c>
      <c r="R165" s="4">
        <f t="shared" si="71"/>
        <v>1</v>
      </c>
      <c r="S165" s="4">
        <f t="shared" si="71"/>
        <v>1</v>
      </c>
      <c r="U165" s="3">
        <f t="shared" si="58"/>
        <v>0</v>
      </c>
      <c r="V165" s="1" t="str">
        <f t="shared" si="53"/>
        <v/>
      </c>
    </row>
    <row r="166" spans="1:22" x14ac:dyDescent="0.25">
      <c r="A166" s="2">
        <v>163</v>
      </c>
      <c r="B166" s="2">
        <v>3</v>
      </c>
      <c r="C166" s="8" t="s">
        <v>861</v>
      </c>
      <c r="D166" s="2" t="s">
        <v>26</v>
      </c>
      <c r="E166" s="2">
        <v>1</v>
      </c>
      <c r="G166" s="1" t="str">
        <f>IF(D166="","",VLOOKUP(D166,Table1[#All],2,FALSE))</f>
        <v>8mm T8x2 Lead Screw Trapezoidal ACME w/ Small Delrin Anti-Backlash Nut kit</v>
      </c>
      <c r="H166" s="2">
        <f t="shared" si="65"/>
        <v>1</v>
      </c>
      <c r="I166" s="44">
        <f>IF(D166&lt;&gt;"",(VLOOKUP(D166,part_details,4,FALSE)+VLOOKUP(D166,part_details,5,FALSE)+VLOOKUP(D166,part_details,6,FALSE))*'Multi-level BOM'!E166,"")</f>
        <v>21.837250000000001</v>
      </c>
      <c r="J166" s="4">
        <f t="shared" ref="J166:S166" si="72">IF($B166="",J165,
    IF(J$3=$B166,$E166,
       IF(J$3&lt;$B166,J165,
           1
)))</f>
        <v>1</v>
      </c>
      <c r="K166" s="4">
        <f t="shared" si="72"/>
        <v>1</v>
      </c>
      <c r="L166" s="4">
        <f t="shared" si="72"/>
        <v>1</v>
      </c>
      <c r="M166" s="4">
        <f t="shared" si="72"/>
        <v>1</v>
      </c>
      <c r="N166" s="4">
        <f t="shared" si="72"/>
        <v>1</v>
      </c>
      <c r="O166" s="4">
        <f t="shared" si="72"/>
        <v>1</v>
      </c>
      <c r="P166" s="4">
        <f t="shared" si="72"/>
        <v>1</v>
      </c>
      <c r="Q166" s="4">
        <f t="shared" si="72"/>
        <v>1</v>
      </c>
      <c r="R166" s="4">
        <f t="shared" si="72"/>
        <v>1</v>
      </c>
      <c r="S166" s="4">
        <f t="shared" si="72"/>
        <v>1</v>
      </c>
      <c r="U166" s="3">
        <f t="shared" si="58"/>
        <v>0</v>
      </c>
      <c r="V166" s="1" t="str">
        <f t="shared" si="53"/>
        <v/>
      </c>
    </row>
    <row r="167" spans="1:22" x14ac:dyDescent="0.25">
      <c r="A167" s="2">
        <v>164</v>
      </c>
      <c r="B167" s="2">
        <v>3</v>
      </c>
      <c r="C167" s="8" t="s">
        <v>862</v>
      </c>
      <c r="D167" s="2" t="s">
        <v>66</v>
      </c>
      <c r="E167" s="2">
        <v>1</v>
      </c>
      <c r="G167" s="1" t="str">
        <f>IF(D167="","",VLOOKUP(D167,Table1[#All],2,FALSE))</f>
        <v>Flexible Couplings 5mm to 8mm NEMA 17 Shaft Coupler</v>
      </c>
      <c r="H167" s="2">
        <f t="shared" si="65"/>
        <v>1</v>
      </c>
      <c r="I167" s="44">
        <f>IF(D167&lt;&gt;"",(VLOOKUP(D167,part_details,4,FALSE)+VLOOKUP(D167,part_details,5,FALSE)+VLOOKUP(D167,part_details,6,FALSE))*'Multi-level BOM'!E167,"")</f>
        <v>5.088916666666667</v>
      </c>
      <c r="J167" s="4">
        <f t="shared" ref="J167:S167" si="73">IF($B167="",J166,
    IF(J$3=$B167,$E167,
       IF(J$3&lt;$B167,J166,
           1
)))</f>
        <v>1</v>
      </c>
      <c r="K167" s="4">
        <f t="shared" si="73"/>
        <v>1</v>
      </c>
      <c r="L167" s="4">
        <f t="shared" si="73"/>
        <v>1</v>
      </c>
      <c r="M167" s="4">
        <f t="shared" si="73"/>
        <v>1</v>
      </c>
      <c r="N167" s="4">
        <f t="shared" si="73"/>
        <v>1</v>
      </c>
      <c r="O167" s="4">
        <f t="shared" si="73"/>
        <v>1</v>
      </c>
      <c r="P167" s="4">
        <f t="shared" si="73"/>
        <v>1</v>
      </c>
      <c r="Q167" s="4">
        <f t="shared" si="73"/>
        <v>1</v>
      </c>
      <c r="R167" s="4">
        <f t="shared" si="73"/>
        <v>1</v>
      </c>
      <c r="S167" s="4">
        <f t="shared" si="73"/>
        <v>1</v>
      </c>
      <c r="U167" s="3">
        <f t="shared" si="58"/>
        <v>0</v>
      </c>
      <c r="V167" s="1" t="str">
        <f t="shared" si="53"/>
        <v/>
      </c>
    </row>
    <row r="168" spans="1:22" x14ac:dyDescent="0.25">
      <c r="A168" s="2">
        <v>165</v>
      </c>
      <c r="B168" s="2">
        <v>3</v>
      </c>
      <c r="C168" s="8" t="s">
        <v>905</v>
      </c>
      <c r="D168" s="2" t="s">
        <v>29</v>
      </c>
      <c r="E168" s="2">
        <v>1</v>
      </c>
      <c r="G168" s="1" t="str">
        <f>IF(D168="","",VLOOKUP(D168,Table1[#All],2,FALSE))</f>
        <v>T6061 Al Angle extrusion 2.5" x 2.5" x .25 thick, 3" long</v>
      </c>
      <c r="H168" s="2">
        <f t="shared" si="65"/>
        <v>1</v>
      </c>
      <c r="I168" s="44">
        <f>IF(D168&lt;&gt;"",(VLOOKUP(D168,part_details,4,FALSE)+VLOOKUP(D168,part_details,5,FALSE)+VLOOKUP(D168,part_details,6,FALSE))*'Multi-level BOM'!E168,"")</f>
        <v>4.7693750000000001</v>
      </c>
      <c r="J168" s="4">
        <f t="shared" ref="J168:S168" si="74">IF($B168="",J167,
    IF(J$3=$B168,$E168,
       IF(J$3&lt;$B168,J167,
           1
)))</f>
        <v>1</v>
      </c>
      <c r="K168" s="4">
        <f t="shared" si="74"/>
        <v>1</v>
      </c>
      <c r="L168" s="4">
        <f t="shared" si="74"/>
        <v>1</v>
      </c>
      <c r="M168" s="4">
        <f t="shared" si="74"/>
        <v>1</v>
      </c>
      <c r="N168" s="4">
        <f t="shared" si="74"/>
        <v>1</v>
      </c>
      <c r="O168" s="4">
        <f t="shared" si="74"/>
        <v>1</v>
      </c>
      <c r="P168" s="4">
        <f t="shared" si="74"/>
        <v>1</v>
      </c>
      <c r="Q168" s="4">
        <f t="shared" si="74"/>
        <v>1</v>
      </c>
      <c r="R168" s="4">
        <f t="shared" si="74"/>
        <v>1</v>
      </c>
      <c r="S168" s="4">
        <f t="shared" si="74"/>
        <v>1</v>
      </c>
      <c r="U168" s="3">
        <f t="shared" si="58"/>
        <v>0</v>
      </c>
      <c r="V168" s="1" t="str">
        <f t="shared" si="53"/>
        <v/>
      </c>
    </row>
    <row r="169" spans="1:22" x14ac:dyDescent="0.25">
      <c r="A169" s="2">
        <v>166</v>
      </c>
      <c r="B169" s="2">
        <v>3</v>
      </c>
      <c r="C169" s="8" t="s">
        <v>707</v>
      </c>
      <c r="D169" s="2" t="s">
        <v>32</v>
      </c>
      <c r="E169" s="2">
        <v>3</v>
      </c>
      <c r="G169" s="1" t="str">
        <f>IF(D169="","",VLOOKUP(D169,Table1[#All],2,FALSE))</f>
        <v>M5-0.8 x 16mm Button Head Socket Cap Screws</v>
      </c>
      <c r="H169" s="2">
        <f t="shared" si="65"/>
        <v>3</v>
      </c>
      <c r="I169" s="44">
        <f>IF(D169&lt;&gt;"",(VLOOKUP(D169,part_details,4,FALSE)+VLOOKUP(D169,part_details,5,FALSE)+VLOOKUP(D169,part_details,6,FALSE))*'Multi-level BOM'!E169,"")</f>
        <v>0.495345470497916</v>
      </c>
      <c r="J169" s="4">
        <f t="shared" ref="J169:S169" si="75">IF($B169="",J168,
    IF(J$3=$B169,$E169,
       IF(J$3&lt;$B169,J168,
           1
)))</f>
        <v>1</v>
      </c>
      <c r="K169" s="4">
        <f t="shared" si="75"/>
        <v>1</v>
      </c>
      <c r="L169" s="4">
        <f t="shared" si="75"/>
        <v>1</v>
      </c>
      <c r="M169" s="4">
        <f t="shared" si="75"/>
        <v>3</v>
      </c>
      <c r="N169" s="4">
        <f t="shared" si="75"/>
        <v>1</v>
      </c>
      <c r="O169" s="4">
        <f t="shared" si="75"/>
        <v>1</v>
      </c>
      <c r="P169" s="4">
        <f t="shared" si="75"/>
        <v>1</v>
      </c>
      <c r="Q169" s="4">
        <f t="shared" si="75"/>
        <v>1</v>
      </c>
      <c r="R169" s="4">
        <f t="shared" si="75"/>
        <v>1</v>
      </c>
      <c r="S169" s="4">
        <f t="shared" si="75"/>
        <v>1</v>
      </c>
      <c r="U169" s="3">
        <f t="shared" si="58"/>
        <v>0</v>
      </c>
      <c r="V169" s="1" t="str">
        <f t="shared" si="53"/>
        <v/>
      </c>
    </row>
    <row r="170" spans="1:22" x14ac:dyDescent="0.25">
      <c r="A170" s="2">
        <v>167</v>
      </c>
      <c r="B170" s="2">
        <v>3</v>
      </c>
      <c r="C170" s="8" t="s">
        <v>867</v>
      </c>
      <c r="D170" s="2" t="s">
        <v>68</v>
      </c>
      <c r="E170" s="2">
        <v>3</v>
      </c>
      <c r="G170" s="1" t="str">
        <f>IF(D170="","",VLOOKUP(D170,Table1[#All],2,FALSE))</f>
        <v>M5x10mmx1mm Stainless Steel Metric Round Flat Washer</v>
      </c>
      <c r="H170" s="2">
        <f t="shared" si="65"/>
        <v>3</v>
      </c>
      <c r="I170" s="44">
        <f>IF(D170&lt;&gt;"",(VLOOKUP(D170,part_details,4,FALSE)+VLOOKUP(D170,part_details,5,FALSE)+VLOOKUP(D170,part_details,6,FALSE))*'Multi-level BOM'!E170,"")</f>
        <v>7.3063456898442625E-2</v>
      </c>
      <c r="J170" s="4">
        <f t="shared" ref="J170:S170" si="76">IF($B170="",J169,
    IF(J$3=$B170,$E170,
       IF(J$3&lt;$B170,J169,
           1
)))</f>
        <v>1</v>
      </c>
      <c r="K170" s="4">
        <f t="shared" si="76"/>
        <v>1</v>
      </c>
      <c r="L170" s="4">
        <f t="shared" si="76"/>
        <v>1</v>
      </c>
      <c r="M170" s="4">
        <f t="shared" si="76"/>
        <v>3</v>
      </c>
      <c r="N170" s="4">
        <f t="shared" si="76"/>
        <v>1</v>
      </c>
      <c r="O170" s="4">
        <f t="shared" si="76"/>
        <v>1</v>
      </c>
      <c r="P170" s="4">
        <f t="shared" si="76"/>
        <v>1</v>
      </c>
      <c r="Q170" s="4">
        <f t="shared" si="76"/>
        <v>1</v>
      </c>
      <c r="R170" s="4">
        <f t="shared" si="76"/>
        <v>1</v>
      </c>
      <c r="S170" s="4">
        <f t="shared" si="76"/>
        <v>1</v>
      </c>
      <c r="U170" s="3">
        <f t="shared" si="58"/>
        <v>0</v>
      </c>
      <c r="V170" s="1" t="str">
        <f t="shared" si="53"/>
        <v/>
      </c>
    </row>
    <row r="171" spans="1:22" x14ac:dyDescent="0.25">
      <c r="A171" s="2">
        <v>168</v>
      </c>
      <c r="B171" s="2">
        <v>3</v>
      </c>
      <c r="C171" s="8" t="s">
        <v>710</v>
      </c>
      <c r="D171" s="2" t="s">
        <v>33</v>
      </c>
      <c r="E171" s="2">
        <v>3</v>
      </c>
      <c r="G171" s="1" t="str">
        <f>IF(D171="","",VLOOKUP(D171,Table1[#All],2,FALSE))</f>
        <v>Sliding T Slot Nuts 4040 Series M5 26 Pack T Nuts Carbon Steel</v>
      </c>
      <c r="H171" s="2">
        <f t="shared" si="65"/>
        <v>3</v>
      </c>
      <c r="I171" s="44">
        <f>IF(D171&lt;&gt;"",(VLOOKUP(D171,part_details,4,FALSE)+VLOOKUP(D171,part_details,5,FALSE)+VLOOKUP(D171,part_details,6,FALSE))*'Multi-level BOM'!E171,"")</f>
        <v>1.0174730769230771</v>
      </c>
      <c r="J171" s="4">
        <f t="shared" ref="J171:S171" si="77">IF($B171="",J170,
    IF(J$3=$B171,$E171,
       IF(J$3&lt;$B171,J170,
           1
)))</f>
        <v>1</v>
      </c>
      <c r="K171" s="4">
        <f t="shared" si="77"/>
        <v>1</v>
      </c>
      <c r="L171" s="4">
        <f t="shared" si="77"/>
        <v>1</v>
      </c>
      <c r="M171" s="4">
        <f t="shared" si="77"/>
        <v>3</v>
      </c>
      <c r="N171" s="4">
        <f t="shared" si="77"/>
        <v>1</v>
      </c>
      <c r="O171" s="4">
        <f t="shared" si="77"/>
        <v>1</v>
      </c>
      <c r="P171" s="4">
        <f t="shared" si="77"/>
        <v>1</v>
      </c>
      <c r="Q171" s="4">
        <f t="shared" si="77"/>
        <v>1</v>
      </c>
      <c r="R171" s="4">
        <f t="shared" si="77"/>
        <v>1</v>
      </c>
      <c r="S171" s="4">
        <f t="shared" si="77"/>
        <v>1</v>
      </c>
      <c r="U171" s="3">
        <f t="shared" si="58"/>
        <v>0</v>
      </c>
      <c r="V171" s="1" t="str">
        <f t="shared" si="53"/>
        <v/>
      </c>
    </row>
    <row r="172" spans="1:22" x14ac:dyDescent="0.25">
      <c r="A172" s="2">
        <v>169</v>
      </c>
      <c r="B172" s="2">
        <v>3</v>
      </c>
      <c r="C172" s="8" t="s">
        <v>863</v>
      </c>
      <c r="D172" s="2" t="s">
        <v>74</v>
      </c>
      <c r="E172" s="2">
        <v>1</v>
      </c>
      <c r="G172" s="1" t="str">
        <f>IF(D172="","",VLOOKUP(D172,Table1[#All],2,FALSE))</f>
        <v xml:space="preserve">Aluminum angle 2" x 1" x .125 thick, 12" long </v>
      </c>
      <c r="H172" s="2">
        <f t="shared" ref="H172:H177" si="78">PRODUCT(J172:S172)</f>
        <v>1</v>
      </c>
      <c r="I172" s="44">
        <f>IF(D172&lt;&gt;"",(VLOOKUP(D172,part_details,4,FALSE)+VLOOKUP(D172,part_details,5,FALSE)+VLOOKUP(D172,part_details,6,FALSE))*'Multi-level BOM'!E172,"")</f>
        <v>0</v>
      </c>
      <c r="J172" s="4">
        <f t="shared" ref="J172:S172" si="79">IF($B172="",J171,
    IF(J$3=$B172,$E172,
       IF(J$3&lt;$B172,J171,
           1
)))</f>
        <v>1</v>
      </c>
      <c r="K172" s="4">
        <f t="shared" si="79"/>
        <v>1</v>
      </c>
      <c r="L172" s="4">
        <f t="shared" si="79"/>
        <v>1</v>
      </c>
      <c r="M172" s="4">
        <f t="shared" si="79"/>
        <v>1</v>
      </c>
      <c r="N172" s="4">
        <f t="shared" si="79"/>
        <v>1</v>
      </c>
      <c r="O172" s="4">
        <f t="shared" si="79"/>
        <v>1</v>
      </c>
      <c r="P172" s="4">
        <f t="shared" si="79"/>
        <v>1</v>
      </c>
      <c r="Q172" s="4">
        <f t="shared" si="79"/>
        <v>1</v>
      </c>
      <c r="R172" s="4">
        <f t="shared" si="79"/>
        <v>1</v>
      </c>
      <c r="S172" s="4">
        <f t="shared" si="79"/>
        <v>1</v>
      </c>
      <c r="U172" s="3">
        <f t="shared" si="58"/>
        <v>0</v>
      </c>
      <c r="V172" s="1" t="str">
        <f t="shared" si="53"/>
        <v/>
      </c>
    </row>
    <row r="173" spans="1:22" x14ac:dyDescent="0.25">
      <c r="A173" s="2">
        <v>170</v>
      </c>
      <c r="B173" s="2">
        <v>3</v>
      </c>
      <c r="C173" s="8" t="s">
        <v>717</v>
      </c>
      <c r="D173" s="2" t="s">
        <v>31</v>
      </c>
      <c r="E173" s="2">
        <v>1</v>
      </c>
      <c r="G173" s="1" t="str">
        <f>IF(D173="","",VLOOKUP(D173,Table1[#All],2,FALSE))</f>
        <v>T 6061 Al Angle extrusion 2" x 2" x .125" 6" aluminum (for side ball mount)</v>
      </c>
      <c r="H173" s="2">
        <f t="shared" si="78"/>
        <v>1</v>
      </c>
      <c r="I173" s="44">
        <f>IF(D173&lt;&gt;"",(VLOOKUP(D173,part_details,4,FALSE)+VLOOKUP(D173,part_details,5,FALSE)+VLOOKUP(D173,part_details,6,FALSE))*'Multi-level BOM'!E173,"")</f>
        <v>4.7554465500000003</v>
      </c>
      <c r="J173" s="4">
        <f t="shared" ref="J173:S173" si="80">IF($B173="",J172,
    IF(J$3=$B173,$E173,
       IF(J$3&lt;$B173,J172,
           1
)))</f>
        <v>1</v>
      </c>
      <c r="K173" s="4">
        <f t="shared" si="80"/>
        <v>1</v>
      </c>
      <c r="L173" s="4">
        <f t="shared" si="80"/>
        <v>1</v>
      </c>
      <c r="M173" s="4">
        <f t="shared" si="80"/>
        <v>1</v>
      </c>
      <c r="N173" s="4">
        <f t="shared" si="80"/>
        <v>1</v>
      </c>
      <c r="O173" s="4">
        <f t="shared" si="80"/>
        <v>1</v>
      </c>
      <c r="P173" s="4">
        <f t="shared" si="80"/>
        <v>1</v>
      </c>
      <c r="Q173" s="4">
        <f t="shared" si="80"/>
        <v>1</v>
      </c>
      <c r="R173" s="4">
        <f t="shared" si="80"/>
        <v>1</v>
      </c>
      <c r="S173" s="4">
        <f t="shared" si="80"/>
        <v>1</v>
      </c>
      <c r="U173" s="3">
        <f t="shared" si="58"/>
        <v>0</v>
      </c>
      <c r="V173" s="1" t="str">
        <f t="shared" si="53"/>
        <v/>
      </c>
    </row>
    <row r="174" spans="1:22" x14ac:dyDescent="0.25">
      <c r="A174" s="2">
        <v>171</v>
      </c>
      <c r="B174" s="2">
        <v>3</v>
      </c>
      <c r="C174" s="8" t="s">
        <v>765</v>
      </c>
      <c r="D174" s="2" t="s">
        <v>42</v>
      </c>
      <c r="E174" s="2">
        <v>1</v>
      </c>
      <c r="G174" s="1" t="str">
        <f>IF(D174="","",VLOOKUP(D174,Table1[#All],2,FALSE))</f>
        <v>DIN 319 Ball Knob, .63" diameter, M4 threaded hole</v>
      </c>
      <c r="H174" s="2">
        <f t="shared" si="78"/>
        <v>1</v>
      </c>
      <c r="I174" s="44">
        <f>IF(D174&lt;&gt;"",(VLOOKUP(D174,part_details,4,FALSE)+VLOOKUP(D174,part_details,5,FALSE)+VLOOKUP(D174,part_details,6,FALSE))*'Multi-level BOM'!E174,"")</f>
        <v>7.2021000000000006</v>
      </c>
      <c r="J174" s="4">
        <f t="shared" ref="J174:S174" si="81">IF($B174="",J173,
    IF(J$3=$B174,$E174,
       IF(J$3&lt;$B174,J173,
           1
)))</f>
        <v>1</v>
      </c>
      <c r="K174" s="4">
        <f t="shared" si="81"/>
        <v>1</v>
      </c>
      <c r="L174" s="4">
        <f t="shared" si="81"/>
        <v>1</v>
      </c>
      <c r="M174" s="4">
        <f t="shared" si="81"/>
        <v>1</v>
      </c>
      <c r="N174" s="4">
        <f t="shared" si="81"/>
        <v>1</v>
      </c>
      <c r="O174" s="4">
        <f t="shared" si="81"/>
        <v>1</v>
      </c>
      <c r="P174" s="4">
        <f t="shared" si="81"/>
        <v>1</v>
      </c>
      <c r="Q174" s="4">
        <f t="shared" si="81"/>
        <v>1</v>
      </c>
      <c r="R174" s="4">
        <f t="shared" si="81"/>
        <v>1</v>
      </c>
      <c r="S174" s="4">
        <f t="shared" si="81"/>
        <v>1</v>
      </c>
      <c r="U174" s="3">
        <f t="shared" si="58"/>
        <v>0</v>
      </c>
      <c r="V174" s="1" t="str">
        <f t="shared" si="53"/>
        <v/>
      </c>
    </row>
    <row r="175" spans="1:22" x14ac:dyDescent="0.25">
      <c r="A175" s="2">
        <v>172</v>
      </c>
      <c r="B175" s="2">
        <v>3</v>
      </c>
      <c r="C175" s="30" t="s">
        <v>799</v>
      </c>
      <c r="E175" s="2">
        <v>1</v>
      </c>
      <c r="G175" s="1" t="str">
        <f>IF(D175="","",VLOOKUP(D175,Table1[#All],2,FALSE))</f>
        <v/>
      </c>
      <c r="H175" s="2">
        <f t="shared" si="78"/>
        <v>1</v>
      </c>
      <c r="I175" s="44" t="str">
        <f>IF(D175&lt;&gt;"",(VLOOKUP(D175,part_details,4,FALSE)+VLOOKUP(D175,part_details,5,FALSE)+VLOOKUP(D175,part_details,6,FALSE))*'Multi-level BOM'!E175,"")</f>
        <v/>
      </c>
      <c r="J175" s="4">
        <f t="shared" ref="J175:S175" si="82">IF($B175="",J174,
    IF(J$3=$B175,$E175,
       IF(J$3&lt;$B175,J174,
           1
)))</f>
        <v>1</v>
      </c>
      <c r="K175" s="4">
        <f t="shared" si="82"/>
        <v>1</v>
      </c>
      <c r="L175" s="4">
        <f t="shared" si="82"/>
        <v>1</v>
      </c>
      <c r="M175" s="4">
        <f t="shared" si="82"/>
        <v>1</v>
      </c>
      <c r="N175" s="4">
        <f t="shared" si="82"/>
        <v>1</v>
      </c>
      <c r="O175" s="4">
        <f t="shared" si="82"/>
        <v>1</v>
      </c>
      <c r="P175" s="4">
        <f t="shared" si="82"/>
        <v>1</v>
      </c>
      <c r="Q175" s="4">
        <f t="shared" si="82"/>
        <v>1</v>
      </c>
      <c r="R175" s="4">
        <f t="shared" si="82"/>
        <v>1</v>
      </c>
      <c r="S175" s="4">
        <f t="shared" si="82"/>
        <v>1</v>
      </c>
      <c r="U175" s="3">
        <f t="shared" si="58"/>
        <v>0</v>
      </c>
      <c r="V175" s="1" t="str">
        <f t="shared" si="53"/>
        <v/>
      </c>
    </row>
    <row r="176" spans="1:22" x14ac:dyDescent="0.25">
      <c r="A176" s="2">
        <v>173</v>
      </c>
      <c r="B176" s="2">
        <v>3</v>
      </c>
      <c r="C176" s="30" t="s">
        <v>800</v>
      </c>
      <c r="D176" s="2" t="s">
        <v>46</v>
      </c>
      <c r="E176" s="2">
        <v>2</v>
      </c>
      <c r="G176" s="1" t="str">
        <f>IF(D176="","",VLOOKUP(D176,Table1[#All],2,FALSE))</f>
        <v>M4 x 0.7mm 304 Stainless Steel Nylon Lock Nuts</v>
      </c>
      <c r="H176" s="2">
        <f t="shared" si="78"/>
        <v>2</v>
      </c>
      <c r="I176" s="44">
        <f>IF(D176&lt;&gt;"",(VLOOKUP(D176,part_details,4,FALSE)+VLOOKUP(D176,part_details,5,FALSE)+VLOOKUP(D176,part_details,6,FALSE))*'Multi-level BOM'!E176,"")</f>
        <v>9.9069094099583213E-2</v>
      </c>
      <c r="J176" s="4">
        <f t="shared" ref="J176:S176" si="83">IF($B176="",J175,
    IF(J$3=$B176,$E176,
       IF(J$3&lt;$B176,J175,
           1
)))</f>
        <v>1</v>
      </c>
      <c r="K176" s="4">
        <f t="shared" si="83"/>
        <v>1</v>
      </c>
      <c r="L176" s="4">
        <f t="shared" si="83"/>
        <v>1</v>
      </c>
      <c r="M176" s="4">
        <f t="shared" si="83"/>
        <v>2</v>
      </c>
      <c r="N176" s="4">
        <f t="shared" si="83"/>
        <v>1</v>
      </c>
      <c r="O176" s="4">
        <f t="shared" si="83"/>
        <v>1</v>
      </c>
      <c r="P176" s="4">
        <f t="shared" si="83"/>
        <v>1</v>
      </c>
      <c r="Q176" s="4">
        <f t="shared" si="83"/>
        <v>1</v>
      </c>
      <c r="R176" s="4">
        <f t="shared" si="83"/>
        <v>1</v>
      </c>
      <c r="S176" s="4">
        <f t="shared" si="83"/>
        <v>1</v>
      </c>
      <c r="U176" s="3">
        <f t="shared" si="58"/>
        <v>0</v>
      </c>
      <c r="V176" s="1" t="str">
        <f t="shared" si="53"/>
        <v/>
      </c>
    </row>
    <row r="177" spans="1:22" x14ac:dyDescent="0.25">
      <c r="A177" s="2">
        <v>174</v>
      </c>
      <c r="B177" s="2">
        <v>3</v>
      </c>
      <c r="C177" s="30" t="s">
        <v>770</v>
      </c>
      <c r="D177" s="2" t="s">
        <v>47</v>
      </c>
      <c r="E177" s="2">
        <v>6</v>
      </c>
      <c r="G177" s="1" t="str">
        <f>IF(D177="","",VLOOKUP(D177,Table1[#All],2,FALSE))</f>
        <v xml:space="preserve">M4x12mmx1 mm Stainless Steel Round Flat Washer </v>
      </c>
      <c r="H177" s="2">
        <f t="shared" si="78"/>
        <v>6</v>
      </c>
      <c r="I177" s="44">
        <f>IF(D177&lt;&gt;"",(VLOOKUP(D177,part_details,4,FALSE)+VLOOKUP(D177,part_details,5,FALSE)+VLOOKUP(D177,part_details,6,FALSE))*'Multi-level BOM'!E177,"")</f>
        <v>0.10319697302039919</v>
      </c>
      <c r="J177" s="4">
        <f t="shared" ref="J177:S177" si="84">IF($B177="",J176,
    IF(J$3=$B177,$E177,
       IF(J$3&lt;$B177,J176,
           1
)))</f>
        <v>1</v>
      </c>
      <c r="K177" s="4">
        <f t="shared" si="84"/>
        <v>1</v>
      </c>
      <c r="L177" s="4">
        <f t="shared" si="84"/>
        <v>1</v>
      </c>
      <c r="M177" s="4">
        <f t="shared" si="84"/>
        <v>6</v>
      </c>
      <c r="N177" s="4">
        <f t="shared" si="84"/>
        <v>1</v>
      </c>
      <c r="O177" s="4">
        <f t="shared" si="84"/>
        <v>1</v>
      </c>
      <c r="P177" s="4">
        <f t="shared" si="84"/>
        <v>1</v>
      </c>
      <c r="Q177" s="4">
        <f t="shared" si="84"/>
        <v>1</v>
      </c>
      <c r="R177" s="4">
        <f t="shared" si="84"/>
        <v>1</v>
      </c>
      <c r="S177" s="4">
        <f t="shared" si="84"/>
        <v>1</v>
      </c>
      <c r="U177" s="3">
        <f t="shared" si="58"/>
        <v>0</v>
      </c>
      <c r="V177" s="1" t="str">
        <f t="shared" si="53"/>
        <v/>
      </c>
    </row>
    <row r="178" spans="1:22" x14ac:dyDescent="0.25">
      <c r="A178" s="2">
        <v>175</v>
      </c>
      <c r="C178" s="8"/>
      <c r="I178" s="44" t="str">
        <f>IF(D178&lt;&gt;"",VLOOKUP(D178,part_details,4,FALSE)*'Multi-level BOM'!E178,"")</f>
        <v/>
      </c>
      <c r="J178" s="4">
        <f t="shared" ref="J178:S178" si="85">IF($B178="",J177,
    IF(J$3=$B178,$E178,
       IF(J$3&lt;$B178,J177,
           1
)))</f>
        <v>1</v>
      </c>
      <c r="K178" s="4">
        <f t="shared" si="85"/>
        <v>1</v>
      </c>
      <c r="L178" s="4">
        <f t="shared" si="85"/>
        <v>1</v>
      </c>
      <c r="M178" s="4">
        <f t="shared" si="85"/>
        <v>6</v>
      </c>
      <c r="N178" s="4">
        <f t="shared" si="85"/>
        <v>1</v>
      </c>
      <c r="O178" s="4">
        <f t="shared" si="85"/>
        <v>1</v>
      </c>
      <c r="P178" s="4">
        <f t="shared" si="85"/>
        <v>1</v>
      </c>
      <c r="Q178" s="4">
        <f t="shared" si="85"/>
        <v>1</v>
      </c>
      <c r="R178" s="4">
        <f t="shared" si="85"/>
        <v>1</v>
      </c>
      <c r="S178" s="4">
        <f t="shared" si="85"/>
        <v>1</v>
      </c>
      <c r="U178" s="3">
        <f t="shared" si="58"/>
        <v>0</v>
      </c>
      <c r="V178" s="1" t="str">
        <f t="shared" si="53"/>
        <v/>
      </c>
    </row>
    <row r="179" spans="1:22" x14ac:dyDescent="0.25">
      <c r="A179" s="2">
        <v>176</v>
      </c>
      <c r="B179" s="2">
        <v>2</v>
      </c>
      <c r="C179" s="7" t="s">
        <v>718</v>
      </c>
      <c r="E179" s="2">
        <v>1</v>
      </c>
      <c r="G179" s="1" t="str">
        <f>IF(D179="","",VLOOKUP(D179,Table1[#All],2,FALSE))</f>
        <v/>
      </c>
      <c r="H179" s="2">
        <f t="shared" ref="H179:H197" si="86">PRODUCT(J179:S179)</f>
        <v>1</v>
      </c>
      <c r="I179" s="45">
        <f>H179*SUM(I180:I197)</f>
        <v>104.1788896985031</v>
      </c>
      <c r="J179" s="4">
        <f t="shared" ref="J179:S179" si="87">IF($B179="",J178,
    IF(J$3=$B179,$E179,
       IF(J$3&lt;$B179,J178,
           1
)))</f>
        <v>1</v>
      </c>
      <c r="K179" s="4">
        <f t="shared" si="87"/>
        <v>1</v>
      </c>
      <c r="L179" s="4">
        <f t="shared" si="87"/>
        <v>1</v>
      </c>
      <c r="M179" s="4">
        <f t="shared" si="87"/>
        <v>1</v>
      </c>
      <c r="N179" s="4">
        <f t="shared" si="87"/>
        <v>1</v>
      </c>
      <c r="O179" s="4">
        <f t="shared" si="87"/>
        <v>1</v>
      </c>
      <c r="P179" s="4">
        <f t="shared" si="87"/>
        <v>1</v>
      </c>
      <c r="Q179" s="4">
        <f t="shared" si="87"/>
        <v>1</v>
      </c>
      <c r="R179" s="4">
        <f t="shared" si="87"/>
        <v>1</v>
      </c>
      <c r="S179" s="4">
        <f t="shared" si="87"/>
        <v>1</v>
      </c>
      <c r="U179" s="3">
        <f t="shared" si="58"/>
        <v>0</v>
      </c>
      <c r="V179" s="1" t="str">
        <f t="shared" si="53"/>
        <v/>
      </c>
    </row>
    <row r="180" spans="1:22" x14ac:dyDescent="0.25">
      <c r="A180" s="2">
        <v>177</v>
      </c>
      <c r="B180" s="2">
        <v>3</v>
      </c>
      <c r="C180" s="8" t="s">
        <v>701</v>
      </c>
      <c r="D180" s="2" t="s">
        <v>17</v>
      </c>
      <c r="E180" s="2">
        <v>1</v>
      </c>
      <c r="F180" s="2" t="s">
        <v>916</v>
      </c>
      <c r="G180" s="1" t="str">
        <f>IF(D180="","",VLOOKUP(D180,Table1[#All],2,FALSE))</f>
        <v xml:space="preserve">
Machifit 500mm Length MGN15 Linear Rail Guide with MGN15H Linear Rail Block</v>
      </c>
      <c r="H180" s="2">
        <f t="shared" si="86"/>
        <v>1</v>
      </c>
      <c r="I180" s="44">
        <f>IF(D180&lt;&gt;"",(VLOOKUP(D180,part_details,4,FALSE)+VLOOKUP(D180,part_details,5,FALSE)+VLOOKUP(D180,part_details,6,FALSE))*'Multi-level BOM'!E180,"")</f>
        <v>30.000960737003719</v>
      </c>
      <c r="J180" s="4">
        <f t="shared" ref="J180:S180" si="88">IF($B180="",J179,
    IF(J$3=$B180,$E180,
       IF(J$3&lt;$B180,J179,
           1
)))</f>
        <v>1</v>
      </c>
      <c r="K180" s="4">
        <f t="shared" si="88"/>
        <v>1</v>
      </c>
      <c r="L180" s="4">
        <f t="shared" si="88"/>
        <v>1</v>
      </c>
      <c r="M180" s="4">
        <f t="shared" si="88"/>
        <v>1</v>
      </c>
      <c r="N180" s="4">
        <f t="shared" si="88"/>
        <v>1</v>
      </c>
      <c r="O180" s="4">
        <f t="shared" si="88"/>
        <v>1</v>
      </c>
      <c r="P180" s="4">
        <f t="shared" si="88"/>
        <v>1</v>
      </c>
      <c r="Q180" s="4">
        <f t="shared" si="88"/>
        <v>1</v>
      </c>
      <c r="R180" s="4">
        <f t="shared" si="88"/>
        <v>1</v>
      </c>
      <c r="S180" s="4">
        <f t="shared" si="88"/>
        <v>1</v>
      </c>
      <c r="U180" s="3">
        <f t="shared" si="58"/>
        <v>30.000960737003719</v>
      </c>
      <c r="V180" s="1" t="str">
        <f t="shared" si="53"/>
        <v>A-0011</v>
      </c>
    </row>
    <row r="181" spans="1:22" x14ac:dyDescent="0.25">
      <c r="A181" s="2">
        <v>178</v>
      </c>
      <c r="B181" s="2">
        <v>3</v>
      </c>
      <c r="C181" s="8" t="s">
        <v>686</v>
      </c>
      <c r="D181" s="2" t="s">
        <v>18</v>
      </c>
      <c r="E181" s="2">
        <v>13</v>
      </c>
      <c r="G181" s="1" t="str">
        <f>IF(D181="","",VLOOKUP(D181,Table1[#All],2,FALSE))</f>
        <v>M3-0.5x30mm Socket Head Cap Bolts Screws, 304 Stainless Steel 18-8, Allen Socket Drive, Fully Machine Thread, Bright Finish</v>
      </c>
      <c r="H181" s="2">
        <f t="shared" si="86"/>
        <v>13</v>
      </c>
      <c r="I181" s="44">
        <f>IF(D181&lt;&gt;"",(VLOOKUP(D181,part_details,4,FALSE)+VLOOKUP(D181,part_details,5,FALSE)+VLOOKUP(D181,part_details,6,FALSE))*'Multi-level BOM'!E181,"")</f>
        <v>1.6367039921035307</v>
      </c>
      <c r="J181" s="4">
        <f t="shared" ref="J181:S181" si="89">IF($B181="",J180,
    IF(J$3=$B181,$E181,
       IF(J$3&lt;$B181,J180,
           1
)))</f>
        <v>1</v>
      </c>
      <c r="K181" s="4">
        <f t="shared" si="89"/>
        <v>1</v>
      </c>
      <c r="L181" s="4">
        <f t="shared" si="89"/>
        <v>1</v>
      </c>
      <c r="M181" s="4">
        <f t="shared" si="89"/>
        <v>13</v>
      </c>
      <c r="N181" s="4">
        <f t="shared" si="89"/>
        <v>1</v>
      </c>
      <c r="O181" s="4">
        <f t="shared" si="89"/>
        <v>1</v>
      </c>
      <c r="P181" s="4">
        <f t="shared" si="89"/>
        <v>1</v>
      </c>
      <c r="Q181" s="4">
        <f t="shared" si="89"/>
        <v>1</v>
      </c>
      <c r="R181" s="4">
        <f t="shared" si="89"/>
        <v>1</v>
      </c>
      <c r="S181" s="4">
        <f t="shared" si="89"/>
        <v>1</v>
      </c>
      <c r="U181" s="3">
        <f t="shared" si="58"/>
        <v>0</v>
      </c>
      <c r="V181" s="1" t="str">
        <f t="shared" si="53"/>
        <v/>
      </c>
    </row>
    <row r="182" spans="1:22" x14ac:dyDescent="0.25">
      <c r="A182" s="2">
        <v>179</v>
      </c>
      <c r="B182" s="2">
        <v>3</v>
      </c>
      <c r="C182" s="8" t="s">
        <v>1056</v>
      </c>
      <c r="D182" s="2" t="s">
        <v>24</v>
      </c>
      <c r="E182" s="2">
        <v>13</v>
      </c>
      <c r="G182" s="1" t="str">
        <f>IF(D182="","",VLOOKUP(D182,Table1[#All],2,FALSE))</f>
        <v>M3 Thread T-Nut for 40 Series European Aluminium Profile Hammer Head</v>
      </c>
      <c r="H182" s="2">
        <f t="shared" si="86"/>
        <v>13</v>
      </c>
      <c r="I182" s="44">
        <f>IF(D182&lt;&gt;"",(VLOOKUP(D182,part_details,4,FALSE)+VLOOKUP(D182,part_details,5,FALSE)+VLOOKUP(D182,part_details,6,FALSE))*'Multi-level BOM'!E182,"")</f>
        <v>3.2109220000000001</v>
      </c>
      <c r="J182" s="4">
        <f t="shared" ref="J182:S182" si="90">IF($B182="",J181,
    IF(J$3=$B182,$E182,
       IF(J$3&lt;$B182,J181,
           1
)))</f>
        <v>1</v>
      </c>
      <c r="K182" s="4">
        <f t="shared" si="90"/>
        <v>1</v>
      </c>
      <c r="L182" s="4">
        <f t="shared" si="90"/>
        <v>1</v>
      </c>
      <c r="M182" s="4">
        <f t="shared" si="90"/>
        <v>13</v>
      </c>
      <c r="N182" s="4">
        <f t="shared" si="90"/>
        <v>1</v>
      </c>
      <c r="O182" s="4">
        <f t="shared" si="90"/>
        <v>1</v>
      </c>
      <c r="P182" s="4">
        <f t="shared" si="90"/>
        <v>1</v>
      </c>
      <c r="Q182" s="4">
        <f t="shared" si="90"/>
        <v>1</v>
      </c>
      <c r="R182" s="4">
        <f t="shared" si="90"/>
        <v>1</v>
      </c>
      <c r="S182" s="4">
        <f t="shared" si="90"/>
        <v>1</v>
      </c>
      <c r="U182" s="3">
        <f t="shared" si="58"/>
        <v>0</v>
      </c>
      <c r="V182" s="1" t="str">
        <f t="shared" si="53"/>
        <v/>
      </c>
    </row>
    <row r="183" spans="1:22" x14ac:dyDescent="0.25">
      <c r="A183" s="2">
        <v>180</v>
      </c>
      <c r="B183" s="2">
        <v>3</v>
      </c>
      <c r="C183" s="8" t="s">
        <v>703</v>
      </c>
      <c r="D183" s="2" t="s">
        <v>25</v>
      </c>
      <c r="E183" s="2">
        <v>1</v>
      </c>
      <c r="G183" s="1" t="str">
        <f>IF(D183="","",VLOOKUP(D183,Table1[#All],2,FALSE))</f>
        <v>0.9deg Nema 17 Stepper Motor Bipolar 2A 46Ncm/65oz.in 42x42x48mm 4-Wires DIY CNC</v>
      </c>
      <c r="H183" s="2">
        <f t="shared" si="86"/>
        <v>1</v>
      </c>
      <c r="I183" s="44">
        <f>IF(D183&lt;&gt;"",(VLOOKUP(D183,part_details,4,FALSE)+VLOOKUP(D183,part_details,5,FALSE)+VLOOKUP(D183,part_details,6,FALSE))*'Multi-level BOM'!E183,"")</f>
        <v>23.434999999999999</v>
      </c>
      <c r="J183" s="4">
        <f t="shared" ref="J183:S183" si="91">IF($B183="",J182,
    IF(J$3=$B183,$E183,
       IF(J$3&lt;$B183,J182,
           1
)))</f>
        <v>1</v>
      </c>
      <c r="K183" s="4">
        <f t="shared" si="91"/>
        <v>1</v>
      </c>
      <c r="L183" s="4">
        <f t="shared" si="91"/>
        <v>1</v>
      </c>
      <c r="M183" s="4">
        <f t="shared" si="91"/>
        <v>1</v>
      </c>
      <c r="N183" s="4">
        <f t="shared" si="91"/>
        <v>1</v>
      </c>
      <c r="O183" s="4">
        <f t="shared" si="91"/>
        <v>1</v>
      </c>
      <c r="P183" s="4">
        <f t="shared" si="91"/>
        <v>1</v>
      </c>
      <c r="Q183" s="4">
        <f t="shared" si="91"/>
        <v>1</v>
      </c>
      <c r="R183" s="4">
        <f t="shared" si="91"/>
        <v>1</v>
      </c>
      <c r="S183" s="4">
        <f t="shared" si="91"/>
        <v>1</v>
      </c>
      <c r="U183" s="3">
        <f t="shared" si="58"/>
        <v>0</v>
      </c>
      <c r="V183" s="1" t="str">
        <f t="shared" si="53"/>
        <v/>
      </c>
    </row>
    <row r="184" spans="1:22" x14ac:dyDescent="0.25">
      <c r="A184" s="2">
        <v>181</v>
      </c>
      <c r="B184" s="2">
        <v>3</v>
      </c>
      <c r="C184" s="8" t="s">
        <v>864</v>
      </c>
      <c r="D184" s="2" t="s">
        <v>67</v>
      </c>
      <c r="E184" s="2">
        <v>4</v>
      </c>
      <c r="G184" s="1" t="str">
        <f>IF(D184="","",VLOOKUP(D184,Table1[#All],2,FALSE))</f>
        <v xml:space="preserve">M4 x 10mm Alloy Steel Hex Bolt Socket Head Cap Screws </v>
      </c>
      <c r="H184" s="2">
        <f t="shared" si="86"/>
        <v>4</v>
      </c>
      <c r="I184" s="44">
        <f>IF(D184&lt;&gt;"",(VLOOKUP(D184,part_details,4,FALSE)+VLOOKUP(D184,part_details,5,FALSE)+VLOOKUP(D184,part_details,6,FALSE))*'Multi-level BOM'!E184,"")</f>
        <v>0.5503838561087957</v>
      </c>
      <c r="J184" s="4">
        <f t="shared" ref="J184:S184" si="92">IF($B184="",J183,
    IF(J$3=$B184,$E184,
       IF(J$3&lt;$B184,J183,
           1
)))</f>
        <v>1</v>
      </c>
      <c r="K184" s="4">
        <f t="shared" si="92"/>
        <v>1</v>
      </c>
      <c r="L184" s="4">
        <f t="shared" si="92"/>
        <v>1</v>
      </c>
      <c r="M184" s="4">
        <f t="shared" si="92"/>
        <v>4</v>
      </c>
      <c r="N184" s="4">
        <f t="shared" si="92"/>
        <v>1</v>
      </c>
      <c r="O184" s="4">
        <f t="shared" si="92"/>
        <v>1</v>
      </c>
      <c r="P184" s="4">
        <f t="shared" si="92"/>
        <v>1</v>
      </c>
      <c r="Q184" s="4">
        <f t="shared" si="92"/>
        <v>1</v>
      </c>
      <c r="R184" s="4">
        <f t="shared" si="92"/>
        <v>1</v>
      </c>
      <c r="S184" s="4">
        <f t="shared" si="92"/>
        <v>1</v>
      </c>
      <c r="U184" s="3">
        <f t="shared" si="58"/>
        <v>0</v>
      </c>
      <c r="V184" s="1" t="str">
        <f t="shared" si="53"/>
        <v/>
      </c>
    </row>
    <row r="185" spans="1:22" x14ac:dyDescent="0.25">
      <c r="A185" s="2">
        <v>182</v>
      </c>
      <c r="B185" s="2">
        <v>3</v>
      </c>
      <c r="C185" s="8" t="s">
        <v>770</v>
      </c>
      <c r="D185" s="2" t="s">
        <v>47</v>
      </c>
      <c r="E185" s="2">
        <v>4</v>
      </c>
      <c r="G185" s="1" t="str">
        <f>IF(D185="","",VLOOKUP(D185,Table1[#All],2,FALSE))</f>
        <v xml:space="preserve">M4x12mmx1 mm Stainless Steel Round Flat Washer </v>
      </c>
      <c r="H185" s="2">
        <f t="shared" si="86"/>
        <v>4</v>
      </c>
      <c r="I185" s="44">
        <f>IF(D185&lt;&gt;"",(VLOOKUP(D185,part_details,4,FALSE)+VLOOKUP(D185,part_details,5,FALSE)+VLOOKUP(D185,part_details,6,FALSE))*'Multi-level BOM'!E185,"")</f>
        <v>6.8797982013599462E-2</v>
      </c>
      <c r="J185" s="4">
        <f t="shared" ref="J185:S185" si="93">IF($B185="",J184,
    IF(J$3=$B185,$E185,
       IF(J$3&lt;$B185,J184,
           1
)))</f>
        <v>1</v>
      </c>
      <c r="K185" s="4">
        <f t="shared" si="93"/>
        <v>1</v>
      </c>
      <c r="L185" s="4">
        <f t="shared" si="93"/>
        <v>1</v>
      </c>
      <c r="M185" s="4">
        <f t="shared" si="93"/>
        <v>4</v>
      </c>
      <c r="N185" s="4">
        <f t="shared" si="93"/>
        <v>1</v>
      </c>
      <c r="O185" s="4">
        <f t="shared" si="93"/>
        <v>1</v>
      </c>
      <c r="P185" s="4">
        <f t="shared" si="93"/>
        <v>1</v>
      </c>
      <c r="Q185" s="4">
        <f t="shared" si="93"/>
        <v>1</v>
      </c>
      <c r="R185" s="4">
        <f t="shared" si="93"/>
        <v>1</v>
      </c>
      <c r="S185" s="4">
        <f t="shared" si="93"/>
        <v>1</v>
      </c>
      <c r="U185" s="3">
        <f t="shared" si="58"/>
        <v>0</v>
      </c>
      <c r="V185" s="1" t="str">
        <f t="shared" si="53"/>
        <v/>
      </c>
    </row>
    <row r="186" spans="1:22" x14ac:dyDescent="0.25">
      <c r="A186" s="2">
        <v>183</v>
      </c>
      <c r="B186" s="2">
        <v>3</v>
      </c>
      <c r="C186" s="8" t="s">
        <v>714</v>
      </c>
      <c r="D186" s="2" t="s">
        <v>26</v>
      </c>
      <c r="E186" s="2">
        <v>1</v>
      </c>
      <c r="G186" s="1" t="str">
        <f>IF(D186="","",VLOOKUP(D186,Table1[#All],2,FALSE))</f>
        <v>8mm T8x2 Lead Screw Trapezoidal ACME w/ Small Delrin Anti-Backlash Nut kit</v>
      </c>
      <c r="H186" s="2">
        <f t="shared" si="86"/>
        <v>1</v>
      </c>
      <c r="I186" s="44">
        <f>IF(D186&lt;&gt;"",(VLOOKUP(D186,part_details,4,FALSE)+VLOOKUP(D186,part_details,5,FALSE)+VLOOKUP(D186,part_details,6,FALSE))*'Multi-level BOM'!E186,"")</f>
        <v>21.837250000000001</v>
      </c>
      <c r="J186" s="4">
        <f t="shared" ref="J186:S186" si="94">IF($B186="",J185,
    IF(J$3=$B186,$E186,
       IF(J$3&lt;$B186,J185,
           1
)))</f>
        <v>1</v>
      </c>
      <c r="K186" s="4">
        <f t="shared" si="94"/>
        <v>1</v>
      </c>
      <c r="L186" s="4">
        <f t="shared" si="94"/>
        <v>1</v>
      </c>
      <c r="M186" s="4">
        <f t="shared" si="94"/>
        <v>1</v>
      </c>
      <c r="N186" s="4">
        <f t="shared" si="94"/>
        <v>1</v>
      </c>
      <c r="O186" s="4">
        <f t="shared" si="94"/>
        <v>1</v>
      </c>
      <c r="P186" s="4">
        <f t="shared" si="94"/>
        <v>1</v>
      </c>
      <c r="Q186" s="4">
        <f t="shared" si="94"/>
        <v>1</v>
      </c>
      <c r="R186" s="4">
        <f t="shared" si="94"/>
        <v>1</v>
      </c>
      <c r="S186" s="4">
        <f t="shared" si="94"/>
        <v>1</v>
      </c>
      <c r="U186" s="3">
        <f t="shared" si="58"/>
        <v>0</v>
      </c>
      <c r="V186" s="1" t="str">
        <f t="shared" si="53"/>
        <v/>
      </c>
    </row>
    <row r="187" spans="1:22" x14ac:dyDescent="0.25">
      <c r="A187" s="2">
        <v>184</v>
      </c>
      <c r="B187" s="2">
        <v>3</v>
      </c>
      <c r="C187" s="8" t="s">
        <v>862</v>
      </c>
      <c r="D187" s="2" t="s">
        <v>66</v>
      </c>
      <c r="E187" s="2">
        <v>1</v>
      </c>
      <c r="G187" s="1" t="str">
        <f>IF(D187="","",VLOOKUP(D187,Table1[#All],2,FALSE))</f>
        <v>Flexible Couplings 5mm to 8mm NEMA 17 Shaft Coupler</v>
      </c>
      <c r="H187" s="2">
        <f t="shared" si="86"/>
        <v>1</v>
      </c>
      <c r="I187" s="44">
        <f>IF(D187&lt;&gt;"",(VLOOKUP(D187,part_details,4,FALSE)+VLOOKUP(D187,part_details,5,FALSE)+VLOOKUP(D187,part_details,6,FALSE))*'Multi-level BOM'!E187,"")</f>
        <v>5.088916666666667</v>
      </c>
      <c r="J187" s="4">
        <f t="shared" ref="J187:S187" si="95">IF($B187="",J186,
    IF(J$3=$B187,$E187,
       IF(J$3&lt;$B187,J186,
           1
)))</f>
        <v>1</v>
      </c>
      <c r="K187" s="4">
        <f t="shared" si="95"/>
        <v>1</v>
      </c>
      <c r="L187" s="4">
        <f t="shared" si="95"/>
        <v>1</v>
      </c>
      <c r="M187" s="4">
        <f t="shared" si="95"/>
        <v>1</v>
      </c>
      <c r="N187" s="4">
        <f t="shared" si="95"/>
        <v>1</v>
      </c>
      <c r="O187" s="4">
        <f t="shared" si="95"/>
        <v>1</v>
      </c>
      <c r="P187" s="4">
        <f t="shared" si="95"/>
        <v>1</v>
      </c>
      <c r="Q187" s="4">
        <f t="shared" si="95"/>
        <v>1</v>
      </c>
      <c r="R187" s="4">
        <f t="shared" si="95"/>
        <v>1</v>
      </c>
      <c r="S187" s="4">
        <f t="shared" si="95"/>
        <v>1</v>
      </c>
      <c r="U187" s="3">
        <f t="shared" si="58"/>
        <v>0</v>
      </c>
      <c r="V187" s="1" t="str">
        <f t="shared" si="53"/>
        <v/>
      </c>
    </row>
    <row r="188" spans="1:22" x14ac:dyDescent="0.25">
      <c r="A188" s="2">
        <v>185</v>
      </c>
      <c r="B188" s="2">
        <v>3</v>
      </c>
      <c r="C188" s="8" t="s">
        <v>706</v>
      </c>
      <c r="D188" s="2" t="s">
        <v>29</v>
      </c>
      <c r="E188" s="2">
        <v>1</v>
      </c>
      <c r="G188" s="1" t="str">
        <f>IF(D188="","",VLOOKUP(D188,Table1[#All],2,FALSE))</f>
        <v>T6061 Al Angle extrusion 2.5" x 2.5" x .25 thick, 3" long</v>
      </c>
      <c r="H188" s="2">
        <f t="shared" si="86"/>
        <v>1</v>
      </c>
      <c r="I188" s="44">
        <f>IF(D188&lt;&gt;"",(VLOOKUP(D188,part_details,4,FALSE)+VLOOKUP(D188,part_details,5,FALSE)+VLOOKUP(D188,part_details,6,FALSE))*'Multi-level BOM'!E188,"")</f>
        <v>4.7693750000000001</v>
      </c>
      <c r="J188" s="4">
        <f t="shared" ref="J188:S188" si="96">IF($B188="",J187,
    IF(J$3=$B188,$E188,
       IF(J$3&lt;$B188,J187,
           1
)))</f>
        <v>1</v>
      </c>
      <c r="K188" s="4">
        <f t="shared" si="96"/>
        <v>1</v>
      </c>
      <c r="L188" s="4">
        <f t="shared" si="96"/>
        <v>1</v>
      </c>
      <c r="M188" s="4">
        <f t="shared" si="96"/>
        <v>1</v>
      </c>
      <c r="N188" s="4">
        <f t="shared" si="96"/>
        <v>1</v>
      </c>
      <c r="O188" s="4">
        <f t="shared" si="96"/>
        <v>1</v>
      </c>
      <c r="P188" s="4">
        <f t="shared" si="96"/>
        <v>1</v>
      </c>
      <c r="Q188" s="4">
        <f t="shared" si="96"/>
        <v>1</v>
      </c>
      <c r="R188" s="4">
        <f t="shared" si="96"/>
        <v>1</v>
      </c>
      <c r="S188" s="4">
        <f t="shared" si="96"/>
        <v>1</v>
      </c>
      <c r="U188" s="3">
        <f t="shared" si="58"/>
        <v>0</v>
      </c>
      <c r="V188" s="1" t="str">
        <f t="shared" si="53"/>
        <v/>
      </c>
    </row>
    <row r="189" spans="1:22" x14ac:dyDescent="0.25">
      <c r="A189" s="2">
        <v>186</v>
      </c>
      <c r="B189" s="2">
        <v>3</v>
      </c>
      <c r="C189" s="8" t="s">
        <v>707</v>
      </c>
      <c r="D189" s="2" t="s">
        <v>32</v>
      </c>
      <c r="E189" s="2">
        <v>2</v>
      </c>
      <c r="G189" s="1" t="str">
        <f>IF(D189="","",VLOOKUP(D189,Table1[#All],2,FALSE))</f>
        <v>M5-0.8 x 16mm Button Head Socket Cap Screws</v>
      </c>
      <c r="H189" s="2">
        <f t="shared" si="86"/>
        <v>2</v>
      </c>
      <c r="I189" s="44">
        <f>IF(D189&lt;&gt;"",(VLOOKUP(D189,part_details,4,FALSE)+VLOOKUP(D189,part_details,5,FALSE)+VLOOKUP(D189,part_details,6,FALSE))*'Multi-level BOM'!E189,"")</f>
        <v>0.33023031366527733</v>
      </c>
      <c r="J189" s="4">
        <f t="shared" ref="J189:S189" si="97">IF($B189="",J188,
    IF(J$3=$B189,$E189,
       IF(J$3&lt;$B189,J188,
           1
)))</f>
        <v>1</v>
      </c>
      <c r="K189" s="4">
        <f t="shared" si="97"/>
        <v>1</v>
      </c>
      <c r="L189" s="4">
        <f t="shared" si="97"/>
        <v>1</v>
      </c>
      <c r="M189" s="4">
        <f t="shared" si="97"/>
        <v>2</v>
      </c>
      <c r="N189" s="4">
        <f t="shared" si="97"/>
        <v>1</v>
      </c>
      <c r="O189" s="4">
        <f t="shared" si="97"/>
        <v>1</v>
      </c>
      <c r="P189" s="4">
        <f t="shared" si="97"/>
        <v>1</v>
      </c>
      <c r="Q189" s="4">
        <f t="shared" si="97"/>
        <v>1</v>
      </c>
      <c r="R189" s="4">
        <f t="shared" si="97"/>
        <v>1</v>
      </c>
      <c r="S189" s="4">
        <f t="shared" si="97"/>
        <v>1</v>
      </c>
      <c r="U189" s="3">
        <f t="shared" si="58"/>
        <v>0</v>
      </c>
      <c r="V189" s="1" t="str">
        <f t="shared" si="53"/>
        <v/>
      </c>
    </row>
    <row r="190" spans="1:22" x14ac:dyDescent="0.25">
      <c r="A190" s="2">
        <v>187</v>
      </c>
      <c r="B190" s="2">
        <v>3</v>
      </c>
      <c r="C190" s="8" t="s">
        <v>867</v>
      </c>
      <c r="D190" s="2" t="s">
        <v>68</v>
      </c>
      <c r="E190" s="2">
        <v>3</v>
      </c>
      <c r="G190" s="1" t="str">
        <f>IF(D190="","",VLOOKUP(D190,Table1[#All],2,FALSE))</f>
        <v>M5x10mmx1mm Stainless Steel Metric Round Flat Washer</v>
      </c>
      <c r="H190" s="2">
        <f t="shared" si="86"/>
        <v>3</v>
      </c>
      <c r="I190" s="44">
        <f>IF(D190&lt;&gt;"",(VLOOKUP(D190,part_details,4,FALSE)+VLOOKUP(D190,part_details,5,FALSE)+VLOOKUP(D190,part_details,6,FALSE))*'Multi-level BOM'!E190,"")</f>
        <v>7.3063456898442625E-2</v>
      </c>
      <c r="J190" s="4">
        <f t="shared" ref="J190:S190" si="98">IF($B190="",J189,
    IF(J$3=$B190,$E190,
       IF(J$3&lt;$B190,J189,
           1
)))</f>
        <v>1</v>
      </c>
      <c r="K190" s="4">
        <f t="shared" si="98"/>
        <v>1</v>
      </c>
      <c r="L190" s="4">
        <f t="shared" si="98"/>
        <v>1</v>
      </c>
      <c r="M190" s="4">
        <f t="shared" si="98"/>
        <v>3</v>
      </c>
      <c r="N190" s="4">
        <f t="shared" si="98"/>
        <v>1</v>
      </c>
      <c r="O190" s="4">
        <f t="shared" si="98"/>
        <v>1</v>
      </c>
      <c r="P190" s="4">
        <f t="shared" si="98"/>
        <v>1</v>
      </c>
      <c r="Q190" s="4">
        <f t="shared" si="98"/>
        <v>1</v>
      </c>
      <c r="R190" s="4">
        <f t="shared" si="98"/>
        <v>1</v>
      </c>
      <c r="S190" s="4">
        <f t="shared" si="98"/>
        <v>1</v>
      </c>
      <c r="U190" s="3">
        <f t="shared" si="58"/>
        <v>0</v>
      </c>
      <c r="V190" s="1" t="str">
        <f t="shared" si="53"/>
        <v/>
      </c>
    </row>
    <row r="191" spans="1:22" x14ac:dyDescent="0.25">
      <c r="A191" s="2">
        <v>188</v>
      </c>
      <c r="B191" s="2">
        <v>3</v>
      </c>
      <c r="C191" s="8" t="s">
        <v>710</v>
      </c>
      <c r="D191" s="2" t="s">
        <v>33</v>
      </c>
      <c r="E191" s="2">
        <v>3</v>
      </c>
      <c r="G191" s="1" t="str">
        <f>IF(D191="","",VLOOKUP(D191,Table1[#All],2,FALSE))</f>
        <v>Sliding T Slot Nuts 4040 Series M5 26 Pack T Nuts Carbon Steel</v>
      </c>
      <c r="H191" s="2">
        <f t="shared" si="86"/>
        <v>3</v>
      </c>
      <c r="I191" s="44">
        <f>IF(D191&lt;&gt;"",(VLOOKUP(D191,part_details,4,FALSE)+VLOOKUP(D191,part_details,5,FALSE)+VLOOKUP(D191,part_details,6,FALSE))*'Multi-level BOM'!E191,"")</f>
        <v>1.0174730769230771</v>
      </c>
      <c r="J191" s="4">
        <f t="shared" ref="J191:S191" si="99">IF($B191="",J190,
    IF(J$3=$B191,$E191,
       IF(J$3&lt;$B191,J190,
           1
)))</f>
        <v>1</v>
      </c>
      <c r="K191" s="4">
        <f t="shared" si="99"/>
        <v>1</v>
      </c>
      <c r="L191" s="4">
        <f t="shared" si="99"/>
        <v>1</v>
      </c>
      <c r="M191" s="4">
        <f t="shared" si="99"/>
        <v>3</v>
      </c>
      <c r="N191" s="4">
        <f t="shared" si="99"/>
        <v>1</v>
      </c>
      <c r="O191" s="4">
        <f t="shared" si="99"/>
        <v>1</v>
      </c>
      <c r="P191" s="4">
        <f t="shared" si="99"/>
        <v>1</v>
      </c>
      <c r="Q191" s="4">
        <f t="shared" si="99"/>
        <v>1</v>
      </c>
      <c r="R191" s="4">
        <f t="shared" si="99"/>
        <v>1</v>
      </c>
      <c r="S191" s="4">
        <f t="shared" si="99"/>
        <v>1</v>
      </c>
      <c r="U191" s="3">
        <f t="shared" si="58"/>
        <v>0</v>
      </c>
      <c r="V191" s="1" t="str">
        <f t="shared" si="53"/>
        <v/>
      </c>
    </row>
    <row r="192" spans="1:22" x14ac:dyDescent="0.25">
      <c r="A192" s="2">
        <v>189</v>
      </c>
      <c r="B192" s="2">
        <v>3</v>
      </c>
      <c r="C192" s="8" t="s">
        <v>863</v>
      </c>
      <c r="D192" s="2" t="s">
        <v>74</v>
      </c>
      <c r="E192" s="2">
        <v>1</v>
      </c>
      <c r="G192" s="1" t="str">
        <f>IF(D192="","",VLOOKUP(D192,Table1[#All],2,FALSE))</f>
        <v xml:space="preserve">Aluminum angle 2" x 1" x .125 thick, 12" long </v>
      </c>
      <c r="H192" s="2">
        <f t="shared" si="86"/>
        <v>1</v>
      </c>
      <c r="I192" s="44">
        <f>IF(D192&lt;&gt;"",(VLOOKUP(D192,part_details,4,FALSE)+VLOOKUP(D192,part_details,5,FALSE)+VLOOKUP(D192,part_details,6,FALSE))*'Multi-level BOM'!E192,"")</f>
        <v>0</v>
      </c>
      <c r="J192" s="4">
        <f t="shared" ref="J192:S192" si="100">IF($B192="",J191,
    IF(J$3=$B192,$E192,
       IF(J$3&lt;$B192,J191,
           1
)))</f>
        <v>1</v>
      </c>
      <c r="K192" s="4">
        <f t="shared" si="100"/>
        <v>1</v>
      </c>
      <c r="L192" s="4">
        <f t="shared" si="100"/>
        <v>1</v>
      </c>
      <c r="M192" s="4">
        <f t="shared" si="100"/>
        <v>1</v>
      </c>
      <c r="N192" s="4">
        <f t="shared" si="100"/>
        <v>1</v>
      </c>
      <c r="O192" s="4">
        <f t="shared" si="100"/>
        <v>1</v>
      </c>
      <c r="P192" s="4">
        <f t="shared" si="100"/>
        <v>1</v>
      </c>
      <c r="Q192" s="4">
        <f t="shared" si="100"/>
        <v>1</v>
      </c>
      <c r="R192" s="4">
        <f t="shared" si="100"/>
        <v>1</v>
      </c>
      <c r="S192" s="4">
        <f t="shared" si="100"/>
        <v>1</v>
      </c>
      <c r="U192" s="3">
        <f t="shared" si="58"/>
        <v>0</v>
      </c>
      <c r="V192" s="1" t="str">
        <f t="shared" si="53"/>
        <v/>
      </c>
    </row>
    <row r="193" spans="1:22" x14ac:dyDescent="0.25">
      <c r="A193" s="2">
        <v>190</v>
      </c>
      <c r="B193" s="2">
        <v>3</v>
      </c>
      <c r="C193" s="8" t="s">
        <v>717</v>
      </c>
      <c r="D193" s="2" t="s">
        <v>31</v>
      </c>
      <c r="E193" s="2">
        <v>1</v>
      </c>
      <c r="G193" s="1" t="str">
        <f>IF(D193="","",VLOOKUP(D193,Table1[#All],2,FALSE))</f>
        <v>T 6061 Al Angle extrusion 2" x 2" x .125" 6" aluminum (for side ball mount)</v>
      </c>
      <c r="H193" s="2">
        <f t="shared" si="86"/>
        <v>1</v>
      </c>
      <c r="I193" s="44">
        <f>IF(D193&lt;&gt;"",(VLOOKUP(D193,part_details,4,FALSE)+VLOOKUP(D193,part_details,5,FALSE)+VLOOKUP(D193,part_details,6,FALSE))*'Multi-level BOM'!E193,"")</f>
        <v>4.7554465500000003</v>
      </c>
      <c r="J193" s="4">
        <f t="shared" ref="J193:S193" si="101">IF($B193="",J192,
    IF(J$3=$B193,$E193,
       IF(J$3&lt;$B193,J192,
           1
)))</f>
        <v>1</v>
      </c>
      <c r="K193" s="4">
        <f t="shared" si="101"/>
        <v>1</v>
      </c>
      <c r="L193" s="4">
        <f t="shared" si="101"/>
        <v>1</v>
      </c>
      <c r="M193" s="4">
        <f t="shared" si="101"/>
        <v>1</v>
      </c>
      <c r="N193" s="4">
        <f t="shared" si="101"/>
        <v>1</v>
      </c>
      <c r="O193" s="4">
        <f t="shared" si="101"/>
        <v>1</v>
      </c>
      <c r="P193" s="4">
        <f t="shared" si="101"/>
        <v>1</v>
      </c>
      <c r="Q193" s="4">
        <f t="shared" si="101"/>
        <v>1</v>
      </c>
      <c r="R193" s="4">
        <f t="shared" si="101"/>
        <v>1</v>
      </c>
      <c r="S193" s="4">
        <f t="shared" si="101"/>
        <v>1</v>
      </c>
      <c r="U193" s="3">
        <f t="shared" si="58"/>
        <v>0</v>
      </c>
      <c r="V193" s="1" t="str">
        <f t="shared" si="53"/>
        <v/>
      </c>
    </row>
    <row r="194" spans="1:22" x14ac:dyDescent="0.25">
      <c r="A194" s="2">
        <v>191</v>
      </c>
      <c r="B194" s="2">
        <v>3</v>
      </c>
      <c r="C194" s="8" t="s">
        <v>765</v>
      </c>
      <c r="D194" s="2" t="s">
        <v>42</v>
      </c>
      <c r="E194" s="2">
        <v>1</v>
      </c>
      <c r="G194" s="1" t="str">
        <f>IF(D194="","",VLOOKUP(D194,Table1[#All],2,FALSE))</f>
        <v>DIN 319 Ball Knob, .63" diameter, M4 threaded hole</v>
      </c>
      <c r="H194" s="2">
        <f t="shared" si="86"/>
        <v>1</v>
      </c>
      <c r="I194" s="44">
        <f>IF(D194&lt;&gt;"",(VLOOKUP(D194,part_details,4,FALSE)+VLOOKUP(D194,part_details,5,FALSE)+VLOOKUP(D194,part_details,6,FALSE))*'Multi-level BOM'!E194,"")</f>
        <v>7.2021000000000006</v>
      </c>
      <c r="J194" s="4">
        <f t="shared" ref="J194:S194" si="102">IF($B194="",J193,
    IF(J$3=$B194,$E194,
       IF(J$3&lt;$B194,J193,
           1
)))</f>
        <v>1</v>
      </c>
      <c r="K194" s="4">
        <f t="shared" si="102"/>
        <v>1</v>
      </c>
      <c r="L194" s="4">
        <f t="shared" si="102"/>
        <v>1</v>
      </c>
      <c r="M194" s="4">
        <f t="shared" si="102"/>
        <v>1</v>
      </c>
      <c r="N194" s="4">
        <f t="shared" si="102"/>
        <v>1</v>
      </c>
      <c r="O194" s="4">
        <f t="shared" si="102"/>
        <v>1</v>
      </c>
      <c r="P194" s="4">
        <f t="shared" si="102"/>
        <v>1</v>
      </c>
      <c r="Q194" s="4">
        <f t="shared" si="102"/>
        <v>1</v>
      </c>
      <c r="R194" s="4">
        <f t="shared" si="102"/>
        <v>1</v>
      </c>
      <c r="S194" s="4">
        <f t="shared" si="102"/>
        <v>1</v>
      </c>
      <c r="U194" s="3">
        <f t="shared" si="58"/>
        <v>0</v>
      </c>
      <c r="V194" s="1" t="str">
        <f t="shared" si="53"/>
        <v/>
      </c>
    </row>
    <row r="195" spans="1:22" x14ac:dyDescent="0.25">
      <c r="A195" s="2">
        <v>192</v>
      </c>
      <c r="B195" s="2">
        <v>3</v>
      </c>
      <c r="C195" s="30" t="s">
        <v>799</v>
      </c>
      <c r="E195" s="2">
        <v>1</v>
      </c>
      <c r="G195" s="1" t="str">
        <f>IF(D195="","",VLOOKUP(D195,Table1[#All],2,FALSE))</f>
        <v/>
      </c>
      <c r="H195" s="2">
        <f t="shared" si="86"/>
        <v>1</v>
      </c>
      <c r="I195" s="44" t="str">
        <f>IF(D195&lt;&gt;"",(VLOOKUP(D195,part_details,4,FALSE)+VLOOKUP(D195,part_details,5,FALSE)+VLOOKUP(D195,part_details,6,FALSE))*'Multi-level BOM'!E195,"")</f>
        <v/>
      </c>
      <c r="J195" s="4">
        <f t="shared" ref="J195:S195" si="103">IF($B195="",J194,
    IF(J$3=$B195,$E195,
       IF(J$3&lt;$B195,J194,
           1
)))</f>
        <v>1</v>
      </c>
      <c r="K195" s="4">
        <f t="shared" si="103"/>
        <v>1</v>
      </c>
      <c r="L195" s="4">
        <f t="shared" si="103"/>
        <v>1</v>
      </c>
      <c r="M195" s="4">
        <f t="shared" si="103"/>
        <v>1</v>
      </c>
      <c r="N195" s="4">
        <f t="shared" si="103"/>
        <v>1</v>
      </c>
      <c r="O195" s="4">
        <f t="shared" si="103"/>
        <v>1</v>
      </c>
      <c r="P195" s="4">
        <f t="shared" si="103"/>
        <v>1</v>
      </c>
      <c r="Q195" s="4">
        <f t="shared" si="103"/>
        <v>1</v>
      </c>
      <c r="R195" s="4">
        <f t="shared" si="103"/>
        <v>1</v>
      </c>
      <c r="S195" s="4">
        <f t="shared" si="103"/>
        <v>1</v>
      </c>
      <c r="U195" s="3">
        <f t="shared" si="58"/>
        <v>0</v>
      </c>
      <c r="V195" s="1" t="str">
        <f t="shared" si="53"/>
        <v/>
      </c>
    </row>
    <row r="196" spans="1:22" x14ac:dyDescent="0.25">
      <c r="A196" s="2">
        <v>193</v>
      </c>
      <c r="B196" s="2">
        <v>3</v>
      </c>
      <c r="C196" s="30" t="s">
        <v>800</v>
      </c>
      <c r="D196" s="2" t="s">
        <v>46</v>
      </c>
      <c r="E196" s="2">
        <v>2</v>
      </c>
      <c r="G196" s="1" t="str">
        <f>IF(D196="","",VLOOKUP(D196,Table1[#All],2,FALSE))</f>
        <v>M4 x 0.7mm 304 Stainless Steel Nylon Lock Nuts</v>
      </c>
      <c r="H196" s="2">
        <f t="shared" si="86"/>
        <v>2</v>
      </c>
      <c r="I196" s="44">
        <f>IF(D196&lt;&gt;"",(VLOOKUP(D196,part_details,4,FALSE)+VLOOKUP(D196,part_details,5,FALSE)+VLOOKUP(D196,part_details,6,FALSE))*'Multi-level BOM'!E196,"")</f>
        <v>9.9069094099583213E-2</v>
      </c>
      <c r="J196" s="4">
        <f t="shared" ref="J196:S196" si="104">IF($B196="",J195,
    IF(J$3=$B196,$E196,
       IF(J$3&lt;$B196,J195,
           1
)))</f>
        <v>1</v>
      </c>
      <c r="K196" s="4">
        <f t="shared" si="104"/>
        <v>1</v>
      </c>
      <c r="L196" s="4">
        <f t="shared" si="104"/>
        <v>1</v>
      </c>
      <c r="M196" s="4">
        <f t="shared" si="104"/>
        <v>2</v>
      </c>
      <c r="N196" s="4">
        <f t="shared" si="104"/>
        <v>1</v>
      </c>
      <c r="O196" s="4">
        <f t="shared" si="104"/>
        <v>1</v>
      </c>
      <c r="P196" s="4">
        <f t="shared" si="104"/>
        <v>1</v>
      </c>
      <c r="Q196" s="4">
        <f t="shared" si="104"/>
        <v>1</v>
      </c>
      <c r="R196" s="4">
        <f t="shared" si="104"/>
        <v>1</v>
      </c>
      <c r="S196" s="4">
        <f t="shared" si="104"/>
        <v>1</v>
      </c>
      <c r="U196" s="3">
        <f t="shared" si="58"/>
        <v>0</v>
      </c>
      <c r="V196" s="1" t="str">
        <f t="shared" si="53"/>
        <v/>
      </c>
    </row>
    <row r="197" spans="1:22" x14ac:dyDescent="0.25">
      <c r="A197" s="2">
        <v>194</v>
      </c>
      <c r="B197" s="2">
        <v>3</v>
      </c>
      <c r="C197" s="30" t="s">
        <v>770</v>
      </c>
      <c r="D197" s="2" t="s">
        <v>47</v>
      </c>
      <c r="E197" s="2">
        <v>6</v>
      </c>
      <c r="G197" s="1" t="str">
        <f>IF(D197="","",VLOOKUP(D197,Table1[#All],2,FALSE))</f>
        <v xml:space="preserve">M4x12mmx1 mm Stainless Steel Round Flat Washer </v>
      </c>
      <c r="H197" s="2">
        <f t="shared" si="86"/>
        <v>6</v>
      </c>
      <c r="I197" s="44">
        <f>IF(D197&lt;&gt;"",(VLOOKUP(D197,part_details,4,FALSE)+VLOOKUP(D197,part_details,5,FALSE)+VLOOKUP(D197,part_details,6,FALSE))*'Multi-level BOM'!E197,"")</f>
        <v>0.10319697302039919</v>
      </c>
      <c r="J197" s="4">
        <f t="shared" ref="J197:S201" si="105">IF($B197="",J196,
    IF(J$3=$B197,$E197,
       IF(J$3&lt;$B197,J196,
           1
)))</f>
        <v>1</v>
      </c>
      <c r="K197" s="4">
        <f t="shared" si="105"/>
        <v>1</v>
      </c>
      <c r="L197" s="4">
        <f t="shared" si="105"/>
        <v>1</v>
      </c>
      <c r="M197" s="4">
        <f t="shared" si="105"/>
        <v>6</v>
      </c>
      <c r="N197" s="4">
        <f t="shared" si="105"/>
        <v>1</v>
      </c>
      <c r="O197" s="4">
        <f t="shared" si="105"/>
        <v>1</v>
      </c>
      <c r="P197" s="4">
        <f t="shared" si="105"/>
        <v>1</v>
      </c>
      <c r="Q197" s="4">
        <f t="shared" si="105"/>
        <v>1</v>
      </c>
      <c r="R197" s="4">
        <f t="shared" si="105"/>
        <v>1</v>
      </c>
      <c r="S197" s="4">
        <f t="shared" si="105"/>
        <v>1</v>
      </c>
      <c r="U197" s="3">
        <f t="shared" si="58"/>
        <v>0</v>
      </c>
      <c r="V197" s="1" t="str">
        <f t="shared" si="53"/>
        <v/>
      </c>
    </row>
    <row r="198" spans="1:22" x14ac:dyDescent="0.25">
      <c r="A198" s="2">
        <v>195</v>
      </c>
      <c r="C198" s="7"/>
      <c r="G198" s="1" t="str">
        <f>IF(D198="","",VLOOKUP(D198,Table1[#All],2,FALSE))</f>
        <v/>
      </c>
      <c r="I198" s="44" t="str">
        <f>IF(D198&lt;&gt;"",VLOOKUP(D198,part_details,4,FALSE)*'Multi-level BOM'!E198,"")</f>
        <v/>
      </c>
      <c r="J198" s="4">
        <f t="shared" si="105"/>
        <v>1</v>
      </c>
      <c r="K198" s="4">
        <f t="shared" si="105"/>
        <v>1</v>
      </c>
      <c r="L198" s="4">
        <f t="shared" si="105"/>
        <v>1</v>
      </c>
      <c r="M198" s="4">
        <f t="shared" si="105"/>
        <v>6</v>
      </c>
      <c r="N198" s="4">
        <f t="shared" si="105"/>
        <v>1</v>
      </c>
      <c r="O198" s="4">
        <f t="shared" si="105"/>
        <v>1</v>
      </c>
      <c r="P198" s="4">
        <f t="shared" si="105"/>
        <v>1</v>
      </c>
      <c r="Q198" s="4">
        <f t="shared" si="105"/>
        <v>1</v>
      </c>
      <c r="R198" s="4">
        <f t="shared" si="105"/>
        <v>1</v>
      </c>
      <c r="S198" s="4">
        <f t="shared" si="105"/>
        <v>1</v>
      </c>
      <c r="U198" s="3">
        <f t="shared" si="58"/>
        <v>0</v>
      </c>
      <c r="V198" s="1" t="str">
        <f t="shared" ref="V198:V242" si="106">IF(F198="x",D198,"")</f>
        <v/>
      </c>
    </row>
    <row r="199" spans="1:22" ht="15.75" x14ac:dyDescent="0.25">
      <c r="A199" s="2">
        <v>196</v>
      </c>
      <c r="B199" s="2">
        <v>1</v>
      </c>
      <c r="C199" s="7" t="s">
        <v>771</v>
      </c>
      <c r="E199" s="2">
        <v>1</v>
      </c>
      <c r="G199" s="1" t="str">
        <f>IF(D199="","",VLOOKUP(D199,Table1[#All],2,FALSE))</f>
        <v/>
      </c>
      <c r="H199" s="2">
        <f t="shared" ref="H199:H206" si="107">PRODUCT(J199:S199)</f>
        <v>1</v>
      </c>
      <c r="I199" s="47">
        <f>H199*SUM(I200:I206)</f>
        <v>160.97409999999999</v>
      </c>
      <c r="J199" s="4">
        <f t="shared" si="105"/>
        <v>1</v>
      </c>
      <c r="K199" s="4">
        <f t="shared" si="105"/>
        <v>1</v>
      </c>
      <c r="L199" s="4">
        <f t="shared" si="105"/>
        <v>1</v>
      </c>
      <c r="M199" s="4">
        <f t="shared" si="105"/>
        <v>1</v>
      </c>
      <c r="N199" s="4">
        <f t="shared" si="105"/>
        <v>1</v>
      </c>
      <c r="O199" s="4">
        <f t="shared" si="105"/>
        <v>1</v>
      </c>
      <c r="P199" s="4">
        <f t="shared" si="105"/>
        <v>1</v>
      </c>
      <c r="Q199" s="4">
        <f t="shared" si="105"/>
        <v>1</v>
      </c>
      <c r="R199" s="4">
        <f t="shared" si="105"/>
        <v>1</v>
      </c>
      <c r="S199" s="4">
        <f t="shared" si="105"/>
        <v>1</v>
      </c>
      <c r="U199" s="3">
        <f t="shared" si="58"/>
        <v>0</v>
      </c>
      <c r="V199" s="1" t="str">
        <f t="shared" si="106"/>
        <v/>
      </c>
    </row>
    <row r="200" spans="1:22" x14ac:dyDescent="0.25">
      <c r="A200" s="2">
        <v>197</v>
      </c>
      <c r="B200" s="2">
        <v>2</v>
      </c>
      <c r="C200" s="7" t="s">
        <v>772</v>
      </c>
      <c r="D200" s="2" t="s">
        <v>43</v>
      </c>
      <c r="E200" s="2">
        <v>1</v>
      </c>
      <c r="G200" s="1" t="str">
        <f>IF(D200="","",VLOOKUP(D200,Table1[#All],2,FALSE))</f>
        <v>1/4" thick Cast aluminum plate, 17" x 19"  Cut from top plate waste)</v>
      </c>
      <c r="H200" s="2">
        <f t="shared" si="107"/>
        <v>1</v>
      </c>
      <c r="I200" s="45">
        <f>IF(D200&lt;&gt;"",(VLOOKUP(D200,part_details,4,FALSE)+VLOOKUP(D200,part_details,5,FALSE)+VLOOKUP(D200,part_details,6,FALSE))*'Multi-level BOM'!E200,"")</f>
        <v>0</v>
      </c>
      <c r="J200" s="4">
        <f t="shared" si="105"/>
        <v>1</v>
      </c>
      <c r="K200" s="4">
        <f t="shared" si="105"/>
        <v>1</v>
      </c>
      <c r="L200" s="4">
        <f t="shared" si="105"/>
        <v>1</v>
      </c>
      <c r="M200" s="4">
        <f t="shared" si="105"/>
        <v>1</v>
      </c>
      <c r="N200" s="4">
        <f t="shared" si="105"/>
        <v>1</v>
      </c>
      <c r="O200" s="4">
        <f t="shared" si="105"/>
        <v>1</v>
      </c>
      <c r="P200" s="4">
        <f t="shared" si="105"/>
        <v>1</v>
      </c>
      <c r="Q200" s="4">
        <f t="shared" si="105"/>
        <v>1</v>
      </c>
      <c r="R200" s="4">
        <f t="shared" si="105"/>
        <v>1</v>
      </c>
      <c r="S200" s="4">
        <f t="shared" si="105"/>
        <v>1</v>
      </c>
      <c r="U200" s="3">
        <f t="shared" si="58"/>
        <v>0</v>
      </c>
      <c r="V200" s="1" t="str">
        <f t="shared" si="106"/>
        <v/>
      </c>
    </row>
    <row r="201" spans="1:22" x14ac:dyDescent="0.25">
      <c r="A201" s="2">
        <v>198</v>
      </c>
      <c r="B201" s="2">
        <v>2</v>
      </c>
      <c r="C201" s="7" t="s">
        <v>776</v>
      </c>
      <c r="D201" s="2" t="s">
        <v>76</v>
      </c>
      <c r="E201" s="2">
        <v>36</v>
      </c>
      <c r="G201" s="1" t="str">
        <f>IF(D201="","",VLOOKUP(D201,Table1[#All],2,FALSE))</f>
        <v>1/2" x 1/8" Disc - SmCo - Samarium Cobalt Rare Earth Magnet, Grade N30</v>
      </c>
      <c r="H201" s="2">
        <f t="shared" si="107"/>
        <v>36</v>
      </c>
      <c r="I201" s="45">
        <f>IF(D201&lt;&gt;"",(VLOOKUP(D201,part_details,4,FALSE)+VLOOKUP(D201,part_details,5,FALSE)+VLOOKUP(D201,part_details,6,FALSE))*'Multi-level BOM'!E201,"")</f>
        <v>48.491999999999997</v>
      </c>
      <c r="J201" s="4">
        <f t="shared" si="105"/>
        <v>1</v>
      </c>
      <c r="K201" s="4">
        <f t="shared" si="105"/>
        <v>1</v>
      </c>
      <c r="L201" s="4">
        <f t="shared" si="105"/>
        <v>36</v>
      </c>
      <c r="M201" s="4">
        <f t="shared" si="105"/>
        <v>1</v>
      </c>
      <c r="N201" s="4">
        <f t="shared" si="105"/>
        <v>1</v>
      </c>
      <c r="O201" s="4">
        <f t="shared" si="105"/>
        <v>1</v>
      </c>
      <c r="P201" s="4">
        <f t="shared" si="105"/>
        <v>1</v>
      </c>
      <c r="Q201" s="4">
        <f t="shared" si="105"/>
        <v>1</v>
      </c>
      <c r="R201" s="4">
        <f t="shared" si="105"/>
        <v>1</v>
      </c>
      <c r="S201" s="4">
        <f t="shared" si="105"/>
        <v>1</v>
      </c>
      <c r="U201" s="3">
        <f t="shared" si="58"/>
        <v>0</v>
      </c>
      <c r="V201" s="1" t="str">
        <f t="shared" si="106"/>
        <v/>
      </c>
    </row>
    <row r="202" spans="1:22" x14ac:dyDescent="0.25">
      <c r="A202" s="2">
        <v>199</v>
      </c>
      <c r="B202" s="2">
        <v>2</v>
      </c>
      <c r="C202" s="7" t="s">
        <v>773</v>
      </c>
      <c r="E202" s="2">
        <v>1</v>
      </c>
      <c r="G202" s="1" t="str">
        <f>IF(D202="","",VLOOKUP(D202,Table1[#All],2,FALSE))</f>
        <v/>
      </c>
      <c r="H202" s="2">
        <f t="shared" si="107"/>
        <v>1</v>
      </c>
      <c r="I202" s="45" t="str">
        <f>IF(D202&lt;&gt;"",(VLOOKUP(D202,part_details,4,FALSE)+VLOOKUP(D202,part_details,5,FALSE)+VLOOKUP(D202,part_details,6,FALSE))*'Multi-level BOM'!E202,"")</f>
        <v/>
      </c>
      <c r="J202" s="4">
        <f t="shared" ref="J202:S202" si="108">IF($B202="",J201,
    IF(J$3=$B202,$E202,
       IF(J$3&lt;$B202,J201,
           1
)))</f>
        <v>1</v>
      </c>
      <c r="K202" s="4">
        <f t="shared" si="108"/>
        <v>1</v>
      </c>
      <c r="L202" s="4">
        <f t="shared" si="108"/>
        <v>1</v>
      </c>
      <c r="M202" s="4">
        <f t="shared" si="108"/>
        <v>1</v>
      </c>
      <c r="N202" s="4">
        <f t="shared" si="108"/>
        <v>1</v>
      </c>
      <c r="O202" s="4">
        <f t="shared" si="108"/>
        <v>1</v>
      </c>
      <c r="P202" s="4">
        <f t="shared" si="108"/>
        <v>1</v>
      </c>
      <c r="Q202" s="4">
        <f t="shared" si="108"/>
        <v>1</v>
      </c>
      <c r="R202" s="4">
        <f t="shared" si="108"/>
        <v>1</v>
      </c>
      <c r="S202" s="4">
        <f t="shared" si="108"/>
        <v>1</v>
      </c>
      <c r="U202" s="3">
        <f t="shared" si="58"/>
        <v>0</v>
      </c>
      <c r="V202" s="1" t="str">
        <f t="shared" si="106"/>
        <v/>
      </c>
    </row>
    <row r="203" spans="1:22" x14ac:dyDescent="0.25">
      <c r="A203" s="2">
        <v>200</v>
      </c>
      <c r="B203" s="2">
        <v>2</v>
      </c>
      <c r="C203" s="7" t="s">
        <v>775</v>
      </c>
      <c r="E203" s="2">
        <v>3</v>
      </c>
      <c r="G203" s="1" t="str">
        <f>IF(D203="","",VLOOKUP(D203,Table1[#All],2,FALSE))</f>
        <v/>
      </c>
      <c r="H203" s="2">
        <f t="shared" si="107"/>
        <v>3</v>
      </c>
      <c r="I203" s="45" t="str">
        <f>IF(D203&lt;&gt;"",(VLOOKUP(D203,part_details,4,FALSE)+VLOOKUP(D203,part_details,5,FALSE)+VLOOKUP(D203,part_details,6,FALSE))*'Multi-level BOM'!E203,"")</f>
        <v/>
      </c>
      <c r="J203" s="4">
        <f t="shared" ref="J203:S203" si="109">IF($B203="",J202,
    IF(J$3=$B203,$E203,
       IF(J$3&lt;$B203,J202,
           1
)))</f>
        <v>1</v>
      </c>
      <c r="K203" s="4">
        <f t="shared" si="109"/>
        <v>1</v>
      </c>
      <c r="L203" s="4">
        <f t="shared" si="109"/>
        <v>3</v>
      </c>
      <c r="M203" s="4">
        <f t="shared" si="109"/>
        <v>1</v>
      </c>
      <c r="N203" s="4">
        <f t="shared" si="109"/>
        <v>1</v>
      </c>
      <c r="O203" s="4">
        <f t="shared" si="109"/>
        <v>1</v>
      </c>
      <c r="P203" s="4">
        <f t="shared" si="109"/>
        <v>1</v>
      </c>
      <c r="Q203" s="4">
        <f t="shared" si="109"/>
        <v>1</v>
      </c>
      <c r="R203" s="4">
        <f t="shared" si="109"/>
        <v>1</v>
      </c>
      <c r="S203" s="4">
        <f t="shared" si="109"/>
        <v>1</v>
      </c>
      <c r="U203" s="3">
        <f t="shared" si="58"/>
        <v>0</v>
      </c>
      <c r="V203" s="1" t="str">
        <f t="shared" si="106"/>
        <v/>
      </c>
    </row>
    <row r="204" spans="1:22" x14ac:dyDescent="0.25">
      <c r="A204" s="2">
        <v>201</v>
      </c>
      <c r="B204" s="2">
        <v>2</v>
      </c>
      <c r="C204" s="7" t="s">
        <v>774</v>
      </c>
      <c r="D204" s="2" t="s">
        <v>55</v>
      </c>
      <c r="E204" s="2">
        <v>1</v>
      </c>
      <c r="G204" s="1" t="str">
        <f>IF(D204="","",VLOOKUP(D204,Table1[#All],2,FALSE))</f>
        <v>Wisamic Silicone Rubber Heater 310x310mm 120V 750W, with 3M Tape Screw Holes for 3D Printer CR-10 CR-10S S3</v>
      </c>
      <c r="H204" s="2">
        <f t="shared" si="107"/>
        <v>1</v>
      </c>
      <c r="I204" s="45">
        <f>IF(D204&lt;&gt;"",(VLOOKUP(D204,part_details,4,FALSE)+VLOOKUP(D204,part_details,5,FALSE)+VLOOKUP(D204,part_details,6,FALSE))*'Multi-level BOM'!E204,"")</f>
        <v>43.589100000000002</v>
      </c>
      <c r="J204" s="4">
        <f t="shared" ref="J204:S204" si="110">IF($B204="",J203,
    IF(J$3=$B204,$E204,
       IF(J$3&lt;$B204,J203,
           1
)))</f>
        <v>1</v>
      </c>
      <c r="K204" s="4">
        <f t="shared" si="110"/>
        <v>1</v>
      </c>
      <c r="L204" s="4">
        <f t="shared" si="110"/>
        <v>1</v>
      </c>
      <c r="M204" s="4">
        <f t="shared" si="110"/>
        <v>1</v>
      </c>
      <c r="N204" s="4">
        <f t="shared" si="110"/>
        <v>1</v>
      </c>
      <c r="O204" s="4">
        <f t="shared" si="110"/>
        <v>1</v>
      </c>
      <c r="P204" s="4">
        <f t="shared" si="110"/>
        <v>1</v>
      </c>
      <c r="Q204" s="4">
        <f t="shared" si="110"/>
        <v>1</v>
      </c>
      <c r="R204" s="4">
        <f t="shared" si="110"/>
        <v>1</v>
      </c>
      <c r="S204" s="4">
        <f t="shared" si="110"/>
        <v>1</v>
      </c>
      <c r="U204" s="3">
        <f t="shared" si="58"/>
        <v>0</v>
      </c>
      <c r="V204" s="1" t="str">
        <f t="shared" si="106"/>
        <v/>
      </c>
    </row>
    <row r="205" spans="1:22" x14ac:dyDescent="0.25">
      <c r="A205" s="2">
        <v>202</v>
      </c>
      <c r="B205" s="2">
        <v>2</v>
      </c>
      <c r="C205" s="7" t="s">
        <v>835</v>
      </c>
      <c r="D205" s="2" t="s">
        <v>56</v>
      </c>
      <c r="E205" s="2">
        <v>1</v>
      </c>
      <c r="G205" s="1" t="str">
        <f>IF(D205="","",VLOOKUP(D205,Table1[#All],2,FALSE))</f>
        <v xml:space="preserve">Printer 3D Parts, FYSETC 12" x 12" x 0.3" 3D Printer Heated Bed Insulation Lightweight Foam Foil Self-Adhesive Insulation Mat </v>
      </c>
      <c r="H205" s="2">
        <f t="shared" si="107"/>
        <v>1</v>
      </c>
      <c r="I205" s="45">
        <f>IF(D205&lt;&gt;"",(VLOOKUP(D205,part_details,4,FALSE)+VLOOKUP(D205,part_details,5,FALSE)+VLOOKUP(D205,part_details,6,FALSE))*'Multi-level BOM'!E205,"")</f>
        <v>11.979100000000001</v>
      </c>
      <c r="J205" s="4">
        <f t="shared" ref="J205:S206" si="111">IF($B205="",J204,
    IF(J$3=$B205,$E205,
       IF(J$3&lt;$B205,J204,
           1
)))</f>
        <v>1</v>
      </c>
      <c r="K205" s="4">
        <f t="shared" si="111"/>
        <v>1</v>
      </c>
      <c r="L205" s="4">
        <f t="shared" si="111"/>
        <v>1</v>
      </c>
      <c r="M205" s="4">
        <f t="shared" si="111"/>
        <v>1</v>
      </c>
      <c r="N205" s="4">
        <f t="shared" si="111"/>
        <v>1</v>
      </c>
      <c r="O205" s="4">
        <f t="shared" si="111"/>
        <v>1</v>
      </c>
      <c r="P205" s="4">
        <f t="shared" si="111"/>
        <v>1</v>
      </c>
      <c r="Q205" s="4">
        <f t="shared" si="111"/>
        <v>1</v>
      </c>
      <c r="R205" s="4">
        <f t="shared" si="111"/>
        <v>1</v>
      </c>
      <c r="S205" s="4">
        <f t="shared" si="111"/>
        <v>1</v>
      </c>
      <c r="U205" s="3">
        <f t="shared" si="58"/>
        <v>0</v>
      </c>
      <c r="V205" s="1" t="str">
        <f t="shared" si="106"/>
        <v/>
      </c>
    </row>
    <row r="206" spans="1:22" x14ac:dyDescent="0.25">
      <c r="A206" s="2">
        <v>203</v>
      </c>
      <c r="B206" s="2">
        <v>2</v>
      </c>
      <c r="C206" s="7" t="s">
        <v>837</v>
      </c>
      <c r="D206" s="2" t="s">
        <v>57</v>
      </c>
      <c r="E206" s="2">
        <v>1</v>
      </c>
      <c r="G206" s="1" t="str">
        <f>IF(D206="","",VLOOKUP(D206,Table1[#All],2,FALSE))</f>
        <v>406 x 406mm Flex Spring Steel Sheet Pre-Applied PEI</v>
      </c>
      <c r="H206" s="2">
        <f t="shared" si="107"/>
        <v>1</v>
      </c>
      <c r="I206" s="45">
        <f>IF(D206&lt;&gt;"",(VLOOKUP(D206,part_details,4,FALSE)+VLOOKUP(D206,part_details,5,FALSE)+VLOOKUP(D206,part_details,6,FALSE))*'Multi-level BOM'!E206,"")</f>
        <v>56.913899999999998</v>
      </c>
      <c r="J206" s="4">
        <f t="shared" si="111"/>
        <v>1</v>
      </c>
      <c r="K206" s="4">
        <f t="shared" si="111"/>
        <v>1</v>
      </c>
      <c r="L206" s="4">
        <f t="shared" si="111"/>
        <v>1</v>
      </c>
      <c r="M206" s="4">
        <f t="shared" si="111"/>
        <v>1</v>
      </c>
      <c r="N206" s="4">
        <f t="shared" si="111"/>
        <v>1</v>
      </c>
      <c r="O206" s="4">
        <f t="shared" si="111"/>
        <v>1</v>
      </c>
      <c r="P206" s="4">
        <f t="shared" si="111"/>
        <v>1</v>
      </c>
      <c r="Q206" s="4">
        <f t="shared" si="111"/>
        <v>1</v>
      </c>
      <c r="R206" s="4">
        <f t="shared" si="111"/>
        <v>1</v>
      </c>
      <c r="S206" s="4">
        <f t="shared" si="111"/>
        <v>1</v>
      </c>
      <c r="U206" s="3">
        <f t="shared" si="58"/>
        <v>0</v>
      </c>
      <c r="V206" s="1" t="str">
        <f t="shared" si="106"/>
        <v/>
      </c>
    </row>
    <row r="207" spans="1:22" x14ac:dyDescent="0.25">
      <c r="A207" s="2">
        <v>204</v>
      </c>
      <c r="C207" s="8"/>
      <c r="G207" s="1" t="str">
        <f>IF(D207="","",VLOOKUP(D207,Table1[#All],2,FALSE))</f>
        <v/>
      </c>
      <c r="I207" s="45" t="str">
        <f>IF(D207&lt;&gt;"",VLOOKUP(D207,part_details,4,FALSE)*'Multi-level BOM'!E207,"")</f>
        <v/>
      </c>
      <c r="J207" s="4">
        <f t="shared" ref="J207:S207" si="112">IF($B207="",J206,
    IF(J$3=$B207,$E207,
       IF(J$3&lt;$B207,J206,
           1
)))</f>
        <v>1</v>
      </c>
      <c r="K207" s="4">
        <f t="shared" si="112"/>
        <v>1</v>
      </c>
      <c r="L207" s="4">
        <f t="shared" si="112"/>
        <v>1</v>
      </c>
      <c r="M207" s="4">
        <f t="shared" si="112"/>
        <v>1</v>
      </c>
      <c r="N207" s="4">
        <f t="shared" si="112"/>
        <v>1</v>
      </c>
      <c r="O207" s="4">
        <f t="shared" si="112"/>
        <v>1</v>
      </c>
      <c r="P207" s="4">
        <f t="shared" si="112"/>
        <v>1</v>
      </c>
      <c r="Q207" s="4">
        <f t="shared" si="112"/>
        <v>1</v>
      </c>
      <c r="R207" s="4">
        <f t="shared" si="112"/>
        <v>1</v>
      </c>
      <c r="S207" s="4">
        <f t="shared" si="112"/>
        <v>1</v>
      </c>
      <c r="U207" s="3">
        <f t="shared" ref="U207:U242" si="113">IF(F207="x",I207,0)</f>
        <v>0</v>
      </c>
      <c r="V207" s="1" t="str">
        <f t="shared" si="106"/>
        <v/>
      </c>
    </row>
    <row r="208" spans="1:22" x14ac:dyDescent="0.25">
      <c r="A208" s="2">
        <v>205</v>
      </c>
      <c r="B208" s="2">
        <v>1</v>
      </c>
      <c r="C208" s="7" t="s">
        <v>906</v>
      </c>
      <c r="E208" s="2">
        <v>1</v>
      </c>
      <c r="G208" s="1" t="str">
        <f>IF(D208="","",VLOOKUP(D208,Table1[#All],2,FALSE))</f>
        <v/>
      </c>
      <c r="H208" s="2">
        <f>PRODUCT(J208:S208)</f>
        <v>1</v>
      </c>
      <c r="I208" s="45">
        <f>H208*SUM(I209:I211)</f>
        <v>93.665599999999998</v>
      </c>
      <c r="J208" s="4">
        <f t="shared" ref="J208:S208" si="114">IF($B208="",J207,
    IF(J$3=$B208,$E208,
       IF(J$3&lt;$B208,J207,
           1
)))</f>
        <v>1</v>
      </c>
      <c r="K208" s="4">
        <f t="shared" si="114"/>
        <v>1</v>
      </c>
      <c r="L208" s="4">
        <f t="shared" si="114"/>
        <v>1</v>
      </c>
      <c r="M208" s="4">
        <f t="shared" si="114"/>
        <v>1</v>
      </c>
      <c r="N208" s="4">
        <f t="shared" si="114"/>
        <v>1</v>
      </c>
      <c r="O208" s="4">
        <f t="shared" si="114"/>
        <v>1</v>
      </c>
      <c r="P208" s="4">
        <f t="shared" si="114"/>
        <v>1</v>
      </c>
      <c r="Q208" s="4">
        <f t="shared" si="114"/>
        <v>1</v>
      </c>
      <c r="R208" s="4">
        <f t="shared" si="114"/>
        <v>1</v>
      </c>
      <c r="S208" s="4">
        <f t="shared" si="114"/>
        <v>1</v>
      </c>
      <c r="U208" s="3">
        <f t="shared" si="113"/>
        <v>0</v>
      </c>
      <c r="V208" s="1" t="str">
        <f t="shared" si="106"/>
        <v/>
      </c>
    </row>
    <row r="209" spans="1:22" x14ac:dyDescent="0.25">
      <c r="A209" s="2">
        <v>206</v>
      </c>
      <c r="B209" s="2">
        <v>2</v>
      </c>
      <c r="C209" s="7" t="s">
        <v>843</v>
      </c>
      <c r="D209" s="2" t="s">
        <v>58</v>
      </c>
      <c r="E209" s="2">
        <v>1</v>
      </c>
      <c r="G209" s="1" t="str">
        <f>IF(D209="","",VLOOKUP(D209,Table1[#All],2,FALSE))</f>
        <v>Redrex Dual Drive BMG Bowden Extruder High Performance Upgrading Parts (no motor)</v>
      </c>
      <c r="H209" s="2">
        <f>PRODUCT(J209:S209)</f>
        <v>1</v>
      </c>
      <c r="I209" s="45">
        <f>IF(D209&lt;&gt;"",(VLOOKUP(D209,part_details,4,FALSE)+VLOOKUP(D209,part_details,5,FALSE)+VLOOKUP(D209,part_details,6,FALSE))*'Multi-level BOM'!E209,"")</f>
        <v>25.059099999999997</v>
      </c>
      <c r="J209" s="4">
        <f t="shared" ref="J209:S209" si="115">IF($B209="",J208,
    IF(J$3=$B209,$E209,
       IF(J$3&lt;$B209,J208,
           1
)))</f>
        <v>1</v>
      </c>
      <c r="K209" s="4">
        <f t="shared" si="115"/>
        <v>1</v>
      </c>
      <c r="L209" s="4">
        <f t="shared" si="115"/>
        <v>1</v>
      </c>
      <c r="M209" s="4">
        <f t="shared" si="115"/>
        <v>1</v>
      </c>
      <c r="N209" s="4">
        <f t="shared" si="115"/>
        <v>1</v>
      </c>
      <c r="O209" s="4">
        <f t="shared" si="115"/>
        <v>1</v>
      </c>
      <c r="P209" s="4">
        <f t="shared" si="115"/>
        <v>1</v>
      </c>
      <c r="Q209" s="4">
        <f t="shared" si="115"/>
        <v>1</v>
      </c>
      <c r="R209" s="4">
        <f t="shared" si="115"/>
        <v>1</v>
      </c>
      <c r="S209" s="4">
        <f t="shared" si="115"/>
        <v>1</v>
      </c>
      <c r="U209" s="3">
        <f t="shared" si="113"/>
        <v>0</v>
      </c>
      <c r="V209" s="1" t="str">
        <f t="shared" si="106"/>
        <v/>
      </c>
    </row>
    <row r="210" spans="1:22" x14ac:dyDescent="0.25">
      <c r="A210" s="2">
        <v>207</v>
      </c>
      <c r="B210" s="2">
        <v>2</v>
      </c>
      <c r="C210" s="7" t="s">
        <v>844</v>
      </c>
      <c r="D210" s="2" t="s">
        <v>59</v>
      </c>
      <c r="E210" s="2">
        <v>1</v>
      </c>
      <c r="G210" s="1" t="str">
        <f>IF(D210="","",VLOOKUP(D210,Table1[#All],2,FALSE))</f>
        <v>Usongshine Nema 17 Stepper Motor Bipolar Step Motor for Titan Extruder 3D Printer 4.1V 1A 13Ncm</v>
      </c>
      <c r="H210" s="2">
        <f>PRODUCT(J210:S210)</f>
        <v>1</v>
      </c>
      <c r="I210" s="45">
        <f>IF(D210&lt;&gt;"",(VLOOKUP(D210,part_details,4,FALSE)+VLOOKUP(D210,part_details,5,FALSE)+VLOOKUP(D210,part_details,6,FALSE))*'Multi-level BOM'!E210,"")</f>
        <v>9.6464999999999996</v>
      </c>
      <c r="J210" s="4">
        <f t="shared" ref="J210:S210" si="116">IF($B210="",J209,
    IF(J$3=$B210,$E210,
       IF(J$3&lt;$B210,J209,
           1
)))</f>
        <v>1</v>
      </c>
      <c r="K210" s="4">
        <f t="shared" si="116"/>
        <v>1</v>
      </c>
      <c r="L210" s="4">
        <f t="shared" si="116"/>
        <v>1</v>
      </c>
      <c r="M210" s="4">
        <f t="shared" si="116"/>
        <v>1</v>
      </c>
      <c r="N210" s="4">
        <f t="shared" si="116"/>
        <v>1</v>
      </c>
      <c r="O210" s="4">
        <f t="shared" si="116"/>
        <v>1</v>
      </c>
      <c r="P210" s="4">
        <f t="shared" si="116"/>
        <v>1</v>
      </c>
      <c r="Q210" s="4">
        <f t="shared" si="116"/>
        <v>1</v>
      </c>
      <c r="R210" s="4">
        <f t="shared" si="116"/>
        <v>1</v>
      </c>
      <c r="S210" s="4">
        <f t="shared" si="116"/>
        <v>1</v>
      </c>
      <c r="U210" s="3">
        <f t="shared" si="113"/>
        <v>0</v>
      </c>
      <c r="V210" s="1" t="str">
        <f t="shared" si="106"/>
        <v/>
      </c>
    </row>
    <row r="211" spans="1:22" x14ac:dyDescent="0.25">
      <c r="A211" s="2">
        <v>208</v>
      </c>
      <c r="B211" s="2">
        <v>2</v>
      </c>
      <c r="C211" s="7" t="s">
        <v>845</v>
      </c>
      <c r="D211" s="2" t="s">
        <v>60</v>
      </c>
      <c r="E211" s="2">
        <v>1</v>
      </c>
      <c r="F211" s="2" t="s">
        <v>916</v>
      </c>
      <c r="G211" s="1" t="str">
        <f>IF(D211="","",VLOOKUP(D211,Table1[#All],2,FALSE))</f>
        <v>Mellow All Metal NF-Crazy Hotend V6 Copper Nozzle For Ender 3 CR10 Prusa I3 MK3S Alfawise Titan/Bmg Extruder 3D Printer Part</v>
      </c>
      <c r="H211" s="2">
        <f>PRODUCT(J211:S211)</f>
        <v>1</v>
      </c>
      <c r="I211" s="45">
        <f>IF(D211&lt;&gt;"",(VLOOKUP(D211,part_details,4,FALSE)+VLOOKUP(D211,part_details,5,FALSE)+VLOOKUP(D211,part_details,6,FALSE))*'Multi-level BOM'!E211,"")</f>
        <v>58.96</v>
      </c>
      <c r="J211" s="4">
        <f t="shared" ref="J211:S211" si="117">IF($B211="",J210,
    IF(J$3=$B211,$E211,
       IF(J$3&lt;$B211,J210,
           1
)))</f>
        <v>1</v>
      </c>
      <c r="K211" s="4">
        <f t="shared" si="117"/>
        <v>1</v>
      </c>
      <c r="L211" s="4">
        <f t="shared" si="117"/>
        <v>1</v>
      </c>
      <c r="M211" s="4">
        <f t="shared" si="117"/>
        <v>1</v>
      </c>
      <c r="N211" s="4">
        <f t="shared" si="117"/>
        <v>1</v>
      </c>
      <c r="O211" s="4">
        <f t="shared" si="117"/>
        <v>1</v>
      </c>
      <c r="P211" s="4">
        <f t="shared" si="117"/>
        <v>1</v>
      </c>
      <c r="Q211" s="4">
        <f t="shared" si="117"/>
        <v>1</v>
      </c>
      <c r="R211" s="4">
        <f t="shared" si="117"/>
        <v>1</v>
      </c>
      <c r="S211" s="4">
        <f t="shared" si="117"/>
        <v>1</v>
      </c>
      <c r="U211" s="3">
        <f t="shared" si="113"/>
        <v>58.96</v>
      </c>
      <c r="V211" s="1" t="str">
        <f t="shared" si="106"/>
        <v>A-0054</v>
      </c>
    </row>
    <row r="212" spans="1:22" x14ac:dyDescent="0.25">
      <c r="A212" s="2">
        <v>209</v>
      </c>
      <c r="C212" s="7"/>
      <c r="G212" s="1" t="str">
        <f>IF(D212="","",VLOOKUP(D212,Table1[#All],2,FALSE))</f>
        <v/>
      </c>
      <c r="I212" s="45" t="str">
        <f>IF(D212&lt;&gt;"",VLOOKUP(D212,part_details,4,FALSE)*'Multi-level BOM'!E212,"")</f>
        <v/>
      </c>
      <c r="J212" s="4">
        <f t="shared" ref="J212:S212" si="118">IF($B212="",J211,
    IF(J$3=$B212,$E212,
       IF(J$3&lt;$B212,J211,
           1
)))</f>
        <v>1</v>
      </c>
      <c r="K212" s="4">
        <f t="shared" si="118"/>
        <v>1</v>
      </c>
      <c r="L212" s="4">
        <f t="shared" si="118"/>
        <v>1</v>
      </c>
      <c r="M212" s="4">
        <f t="shared" si="118"/>
        <v>1</v>
      </c>
      <c r="N212" s="4">
        <f t="shared" si="118"/>
        <v>1</v>
      </c>
      <c r="O212" s="4">
        <f t="shared" si="118"/>
        <v>1</v>
      </c>
      <c r="P212" s="4">
        <f t="shared" si="118"/>
        <v>1</v>
      </c>
      <c r="Q212" s="4">
        <f t="shared" si="118"/>
        <v>1</v>
      </c>
      <c r="R212" s="4">
        <f t="shared" si="118"/>
        <v>1</v>
      </c>
      <c r="S212" s="4">
        <f t="shared" si="118"/>
        <v>1</v>
      </c>
      <c r="U212" s="3">
        <f t="shared" si="113"/>
        <v>0</v>
      </c>
      <c r="V212" s="1" t="str">
        <f t="shared" si="106"/>
        <v/>
      </c>
    </row>
    <row r="213" spans="1:22" x14ac:dyDescent="0.25">
      <c r="A213" s="2">
        <v>210</v>
      </c>
      <c r="C213" s="7"/>
      <c r="G213" s="1" t="str">
        <f>IF(D213="","",VLOOKUP(D213,Table1[#All],2,FALSE))</f>
        <v/>
      </c>
      <c r="I213" s="45" t="str">
        <f>IF(D213&lt;&gt;"",VLOOKUP(D213,part_details,4,FALSE)*'Multi-level BOM'!E213,"")</f>
        <v/>
      </c>
      <c r="J213" s="4">
        <f t="shared" ref="J213:S213" si="119">IF($B213="",J212,
    IF(J$3=$B213,$E213,
       IF(J$3&lt;$B213,J212,
           1
)))</f>
        <v>1</v>
      </c>
      <c r="K213" s="4">
        <f t="shared" si="119"/>
        <v>1</v>
      </c>
      <c r="L213" s="4">
        <f t="shared" si="119"/>
        <v>1</v>
      </c>
      <c r="M213" s="4">
        <f t="shared" si="119"/>
        <v>1</v>
      </c>
      <c r="N213" s="4">
        <f t="shared" si="119"/>
        <v>1</v>
      </c>
      <c r="O213" s="4">
        <f t="shared" si="119"/>
        <v>1</v>
      </c>
      <c r="P213" s="4">
        <f t="shared" si="119"/>
        <v>1</v>
      </c>
      <c r="Q213" s="4">
        <f t="shared" si="119"/>
        <v>1</v>
      </c>
      <c r="R213" s="4">
        <f t="shared" si="119"/>
        <v>1</v>
      </c>
      <c r="S213" s="4">
        <f t="shared" si="119"/>
        <v>1</v>
      </c>
      <c r="U213" s="3">
        <f t="shared" si="113"/>
        <v>0</v>
      </c>
      <c r="V213" s="1" t="str">
        <f t="shared" si="106"/>
        <v/>
      </c>
    </row>
    <row r="214" spans="1:22" x14ac:dyDescent="0.25">
      <c r="A214" s="2">
        <v>211</v>
      </c>
      <c r="C214" s="7"/>
      <c r="G214" s="1" t="str">
        <f>IF(D214="","",VLOOKUP(D214,Table1[#All],2,FALSE))</f>
        <v/>
      </c>
      <c r="I214" s="45" t="str">
        <f>IF(D214&lt;&gt;"",VLOOKUP(D214,part_details,4,FALSE)*'Multi-level BOM'!E214,"")</f>
        <v/>
      </c>
      <c r="J214" s="4">
        <f t="shared" ref="J214:S214" si="120">IF($B214="",J213,
    IF(J$3=$B214,$E214,
       IF(J$3&lt;$B214,J213,
           1
)))</f>
        <v>1</v>
      </c>
      <c r="K214" s="4">
        <f t="shared" si="120"/>
        <v>1</v>
      </c>
      <c r="L214" s="4">
        <f t="shared" si="120"/>
        <v>1</v>
      </c>
      <c r="M214" s="4">
        <f t="shared" si="120"/>
        <v>1</v>
      </c>
      <c r="N214" s="4">
        <f t="shared" si="120"/>
        <v>1</v>
      </c>
      <c r="O214" s="4">
        <f t="shared" si="120"/>
        <v>1</v>
      </c>
      <c r="P214" s="4">
        <f t="shared" si="120"/>
        <v>1</v>
      </c>
      <c r="Q214" s="4">
        <f t="shared" si="120"/>
        <v>1</v>
      </c>
      <c r="R214" s="4">
        <f t="shared" si="120"/>
        <v>1</v>
      </c>
      <c r="S214" s="4">
        <f t="shared" si="120"/>
        <v>1</v>
      </c>
      <c r="U214" s="3">
        <f t="shared" si="113"/>
        <v>0</v>
      </c>
      <c r="V214" s="1" t="str">
        <f t="shared" si="106"/>
        <v/>
      </c>
    </row>
    <row r="215" spans="1:22" x14ac:dyDescent="0.25">
      <c r="A215" s="2">
        <v>212</v>
      </c>
      <c r="C215" s="7"/>
      <c r="G215" s="1" t="str">
        <f>IF(D215="","",VLOOKUP(D215,Table1[#All],2,FALSE))</f>
        <v/>
      </c>
      <c r="I215" s="45" t="str">
        <f>IF(D215&lt;&gt;"",VLOOKUP(D215,part_details,4,FALSE)*'Multi-level BOM'!E215,"")</f>
        <v/>
      </c>
      <c r="J215" s="4">
        <f t="shared" ref="J215:S215" si="121">IF($B215="",J214,
    IF(J$3=$B215,$E215,
       IF(J$3&lt;$B215,J214,
           1
)))</f>
        <v>1</v>
      </c>
      <c r="K215" s="4">
        <f t="shared" si="121"/>
        <v>1</v>
      </c>
      <c r="L215" s="4">
        <f t="shared" si="121"/>
        <v>1</v>
      </c>
      <c r="M215" s="4">
        <f t="shared" si="121"/>
        <v>1</v>
      </c>
      <c r="N215" s="4">
        <f t="shared" si="121"/>
        <v>1</v>
      </c>
      <c r="O215" s="4">
        <f t="shared" si="121"/>
        <v>1</v>
      </c>
      <c r="P215" s="4">
        <f t="shared" si="121"/>
        <v>1</v>
      </c>
      <c r="Q215" s="4">
        <f t="shared" si="121"/>
        <v>1</v>
      </c>
      <c r="R215" s="4">
        <f t="shared" si="121"/>
        <v>1</v>
      </c>
      <c r="S215" s="4">
        <f t="shared" si="121"/>
        <v>1</v>
      </c>
      <c r="U215" s="3">
        <f t="shared" si="113"/>
        <v>0</v>
      </c>
      <c r="V215" s="1" t="str">
        <f t="shared" si="106"/>
        <v/>
      </c>
    </row>
    <row r="216" spans="1:22" x14ac:dyDescent="0.25">
      <c r="A216" s="2">
        <v>213</v>
      </c>
      <c r="C216" s="7"/>
      <c r="G216" s="1" t="str">
        <f>IF(D216="","",VLOOKUP(D216,Table1[#All],2,FALSE))</f>
        <v/>
      </c>
      <c r="I216" s="45" t="str">
        <f>IF(D216&lt;&gt;"",VLOOKUP(D216,part_details,4,FALSE)*'Multi-level BOM'!E216,"")</f>
        <v/>
      </c>
      <c r="J216" s="4">
        <f t="shared" ref="J216:S216" si="122">IF($B216="",J215,
    IF(J$3=$B216,$E216,
       IF(J$3&lt;$B216,J215,
           1
)))</f>
        <v>1</v>
      </c>
      <c r="K216" s="4">
        <f t="shared" si="122"/>
        <v>1</v>
      </c>
      <c r="L216" s="4">
        <f t="shared" si="122"/>
        <v>1</v>
      </c>
      <c r="M216" s="4">
        <f t="shared" si="122"/>
        <v>1</v>
      </c>
      <c r="N216" s="4">
        <f t="shared" si="122"/>
        <v>1</v>
      </c>
      <c r="O216" s="4">
        <f t="shared" si="122"/>
        <v>1</v>
      </c>
      <c r="P216" s="4">
        <f t="shared" si="122"/>
        <v>1</v>
      </c>
      <c r="Q216" s="4">
        <f t="shared" si="122"/>
        <v>1</v>
      </c>
      <c r="R216" s="4">
        <f t="shared" si="122"/>
        <v>1</v>
      </c>
      <c r="S216" s="4">
        <f t="shared" si="122"/>
        <v>1</v>
      </c>
      <c r="U216" s="3">
        <f t="shared" si="113"/>
        <v>0</v>
      </c>
      <c r="V216" s="1" t="str">
        <f t="shared" si="106"/>
        <v/>
      </c>
    </row>
    <row r="217" spans="1:22" x14ac:dyDescent="0.25">
      <c r="A217" s="2">
        <v>214</v>
      </c>
      <c r="B217" s="2">
        <v>1</v>
      </c>
      <c r="C217" s="7" t="s">
        <v>816</v>
      </c>
      <c r="E217" s="2">
        <v>1</v>
      </c>
      <c r="G217" s="1" t="str">
        <f>IF(D217="","",VLOOKUP(D217,Table1[#All],2,FALSE))</f>
        <v/>
      </c>
      <c r="H217" s="2">
        <f t="shared" ref="H217:H229" si="123">PRODUCT(J217:S217)</f>
        <v>1</v>
      </c>
      <c r="I217" s="45">
        <f>H217*SUM(I218:I226)</f>
        <v>93.125</v>
      </c>
      <c r="J217" s="4">
        <f t="shared" ref="J217:S217" si="124">IF($B217="",J216,
    IF(J$3=$B217,$E217,
       IF(J$3&lt;$B217,J216,
           1
)))</f>
        <v>1</v>
      </c>
      <c r="K217" s="4">
        <f t="shared" si="124"/>
        <v>1</v>
      </c>
      <c r="L217" s="4">
        <f t="shared" si="124"/>
        <v>1</v>
      </c>
      <c r="M217" s="4">
        <f t="shared" si="124"/>
        <v>1</v>
      </c>
      <c r="N217" s="4">
        <f t="shared" si="124"/>
        <v>1</v>
      </c>
      <c r="O217" s="4">
        <f t="shared" si="124"/>
        <v>1</v>
      </c>
      <c r="P217" s="4">
        <f t="shared" si="124"/>
        <v>1</v>
      </c>
      <c r="Q217" s="4">
        <f t="shared" si="124"/>
        <v>1</v>
      </c>
      <c r="R217" s="4">
        <f t="shared" si="124"/>
        <v>1</v>
      </c>
      <c r="S217" s="4">
        <f t="shared" si="124"/>
        <v>1</v>
      </c>
      <c r="U217" s="3">
        <f t="shared" si="113"/>
        <v>0</v>
      </c>
      <c r="V217" s="1" t="str">
        <f t="shared" si="106"/>
        <v/>
      </c>
    </row>
    <row r="218" spans="1:22" x14ac:dyDescent="0.25">
      <c r="A218" s="2">
        <v>215</v>
      </c>
      <c r="B218" s="2">
        <v>2</v>
      </c>
      <c r="C218" s="7" t="s">
        <v>804</v>
      </c>
      <c r="D218" s="2" t="s">
        <v>45</v>
      </c>
      <c r="E218" s="2">
        <v>2</v>
      </c>
      <c r="G218" s="1" t="str">
        <f>IF(D218="","",VLOOKUP(D218,Table1[#All],2,FALSE))</f>
        <v>Polycarbonate sheet (Heat Saver 3-Wall) 10mm, 2' x 2'</v>
      </c>
      <c r="H218" s="2">
        <f t="shared" si="123"/>
        <v>2</v>
      </c>
      <c r="I218" s="45">
        <f>IF(D218&lt;&gt;"",(VLOOKUP(D218,part_details,4,FALSE)+VLOOKUP(D218,part_details,5,FALSE)+VLOOKUP(D218,part_details,6,FALSE))*'Multi-level BOM'!E218,"")</f>
        <v>37.25</v>
      </c>
      <c r="J218" s="4">
        <f t="shared" ref="J218:S218" si="125">IF($B218="",J217,
    IF(J$3=$B218,$E218,
       IF(J$3&lt;$B218,J217,
           1
)))</f>
        <v>1</v>
      </c>
      <c r="K218" s="4">
        <f t="shared" si="125"/>
        <v>1</v>
      </c>
      <c r="L218" s="4">
        <f t="shared" si="125"/>
        <v>2</v>
      </c>
      <c r="M218" s="4">
        <f t="shared" si="125"/>
        <v>1</v>
      </c>
      <c r="N218" s="4">
        <f t="shared" si="125"/>
        <v>1</v>
      </c>
      <c r="O218" s="4">
        <f t="shared" si="125"/>
        <v>1</v>
      </c>
      <c r="P218" s="4">
        <f t="shared" si="125"/>
        <v>1</v>
      </c>
      <c r="Q218" s="4">
        <f t="shared" si="125"/>
        <v>1</v>
      </c>
      <c r="R218" s="4">
        <f t="shared" si="125"/>
        <v>1</v>
      </c>
      <c r="S218" s="4">
        <f t="shared" si="125"/>
        <v>1</v>
      </c>
      <c r="U218" s="3">
        <f t="shared" si="113"/>
        <v>0</v>
      </c>
      <c r="V218" s="1" t="str">
        <f t="shared" si="106"/>
        <v/>
      </c>
    </row>
    <row r="219" spans="1:22" x14ac:dyDescent="0.25">
      <c r="A219" s="2">
        <v>216</v>
      </c>
      <c r="B219" s="2">
        <v>2</v>
      </c>
      <c r="C219" s="7" t="s">
        <v>805</v>
      </c>
      <c r="D219" s="2" t="s">
        <v>45</v>
      </c>
      <c r="E219" s="2">
        <v>1</v>
      </c>
      <c r="G219" s="1" t="str">
        <f>IF(D219="","",VLOOKUP(D219,Table1[#All],2,FALSE))</f>
        <v>Polycarbonate sheet (Heat Saver 3-Wall) 10mm, 2' x 2'</v>
      </c>
      <c r="H219" s="2">
        <f t="shared" si="123"/>
        <v>1</v>
      </c>
      <c r="I219" s="45">
        <f>IF(D219&lt;&gt;"",(VLOOKUP(D219,part_details,4,FALSE)+VLOOKUP(D219,part_details,5,FALSE)+VLOOKUP(D219,part_details,6,FALSE))*'Multi-level BOM'!E219,"")</f>
        <v>18.625</v>
      </c>
      <c r="J219" s="4">
        <f t="shared" ref="J219:S219" si="126">IF($B219="",J218,
    IF(J$3=$B219,$E219,
       IF(J$3&lt;$B219,J218,
           1
)))</f>
        <v>1</v>
      </c>
      <c r="K219" s="4">
        <f t="shared" si="126"/>
        <v>1</v>
      </c>
      <c r="L219" s="4">
        <f t="shared" si="126"/>
        <v>1</v>
      </c>
      <c r="M219" s="4">
        <f t="shared" si="126"/>
        <v>1</v>
      </c>
      <c r="N219" s="4">
        <f t="shared" si="126"/>
        <v>1</v>
      </c>
      <c r="O219" s="4">
        <f t="shared" si="126"/>
        <v>1</v>
      </c>
      <c r="P219" s="4">
        <f t="shared" si="126"/>
        <v>1</v>
      </c>
      <c r="Q219" s="4">
        <f t="shared" si="126"/>
        <v>1</v>
      </c>
      <c r="R219" s="4">
        <f t="shared" si="126"/>
        <v>1</v>
      </c>
      <c r="S219" s="4">
        <f t="shared" si="126"/>
        <v>1</v>
      </c>
      <c r="U219" s="3">
        <f t="shared" si="113"/>
        <v>0</v>
      </c>
      <c r="V219" s="1" t="str">
        <f t="shared" si="106"/>
        <v/>
      </c>
    </row>
    <row r="220" spans="1:22" x14ac:dyDescent="0.25">
      <c r="A220" s="2">
        <v>217</v>
      </c>
      <c r="B220" s="2">
        <v>2</v>
      </c>
      <c r="C220" s="7" t="s">
        <v>806</v>
      </c>
      <c r="D220" s="2" t="s">
        <v>45</v>
      </c>
      <c r="E220" s="2">
        <v>1</v>
      </c>
      <c r="G220" s="1" t="str">
        <f>IF(D220="","",VLOOKUP(D220,Table1[#All],2,FALSE))</f>
        <v>Polycarbonate sheet (Heat Saver 3-Wall) 10mm, 2' x 2'</v>
      </c>
      <c r="H220" s="2">
        <f t="shared" si="123"/>
        <v>1</v>
      </c>
      <c r="I220" s="45">
        <f>IF(D220&lt;&gt;"",(VLOOKUP(D220,part_details,4,FALSE)+VLOOKUP(D220,part_details,5,FALSE)+VLOOKUP(D220,part_details,6,FALSE))*'Multi-level BOM'!E220,"")</f>
        <v>18.625</v>
      </c>
      <c r="J220" s="4">
        <f t="shared" ref="J220:S220" si="127">IF($B220="",J219,
    IF(J$3=$B220,$E220,
       IF(J$3&lt;$B220,J219,
           1
)))</f>
        <v>1</v>
      </c>
      <c r="K220" s="4">
        <f t="shared" si="127"/>
        <v>1</v>
      </c>
      <c r="L220" s="4">
        <f t="shared" si="127"/>
        <v>1</v>
      </c>
      <c r="M220" s="4">
        <f t="shared" si="127"/>
        <v>1</v>
      </c>
      <c r="N220" s="4">
        <f t="shared" si="127"/>
        <v>1</v>
      </c>
      <c r="O220" s="4">
        <f t="shared" si="127"/>
        <v>1</v>
      </c>
      <c r="P220" s="4">
        <f t="shared" si="127"/>
        <v>1</v>
      </c>
      <c r="Q220" s="4">
        <f t="shared" si="127"/>
        <v>1</v>
      </c>
      <c r="R220" s="4">
        <f t="shared" si="127"/>
        <v>1</v>
      </c>
      <c r="S220" s="4">
        <f t="shared" si="127"/>
        <v>1</v>
      </c>
      <c r="U220" s="3">
        <f t="shared" si="113"/>
        <v>0</v>
      </c>
      <c r="V220" s="1" t="str">
        <f t="shared" si="106"/>
        <v/>
      </c>
    </row>
    <row r="221" spans="1:22" x14ac:dyDescent="0.25">
      <c r="A221" s="2">
        <v>218</v>
      </c>
      <c r="B221" s="2">
        <v>2</v>
      </c>
      <c r="C221" s="7" t="s">
        <v>807</v>
      </c>
      <c r="D221" s="2" t="s">
        <v>45</v>
      </c>
      <c r="E221" s="2">
        <v>1</v>
      </c>
      <c r="G221" s="1" t="str">
        <f>IF(D221="","",VLOOKUP(D221,Table1[#All],2,FALSE))</f>
        <v>Polycarbonate sheet (Heat Saver 3-Wall) 10mm, 2' x 2'</v>
      </c>
      <c r="H221" s="2">
        <f t="shared" si="123"/>
        <v>1</v>
      </c>
      <c r="I221" s="45">
        <f>IF(D221&lt;&gt;"",(VLOOKUP(D221,part_details,4,FALSE)+VLOOKUP(D221,part_details,5,FALSE)+VLOOKUP(D221,part_details,6,FALSE))*'Multi-level BOM'!E221,"")</f>
        <v>18.625</v>
      </c>
      <c r="J221" s="4">
        <f t="shared" ref="J221:S221" si="128">IF($B221="",J220,
    IF(J$3=$B221,$E221,
       IF(J$3&lt;$B221,J220,
           1
)))</f>
        <v>1</v>
      </c>
      <c r="K221" s="4">
        <f t="shared" si="128"/>
        <v>1</v>
      </c>
      <c r="L221" s="4">
        <f t="shared" si="128"/>
        <v>1</v>
      </c>
      <c r="M221" s="4">
        <f t="shared" si="128"/>
        <v>1</v>
      </c>
      <c r="N221" s="4">
        <f t="shared" si="128"/>
        <v>1</v>
      </c>
      <c r="O221" s="4">
        <f t="shared" si="128"/>
        <v>1</v>
      </c>
      <c r="P221" s="4">
        <f t="shared" si="128"/>
        <v>1</v>
      </c>
      <c r="Q221" s="4">
        <f t="shared" si="128"/>
        <v>1</v>
      </c>
      <c r="R221" s="4">
        <f t="shared" si="128"/>
        <v>1</v>
      </c>
      <c r="S221" s="4">
        <f t="shared" si="128"/>
        <v>1</v>
      </c>
      <c r="U221" s="3">
        <f t="shared" si="113"/>
        <v>0</v>
      </c>
      <c r="V221" s="1" t="str">
        <f t="shared" si="106"/>
        <v/>
      </c>
    </row>
    <row r="222" spans="1:22" x14ac:dyDescent="0.25">
      <c r="A222" s="2">
        <v>219</v>
      </c>
      <c r="C222" s="34" t="s">
        <v>810</v>
      </c>
      <c r="G222" s="1" t="str">
        <f>IF(D222="","",VLOOKUP(D222,Table1[#All],2,FALSE))</f>
        <v/>
      </c>
      <c r="H222" s="2">
        <f t="shared" si="123"/>
        <v>1</v>
      </c>
      <c r="I222" s="45" t="str">
        <f>IF(D222&lt;&gt;"",VLOOKUP(D222,part_details,4,FALSE)*'Multi-level BOM'!E222,"")</f>
        <v/>
      </c>
      <c r="J222" s="4">
        <f t="shared" ref="J222:S222" si="129">IF($B222="",J221,
    IF(J$3=$B222,$E222,
       IF(J$3&lt;$B222,J221,
           1
)))</f>
        <v>1</v>
      </c>
      <c r="K222" s="4">
        <f t="shared" si="129"/>
        <v>1</v>
      </c>
      <c r="L222" s="4">
        <f t="shared" si="129"/>
        <v>1</v>
      </c>
      <c r="M222" s="4">
        <f t="shared" si="129"/>
        <v>1</v>
      </c>
      <c r="N222" s="4">
        <f t="shared" si="129"/>
        <v>1</v>
      </c>
      <c r="O222" s="4">
        <f t="shared" si="129"/>
        <v>1</v>
      </c>
      <c r="P222" s="4">
        <f t="shared" si="129"/>
        <v>1</v>
      </c>
      <c r="Q222" s="4">
        <f t="shared" si="129"/>
        <v>1</v>
      </c>
      <c r="R222" s="4">
        <f t="shared" si="129"/>
        <v>1</v>
      </c>
      <c r="S222" s="4">
        <f t="shared" si="129"/>
        <v>1</v>
      </c>
      <c r="U222" s="3">
        <f t="shared" si="113"/>
        <v>0</v>
      </c>
      <c r="V222" s="1" t="str">
        <f t="shared" si="106"/>
        <v/>
      </c>
    </row>
    <row r="223" spans="1:22" x14ac:dyDescent="0.25">
      <c r="A223" s="2">
        <v>220</v>
      </c>
      <c r="C223" s="34" t="s">
        <v>811</v>
      </c>
      <c r="H223" s="2">
        <f t="shared" si="123"/>
        <v>1</v>
      </c>
      <c r="I223" s="45" t="str">
        <f>IF(D223&lt;&gt;"",VLOOKUP(D223,part_details,4,FALSE)*'Multi-level BOM'!E223,"")</f>
        <v/>
      </c>
      <c r="J223" s="4">
        <f t="shared" ref="J223:S223" si="130">IF($B223="",J222,
    IF(J$3=$B223,$E223,
       IF(J$3&lt;$B223,J222,
           1
)))</f>
        <v>1</v>
      </c>
      <c r="K223" s="4">
        <f t="shared" si="130"/>
        <v>1</v>
      </c>
      <c r="L223" s="4">
        <f t="shared" si="130"/>
        <v>1</v>
      </c>
      <c r="M223" s="4">
        <f t="shared" si="130"/>
        <v>1</v>
      </c>
      <c r="N223" s="4">
        <f t="shared" si="130"/>
        <v>1</v>
      </c>
      <c r="O223" s="4">
        <f t="shared" si="130"/>
        <v>1</v>
      </c>
      <c r="P223" s="4">
        <f t="shared" si="130"/>
        <v>1</v>
      </c>
      <c r="Q223" s="4">
        <f t="shared" si="130"/>
        <v>1</v>
      </c>
      <c r="R223" s="4">
        <f t="shared" si="130"/>
        <v>1</v>
      </c>
      <c r="S223" s="4">
        <f t="shared" si="130"/>
        <v>1</v>
      </c>
      <c r="U223" s="3">
        <f t="shared" si="113"/>
        <v>0</v>
      </c>
      <c r="V223" s="1" t="str">
        <f t="shared" si="106"/>
        <v/>
      </c>
    </row>
    <row r="224" spans="1:22" x14ac:dyDescent="0.25">
      <c r="A224" s="2">
        <v>221</v>
      </c>
      <c r="C224" s="34" t="s">
        <v>812</v>
      </c>
      <c r="H224" s="2">
        <f t="shared" si="123"/>
        <v>1</v>
      </c>
      <c r="I224" s="45" t="str">
        <f>IF(D224&lt;&gt;"",VLOOKUP(D224,part_details,4,FALSE)*'Multi-level BOM'!E224,"")</f>
        <v/>
      </c>
      <c r="J224" s="4">
        <f t="shared" ref="J224:S224" si="131">IF($B224="",J223,
    IF(J$3=$B224,$E224,
       IF(J$3&lt;$B224,J223,
           1
)))</f>
        <v>1</v>
      </c>
      <c r="K224" s="4">
        <f t="shared" si="131"/>
        <v>1</v>
      </c>
      <c r="L224" s="4">
        <f t="shared" si="131"/>
        <v>1</v>
      </c>
      <c r="M224" s="4">
        <f t="shared" si="131"/>
        <v>1</v>
      </c>
      <c r="N224" s="4">
        <f t="shared" si="131"/>
        <v>1</v>
      </c>
      <c r="O224" s="4">
        <f t="shared" si="131"/>
        <v>1</v>
      </c>
      <c r="P224" s="4">
        <f t="shared" si="131"/>
        <v>1</v>
      </c>
      <c r="Q224" s="4">
        <f t="shared" si="131"/>
        <v>1</v>
      </c>
      <c r="R224" s="4">
        <f t="shared" si="131"/>
        <v>1</v>
      </c>
      <c r="S224" s="4">
        <f t="shared" si="131"/>
        <v>1</v>
      </c>
      <c r="U224" s="3">
        <f t="shared" si="113"/>
        <v>0</v>
      </c>
      <c r="V224" s="1" t="str">
        <f t="shared" si="106"/>
        <v/>
      </c>
    </row>
    <row r="225" spans="1:22" x14ac:dyDescent="0.25">
      <c r="A225" s="2">
        <v>222</v>
      </c>
      <c r="C225" s="34" t="s">
        <v>813</v>
      </c>
      <c r="E225" s="2">
        <v>4</v>
      </c>
      <c r="H225" s="2">
        <f t="shared" si="123"/>
        <v>1</v>
      </c>
      <c r="I225" s="45" t="str">
        <f>IF(D225&lt;&gt;"",VLOOKUP(D225,part_details,4,FALSE)*'Multi-level BOM'!E225,"")</f>
        <v/>
      </c>
      <c r="J225" s="4">
        <f t="shared" ref="J225:S225" si="132">IF($B225="",J224,
    IF(J$3=$B225,$E225,
       IF(J$3&lt;$B225,J224,
           1
)))</f>
        <v>1</v>
      </c>
      <c r="K225" s="4">
        <f t="shared" si="132"/>
        <v>1</v>
      </c>
      <c r="L225" s="4">
        <f t="shared" si="132"/>
        <v>1</v>
      </c>
      <c r="M225" s="4">
        <f t="shared" si="132"/>
        <v>1</v>
      </c>
      <c r="N225" s="4">
        <f t="shared" si="132"/>
        <v>1</v>
      </c>
      <c r="O225" s="4">
        <f t="shared" si="132"/>
        <v>1</v>
      </c>
      <c r="P225" s="4">
        <f t="shared" si="132"/>
        <v>1</v>
      </c>
      <c r="Q225" s="4">
        <f t="shared" si="132"/>
        <v>1</v>
      </c>
      <c r="R225" s="4">
        <f t="shared" si="132"/>
        <v>1</v>
      </c>
      <c r="S225" s="4">
        <f t="shared" si="132"/>
        <v>1</v>
      </c>
      <c r="U225" s="3">
        <f t="shared" si="113"/>
        <v>0</v>
      </c>
      <c r="V225" s="1" t="str">
        <f t="shared" si="106"/>
        <v/>
      </c>
    </row>
    <row r="226" spans="1:22" x14ac:dyDescent="0.25">
      <c r="A226" s="2">
        <v>223</v>
      </c>
      <c r="C226" s="34" t="s">
        <v>814</v>
      </c>
      <c r="H226" s="2">
        <f t="shared" si="123"/>
        <v>1</v>
      </c>
      <c r="I226" s="45" t="str">
        <f>IF(D226&lt;&gt;"",VLOOKUP(D226,part_details,4,FALSE)*'Multi-level BOM'!E226,"")</f>
        <v/>
      </c>
      <c r="J226" s="4">
        <f t="shared" ref="J226:S226" si="133">IF($B226="",J225,
    IF(J$3=$B226,$E226,
       IF(J$3&lt;$B226,J225,
           1
)))</f>
        <v>1</v>
      </c>
      <c r="K226" s="4">
        <f t="shared" si="133"/>
        <v>1</v>
      </c>
      <c r="L226" s="4">
        <f t="shared" si="133"/>
        <v>1</v>
      </c>
      <c r="M226" s="4">
        <f t="shared" si="133"/>
        <v>1</v>
      </c>
      <c r="N226" s="4">
        <f t="shared" si="133"/>
        <v>1</v>
      </c>
      <c r="O226" s="4">
        <f t="shared" si="133"/>
        <v>1</v>
      </c>
      <c r="P226" s="4">
        <f t="shared" si="133"/>
        <v>1</v>
      </c>
      <c r="Q226" s="4">
        <f t="shared" si="133"/>
        <v>1</v>
      </c>
      <c r="R226" s="4">
        <f t="shared" si="133"/>
        <v>1</v>
      </c>
      <c r="S226" s="4">
        <f t="shared" si="133"/>
        <v>1</v>
      </c>
      <c r="U226" s="3">
        <f t="shared" si="113"/>
        <v>0</v>
      </c>
      <c r="V226" s="1" t="str">
        <f t="shared" si="106"/>
        <v/>
      </c>
    </row>
    <row r="227" spans="1:22" x14ac:dyDescent="0.25">
      <c r="A227" s="2">
        <v>224</v>
      </c>
      <c r="C227" s="7"/>
      <c r="H227" s="2">
        <f t="shared" si="123"/>
        <v>1</v>
      </c>
      <c r="I227" s="45" t="str">
        <f>IF(D227&lt;&gt;"",VLOOKUP(D227,part_details,4,FALSE)*'Multi-level BOM'!E227,"")</f>
        <v/>
      </c>
      <c r="J227" s="4">
        <f t="shared" ref="J227:S227" si="134">IF($B227="",J226,
    IF(J$3=$B227,$E227,
       IF(J$3&lt;$B227,J226,
           1
)))</f>
        <v>1</v>
      </c>
      <c r="K227" s="4">
        <f t="shared" si="134"/>
        <v>1</v>
      </c>
      <c r="L227" s="4">
        <f t="shared" si="134"/>
        <v>1</v>
      </c>
      <c r="M227" s="4">
        <f t="shared" si="134"/>
        <v>1</v>
      </c>
      <c r="N227" s="4">
        <f t="shared" si="134"/>
        <v>1</v>
      </c>
      <c r="O227" s="4">
        <f t="shared" si="134"/>
        <v>1</v>
      </c>
      <c r="P227" s="4">
        <f t="shared" si="134"/>
        <v>1</v>
      </c>
      <c r="Q227" s="4">
        <f t="shared" si="134"/>
        <v>1</v>
      </c>
      <c r="R227" s="4">
        <f t="shared" si="134"/>
        <v>1</v>
      </c>
      <c r="S227" s="4">
        <f t="shared" si="134"/>
        <v>1</v>
      </c>
      <c r="U227" s="3">
        <f t="shared" si="113"/>
        <v>0</v>
      </c>
      <c r="V227" s="1" t="str">
        <f t="shared" si="106"/>
        <v/>
      </c>
    </row>
    <row r="228" spans="1:22" x14ac:dyDescent="0.25">
      <c r="A228" s="2">
        <v>225</v>
      </c>
      <c r="B228" s="2">
        <v>1</v>
      </c>
      <c r="C228" s="7" t="s">
        <v>815</v>
      </c>
      <c r="E228" s="2">
        <v>1</v>
      </c>
      <c r="G228" s="1" t="str">
        <f>IF(D228="","",VLOOKUP(D228,Table1[#All],2,FALSE))</f>
        <v/>
      </c>
      <c r="H228" s="2">
        <f t="shared" si="123"/>
        <v>1</v>
      </c>
      <c r="I228" s="45">
        <f>H228*SUM(I229:I236)</f>
        <v>194.54480000000004</v>
      </c>
      <c r="J228" s="4">
        <f t="shared" ref="J228:S228" si="135">IF($B228="",J227,
    IF(J$3=$B228,$E228,
       IF(J$3&lt;$B228,J227,
           1
)))</f>
        <v>1</v>
      </c>
      <c r="K228" s="4">
        <f t="shared" si="135"/>
        <v>1</v>
      </c>
      <c r="L228" s="4">
        <f t="shared" si="135"/>
        <v>1</v>
      </c>
      <c r="M228" s="4">
        <f t="shared" si="135"/>
        <v>1</v>
      </c>
      <c r="N228" s="4">
        <f t="shared" si="135"/>
        <v>1</v>
      </c>
      <c r="O228" s="4">
        <f t="shared" si="135"/>
        <v>1</v>
      </c>
      <c r="P228" s="4">
        <f t="shared" si="135"/>
        <v>1</v>
      </c>
      <c r="Q228" s="4">
        <f t="shared" si="135"/>
        <v>1</v>
      </c>
      <c r="R228" s="4">
        <f t="shared" si="135"/>
        <v>1</v>
      </c>
      <c r="S228" s="4">
        <f t="shared" si="135"/>
        <v>1</v>
      </c>
      <c r="U228" s="3">
        <f t="shared" si="113"/>
        <v>0</v>
      </c>
      <c r="V228" s="1" t="str">
        <f t="shared" si="106"/>
        <v/>
      </c>
    </row>
    <row r="229" spans="1:22" x14ac:dyDescent="0.25">
      <c r="A229" s="2">
        <v>226</v>
      </c>
      <c r="B229" s="2">
        <v>2</v>
      </c>
      <c r="C229" s="7" t="s">
        <v>819</v>
      </c>
      <c r="D229" s="2" t="s">
        <v>48</v>
      </c>
      <c r="E229" s="2">
        <v>8</v>
      </c>
      <c r="G229" s="1" t="str">
        <f>IF(D229="","",VLOOKUP(D229,Table1[#All],2,FALSE))</f>
        <v>2020 Series 3-Way End Corner Bracket Connector, with Screws</v>
      </c>
      <c r="H229" s="2">
        <f t="shared" si="123"/>
        <v>8</v>
      </c>
      <c r="I229" s="45">
        <f>IF(D229&lt;&gt;"",(VLOOKUP(D229,part_details,4,FALSE)+VLOOKUP(D229,part_details,5,FALSE)+VLOOKUP(D229,part_details,6,FALSE))*'Multi-level BOM'!E229,"")</f>
        <v>23.958200000000001</v>
      </c>
      <c r="J229" s="4">
        <f t="shared" ref="J229:S229" si="136">IF($B229="",J228,
    IF(J$3=$B229,$E229,
       IF(J$3&lt;$B229,J228,
           1
)))</f>
        <v>1</v>
      </c>
      <c r="K229" s="4">
        <f t="shared" si="136"/>
        <v>1</v>
      </c>
      <c r="L229" s="4">
        <f t="shared" si="136"/>
        <v>8</v>
      </c>
      <c r="M229" s="4">
        <f t="shared" si="136"/>
        <v>1</v>
      </c>
      <c r="N229" s="4">
        <f t="shared" si="136"/>
        <v>1</v>
      </c>
      <c r="O229" s="4">
        <f t="shared" si="136"/>
        <v>1</v>
      </c>
      <c r="P229" s="4">
        <f t="shared" si="136"/>
        <v>1</v>
      </c>
      <c r="Q229" s="4">
        <f t="shared" si="136"/>
        <v>1</v>
      </c>
      <c r="R229" s="4">
        <f t="shared" si="136"/>
        <v>1</v>
      </c>
      <c r="S229" s="4">
        <f t="shared" si="136"/>
        <v>1</v>
      </c>
      <c r="U229" s="3">
        <f t="shared" si="113"/>
        <v>0</v>
      </c>
      <c r="V229" s="1" t="str">
        <f t="shared" si="106"/>
        <v/>
      </c>
    </row>
    <row r="230" spans="1:22" x14ac:dyDescent="0.25">
      <c r="A230" s="2">
        <v>227</v>
      </c>
      <c r="B230" s="2">
        <v>2</v>
      </c>
      <c r="C230" s="7" t="s">
        <v>821</v>
      </c>
      <c r="D230" s="2" t="s">
        <v>49</v>
      </c>
      <c r="E230" s="2">
        <v>4</v>
      </c>
      <c r="G230" s="1" t="str">
        <f>IF(D230="","",VLOOKUP(D230,Table1[#All],2,FALSE))</f>
        <v>HFS5-2020 aluminum extrusion, 553mm</v>
      </c>
      <c r="H230" s="2">
        <f>PRODUCT(J230:S230)</f>
        <v>4</v>
      </c>
      <c r="I230" s="45">
        <f>IF(D230&lt;&gt;"",(VLOOKUP(D230,part_details,4,FALSE)+VLOOKUP(D230,part_details,5,FALSE)+VLOOKUP(D230,part_details,6,FALSE))*'Multi-level BOM'!E230,"")</f>
        <v>20.172800000000002</v>
      </c>
      <c r="J230" s="4">
        <f t="shared" ref="J230:S230" si="137">IF($B230="",J229,
    IF(J$3=$B230,$E230,
       IF(J$3&lt;$B230,J229,
           1
)))</f>
        <v>1</v>
      </c>
      <c r="K230" s="4">
        <f t="shared" si="137"/>
        <v>1</v>
      </c>
      <c r="L230" s="4">
        <f>IF($B230="",L229,
    IF(L$3=$B230,$E230,
       IF(L$3&lt;$B230,L229,
           1
)))</f>
        <v>4</v>
      </c>
      <c r="M230" s="4">
        <f t="shared" si="137"/>
        <v>1</v>
      </c>
      <c r="N230" s="4">
        <f t="shared" si="137"/>
        <v>1</v>
      </c>
      <c r="O230" s="4">
        <f t="shared" si="137"/>
        <v>1</v>
      </c>
      <c r="P230" s="4">
        <f t="shared" si="137"/>
        <v>1</v>
      </c>
      <c r="Q230" s="4">
        <f t="shared" si="137"/>
        <v>1</v>
      </c>
      <c r="R230" s="4">
        <f t="shared" si="137"/>
        <v>1</v>
      </c>
      <c r="S230" s="4">
        <f t="shared" si="137"/>
        <v>1</v>
      </c>
      <c r="U230" s="3">
        <f t="shared" si="113"/>
        <v>0</v>
      </c>
      <c r="V230" s="1" t="str">
        <f t="shared" si="106"/>
        <v/>
      </c>
    </row>
    <row r="231" spans="1:22" x14ac:dyDescent="0.25">
      <c r="A231" s="2">
        <v>228</v>
      </c>
      <c r="B231" s="2">
        <v>2</v>
      </c>
      <c r="C231" s="7" t="s">
        <v>822</v>
      </c>
      <c r="D231" s="2" t="s">
        <v>50</v>
      </c>
      <c r="E231" s="2">
        <v>3</v>
      </c>
      <c r="G231" s="1" t="str">
        <f>IF(D231="","",VLOOKUP(D231,Table1[#All],2,FALSE))</f>
        <v>HFS5-2020 aluminum extrusion, 573mm</v>
      </c>
      <c r="H231" s="2">
        <f>PRODUCT(J231:S231)</f>
        <v>3</v>
      </c>
      <c r="I231" s="45">
        <f>IF(D231&lt;&gt;"",(VLOOKUP(D231,part_details,4,FALSE)+VLOOKUP(D231,part_details,5,FALSE)+VLOOKUP(D231,part_details,6,FALSE))*'Multi-level BOM'!E231,"")</f>
        <v>15.521999999999998</v>
      </c>
      <c r="J231" s="4">
        <f t="shared" ref="J231:S231" si="138">IF($B231="",J230,
    IF(J$3=$B231,$E231,
       IF(J$3&lt;$B231,J230,
           1
)))</f>
        <v>1</v>
      </c>
      <c r="K231" s="4">
        <f t="shared" si="138"/>
        <v>1</v>
      </c>
      <c r="L231" s="4">
        <f t="shared" si="138"/>
        <v>3</v>
      </c>
      <c r="M231" s="4">
        <f t="shared" si="138"/>
        <v>1</v>
      </c>
      <c r="N231" s="4">
        <f t="shared" si="138"/>
        <v>1</v>
      </c>
      <c r="O231" s="4">
        <f t="shared" si="138"/>
        <v>1</v>
      </c>
      <c r="P231" s="4">
        <f t="shared" si="138"/>
        <v>1</v>
      </c>
      <c r="Q231" s="4">
        <f t="shared" si="138"/>
        <v>1</v>
      </c>
      <c r="R231" s="4">
        <f t="shared" si="138"/>
        <v>1</v>
      </c>
      <c r="S231" s="4">
        <f t="shared" si="138"/>
        <v>1</v>
      </c>
      <c r="U231" s="3">
        <f t="shared" si="113"/>
        <v>0</v>
      </c>
      <c r="V231" s="1" t="str">
        <f t="shared" si="106"/>
        <v/>
      </c>
    </row>
    <row r="232" spans="1:22" x14ac:dyDescent="0.25">
      <c r="A232" s="2">
        <v>229</v>
      </c>
      <c r="B232" s="2">
        <v>2</v>
      </c>
      <c r="C232" s="34" t="s">
        <v>820</v>
      </c>
      <c r="D232" s="35" t="s">
        <v>50</v>
      </c>
      <c r="E232" s="2">
        <v>1</v>
      </c>
      <c r="G232" s="1" t="str">
        <f>IF(D232="","",VLOOKUP(D232,Table1[#All],2,FALSE))</f>
        <v>HFS5-2020 aluminum extrusion, 573mm</v>
      </c>
      <c r="H232" s="2">
        <f>PRODUCT(J232:S232)</f>
        <v>1</v>
      </c>
      <c r="I232" s="45">
        <f>IF(D232&lt;&gt;"",(VLOOKUP(D232,part_details,4,FALSE)+VLOOKUP(D232,part_details,5,FALSE)+VLOOKUP(D232,part_details,6,FALSE))*'Multi-level BOM'!E232,"")</f>
        <v>5.1739999999999995</v>
      </c>
      <c r="J232" s="4">
        <f t="shared" ref="J232:S232" si="139">IF($B232="",J231,
    IF(J$3=$B232,$E232,
       IF(J$3&lt;$B232,J231,
           1
)))</f>
        <v>1</v>
      </c>
      <c r="K232" s="4">
        <f t="shared" si="139"/>
        <v>1</v>
      </c>
      <c r="L232" s="4">
        <f t="shared" si="139"/>
        <v>1</v>
      </c>
      <c r="M232" s="4">
        <f t="shared" si="139"/>
        <v>1</v>
      </c>
      <c r="N232" s="4">
        <f t="shared" si="139"/>
        <v>1</v>
      </c>
      <c r="O232" s="4">
        <f t="shared" si="139"/>
        <v>1</v>
      </c>
      <c r="P232" s="4">
        <f t="shared" si="139"/>
        <v>1</v>
      </c>
      <c r="Q232" s="4">
        <f t="shared" si="139"/>
        <v>1</v>
      </c>
      <c r="R232" s="4">
        <f t="shared" si="139"/>
        <v>1</v>
      </c>
      <c r="S232" s="4">
        <f t="shared" si="139"/>
        <v>1</v>
      </c>
      <c r="U232" s="3">
        <f t="shared" si="113"/>
        <v>0</v>
      </c>
      <c r="V232" s="1" t="str">
        <f t="shared" si="106"/>
        <v/>
      </c>
    </row>
    <row r="233" spans="1:22" x14ac:dyDescent="0.25">
      <c r="A233" s="2">
        <v>230</v>
      </c>
      <c r="B233" s="2">
        <v>2</v>
      </c>
      <c r="C233" s="7" t="s">
        <v>823</v>
      </c>
      <c r="D233" s="2" t="s">
        <v>52</v>
      </c>
      <c r="E233" s="2">
        <v>4</v>
      </c>
      <c r="G233" s="1" t="str">
        <f>IF(D233="","",VLOOKUP(D233,Table1[#All],2,FALSE))</f>
        <v>HFS5-2020 aluminum extrusion, 200mm</v>
      </c>
      <c r="H233" s="2">
        <f>PRODUCT(J233:S233)</f>
        <v>4</v>
      </c>
      <c r="I233" s="45">
        <f>IF(D233&lt;&gt;"",(VLOOKUP(D233,part_details,4,FALSE)+VLOOKUP(D233,part_details,5,FALSE)+VLOOKUP(D233,part_details,6,FALSE))*'Multi-level BOM'!E233,"")</f>
        <v>18.210799999999999</v>
      </c>
      <c r="J233" s="4">
        <f t="shared" ref="J233:S233" si="140">IF($B233="",J232,
    IF(J$3=$B233,$E233,
       IF(J$3&lt;$B233,J232,
           1
)))</f>
        <v>1</v>
      </c>
      <c r="K233" s="4">
        <f t="shared" si="140"/>
        <v>1</v>
      </c>
      <c r="L233" s="4">
        <f t="shared" si="140"/>
        <v>4</v>
      </c>
      <c r="M233" s="4">
        <f t="shared" si="140"/>
        <v>1</v>
      </c>
      <c r="N233" s="4">
        <f t="shared" si="140"/>
        <v>1</v>
      </c>
      <c r="O233" s="4">
        <f t="shared" si="140"/>
        <v>1</v>
      </c>
      <c r="P233" s="4">
        <f t="shared" si="140"/>
        <v>1</v>
      </c>
      <c r="Q233" s="4">
        <f t="shared" si="140"/>
        <v>1</v>
      </c>
      <c r="R233" s="4">
        <f t="shared" si="140"/>
        <v>1</v>
      </c>
      <c r="S233" s="4">
        <f t="shared" si="140"/>
        <v>1</v>
      </c>
      <c r="U233" s="3">
        <f t="shared" si="113"/>
        <v>0</v>
      </c>
      <c r="V233" s="1" t="str">
        <f t="shared" si="106"/>
        <v/>
      </c>
    </row>
    <row r="234" spans="1:22" x14ac:dyDescent="0.25">
      <c r="A234" s="2">
        <v>231</v>
      </c>
      <c r="B234" s="2">
        <v>2</v>
      </c>
      <c r="C234" s="28" t="s">
        <v>824</v>
      </c>
      <c r="D234" s="2" t="s">
        <v>54</v>
      </c>
      <c r="E234" s="2">
        <v>2</v>
      </c>
      <c r="G234" s="1" t="str">
        <f>IF(D234="","",VLOOKUP(D234,Table1[#All],2,FALSE))</f>
        <v>Lexan Sheet - Polycarbonate - .236" - 1/4" Thick, Clear, 24" x 12"</v>
      </c>
      <c r="H234" s="2">
        <f t="shared" ref="H234:H239" si="141">PRODUCT(J234:S234)</f>
        <v>2</v>
      </c>
      <c r="I234" s="45">
        <f>IF(D234&lt;&gt;"",(VLOOKUP(D234,part_details,4,FALSE)+VLOOKUP(D234,part_details,5,FALSE)+VLOOKUP(D234,part_details,6,FALSE))*'Multi-level BOM'!E234,"")</f>
        <v>37.169000000000004</v>
      </c>
      <c r="J234" s="4">
        <f t="shared" ref="J234:S234" si="142">IF($B234="",J233,
    IF(J$3=$B234,$E234,
       IF(J$3&lt;$B234,J233,
           1
)))</f>
        <v>1</v>
      </c>
      <c r="K234" s="4">
        <f t="shared" si="142"/>
        <v>1</v>
      </c>
      <c r="L234" s="4">
        <f t="shared" si="142"/>
        <v>2</v>
      </c>
      <c r="M234" s="4">
        <f t="shared" si="142"/>
        <v>1</v>
      </c>
      <c r="N234" s="4">
        <f t="shared" si="142"/>
        <v>1</v>
      </c>
      <c r="O234" s="4">
        <f t="shared" si="142"/>
        <v>1</v>
      </c>
      <c r="P234" s="4">
        <f t="shared" si="142"/>
        <v>1</v>
      </c>
      <c r="Q234" s="4">
        <f t="shared" si="142"/>
        <v>1</v>
      </c>
      <c r="R234" s="4">
        <f t="shared" si="142"/>
        <v>1</v>
      </c>
      <c r="S234" s="4">
        <f t="shared" si="142"/>
        <v>1</v>
      </c>
      <c r="U234" s="3">
        <f t="shared" si="113"/>
        <v>0</v>
      </c>
      <c r="V234" s="1" t="str">
        <f t="shared" si="106"/>
        <v/>
      </c>
    </row>
    <row r="235" spans="1:22" x14ac:dyDescent="0.25">
      <c r="A235" s="2">
        <v>232</v>
      </c>
      <c r="B235" s="2">
        <v>2</v>
      </c>
      <c r="C235" s="28" t="s">
        <v>825</v>
      </c>
      <c r="D235" s="2" t="s">
        <v>54</v>
      </c>
      <c r="E235" s="2">
        <v>2</v>
      </c>
      <c r="G235" s="1" t="str">
        <f>IF(D235="","",VLOOKUP(D235,Table1[#All],2,FALSE))</f>
        <v>Lexan Sheet - Polycarbonate - .236" - 1/4" Thick, Clear, 24" x 12"</v>
      </c>
      <c r="H235" s="2">
        <f t="shared" si="141"/>
        <v>2</v>
      </c>
      <c r="I235" s="45">
        <f>IF(D235&lt;&gt;"",(VLOOKUP(D235,part_details,4,FALSE)+VLOOKUP(D235,part_details,5,FALSE)+VLOOKUP(D235,part_details,6,FALSE))*'Multi-level BOM'!E235,"")</f>
        <v>37.169000000000004</v>
      </c>
      <c r="J235" s="4">
        <f t="shared" ref="J235:S235" si="143">IF($B235="",J234,
    IF(J$3=$B235,$E235,
       IF(J$3&lt;$B235,J234,
           1
)))</f>
        <v>1</v>
      </c>
      <c r="K235" s="4">
        <f t="shared" si="143"/>
        <v>1</v>
      </c>
      <c r="L235" s="4">
        <f t="shared" si="143"/>
        <v>2</v>
      </c>
      <c r="M235" s="4">
        <f t="shared" si="143"/>
        <v>1</v>
      </c>
      <c r="N235" s="4">
        <f t="shared" si="143"/>
        <v>1</v>
      </c>
      <c r="O235" s="4">
        <f t="shared" si="143"/>
        <v>1</v>
      </c>
      <c r="P235" s="4">
        <f t="shared" si="143"/>
        <v>1</v>
      </c>
      <c r="Q235" s="4">
        <f t="shared" si="143"/>
        <v>1</v>
      </c>
      <c r="R235" s="4">
        <f t="shared" si="143"/>
        <v>1</v>
      </c>
      <c r="S235" s="4">
        <f t="shared" si="143"/>
        <v>1</v>
      </c>
      <c r="U235" s="3">
        <f t="shared" si="113"/>
        <v>0</v>
      </c>
      <c r="V235" s="1" t="str">
        <f t="shared" si="106"/>
        <v/>
      </c>
    </row>
    <row r="236" spans="1:22" x14ac:dyDescent="0.25">
      <c r="A236" s="2">
        <v>233</v>
      </c>
      <c r="B236" s="2">
        <v>2</v>
      </c>
      <c r="C236" s="28" t="s">
        <v>826</v>
      </c>
      <c r="D236" s="2" t="s">
        <v>53</v>
      </c>
      <c r="E236" s="2">
        <v>1</v>
      </c>
      <c r="G236" s="1" t="str">
        <f>IF(D236="","",VLOOKUP(D236,Table1[#All],2,FALSE))</f>
        <v>Lexan Sheet - Polycarbonate - .236" - 1/4" Thick, Clear, 24" x 12"</v>
      </c>
      <c r="H236" s="2">
        <f t="shared" si="141"/>
        <v>1</v>
      </c>
      <c r="I236" s="45">
        <f>IF(D236&lt;&gt;"",(VLOOKUP(D236,part_details,4,FALSE)+VLOOKUP(D236,part_details,5,FALSE)+VLOOKUP(D236,part_details,6,FALSE))*'Multi-level BOM'!E236,"")</f>
        <v>37.169000000000004</v>
      </c>
      <c r="J236" s="4">
        <f t="shared" ref="J236:S236" si="144">IF($B236="",J235,
    IF(J$3=$B236,$E236,
       IF(J$3&lt;$B236,J235,
           1
)))</f>
        <v>1</v>
      </c>
      <c r="K236" s="4">
        <f t="shared" si="144"/>
        <v>1</v>
      </c>
      <c r="L236" s="4">
        <f t="shared" si="144"/>
        <v>1</v>
      </c>
      <c r="M236" s="4">
        <f t="shared" si="144"/>
        <v>1</v>
      </c>
      <c r="N236" s="4">
        <f t="shared" si="144"/>
        <v>1</v>
      </c>
      <c r="O236" s="4">
        <f t="shared" si="144"/>
        <v>1</v>
      </c>
      <c r="P236" s="4">
        <f t="shared" si="144"/>
        <v>1</v>
      </c>
      <c r="Q236" s="4">
        <f t="shared" si="144"/>
        <v>1</v>
      </c>
      <c r="R236" s="4">
        <f t="shared" si="144"/>
        <v>1</v>
      </c>
      <c r="S236" s="4">
        <f t="shared" si="144"/>
        <v>1</v>
      </c>
      <c r="U236" s="3">
        <f t="shared" si="113"/>
        <v>0</v>
      </c>
      <c r="V236" s="1" t="str">
        <f t="shared" si="106"/>
        <v/>
      </c>
    </row>
    <row r="237" spans="1:22" x14ac:dyDescent="0.25">
      <c r="A237" s="2">
        <v>234</v>
      </c>
      <c r="C237" s="28"/>
      <c r="G237" s="1" t="str">
        <f>IF(D237="","",VLOOKUP(D237,Table1[#All],2,FALSE))</f>
        <v/>
      </c>
      <c r="H237" s="2">
        <f t="shared" si="141"/>
        <v>1</v>
      </c>
      <c r="I237" s="45" t="str">
        <f>IF(D237&lt;&gt;"",VLOOKUP(D237,part_details,4,FALSE)*'Multi-level BOM'!E237,"")</f>
        <v/>
      </c>
      <c r="J237" s="4">
        <f t="shared" ref="J237:S237" si="145">IF($B237="",J236,
    IF(J$3=$B237,$E237,
       IF(J$3&lt;$B237,J236,
           1
)))</f>
        <v>1</v>
      </c>
      <c r="K237" s="4">
        <f t="shared" si="145"/>
        <v>1</v>
      </c>
      <c r="L237" s="4">
        <f t="shared" si="145"/>
        <v>1</v>
      </c>
      <c r="M237" s="4">
        <f t="shared" si="145"/>
        <v>1</v>
      </c>
      <c r="N237" s="4">
        <f t="shared" si="145"/>
        <v>1</v>
      </c>
      <c r="O237" s="4">
        <f t="shared" si="145"/>
        <v>1</v>
      </c>
      <c r="P237" s="4">
        <f t="shared" si="145"/>
        <v>1</v>
      </c>
      <c r="Q237" s="4">
        <f t="shared" si="145"/>
        <v>1</v>
      </c>
      <c r="R237" s="4">
        <f t="shared" si="145"/>
        <v>1</v>
      </c>
      <c r="S237" s="4">
        <f t="shared" si="145"/>
        <v>1</v>
      </c>
      <c r="U237" s="3">
        <f t="shared" si="113"/>
        <v>0</v>
      </c>
      <c r="V237" s="1" t="str">
        <f t="shared" si="106"/>
        <v/>
      </c>
    </row>
    <row r="238" spans="1:22" x14ac:dyDescent="0.25">
      <c r="A238" s="2">
        <v>235</v>
      </c>
      <c r="B238" s="2">
        <v>1</v>
      </c>
      <c r="C238" s="7" t="s">
        <v>645</v>
      </c>
      <c r="E238" s="2">
        <v>1</v>
      </c>
      <c r="G238" s="1" t="str">
        <f>IF(D238="","",VLOOKUP(D238,Table1[#All],2,FALSE))</f>
        <v/>
      </c>
      <c r="H238" s="2">
        <f t="shared" si="141"/>
        <v>1</v>
      </c>
      <c r="I238" s="45">
        <f>H238*SUM(I239:I242)</f>
        <v>214.55029999999999</v>
      </c>
      <c r="J238" s="4">
        <f t="shared" ref="J238:S238" si="146">IF($B238="",J237,
    IF(J$3=$B238,$E238,
       IF(J$3&lt;$B238,J237,
           1
)))</f>
        <v>1</v>
      </c>
      <c r="K238" s="4">
        <f t="shared" si="146"/>
        <v>1</v>
      </c>
      <c r="L238" s="4">
        <f t="shared" si="146"/>
        <v>1</v>
      </c>
      <c r="M238" s="4">
        <f t="shared" si="146"/>
        <v>1</v>
      </c>
      <c r="N238" s="4">
        <f t="shared" si="146"/>
        <v>1</v>
      </c>
      <c r="O238" s="4">
        <f t="shared" si="146"/>
        <v>1</v>
      </c>
      <c r="P238" s="4">
        <f t="shared" si="146"/>
        <v>1</v>
      </c>
      <c r="Q238" s="4">
        <f t="shared" si="146"/>
        <v>1</v>
      </c>
      <c r="R238" s="4">
        <f t="shared" si="146"/>
        <v>1</v>
      </c>
      <c r="S238" s="4">
        <f t="shared" si="146"/>
        <v>1</v>
      </c>
      <c r="U238" s="3">
        <f t="shared" si="113"/>
        <v>0</v>
      </c>
      <c r="V238" s="1" t="str">
        <f t="shared" si="106"/>
        <v/>
      </c>
    </row>
    <row r="239" spans="1:22" x14ac:dyDescent="0.25">
      <c r="A239" s="2">
        <v>236</v>
      </c>
      <c r="B239" s="2">
        <v>2</v>
      </c>
      <c r="C239" s="7" t="s">
        <v>854</v>
      </c>
      <c r="D239" s="2" t="s">
        <v>61</v>
      </c>
      <c r="E239" s="2">
        <v>1</v>
      </c>
      <c r="G239" s="1" t="str">
        <f>IF(D239="","",VLOOKUP(D239,Table1[#All],2,FALSE))</f>
        <v xml:space="preserve">Cloned Duet 2 Wifi V1.04 DuetWifi Advanced 32 Bit Electronics </v>
      </c>
      <c r="H239" s="2">
        <f t="shared" si="141"/>
        <v>1</v>
      </c>
      <c r="I239" s="45">
        <f>IF(D239&lt;&gt;"",(VLOOKUP(D239,part_details,4,FALSE)+VLOOKUP(D239,part_details,5,FALSE)+VLOOKUP(D239,part_details,6,FALSE))*'Multi-level BOM'!E239,"")</f>
        <v>88.96</v>
      </c>
      <c r="J239" s="4">
        <f t="shared" ref="J239:S239" si="147">IF($B239="",J238,
    IF(J$3=$B239,$E239,
       IF(J$3&lt;$B239,J238,
           1
)))</f>
        <v>1</v>
      </c>
      <c r="K239" s="4">
        <f t="shared" si="147"/>
        <v>1</v>
      </c>
      <c r="L239" s="4">
        <f t="shared" si="147"/>
        <v>1</v>
      </c>
      <c r="M239" s="4">
        <f t="shared" si="147"/>
        <v>1</v>
      </c>
      <c r="N239" s="4">
        <f t="shared" si="147"/>
        <v>1</v>
      </c>
      <c r="O239" s="4">
        <f t="shared" si="147"/>
        <v>1</v>
      </c>
      <c r="P239" s="4">
        <f t="shared" si="147"/>
        <v>1</v>
      </c>
      <c r="Q239" s="4">
        <f t="shared" si="147"/>
        <v>1</v>
      </c>
      <c r="R239" s="4">
        <f t="shared" si="147"/>
        <v>1</v>
      </c>
      <c r="S239" s="4">
        <f t="shared" si="147"/>
        <v>1</v>
      </c>
      <c r="U239" s="3">
        <f t="shared" si="113"/>
        <v>0</v>
      </c>
      <c r="V239" s="1" t="str">
        <f t="shared" si="106"/>
        <v/>
      </c>
    </row>
    <row r="240" spans="1:22" x14ac:dyDescent="0.25">
      <c r="A240" s="2">
        <v>237</v>
      </c>
      <c r="B240" s="2">
        <v>2</v>
      </c>
      <c r="C240" s="7" t="s">
        <v>851</v>
      </c>
      <c r="D240" s="2" t="s">
        <v>62</v>
      </c>
      <c r="E240" s="2">
        <v>1</v>
      </c>
      <c r="F240" s="2" t="s">
        <v>916</v>
      </c>
      <c r="G240" s="1" t="str">
        <f>IF(D240="","",VLOOKUP(D240,Table1[#All],2,FALSE))</f>
        <v>Cloned Duex5 Expansion Board Controller With TMC2660 Stepper Motor Driver Fit Thermocouple PT100 VS Duet 2 Wifi 3D Printer Parts</v>
      </c>
      <c r="H240" s="2">
        <f>PRODUCT(J240:S240)</f>
        <v>1</v>
      </c>
      <c r="I240" s="45">
        <f>IF(D240&lt;&gt;"",(VLOOKUP(D240,part_details,4,FALSE)+VLOOKUP(D240,part_details,5,FALSE)+VLOOKUP(D240,part_details,6,FALSE))*'Multi-level BOM'!E240,"")</f>
        <v>79.08</v>
      </c>
      <c r="J240" s="4">
        <f t="shared" ref="J240:S240" si="148">IF($B240="",J239,
    IF(J$3=$B240,$E240,
       IF(J$3&lt;$B240,J239,
           1
)))</f>
        <v>1</v>
      </c>
      <c r="K240" s="4">
        <f t="shared" si="148"/>
        <v>1</v>
      </c>
      <c r="L240" s="4">
        <f t="shared" si="148"/>
        <v>1</v>
      </c>
      <c r="M240" s="4">
        <f t="shared" si="148"/>
        <v>1</v>
      </c>
      <c r="N240" s="4">
        <f t="shared" si="148"/>
        <v>1</v>
      </c>
      <c r="O240" s="4">
        <f t="shared" si="148"/>
        <v>1</v>
      </c>
      <c r="P240" s="4">
        <f t="shared" si="148"/>
        <v>1</v>
      </c>
      <c r="Q240" s="4">
        <f t="shared" si="148"/>
        <v>1</v>
      </c>
      <c r="R240" s="4">
        <f t="shared" si="148"/>
        <v>1</v>
      </c>
      <c r="S240" s="4">
        <f t="shared" si="148"/>
        <v>1</v>
      </c>
      <c r="U240" s="3">
        <f t="shared" si="113"/>
        <v>79.08</v>
      </c>
      <c r="V240" s="1" t="str">
        <f t="shared" si="106"/>
        <v>A-0056</v>
      </c>
    </row>
    <row r="241" spans="1:22" x14ac:dyDescent="0.25">
      <c r="A241" s="2">
        <v>238</v>
      </c>
      <c r="B241" s="2">
        <v>2</v>
      </c>
      <c r="C241" s="7" t="s">
        <v>855</v>
      </c>
      <c r="D241" s="2" t="s">
        <v>63</v>
      </c>
      <c r="E241" s="2">
        <v>1</v>
      </c>
      <c r="G241" s="1" t="str">
        <f>IF(D241="","",VLOOKUP(D241,Table1[#All],2,FALSE))</f>
        <v>EAGWELL 24v 15a DC Universal Regulated Switching Power Supply 360w</v>
      </c>
      <c r="H241" s="2">
        <f t="shared" ref="H241:H304" si="149">PRODUCT(J241:S241)</f>
        <v>1</v>
      </c>
      <c r="I241" s="45">
        <f>IF(D241&lt;&gt;"",(VLOOKUP(D241,part_details,4,FALSE)+VLOOKUP(D241,part_details,5,FALSE)+VLOOKUP(D241,part_details,6,FALSE))*'Multi-level BOM'!E241,"")</f>
        <v>31.261199999999999</v>
      </c>
      <c r="J241" s="4">
        <f t="shared" ref="J241:S241" si="150">IF($B241="",J240,
    IF(J$3=$B241,$E241,
       IF(J$3&lt;$B241,J240,
           1
)))</f>
        <v>1</v>
      </c>
      <c r="K241" s="4">
        <f t="shared" si="150"/>
        <v>1</v>
      </c>
      <c r="L241" s="4">
        <f t="shared" si="150"/>
        <v>1</v>
      </c>
      <c r="M241" s="4">
        <f t="shared" si="150"/>
        <v>1</v>
      </c>
      <c r="N241" s="4">
        <f t="shared" si="150"/>
        <v>1</v>
      </c>
      <c r="O241" s="4">
        <f t="shared" si="150"/>
        <v>1</v>
      </c>
      <c r="P241" s="4">
        <f t="shared" si="150"/>
        <v>1</v>
      </c>
      <c r="Q241" s="4">
        <f t="shared" si="150"/>
        <v>1</v>
      </c>
      <c r="R241" s="4">
        <f t="shared" si="150"/>
        <v>1</v>
      </c>
      <c r="S241" s="4">
        <f t="shared" si="150"/>
        <v>1</v>
      </c>
      <c r="U241" s="3">
        <f t="shared" si="113"/>
        <v>0</v>
      </c>
      <c r="V241" s="1" t="str">
        <f t="shared" si="106"/>
        <v/>
      </c>
    </row>
    <row r="242" spans="1:22" x14ac:dyDescent="0.25">
      <c r="A242" s="2">
        <v>239</v>
      </c>
      <c r="B242" s="2">
        <v>2</v>
      </c>
      <c r="C242" s="7" t="s">
        <v>977</v>
      </c>
      <c r="D242" s="2" t="s">
        <v>64</v>
      </c>
      <c r="E242" s="2">
        <v>1</v>
      </c>
      <c r="G242" s="1" t="str">
        <f>IF(D242="","",VLOOKUP(D242,Table1[#All],2,FALSE))</f>
        <v>Inkbird Solid State Relay 40DA DC SSR Black Heat Sink for PID Thermostat Temperature Controller</v>
      </c>
      <c r="H242" s="2">
        <f t="shared" si="149"/>
        <v>1</v>
      </c>
      <c r="I242" s="45">
        <f>IF(D242&lt;&gt;"",(VLOOKUP(D242,part_details,4,FALSE)+VLOOKUP(D242,part_details,5,FALSE)+VLOOKUP(D242,part_details,6,FALSE))*'Multi-level BOM'!E242,"")</f>
        <v>15.2491</v>
      </c>
      <c r="J242" s="4">
        <f t="shared" ref="J242:S242" si="151">IF($B242="",J241,
    IF(J$3=$B242,$E242,
       IF(J$3&lt;$B242,J241,
           1
)))</f>
        <v>1</v>
      </c>
      <c r="K242" s="4">
        <f t="shared" si="151"/>
        <v>1</v>
      </c>
      <c r="L242" s="4">
        <f t="shared" si="151"/>
        <v>1</v>
      </c>
      <c r="M242" s="4">
        <f t="shared" si="151"/>
        <v>1</v>
      </c>
      <c r="N242" s="4">
        <f t="shared" si="151"/>
        <v>1</v>
      </c>
      <c r="O242" s="4">
        <f t="shared" si="151"/>
        <v>1</v>
      </c>
      <c r="P242" s="4">
        <f t="shared" si="151"/>
        <v>1</v>
      </c>
      <c r="Q242" s="4">
        <f t="shared" si="151"/>
        <v>1</v>
      </c>
      <c r="R242" s="4">
        <f t="shared" si="151"/>
        <v>1</v>
      </c>
      <c r="S242" s="4">
        <f t="shared" si="151"/>
        <v>1</v>
      </c>
      <c r="U242" s="3">
        <f t="shared" si="113"/>
        <v>0</v>
      </c>
      <c r="V242" s="1" t="str">
        <f t="shared" si="106"/>
        <v/>
      </c>
    </row>
    <row r="243" spans="1:22" x14ac:dyDescent="0.25">
      <c r="A243" s="2">
        <v>240</v>
      </c>
      <c r="B243" s="2">
        <v>2</v>
      </c>
      <c r="C243" s="7" t="s">
        <v>976</v>
      </c>
      <c r="D243" s="2" t="s">
        <v>78</v>
      </c>
      <c r="E243" s="2">
        <v>1</v>
      </c>
      <c r="G243" s="1" t="str">
        <f>IF(D243="","",VLOOKUP(D243,Table1[#All],2,FALSE))</f>
        <v>SSR Thermal Pad</v>
      </c>
      <c r="H243" s="2">
        <f t="shared" si="149"/>
        <v>1</v>
      </c>
      <c r="I243" s="45">
        <f>IF(D243&lt;&gt;"",(VLOOKUP(D243,part_details,4,FALSE)+VLOOKUP(D243,part_details,5,FALSE)+VLOOKUP(D243,part_details,6,FALSE))*'Multi-level BOM'!E243,"")</f>
        <v>1.4497</v>
      </c>
      <c r="J243" s="4">
        <f t="shared" ref="J243:S243" si="152">IF($B243="",J242,
    IF(J$3=$B243,$E243,
       IF(J$3&lt;$B243,J242,
           1
)))</f>
        <v>1</v>
      </c>
      <c r="K243" s="4">
        <f t="shared" si="152"/>
        <v>1</v>
      </c>
      <c r="L243" s="4">
        <f t="shared" si="152"/>
        <v>1</v>
      </c>
      <c r="M243" s="4">
        <f t="shared" si="152"/>
        <v>1</v>
      </c>
      <c r="N243" s="4">
        <f t="shared" si="152"/>
        <v>1</v>
      </c>
      <c r="O243" s="4">
        <f t="shared" si="152"/>
        <v>1</v>
      </c>
      <c r="P243" s="4">
        <f t="shared" si="152"/>
        <v>1</v>
      </c>
      <c r="Q243" s="4">
        <f t="shared" si="152"/>
        <v>1</v>
      </c>
      <c r="R243" s="4">
        <f t="shared" si="152"/>
        <v>1</v>
      </c>
      <c r="S243" s="4">
        <f t="shared" si="152"/>
        <v>1</v>
      </c>
      <c r="U243" s="3">
        <f t="shared" ref="U243:U306" si="153">IF(F243="x",I243,0)</f>
        <v>0</v>
      </c>
      <c r="V243" s="1" t="str">
        <f t="shared" ref="V243:V306" si="154">IF(F243="x",D243,"")</f>
        <v/>
      </c>
    </row>
    <row r="244" spans="1:22" x14ac:dyDescent="0.25">
      <c r="A244" s="2">
        <v>241</v>
      </c>
      <c r="B244" s="2">
        <v>2</v>
      </c>
      <c r="C244" s="7" t="s">
        <v>1045</v>
      </c>
      <c r="D244" s="2" t="s">
        <v>79</v>
      </c>
      <c r="E244" s="2">
        <v>1</v>
      </c>
      <c r="G244" s="1" t="str">
        <f>IF(D244="","",VLOOKUP(D244,Table1[#All],2,FALSE))</f>
        <v>Cloned 7i PanelDue Touch Screen Controller For BLV MGN Cube</v>
      </c>
      <c r="H244" s="2">
        <f t="shared" si="149"/>
        <v>1</v>
      </c>
      <c r="I244" s="45">
        <f>IF(D244&lt;&gt;"",(VLOOKUP(D244,part_details,4,FALSE)+VLOOKUP(D244,part_details,5,FALSE)+VLOOKUP(D244,part_details,6,FALSE))*'Multi-level BOM'!E244,"")</f>
        <v>63.64</v>
      </c>
      <c r="J244" s="4">
        <f t="shared" ref="J244:S244" si="155">IF($B244="",J243,
    IF(J$3=$B244,$E244,
       IF(J$3&lt;$B244,J243,
           1
)))</f>
        <v>1</v>
      </c>
      <c r="K244" s="4">
        <f t="shared" si="155"/>
        <v>1</v>
      </c>
      <c r="L244" s="4">
        <f t="shared" si="155"/>
        <v>1</v>
      </c>
      <c r="M244" s="4">
        <f t="shared" si="155"/>
        <v>1</v>
      </c>
      <c r="N244" s="4">
        <f t="shared" si="155"/>
        <v>1</v>
      </c>
      <c r="O244" s="4">
        <f t="shared" si="155"/>
        <v>1</v>
      </c>
      <c r="P244" s="4">
        <f t="shared" si="155"/>
        <v>1</v>
      </c>
      <c r="Q244" s="4">
        <f t="shared" si="155"/>
        <v>1</v>
      </c>
      <c r="R244" s="4">
        <f t="shared" si="155"/>
        <v>1</v>
      </c>
      <c r="S244" s="4">
        <f t="shared" si="155"/>
        <v>1</v>
      </c>
      <c r="U244" s="3">
        <f t="shared" si="153"/>
        <v>0</v>
      </c>
      <c r="V244" s="1" t="str">
        <f t="shared" si="154"/>
        <v/>
      </c>
    </row>
    <row r="245" spans="1:22" x14ac:dyDescent="0.25">
      <c r="A245" s="2">
        <v>242</v>
      </c>
      <c r="B245" s="2">
        <v>2</v>
      </c>
      <c r="C245" s="7" t="s">
        <v>1046</v>
      </c>
      <c r="D245" s="2" t="s">
        <v>80</v>
      </c>
      <c r="E245" s="2">
        <v>1</v>
      </c>
      <c r="G245" s="1" t="str">
        <f>IF(D245="","",VLOOKUP(D245,Table1[#All],2,FALSE))</f>
        <v>Heated Bed 10K Lug Ring Thermistor (PN NTC/BC2891-ND)</v>
      </c>
      <c r="H245" s="2">
        <f t="shared" si="149"/>
        <v>1</v>
      </c>
      <c r="I245" s="45">
        <f>IF(D245&lt;&gt;"",(VLOOKUP(D245,part_details,4,FALSE)+VLOOKUP(D245,part_details,5,FALSE)+VLOOKUP(D245,part_details,6,FALSE))*'Multi-level BOM'!E245,"")</f>
        <v>3.2808999999999999</v>
      </c>
      <c r="J245" s="4">
        <f t="shared" ref="J245:S245" si="156">IF($B245="",J244,
    IF(J$3=$B245,$E245,
       IF(J$3&lt;$B245,J244,
           1
)))</f>
        <v>1</v>
      </c>
      <c r="K245" s="4">
        <f t="shared" si="156"/>
        <v>1</v>
      </c>
      <c r="L245" s="4">
        <f t="shared" si="156"/>
        <v>1</v>
      </c>
      <c r="M245" s="4">
        <f t="shared" si="156"/>
        <v>1</v>
      </c>
      <c r="N245" s="4">
        <f t="shared" si="156"/>
        <v>1</v>
      </c>
      <c r="O245" s="4">
        <f t="shared" si="156"/>
        <v>1</v>
      </c>
      <c r="P245" s="4">
        <f t="shared" si="156"/>
        <v>1</v>
      </c>
      <c r="Q245" s="4">
        <f t="shared" si="156"/>
        <v>1</v>
      </c>
      <c r="R245" s="4">
        <f t="shared" si="156"/>
        <v>1</v>
      </c>
      <c r="S245" s="4">
        <f t="shared" si="156"/>
        <v>1</v>
      </c>
      <c r="U245" s="3">
        <f t="shared" si="153"/>
        <v>0</v>
      </c>
      <c r="V245" s="1" t="str">
        <f t="shared" si="154"/>
        <v/>
      </c>
    </row>
    <row r="246" spans="1:22" x14ac:dyDescent="0.25">
      <c r="A246" s="2">
        <v>243</v>
      </c>
      <c r="B246" s="2">
        <v>2</v>
      </c>
      <c r="C246" s="7" t="s">
        <v>1003</v>
      </c>
      <c r="D246" s="2" t="s">
        <v>81</v>
      </c>
      <c r="E246" s="2">
        <v>1</v>
      </c>
      <c r="G246" s="1" t="str">
        <f>IF(D246="","",VLOOKUP(D246,Table1[#All],2,FALSE))</f>
        <v>SSR Protective cover</v>
      </c>
      <c r="H246" s="2">
        <f t="shared" si="149"/>
        <v>1</v>
      </c>
      <c r="I246" s="45">
        <f>IF(D246&lt;&gt;"",(VLOOKUP(D246,part_details,4,FALSE)+VLOOKUP(D246,part_details,5,FALSE)+VLOOKUP(D246,part_details,6,FALSE))*'Multi-level BOM'!E246,"")</f>
        <v>5.5589999999999993</v>
      </c>
      <c r="J246" s="4">
        <f t="shared" ref="J246:S246" si="157">IF($B246="",J245,
    IF(J$3=$B246,$E246,
       IF(J$3&lt;$B246,J245,
           1
)))</f>
        <v>1</v>
      </c>
      <c r="K246" s="4">
        <f t="shared" si="157"/>
        <v>1</v>
      </c>
      <c r="L246" s="4">
        <f t="shared" si="157"/>
        <v>1</v>
      </c>
      <c r="M246" s="4">
        <f t="shared" si="157"/>
        <v>1</v>
      </c>
      <c r="N246" s="4">
        <f t="shared" si="157"/>
        <v>1</v>
      </c>
      <c r="O246" s="4">
        <f t="shared" si="157"/>
        <v>1</v>
      </c>
      <c r="P246" s="4">
        <f t="shared" si="157"/>
        <v>1</v>
      </c>
      <c r="Q246" s="4">
        <f t="shared" si="157"/>
        <v>1</v>
      </c>
      <c r="R246" s="4">
        <f t="shared" si="157"/>
        <v>1</v>
      </c>
      <c r="S246" s="4">
        <f t="shared" si="157"/>
        <v>1</v>
      </c>
      <c r="U246" s="3">
        <f t="shared" si="153"/>
        <v>0</v>
      </c>
      <c r="V246" s="1" t="str">
        <f t="shared" si="154"/>
        <v/>
      </c>
    </row>
    <row r="247" spans="1:22" x14ac:dyDescent="0.25">
      <c r="A247" s="2">
        <v>244</v>
      </c>
      <c r="B247" s="2">
        <v>2</v>
      </c>
      <c r="C247" s="7" t="s">
        <v>1005</v>
      </c>
      <c r="D247" s="2" t="s">
        <v>82</v>
      </c>
      <c r="E247" s="2">
        <v>1</v>
      </c>
      <c r="G247" s="1" t="str">
        <f>IF(D247="","",VLOOKUP(D247,Table1[#All],2,FALSE))</f>
        <v>NEMA 11 Stepper with gearing</v>
      </c>
      <c r="H247" s="2">
        <f t="shared" si="149"/>
        <v>1</v>
      </c>
      <c r="I247" s="45">
        <f>IF(D247&lt;&gt;"",(VLOOKUP(D247,part_details,4,FALSE)+VLOOKUP(D247,part_details,5,FALSE)+VLOOKUP(D247,part_details,6,FALSE))*'Multi-level BOM'!E247,"")</f>
        <v>0</v>
      </c>
      <c r="J247" s="4">
        <f t="shared" ref="J247:S247" si="158">IF($B247="",J246,
    IF(J$3=$B247,$E247,
       IF(J$3&lt;$B247,J246,
           1
)))</f>
        <v>1</v>
      </c>
      <c r="K247" s="4">
        <f t="shared" si="158"/>
        <v>1</v>
      </c>
      <c r="L247" s="4">
        <f t="shared" si="158"/>
        <v>1</v>
      </c>
      <c r="M247" s="4">
        <f t="shared" si="158"/>
        <v>1</v>
      </c>
      <c r="N247" s="4">
        <f t="shared" si="158"/>
        <v>1</v>
      </c>
      <c r="O247" s="4">
        <f t="shared" si="158"/>
        <v>1</v>
      </c>
      <c r="P247" s="4">
        <f t="shared" si="158"/>
        <v>1</v>
      </c>
      <c r="Q247" s="4">
        <f t="shared" si="158"/>
        <v>1</v>
      </c>
      <c r="R247" s="4">
        <f t="shared" si="158"/>
        <v>1</v>
      </c>
      <c r="S247" s="4">
        <f t="shared" si="158"/>
        <v>1</v>
      </c>
      <c r="U247" s="3">
        <f t="shared" si="153"/>
        <v>0</v>
      </c>
      <c r="V247" s="1" t="str">
        <f t="shared" si="154"/>
        <v/>
      </c>
    </row>
    <row r="248" spans="1:22" x14ac:dyDescent="0.25">
      <c r="A248" s="2">
        <v>245</v>
      </c>
      <c r="B248" s="2">
        <v>2</v>
      </c>
      <c r="C248" s="7" t="s">
        <v>1047</v>
      </c>
      <c r="D248" s="2" t="s">
        <v>83</v>
      </c>
      <c r="E248" s="2">
        <v>1</v>
      </c>
      <c r="G248" s="1" t="str">
        <f>IF(D248="","",VLOOKUP(D248,Table1[#All],2,FALSE))</f>
        <v>Mechanical limit switch ( SS0750300F070P1A )</v>
      </c>
      <c r="H248" s="2">
        <f t="shared" si="149"/>
        <v>1</v>
      </c>
      <c r="I248" s="45">
        <f>IF(D248&lt;&gt;"",(VLOOKUP(D248,part_details,4,FALSE)+VLOOKUP(D248,part_details,5,FALSE)+VLOOKUP(D248,part_details,6,FALSE))*'Multi-level BOM'!E248,"")</f>
        <v>1.1990000000000001</v>
      </c>
      <c r="J248" s="4">
        <f t="shared" ref="J248:S248" si="159">IF($B248="",J247,
    IF(J$3=$B248,$E248,
       IF(J$3&lt;$B248,J247,
           1
)))</f>
        <v>1</v>
      </c>
      <c r="K248" s="4">
        <f t="shared" si="159"/>
        <v>1</v>
      </c>
      <c r="L248" s="4">
        <f t="shared" si="159"/>
        <v>1</v>
      </c>
      <c r="M248" s="4">
        <f t="shared" si="159"/>
        <v>1</v>
      </c>
      <c r="N248" s="4">
        <f t="shared" si="159"/>
        <v>1</v>
      </c>
      <c r="O248" s="4">
        <f t="shared" si="159"/>
        <v>1</v>
      </c>
      <c r="P248" s="4">
        <f t="shared" si="159"/>
        <v>1</v>
      </c>
      <c r="Q248" s="4">
        <f t="shared" si="159"/>
        <v>1</v>
      </c>
      <c r="R248" s="4">
        <f t="shared" si="159"/>
        <v>1</v>
      </c>
      <c r="S248" s="4">
        <f t="shared" si="159"/>
        <v>1</v>
      </c>
      <c r="U248" s="3">
        <f t="shared" si="153"/>
        <v>0</v>
      </c>
      <c r="V248" s="1" t="str">
        <f t="shared" si="154"/>
        <v/>
      </c>
    </row>
    <row r="249" spans="1:22" x14ac:dyDescent="0.25">
      <c r="A249" s="2">
        <v>246</v>
      </c>
      <c r="B249" s="2">
        <v>2</v>
      </c>
      <c r="C249" s="7" t="s">
        <v>1008</v>
      </c>
      <c r="D249" s="2" t="s">
        <v>84</v>
      </c>
      <c r="E249" s="2">
        <v>1</v>
      </c>
      <c r="G249" s="1" t="str">
        <f>IF(D249="","",VLOOKUP(D249,Table1[#All],2,FALSE))</f>
        <v xml:space="preserve">E3D High Precision Ceramic Heater Cartridge 24V 30W </v>
      </c>
      <c r="H249" s="2">
        <f t="shared" si="149"/>
        <v>1</v>
      </c>
      <c r="I249" s="45">
        <f>IF(D249&lt;&gt;"",(VLOOKUP(D249,part_details,4,FALSE)+VLOOKUP(D249,part_details,5,FALSE)+VLOOKUP(D249,part_details,6,FALSE))*'Multi-level BOM'!E249,"")</f>
        <v>19.598200000000002</v>
      </c>
      <c r="J249" s="4">
        <f t="shared" ref="J249:S249" si="160">IF($B249="",J248,
    IF(J$3=$B249,$E249,
       IF(J$3&lt;$B249,J248,
           1
)))</f>
        <v>1</v>
      </c>
      <c r="K249" s="4">
        <f t="shared" si="160"/>
        <v>1</v>
      </c>
      <c r="L249" s="4">
        <f t="shared" si="160"/>
        <v>1</v>
      </c>
      <c r="M249" s="4">
        <f t="shared" si="160"/>
        <v>1</v>
      </c>
      <c r="N249" s="4">
        <f t="shared" si="160"/>
        <v>1</v>
      </c>
      <c r="O249" s="4">
        <f t="shared" si="160"/>
        <v>1</v>
      </c>
      <c r="P249" s="4">
        <f t="shared" si="160"/>
        <v>1</v>
      </c>
      <c r="Q249" s="4">
        <f t="shared" si="160"/>
        <v>1</v>
      </c>
      <c r="R249" s="4">
        <f t="shared" si="160"/>
        <v>1</v>
      </c>
      <c r="S249" s="4">
        <f t="shared" si="160"/>
        <v>1</v>
      </c>
      <c r="U249" s="3">
        <f t="shared" si="153"/>
        <v>0</v>
      </c>
      <c r="V249" s="1" t="str">
        <f t="shared" si="154"/>
        <v/>
      </c>
    </row>
    <row r="250" spans="1:22" x14ac:dyDescent="0.25">
      <c r="A250" s="2">
        <v>247</v>
      </c>
      <c r="B250" s="2">
        <v>2</v>
      </c>
      <c r="C250" s="7" t="s">
        <v>1011</v>
      </c>
      <c r="D250" s="2" t="s">
        <v>85</v>
      </c>
      <c r="E250" s="2">
        <v>1</v>
      </c>
      <c r="G250" s="1" t="str">
        <f>IF(D250="","",VLOOKUP(D250,Table1[#All],2,FALSE))</f>
        <v>FYSETC 3D Printer Ender 3 Parts 4010 DC 24V Cooling Fan</v>
      </c>
      <c r="H250" s="2">
        <f t="shared" si="149"/>
        <v>1</v>
      </c>
      <c r="I250" s="45">
        <f>IF(D250&lt;&gt;"",(VLOOKUP(D250,part_details,4,FALSE)+VLOOKUP(D250,part_details,5,FALSE)+VLOOKUP(D250,part_details,6,FALSE))*'Multi-level BOM'!E250,"")</f>
        <v>5.9895500000000004</v>
      </c>
      <c r="J250" s="4">
        <f t="shared" ref="J250:S250" si="161">IF($B250="",J249,
    IF(J$3=$B250,$E250,
       IF(J$3&lt;$B250,J249,
           1
)))</f>
        <v>1</v>
      </c>
      <c r="K250" s="4">
        <f t="shared" si="161"/>
        <v>1</v>
      </c>
      <c r="L250" s="4">
        <f t="shared" si="161"/>
        <v>1</v>
      </c>
      <c r="M250" s="4">
        <f t="shared" si="161"/>
        <v>1</v>
      </c>
      <c r="N250" s="4">
        <f t="shared" si="161"/>
        <v>1</v>
      </c>
      <c r="O250" s="4">
        <f t="shared" si="161"/>
        <v>1</v>
      </c>
      <c r="P250" s="4">
        <f t="shared" si="161"/>
        <v>1</v>
      </c>
      <c r="Q250" s="4">
        <f t="shared" si="161"/>
        <v>1</v>
      </c>
      <c r="R250" s="4">
        <f t="shared" si="161"/>
        <v>1</v>
      </c>
      <c r="S250" s="4">
        <f t="shared" si="161"/>
        <v>1</v>
      </c>
      <c r="U250" s="3">
        <f t="shared" si="153"/>
        <v>0</v>
      </c>
      <c r="V250" s="1" t="str">
        <f t="shared" si="154"/>
        <v/>
      </c>
    </row>
    <row r="251" spans="1:22" x14ac:dyDescent="0.25">
      <c r="A251" s="2">
        <v>248</v>
      </c>
      <c r="B251" s="2">
        <v>2</v>
      </c>
      <c r="C251" s="7" t="s">
        <v>1012</v>
      </c>
      <c r="D251" s="2" t="s">
        <v>86</v>
      </c>
      <c r="E251" s="2">
        <v>1</v>
      </c>
      <c r="G251" s="1" t="str">
        <f>IF(D251="","",VLOOKUP(D251,Table1[#All],2,FALSE))</f>
        <v>Cooling Fan for 3D Printer, 4020 DC 40×40×20mm Turbo Fan</v>
      </c>
      <c r="H251" s="2">
        <f t="shared" si="149"/>
        <v>1</v>
      </c>
      <c r="I251" s="45">
        <f>IF(D251&lt;&gt;"",(VLOOKUP(D251,part_details,4,FALSE)+VLOOKUP(D251,part_details,5,FALSE)+VLOOKUP(D251,part_details,6,FALSE))*'Multi-level BOM'!E251,"")</f>
        <v>5.1175500000000005</v>
      </c>
      <c r="J251" s="4">
        <f t="shared" ref="J251:S251" si="162">IF($B251="",J250,
    IF(J$3=$B251,$E251,
       IF(J$3&lt;$B251,J250,
           1
)))</f>
        <v>1</v>
      </c>
      <c r="K251" s="4">
        <f t="shared" si="162"/>
        <v>1</v>
      </c>
      <c r="L251" s="4">
        <f t="shared" si="162"/>
        <v>1</v>
      </c>
      <c r="M251" s="4">
        <f t="shared" si="162"/>
        <v>1</v>
      </c>
      <c r="N251" s="4">
        <f t="shared" si="162"/>
        <v>1</v>
      </c>
      <c r="O251" s="4">
        <f t="shared" si="162"/>
        <v>1</v>
      </c>
      <c r="P251" s="4">
        <f t="shared" si="162"/>
        <v>1</v>
      </c>
      <c r="Q251" s="4">
        <f t="shared" si="162"/>
        <v>1</v>
      </c>
      <c r="R251" s="4">
        <f t="shared" si="162"/>
        <v>1</v>
      </c>
      <c r="S251" s="4">
        <f t="shared" si="162"/>
        <v>1</v>
      </c>
      <c r="U251" s="3">
        <f t="shared" si="153"/>
        <v>0</v>
      </c>
      <c r="V251" s="1" t="str">
        <f t="shared" si="154"/>
        <v/>
      </c>
    </row>
    <row r="252" spans="1:22" x14ac:dyDescent="0.25">
      <c r="A252" s="2">
        <v>249</v>
      </c>
      <c r="B252" s="2">
        <v>2</v>
      </c>
      <c r="C252" s="7" t="s">
        <v>1014</v>
      </c>
      <c r="D252" s="2" t="s">
        <v>87</v>
      </c>
      <c r="E252" s="2">
        <v>1</v>
      </c>
      <c r="G252" s="1" t="str">
        <f>IF(D252="","",VLOOKUP(D252,Table1[#All],2,FALSE))</f>
        <v>Hotend thermistor</v>
      </c>
      <c r="H252" s="2">
        <f t="shared" si="149"/>
        <v>1</v>
      </c>
      <c r="I252" s="45">
        <f>IF(D252&lt;&gt;"",(VLOOKUP(D252,part_details,4,FALSE)+VLOOKUP(D252,part_details,5,FALSE)+VLOOKUP(D252,part_details,6,FALSE))*'Multi-level BOM'!E252,"")</f>
        <v>0</v>
      </c>
      <c r="J252" s="4">
        <f t="shared" ref="J252:S252" si="163">IF($B252="",J251,
    IF(J$3=$B252,$E252,
       IF(J$3&lt;$B252,J251,
           1
)))</f>
        <v>1</v>
      </c>
      <c r="K252" s="4">
        <f t="shared" si="163"/>
        <v>1</v>
      </c>
      <c r="L252" s="4">
        <f t="shared" si="163"/>
        <v>1</v>
      </c>
      <c r="M252" s="4">
        <f t="shared" si="163"/>
        <v>1</v>
      </c>
      <c r="N252" s="4">
        <f t="shared" si="163"/>
        <v>1</v>
      </c>
      <c r="O252" s="4">
        <f t="shared" si="163"/>
        <v>1</v>
      </c>
      <c r="P252" s="4">
        <f t="shared" si="163"/>
        <v>1</v>
      </c>
      <c r="Q252" s="4">
        <f t="shared" si="163"/>
        <v>1</v>
      </c>
      <c r="R252" s="4">
        <f t="shared" si="163"/>
        <v>1</v>
      </c>
      <c r="S252" s="4">
        <f t="shared" si="163"/>
        <v>1</v>
      </c>
      <c r="U252" s="3">
        <f t="shared" si="153"/>
        <v>0</v>
      </c>
      <c r="V252" s="1" t="str">
        <f t="shared" si="154"/>
        <v/>
      </c>
    </row>
    <row r="253" spans="1:22" x14ac:dyDescent="0.25">
      <c r="A253" s="2">
        <v>250</v>
      </c>
      <c r="B253" s="2">
        <v>2</v>
      </c>
      <c r="C253" s="7" t="s">
        <v>1015</v>
      </c>
      <c r="D253" s="2" t="s">
        <v>88</v>
      </c>
      <c r="E253" s="2">
        <v>1</v>
      </c>
      <c r="G253" s="1" t="str">
        <f>IF(D253="","",VLOOKUP(D253,Table1[#All],2,FALSE))</f>
        <v>Z-height sensor</v>
      </c>
      <c r="H253" s="2">
        <f t="shared" si="149"/>
        <v>1</v>
      </c>
      <c r="I253" s="45">
        <f>IF(D253&lt;&gt;"",(VLOOKUP(D253,part_details,4,FALSE)+VLOOKUP(D253,part_details,5,FALSE)+VLOOKUP(D253,part_details,6,FALSE))*'Multi-level BOM'!E253,"")</f>
        <v>0</v>
      </c>
      <c r="J253" s="4">
        <f t="shared" ref="J253:S253" si="164">IF($B253="",J252,
    IF(J$3=$B253,$E253,
       IF(J$3&lt;$B253,J252,
           1
)))</f>
        <v>1</v>
      </c>
      <c r="K253" s="4">
        <f t="shared" si="164"/>
        <v>1</v>
      </c>
      <c r="L253" s="4">
        <f t="shared" si="164"/>
        <v>1</v>
      </c>
      <c r="M253" s="4">
        <f t="shared" si="164"/>
        <v>1</v>
      </c>
      <c r="N253" s="4">
        <f t="shared" si="164"/>
        <v>1</v>
      </c>
      <c r="O253" s="4">
        <f t="shared" si="164"/>
        <v>1</v>
      </c>
      <c r="P253" s="4">
        <f t="shared" si="164"/>
        <v>1</v>
      </c>
      <c r="Q253" s="4">
        <f t="shared" si="164"/>
        <v>1</v>
      </c>
      <c r="R253" s="4">
        <f t="shared" si="164"/>
        <v>1</v>
      </c>
      <c r="S253" s="4">
        <f t="shared" si="164"/>
        <v>1</v>
      </c>
      <c r="U253" s="3">
        <f t="shared" si="153"/>
        <v>0</v>
      </c>
      <c r="V253" s="1" t="str">
        <f t="shared" si="154"/>
        <v/>
      </c>
    </row>
    <row r="254" spans="1:22" x14ac:dyDescent="0.25">
      <c r="A254" s="2">
        <v>251</v>
      </c>
      <c r="B254" s="2">
        <v>2</v>
      </c>
      <c r="C254" s="7" t="s">
        <v>1016</v>
      </c>
      <c r="D254" s="2" t="s">
        <v>89</v>
      </c>
      <c r="E254" s="2">
        <v>1</v>
      </c>
      <c r="G254" s="1" t="str">
        <f>IF(D254="","",VLOOKUP(D254,Table1[#All],2,FALSE))</f>
        <v xml:space="preserve"> AC 115/250VAC 10A Noise Suppressing Power Entry Module</v>
      </c>
      <c r="H254" s="2">
        <f t="shared" si="149"/>
        <v>1</v>
      </c>
      <c r="I254" s="45">
        <f>IF(D254&lt;&gt;"",(VLOOKUP(D254,part_details,4,FALSE)+VLOOKUP(D254,part_details,5,FALSE)+VLOOKUP(D254,part_details,6,FALSE))*'Multi-level BOM'!E254,"")</f>
        <v>16.339100000000002</v>
      </c>
      <c r="J254" s="4">
        <f t="shared" ref="J254:S254" si="165">IF($B254="",J253,
    IF(J$3=$B254,$E254,
       IF(J$3&lt;$B254,J253,
           1
)))</f>
        <v>1</v>
      </c>
      <c r="K254" s="4">
        <f t="shared" si="165"/>
        <v>1</v>
      </c>
      <c r="L254" s="4">
        <f t="shared" si="165"/>
        <v>1</v>
      </c>
      <c r="M254" s="4">
        <f t="shared" si="165"/>
        <v>1</v>
      </c>
      <c r="N254" s="4">
        <f t="shared" si="165"/>
        <v>1</v>
      </c>
      <c r="O254" s="4">
        <f t="shared" si="165"/>
        <v>1</v>
      </c>
      <c r="P254" s="4">
        <f t="shared" si="165"/>
        <v>1</v>
      </c>
      <c r="Q254" s="4">
        <f t="shared" si="165"/>
        <v>1</v>
      </c>
      <c r="R254" s="4">
        <f t="shared" si="165"/>
        <v>1</v>
      </c>
      <c r="S254" s="4">
        <f t="shared" si="165"/>
        <v>1</v>
      </c>
      <c r="U254" s="3">
        <f t="shared" si="153"/>
        <v>0</v>
      </c>
      <c r="V254" s="1" t="str">
        <f t="shared" si="154"/>
        <v/>
      </c>
    </row>
    <row r="255" spans="1:22" x14ac:dyDescent="0.25">
      <c r="A255" s="2">
        <v>252</v>
      </c>
      <c r="B255" s="2">
        <v>2</v>
      </c>
      <c r="C255" s="7" t="s">
        <v>1019</v>
      </c>
      <c r="D255" s="2" t="s">
        <v>90</v>
      </c>
      <c r="E255" s="2">
        <v>1</v>
      </c>
      <c r="G255" s="1" t="str">
        <f>IF(D255="","",VLOOKUP(D255,Table1[#All],2,FALSE))</f>
        <v>AC Power cord</v>
      </c>
      <c r="H255" s="2">
        <f t="shared" si="149"/>
        <v>1</v>
      </c>
      <c r="I255" s="45">
        <f>IF(D255&lt;&gt;"",(VLOOKUP(D255,part_details,4,FALSE)+VLOOKUP(D255,part_details,5,FALSE)+VLOOKUP(D255,part_details,6,FALSE))*'Multi-level BOM'!E255,"")</f>
        <v>6.7035</v>
      </c>
      <c r="J255" s="4">
        <f t="shared" ref="J255:S255" si="166">IF($B255="",J254,
    IF(J$3=$B255,$E255,
       IF(J$3&lt;$B255,J254,
           1
)))</f>
        <v>1</v>
      </c>
      <c r="K255" s="4">
        <f t="shared" si="166"/>
        <v>1</v>
      </c>
      <c r="L255" s="4">
        <f t="shared" si="166"/>
        <v>1</v>
      </c>
      <c r="M255" s="4">
        <f t="shared" si="166"/>
        <v>1</v>
      </c>
      <c r="N255" s="4">
        <f t="shared" si="166"/>
        <v>1</v>
      </c>
      <c r="O255" s="4">
        <f t="shared" si="166"/>
        <v>1</v>
      </c>
      <c r="P255" s="4">
        <f t="shared" si="166"/>
        <v>1</v>
      </c>
      <c r="Q255" s="4">
        <f t="shared" si="166"/>
        <v>1</v>
      </c>
      <c r="R255" s="4">
        <f t="shared" si="166"/>
        <v>1</v>
      </c>
      <c r="S255" s="4">
        <f t="shared" si="166"/>
        <v>1</v>
      </c>
      <c r="U255" s="3">
        <f t="shared" si="153"/>
        <v>0</v>
      </c>
      <c r="V255" s="1" t="str">
        <f t="shared" si="154"/>
        <v/>
      </c>
    </row>
    <row r="256" spans="1:22" x14ac:dyDescent="0.25">
      <c r="A256" s="2">
        <v>253</v>
      </c>
      <c r="B256" s="2">
        <v>2</v>
      </c>
      <c r="C256" s="7" t="s">
        <v>1021</v>
      </c>
      <c r="D256" s="2" t="s">
        <v>91</v>
      </c>
      <c r="E256" s="2">
        <v>1</v>
      </c>
      <c r="G256" s="1" t="str">
        <f>IF(D256="","",VLOOKUP(D256,Table1[#All],2,FALSE))</f>
        <v>Dual Row 4 Position Covered Screw Terminal Strip 600V 25A</v>
      </c>
      <c r="H256" s="2">
        <f t="shared" si="149"/>
        <v>1</v>
      </c>
      <c r="I256" s="45">
        <f>IF(D256&lt;&gt;"",(VLOOKUP(D256,part_details,4,FALSE)+VLOOKUP(D256,part_details,5,FALSE)+VLOOKUP(D256,part_details,6,FALSE))*'Multi-level BOM'!E256,"")</f>
        <v>4.6287799999999999</v>
      </c>
      <c r="J256" s="4">
        <f t="shared" ref="J256:S256" si="167">IF($B256="",J255,
    IF(J$3=$B256,$E256,
       IF(J$3&lt;$B256,J255,
           1
)))</f>
        <v>1</v>
      </c>
      <c r="K256" s="4">
        <f t="shared" si="167"/>
        <v>1</v>
      </c>
      <c r="L256" s="4">
        <f t="shared" si="167"/>
        <v>1</v>
      </c>
      <c r="M256" s="4">
        <f t="shared" si="167"/>
        <v>1</v>
      </c>
      <c r="N256" s="4">
        <f t="shared" si="167"/>
        <v>1</v>
      </c>
      <c r="O256" s="4">
        <f t="shared" si="167"/>
        <v>1</v>
      </c>
      <c r="P256" s="4">
        <f t="shared" si="167"/>
        <v>1</v>
      </c>
      <c r="Q256" s="4">
        <f t="shared" si="167"/>
        <v>1</v>
      </c>
      <c r="R256" s="4">
        <f t="shared" si="167"/>
        <v>1</v>
      </c>
      <c r="S256" s="4">
        <f t="shared" si="167"/>
        <v>1</v>
      </c>
      <c r="U256" s="3">
        <f t="shared" si="153"/>
        <v>0</v>
      </c>
      <c r="V256" s="1" t="str">
        <f t="shared" si="154"/>
        <v/>
      </c>
    </row>
    <row r="257" spans="1:22" x14ac:dyDescent="0.25">
      <c r="A257" s="2">
        <v>254</v>
      </c>
      <c r="B257" s="2">
        <v>2</v>
      </c>
      <c r="C257" s="7" t="s">
        <v>1048</v>
      </c>
      <c r="D257" s="2" t="s">
        <v>92</v>
      </c>
      <c r="E257" s="2">
        <v>4</v>
      </c>
      <c r="F257" s="2" t="s">
        <v>916</v>
      </c>
      <c r="G257" s="1" t="str">
        <f>IF(D257="","",VLOOKUP(D257,Table1[#All],2,FALSE))</f>
        <v>microswitch  (bridge)</v>
      </c>
      <c r="H257" s="2">
        <f t="shared" si="149"/>
        <v>4</v>
      </c>
      <c r="I257" s="45">
        <f>IF(D257&lt;&gt;"",(VLOOKUP(D257,part_details,4,FALSE)+VLOOKUP(D257,part_details,5,FALSE)+VLOOKUP(D257,part_details,6,FALSE))*'Multi-level BOM'!E257,"")</f>
        <v>12.382399999999999</v>
      </c>
      <c r="J257" s="4">
        <f t="shared" ref="J257:S257" si="168">IF($B257="",J256,
    IF(J$3=$B257,$E257,
       IF(J$3&lt;$B257,J256,
           1
)))</f>
        <v>1</v>
      </c>
      <c r="K257" s="4">
        <f t="shared" si="168"/>
        <v>1</v>
      </c>
      <c r="L257" s="4">
        <f t="shared" si="168"/>
        <v>4</v>
      </c>
      <c r="M257" s="4">
        <f t="shared" si="168"/>
        <v>1</v>
      </c>
      <c r="N257" s="4">
        <f t="shared" si="168"/>
        <v>1</v>
      </c>
      <c r="O257" s="4">
        <f t="shared" si="168"/>
        <v>1</v>
      </c>
      <c r="P257" s="4">
        <f t="shared" si="168"/>
        <v>1</v>
      </c>
      <c r="Q257" s="4">
        <f t="shared" si="168"/>
        <v>1</v>
      </c>
      <c r="R257" s="4">
        <f t="shared" si="168"/>
        <v>1</v>
      </c>
      <c r="S257" s="4">
        <f t="shared" si="168"/>
        <v>1</v>
      </c>
      <c r="U257" s="3">
        <f t="shared" si="153"/>
        <v>12.382399999999999</v>
      </c>
      <c r="V257" s="1" t="str">
        <f t="shared" si="154"/>
        <v>A-0086</v>
      </c>
    </row>
    <row r="258" spans="1:22" x14ac:dyDescent="0.25">
      <c r="A258" s="2">
        <v>255</v>
      </c>
      <c r="B258" s="2">
        <v>2</v>
      </c>
      <c r="C258" s="7" t="s">
        <v>1024</v>
      </c>
      <c r="D258" s="2" t="s">
        <v>93</v>
      </c>
      <c r="E258" s="2">
        <v>10</v>
      </c>
      <c r="G258" s="1" t="str">
        <f>IF(D258="","",VLOOKUP(D258,Table1[#All],2,FALSE))</f>
        <v>Quick Disconnect Terminal, 0.25in x 0.032in, 14-16 AWG (Power Entry Module)</v>
      </c>
      <c r="H258" s="2">
        <f t="shared" si="149"/>
        <v>10</v>
      </c>
      <c r="I258" s="45">
        <f>IF(D258&lt;&gt;"",(VLOOKUP(D258,part_details,4,FALSE)+VLOOKUP(D258,part_details,5,FALSE)+VLOOKUP(D258,part_details,6,FALSE))*'Multi-level BOM'!E258,"")</f>
        <v>5.1722399999999986</v>
      </c>
      <c r="J258" s="4">
        <f t="shared" ref="J258:S258" si="169">IF($B258="",J257,
    IF(J$3=$B258,$E258,
       IF(J$3&lt;$B258,J257,
           1
)))</f>
        <v>1</v>
      </c>
      <c r="K258" s="4">
        <f t="shared" si="169"/>
        <v>1</v>
      </c>
      <c r="L258" s="4">
        <f t="shared" si="169"/>
        <v>10</v>
      </c>
      <c r="M258" s="4">
        <f t="shared" si="169"/>
        <v>1</v>
      </c>
      <c r="N258" s="4">
        <f t="shared" si="169"/>
        <v>1</v>
      </c>
      <c r="O258" s="4">
        <f t="shared" si="169"/>
        <v>1</v>
      </c>
      <c r="P258" s="4">
        <f t="shared" si="169"/>
        <v>1</v>
      </c>
      <c r="Q258" s="4">
        <f t="shared" si="169"/>
        <v>1</v>
      </c>
      <c r="R258" s="4">
        <f t="shared" si="169"/>
        <v>1</v>
      </c>
      <c r="S258" s="4">
        <f t="shared" si="169"/>
        <v>1</v>
      </c>
      <c r="U258" s="3">
        <f t="shared" si="153"/>
        <v>0</v>
      </c>
      <c r="V258" s="1" t="str">
        <f t="shared" si="154"/>
        <v/>
      </c>
    </row>
    <row r="259" spans="1:22" x14ac:dyDescent="0.25">
      <c r="A259" s="2">
        <v>256</v>
      </c>
      <c r="B259" s="2">
        <v>2</v>
      </c>
      <c r="C259" s="7" t="s">
        <v>1026</v>
      </c>
      <c r="D259" s="2" t="s">
        <v>94</v>
      </c>
      <c r="E259" s="2">
        <v>10</v>
      </c>
      <c r="G259" s="1" t="str">
        <f>IF(D259="","",VLOOKUP(D259,Table1[#All],2,FALSE))</f>
        <v>Ring Terminal Crimp Connector (24 VDC Terminals)</v>
      </c>
      <c r="H259" s="2">
        <f t="shared" si="149"/>
        <v>10</v>
      </c>
      <c r="I259" s="45">
        <f>IF(D259&lt;&gt;"",(VLOOKUP(D259,part_details,4,FALSE)+VLOOKUP(D259,part_details,5,FALSE)+VLOOKUP(D259,part_details,6,FALSE))*'Multi-level BOM'!E259,"")</f>
        <v>3.1857999999999995</v>
      </c>
      <c r="J259" s="4">
        <f t="shared" ref="J259:S259" si="170">IF($B259="",J258,
    IF(J$3=$B259,$E259,
       IF(J$3&lt;$B259,J258,
           1
)))</f>
        <v>1</v>
      </c>
      <c r="K259" s="4">
        <f t="shared" si="170"/>
        <v>1</v>
      </c>
      <c r="L259" s="4">
        <f t="shared" si="170"/>
        <v>10</v>
      </c>
      <c r="M259" s="4">
        <f t="shared" si="170"/>
        <v>1</v>
      </c>
      <c r="N259" s="4">
        <f t="shared" si="170"/>
        <v>1</v>
      </c>
      <c r="O259" s="4">
        <f t="shared" si="170"/>
        <v>1</v>
      </c>
      <c r="P259" s="4">
        <f t="shared" si="170"/>
        <v>1</v>
      </c>
      <c r="Q259" s="4">
        <f t="shared" si="170"/>
        <v>1</v>
      </c>
      <c r="R259" s="4">
        <f t="shared" si="170"/>
        <v>1</v>
      </c>
      <c r="S259" s="4">
        <f t="shared" si="170"/>
        <v>1</v>
      </c>
      <c r="U259" s="3">
        <f t="shared" si="153"/>
        <v>0</v>
      </c>
      <c r="V259" s="1" t="str">
        <f t="shared" si="154"/>
        <v/>
      </c>
    </row>
    <row r="260" spans="1:22" x14ac:dyDescent="0.25">
      <c r="A260" s="2">
        <v>257</v>
      </c>
      <c r="B260" s="2">
        <v>2</v>
      </c>
      <c r="C260" s="7" t="s">
        <v>1028</v>
      </c>
      <c r="D260" s="2" t="s">
        <v>95</v>
      </c>
      <c r="E260" s="2">
        <v>1</v>
      </c>
      <c r="G260" s="1" t="str">
        <f>IF(D260="","",VLOOKUP(D260,Table1[#All],2,FALSE))</f>
        <v>White Stranded #16 Insulated Wire (120VAC &amp; 24 VDC Distribution)(25 Feet)</v>
      </c>
      <c r="H260" s="2">
        <f t="shared" si="149"/>
        <v>1</v>
      </c>
      <c r="I260" s="45">
        <f>IF(D260&lt;&gt;"",(VLOOKUP(D260,part_details,4,FALSE)+VLOOKUP(D260,part_details,5,FALSE)+VLOOKUP(D260,part_details,6,FALSE))*'Multi-level BOM'!E260,"")</f>
        <v>7.5073749999999997</v>
      </c>
      <c r="J260" s="4">
        <f t="shared" ref="J260:S260" si="171">IF($B260="",J259,
    IF(J$3=$B260,$E260,
       IF(J$3&lt;$B260,J259,
           1
)))</f>
        <v>1</v>
      </c>
      <c r="K260" s="4">
        <f t="shared" si="171"/>
        <v>1</v>
      </c>
      <c r="L260" s="4">
        <f t="shared" si="171"/>
        <v>1</v>
      </c>
      <c r="M260" s="4">
        <f t="shared" si="171"/>
        <v>1</v>
      </c>
      <c r="N260" s="4">
        <f t="shared" si="171"/>
        <v>1</v>
      </c>
      <c r="O260" s="4">
        <f t="shared" si="171"/>
        <v>1</v>
      </c>
      <c r="P260" s="4">
        <f t="shared" si="171"/>
        <v>1</v>
      </c>
      <c r="Q260" s="4">
        <f t="shared" si="171"/>
        <v>1</v>
      </c>
      <c r="R260" s="4">
        <f t="shared" si="171"/>
        <v>1</v>
      </c>
      <c r="S260" s="4">
        <f t="shared" si="171"/>
        <v>1</v>
      </c>
      <c r="U260" s="3">
        <f t="shared" si="153"/>
        <v>0</v>
      </c>
      <c r="V260" s="1" t="str">
        <f t="shared" si="154"/>
        <v/>
      </c>
    </row>
    <row r="261" spans="1:22" x14ac:dyDescent="0.25">
      <c r="A261" s="2">
        <v>258</v>
      </c>
      <c r="B261" s="2">
        <v>2</v>
      </c>
      <c r="C261" s="7" t="s">
        <v>1049</v>
      </c>
      <c r="D261" s="2" t="s">
        <v>96</v>
      </c>
      <c r="E261" s="2">
        <v>1</v>
      </c>
      <c r="G261" s="1" t="str">
        <f>IF(D261="","",VLOOKUP(D261,Table1[#All],2,FALSE))</f>
        <v>Black Stranded #16 Insulated Wire (120VAC Distribution)(25 Feet)</v>
      </c>
      <c r="H261" s="2">
        <f t="shared" si="149"/>
        <v>1</v>
      </c>
      <c r="I261" s="45">
        <f>IF(D261&lt;&gt;"",(VLOOKUP(D261,part_details,4,FALSE)+VLOOKUP(D261,part_details,5,FALSE)+VLOOKUP(D261,part_details,6,FALSE))*'Multi-level BOM'!E261,"")</f>
        <v>7.5073749999999997</v>
      </c>
      <c r="J261" s="4">
        <f t="shared" ref="J261:S261" si="172">IF($B261="",J260,
    IF(J$3=$B261,$E261,
       IF(J$3&lt;$B261,J260,
           1
)))</f>
        <v>1</v>
      </c>
      <c r="K261" s="4">
        <f t="shared" si="172"/>
        <v>1</v>
      </c>
      <c r="L261" s="4">
        <f t="shared" si="172"/>
        <v>1</v>
      </c>
      <c r="M261" s="4">
        <f t="shared" si="172"/>
        <v>1</v>
      </c>
      <c r="N261" s="4">
        <f t="shared" si="172"/>
        <v>1</v>
      </c>
      <c r="O261" s="4">
        <f t="shared" si="172"/>
        <v>1</v>
      </c>
      <c r="P261" s="4">
        <f t="shared" si="172"/>
        <v>1</v>
      </c>
      <c r="Q261" s="4">
        <f t="shared" si="172"/>
        <v>1</v>
      </c>
      <c r="R261" s="4">
        <f t="shared" si="172"/>
        <v>1</v>
      </c>
      <c r="S261" s="4">
        <f t="shared" si="172"/>
        <v>1</v>
      </c>
      <c r="U261" s="3">
        <f t="shared" si="153"/>
        <v>0</v>
      </c>
      <c r="V261" s="1" t="str">
        <f t="shared" si="154"/>
        <v/>
      </c>
    </row>
    <row r="262" spans="1:22" x14ac:dyDescent="0.25">
      <c r="A262" s="2">
        <v>259</v>
      </c>
      <c r="B262" s="2">
        <v>2</v>
      </c>
      <c r="C262" s="7" t="s">
        <v>1050</v>
      </c>
      <c r="D262" s="2" t="s">
        <v>97</v>
      </c>
      <c r="E262" s="2">
        <v>1</v>
      </c>
      <c r="G262" s="1" t="str">
        <f>IF(D262="","",VLOOKUP(D262,Table1[#All],2,FALSE))</f>
        <v>Green Stranded #16 Insulated Wire (120VAC Distribution)(25 Feet)</v>
      </c>
      <c r="H262" s="2">
        <f t="shared" si="149"/>
        <v>1</v>
      </c>
      <c r="I262" s="45">
        <f>IF(D262&lt;&gt;"",(VLOOKUP(D262,part_details,4,FALSE)+VLOOKUP(D262,part_details,5,FALSE)+VLOOKUP(D262,part_details,6,FALSE))*'Multi-level BOM'!E262,"")</f>
        <v>7.5073749999999997</v>
      </c>
      <c r="J262" s="4">
        <f t="shared" ref="J262:S262" si="173">IF($B262="",J261,
    IF(J$3=$B262,$E262,
       IF(J$3&lt;$B262,J261,
           1
)))</f>
        <v>1</v>
      </c>
      <c r="K262" s="4">
        <f t="shared" si="173"/>
        <v>1</v>
      </c>
      <c r="L262" s="4">
        <f t="shared" si="173"/>
        <v>1</v>
      </c>
      <c r="M262" s="4">
        <f t="shared" si="173"/>
        <v>1</v>
      </c>
      <c r="N262" s="4">
        <f t="shared" si="173"/>
        <v>1</v>
      </c>
      <c r="O262" s="4">
        <f t="shared" si="173"/>
        <v>1</v>
      </c>
      <c r="P262" s="4">
        <f t="shared" si="173"/>
        <v>1</v>
      </c>
      <c r="Q262" s="4">
        <f t="shared" si="173"/>
        <v>1</v>
      </c>
      <c r="R262" s="4">
        <f t="shared" si="173"/>
        <v>1</v>
      </c>
      <c r="S262" s="4">
        <f t="shared" si="173"/>
        <v>1</v>
      </c>
      <c r="U262" s="3">
        <f t="shared" si="153"/>
        <v>0</v>
      </c>
      <c r="V262" s="1" t="str">
        <f t="shared" si="154"/>
        <v/>
      </c>
    </row>
    <row r="263" spans="1:22" x14ac:dyDescent="0.25">
      <c r="A263" s="2">
        <v>260</v>
      </c>
      <c r="B263" s="2">
        <v>2</v>
      </c>
      <c r="C263" s="7" t="s">
        <v>1051</v>
      </c>
      <c r="D263" s="2" t="s">
        <v>98</v>
      </c>
      <c r="E263" s="2">
        <v>1</v>
      </c>
      <c r="G263" s="1" t="str">
        <f>IF(D263="","",VLOOKUP(D263,Table1[#All],2,FALSE))</f>
        <v>Red Insulated Stranded #16 Wire (24 VDC Distribution)(25 Feet)</v>
      </c>
      <c r="H263" s="2">
        <f t="shared" si="149"/>
        <v>1</v>
      </c>
      <c r="I263" s="45">
        <f>IF(D263&lt;&gt;"",(VLOOKUP(D263,part_details,4,FALSE)+VLOOKUP(D263,part_details,5,FALSE)+VLOOKUP(D263,part_details,6,FALSE))*'Multi-level BOM'!E263,"")</f>
        <v>7.5073749999999997</v>
      </c>
      <c r="J263" s="4">
        <f t="shared" ref="J263:S263" si="174">IF($B263="",J262,
    IF(J$3=$B263,$E263,
       IF(J$3&lt;$B263,J262,
           1
)))</f>
        <v>1</v>
      </c>
      <c r="K263" s="4">
        <f t="shared" si="174"/>
        <v>1</v>
      </c>
      <c r="L263" s="4">
        <f t="shared" si="174"/>
        <v>1</v>
      </c>
      <c r="M263" s="4">
        <f t="shared" si="174"/>
        <v>1</v>
      </c>
      <c r="N263" s="4">
        <f t="shared" si="174"/>
        <v>1</v>
      </c>
      <c r="O263" s="4">
        <f t="shared" si="174"/>
        <v>1</v>
      </c>
      <c r="P263" s="4">
        <f t="shared" si="174"/>
        <v>1</v>
      </c>
      <c r="Q263" s="4">
        <f t="shared" si="174"/>
        <v>1</v>
      </c>
      <c r="R263" s="4">
        <f t="shared" si="174"/>
        <v>1</v>
      </c>
      <c r="S263" s="4">
        <f t="shared" si="174"/>
        <v>1</v>
      </c>
      <c r="U263" s="3">
        <f t="shared" si="153"/>
        <v>0</v>
      </c>
      <c r="V263" s="1" t="str">
        <f t="shared" si="154"/>
        <v/>
      </c>
    </row>
    <row r="264" spans="1:22" x14ac:dyDescent="0.25">
      <c r="A264" s="2">
        <v>261</v>
      </c>
      <c r="B264" s="2">
        <v>2</v>
      </c>
      <c r="C264" s="7" t="s">
        <v>1033</v>
      </c>
      <c r="D264" s="2" t="s">
        <v>99</v>
      </c>
      <c r="E264" s="2">
        <v>1</v>
      </c>
      <c r="G264" s="1" t="str">
        <f>IF(D264="","",VLOOKUP(D264,Table1[#All],2,FALSE))</f>
        <v>White Stranded #26 Insulated Wire (Thermistor, Limit Switches)(100 Feet)</v>
      </c>
      <c r="H264" s="2">
        <f t="shared" si="149"/>
        <v>1</v>
      </c>
      <c r="I264" s="45">
        <f>IF(D264&lt;&gt;"",(VLOOKUP(D264,part_details,4,FALSE)+VLOOKUP(D264,part_details,5,FALSE)+VLOOKUP(D264,part_details,6,FALSE))*'Multi-level BOM'!E264,"")</f>
        <v>17.97</v>
      </c>
      <c r="J264" s="4">
        <f t="shared" ref="J264:S264" si="175">IF($B264="",J263,
    IF(J$3=$B264,$E264,
       IF(J$3&lt;$B264,J263,
           1
)))</f>
        <v>1</v>
      </c>
      <c r="K264" s="4">
        <f t="shared" si="175"/>
        <v>1</v>
      </c>
      <c r="L264" s="4">
        <f t="shared" si="175"/>
        <v>1</v>
      </c>
      <c r="M264" s="4">
        <f t="shared" si="175"/>
        <v>1</v>
      </c>
      <c r="N264" s="4">
        <f t="shared" si="175"/>
        <v>1</v>
      </c>
      <c r="O264" s="4">
        <f t="shared" si="175"/>
        <v>1</v>
      </c>
      <c r="P264" s="4">
        <f t="shared" si="175"/>
        <v>1</v>
      </c>
      <c r="Q264" s="4">
        <f t="shared" si="175"/>
        <v>1</v>
      </c>
      <c r="R264" s="4">
        <f t="shared" si="175"/>
        <v>1</v>
      </c>
      <c r="S264" s="4">
        <f t="shared" si="175"/>
        <v>1</v>
      </c>
      <c r="U264" s="3">
        <f t="shared" si="153"/>
        <v>0</v>
      </c>
      <c r="V264" s="1" t="str">
        <f t="shared" si="154"/>
        <v/>
      </c>
    </row>
    <row r="265" spans="1:22" x14ac:dyDescent="0.25">
      <c r="A265" s="2">
        <v>262</v>
      </c>
      <c r="B265" s="2">
        <v>2</v>
      </c>
      <c r="C265" s="7" t="s">
        <v>1036</v>
      </c>
      <c r="D265" s="2" t="s">
        <v>100</v>
      </c>
      <c r="E265" s="2">
        <v>1</v>
      </c>
      <c r="G265" s="1" t="str">
        <f>IF(D265="","",VLOOKUP(D265,Table1[#All],2,FALSE))</f>
        <v>4" zip ties</v>
      </c>
      <c r="H265" s="2">
        <f t="shared" si="149"/>
        <v>1</v>
      </c>
      <c r="I265" s="45">
        <f>IF(D265&lt;&gt;"",(VLOOKUP(D265,part_details,4,FALSE)+VLOOKUP(D265,part_details,5,FALSE)+VLOOKUP(D265,part_details,6,FALSE))*'Multi-level BOM'!E265,"")</f>
        <v>3.2645500000000001E-2</v>
      </c>
      <c r="J265" s="4">
        <f t="shared" ref="J265:S265" si="176">IF($B265="",J264,
    IF(J$3=$B265,$E265,
       IF(J$3&lt;$B265,J264,
           1
)))</f>
        <v>1</v>
      </c>
      <c r="K265" s="4">
        <f t="shared" si="176"/>
        <v>1</v>
      </c>
      <c r="L265" s="4">
        <f t="shared" si="176"/>
        <v>1</v>
      </c>
      <c r="M265" s="4">
        <f t="shared" si="176"/>
        <v>1</v>
      </c>
      <c r="N265" s="4">
        <f t="shared" si="176"/>
        <v>1</v>
      </c>
      <c r="O265" s="4">
        <f t="shared" si="176"/>
        <v>1</v>
      </c>
      <c r="P265" s="4">
        <f t="shared" si="176"/>
        <v>1</v>
      </c>
      <c r="Q265" s="4">
        <f t="shared" si="176"/>
        <v>1</v>
      </c>
      <c r="R265" s="4">
        <f t="shared" si="176"/>
        <v>1</v>
      </c>
      <c r="S265" s="4">
        <f t="shared" si="176"/>
        <v>1</v>
      </c>
      <c r="U265" s="3">
        <f t="shared" si="153"/>
        <v>0</v>
      </c>
      <c r="V265" s="1" t="str">
        <f t="shared" si="154"/>
        <v/>
      </c>
    </row>
    <row r="266" spans="1:22" x14ac:dyDescent="0.25">
      <c r="A266" s="2">
        <v>263</v>
      </c>
      <c r="B266" s="2">
        <v>2</v>
      </c>
      <c r="C266" s="7" t="s">
        <v>1038</v>
      </c>
      <c r="D266" s="2" t="s">
        <v>101</v>
      </c>
      <c r="E266" s="2">
        <v>1</v>
      </c>
      <c r="G266" s="1" t="str">
        <f>IF(D266="","",VLOOKUP(D266,Table1[#All],2,FALSE))</f>
        <v>Tie Mount 0.75 Inch 20mm Black Samll Squares Adhesive Mounting</v>
      </c>
      <c r="H266" s="2">
        <f t="shared" si="149"/>
        <v>1</v>
      </c>
      <c r="I266" s="45">
        <f>IF(D266&lt;&gt;"",(VLOOKUP(D266,part_details,4,FALSE)+VLOOKUP(D266,part_details,5,FALSE)+VLOOKUP(D266,part_details,6,FALSE))*'Multi-level BOM'!E266,"")</f>
        <v>9.7991000000000009E-2</v>
      </c>
      <c r="J266" s="4">
        <f t="shared" ref="J266:S266" si="177">IF($B266="",J265,
    IF(J$3=$B266,$E266,
       IF(J$3&lt;$B266,J265,
           1
)))</f>
        <v>1</v>
      </c>
      <c r="K266" s="4">
        <f t="shared" si="177"/>
        <v>1</v>
      </c>
      <c r="L266" s="4">
        <f t="shared" si="177"/>
        <v>1</v>
      </c>
      <c r="M266" s="4">
        <f t="shared" si="177"/>
        <v>1</v>
      </c>
      <c r="N266" s="4">
        <f t="shared" si="177"/>
        <v>1</v>
      </c>
      <c r="O266" s="4">
        <f t="shared" si="177"/>
        <v>1</v>
      </c>
      <c r="P266" s="4">
        <f t="shared" si="177"/>
        <v>1</v>
      </c>
      <c r="Q266" s="4">
        <f t="shared" si="177"/>
        <v>1</v>
      </c>
      <c r="R266" s="4">
        <f t="shared" si="177"/>
        <v>1</v>
      </c>
      <c r="S266" s="4">
        <f t="shared" si="177"/>
        <v>1</v>
      </c>
      <c r="U266" s="3">
        <f t="shared" si="153"/>
        <v>0</v>
      </c>
      <c r="V266" s="1" t="str">
        <f t="shared" si="154"/>
        <v/>
      </c>
    </row>
    <row r="267" spans="1:22" x14ac:dyDescent="0.25">
      <c r="A267" s="2">
        <v>264</v>
      </c>
      <c r="B267" s="2">
        <v>2</v>
      </c>
      <c r="C267" s="7" t="s">
        <v>1043</v>
      </c>
      <c r="D267" s="2" t="s">
        <v>102</v>
      </c>
      <c r="E267" s="2">
        <v>1</v>
      </c>
      <c r="G267" s="1" t="str">
        <f>IF(D267="","",VLOOKUP(D267,Table1[#All],2,FALSE))</f>
        <v>1/4 inch PET Expandable Braided Sleeving – Black 25 ft</v>
      </c>
      <c r="H267" s="2">
        <f t="shared" si="149"/>
        <v>1</v>
      </c>
      <c r="I267" s="45">
        <f>IF(D267&lt;&gt;"",(VLOOKUP(D267,part_details,4,FALSE)+VLOOKUP(D267,part_details,5,FALSE)+VLOOKUP(D267,part_details,6,FALSE))*'Multi-level BOM'!E267,"")</f>
        <v>7.4228999999999994</v>
      </c>
      <c r="J267" s="4">
        <f t="shared" ref="J267:S267" si="178">IF($B267="",J266,
    IF(J$3=$B267,$E267,
       IF(J$3&lt;$B267,J266,
           1
)))</f>
        <v>1</v>
      </c>
      <c r="K267" s="4">
        <f t="shared" si="178"/>
        <v>1</v>
      </c>
      <c r="L267" s="4">
        <f t="shared" si="178"/>
        <v>1</v>
      </c>
      <c r="M267" s="4">
        <f t="shared" si="178"/>
        <v>1</v>
      </c>
      <c r="N267" s="4">
        <f t="shared" si="178"/>
        <v>1</v>
      </c>
      <c r="O267" s="4">
        <f t="shared" si="178"/>
        <v>1</v>
      </c>
      <c r="P267" s="4">
        <f t="shared" si="178"/>
        <v>1</v>
      </c>
      <c r="Q267" s="4">
        <f t="shared" si="178"/>
        <v>1</v>
      </c>
      <c r="R267" s="4">
        <f t="shared" si="178"/>
        <v>1</v>
      </c>
      <c r="S267" s="4">
        <f t="shared" si="178"/>
        <v>1</v>
      </c>
      <c r="U267" s="3">
        <f t="shared" si="153"/>
        <v>0</v>
      </c>
      <c r="V267" s="1" t="str">
        <f t="shared" si="154"/>
        <v/>
      </c>
    </row>
    <row r="268" spans="1:22" x14ac:dyDescent="0.25">
      <c r="A268" s="2">
        <v>265</v>
      </c>
      <c r="B268" s="2">
        <v>2</v>
      </c>
      <c r="C268" s="7" t="s">
        <v>1044</v>
      </c>
      <c r="D268" s="2" t="s">
        <v>103</v>
      </c>
      <c r="E268" s="2">
        <v>1</v>
      </c>
      <c r="G268" s="1" t="str">
        <f>IF(D268="","",VLOOKUP(D268,Table1[#All],2,FALSE))</f>
        <v>1/2 inch PET Expandable Braided Sleeving – Black 25 ft</v>
      </c>
      <c r="H268" s="2">
        <f t="shared" si="149"/>
        <v>1</v>
      </c>
      <c r="I268" s="45">
        <f>IF(D268&lt;&gt;"",(VLOOKUP(D268,part_details,4,FALSE)+VLOOKUP(D268,part_details,5,FALSE)+VLOOKUP(D268,part_details,6,FALSE))*'Multi-level BOM'!E268,"")</f>
        <v>7.5536999999999992</v>
      </c>
      <c r="J268" s="4">
        <f t="shared" ref="J268:S268" si="179">IF($B268="",J267,
    IF(J$3=$B268,$E268,
       IF(J$3&lt;$B268,J267,
           1
)))</f>
        <v>1</v>
      </c>
      <c r="K268" s="4">
        <f t="shared" si="179"/>
        <v>1</v>
      </c>
      <c r="L268" s="4">
        <f t="shared" si="179"/>
        <v>1</v>
      </c>
      <c r="M268" s="4">
        <f t="shared" si="179"/>
        <v>1</v>
      </c>
      <c r="N268" s="4">
        <f t="shared" si="179"/>
        <v>1</v>
      </c>
      <c r="O268" s="4">
        <f t="shared" si="179"/>
        <v>1</v>
      </c>
      <c r="P268" s="4">
        <f t="shared" si="179"/>
        <v>1</v>
      </c>
      <c r="Q268" s="4">
        <f t="shared" si="179"/>
        <v>1</v>
      </c>
      <c r="R268" s="4">
        <f t="shared" si="179"/>
        <v>1</v>
      </c>
      <c r="S268" s="4">
        <f t="shared" si="179"/>
        <v>1</v>
      </c>
      <c r="U268" s="3">
        <f t="shared" si="153"/>
        <v>0</v>
      </c>
      <c r="V268" s="1" t="str">
        <f t="shared" si="154"/>
        <v/>
      </c>
    </row>
    <row r="269" spans="1:22" x14ac:dyDescent="0.25">
      <c r="A269" s="2">
        <v>266</v>
      </c>
      <c r="B269" s="2">
        <v>2</v>
      </c>
      <c r="C269" s="7" t="s">
        <v>1041</v>
      </c>
      <c r="D269" s="2" t="s">
        <v>104</v>
      </c>
      <c r="E269" s="2">
        <v>1</v>
      </c>
      <c r="G269" s="1" t="str">
        <f>IF(D269="","",VLOOKUP(D269,Table1[#All],2,FALSE))</f>
        <v>RGB Wire Line Cord 22AWG 4pin 22 Gauge - 20M</v>
      </c>
      <c r="H269" s="2">
        <f t="shared" si="149"/>
        <v>1</v>
      </c>
      <c r="I269" s="45">
        <f>IF(D269&lt;&gt;"",(VLOOKUP(D269,part_details,4,FALSE)+VLOOKUP(D269,part_details,5,FALSE)+VLOOKUP(D269,part_details,6,FALSE))*'Multi-level BOM'!E269,"")</f>
        <v>9.4829999999999988</v>
      </c>
      <c r="J269" s="4">
        <f t="shared" ref="J269:S269" si="180">IF($B269="",J268,
    IF(J$3=$B269,$E269,
       IF(J$3&lt;$B269,J268,
           1
)))</f>
        <v>1</v>
      </c>
      <c r="K269" s="4">
        <f t="shared" si="180"/>
        <v>1</v>
      </c>
      <c r="L269" s="4">
        <f t="shared" si="180"/>
        <v>1</v>
      </c>
      <c r="M269" s="4">
        <f t="shared" si="180"/>
        <v>1</v>
      </c>
      <c r="N269" s="4">
        <f t="shared" si="180"/>
        <v>1</v>
      </c>
      <c r="O269" s="4">
        <f t="shared" si="180"/>
        <v>1</v>
      </c>
      <c r="P269" s="4">
        <f t="shared" si="180"/>
        <v>1</v>
      </c>
      <c r="Q269" s="4">
        <f t="shared" si="180"/>
        <v>1</v>
      </c>
      <c r="R269" s="4">
        <f t="shared" si="180"/>
        <v>1</v>
      </c>
      <c r="S269" s="4">
        <f t="shared" si="180"/>
        <v>1</v>
      </c>
      <c r="U269" s="3">
        <f t="shared" si="153"/>
        <v>0</v>
      </c>
      <c r="V269" s="1" t="str">
        <f t="shared" si="154"/>
        <v/>
      </c>
    </row>
    <row r="270" spans="1:22" x14ac:dyDescent="0.25">
      <c r="A270" s="2">
        <v>267</v>
      </c>
      <c r="C270" s="7"/>
      <c r="G270" s="1" t="str">
        <f>IF(D270="","",VLOOKUP(D270,Table1[#All],2,FALSE))</f>
        <v/>
      </c>
      <c r="H270" s="2">
        <f t="shared" si="149"/>
        <v>1</v>
      </c>
      <c r="I270" s="45" t="str">
        <f>IF(D270&lt;&gt;"",(VLOOKUP(D270,part_details,4,FALSE)+VLOOKUP(D270,part_details,5,FALSE)+VLOOKUP(D270,part_details,6,FALSE))*'Multi-level BOM'!E270,"")</f>
        <v/>
      </c>
      <c r="J270" s="4">
        <f t="shared" ref="J270:S270" si="181">IF($B270="",J269,
    IF(J$3=$B270,$E270,
       IF(J$3&lt;$B270,J269,
           1
)))</f>
        <v>1</v>
      </c>
      <c r="K270" s="4">
        <f t="shared" si="181"/>
        <v>1</v>
      </c>
      <c r="L270" s="4">
        <f t="shared" si="181"/>
        <v>1</v>
      </c>
      <c r="M270" s="4">
        <f t="shared" si="181"/>
        <v>1</v>
      </c>
      <c r="N270" s="4">
        <f t="shared" si="181"/>
        <v>1</v>
      </c>
      <c r="O270" s="4">
        <f t="shared" si="181"/>
        <v>1</v>
      </c>
      <c r="P270" s="4">
        <f t="shared" si="181"/>
        <v>1</v>
      </c>
      <c r="Q270" s="4">
        <f t="shared" si="181"/>
        <v>1</v>
      </c>
      <c r="R270" s="4">
        <f t="shared" si="181"/>
        <v>1</v>
      </c>
      <c r="S270" s="4">
        <f t="shared" si="181"/>
        <v>1</v>
      </c>
      <c r="U270" s="3">
        <f t="shared" si="153"/>
        <v>0</v>
      </c>
      <c r="V270" s="1" t="str">
        <f t="shared" si="154"/>
        <v/>
      </c>
    </row>
    <row r="271" spans="1:22" x14ac:dyDescent="0.25">
      <c r="A271" s="2">
        <v>268</v>
      </c>
      <c r="C271" s="7"/>
      <c r="G271" s="1" t="str">
        <f>IF(D271="","",VLOOKUP(D271,Table1[#All],2,FALSE))</f>
        <v/>
      </c>
      <c r="H271" s="2">
        <f t="shared" si="149"/>
        <v>1</v>
      </c>
      <c r="I271" s="45" t="str">
        <f>IF(D271&lt;&gt;"",(VLOOKUP(D271,part_details,4,FALSE)+VLOOKUP(D271,part_details,5,FALSE)+VLOOKUP(D271,part_details,6,FALSE))*'Multi-level BOM'!E271,"")</f>
        <v/>
      </c>
      <c r="J271" s="4">
        <f t="shared" ref="J271:S271" si="182">IF($B271="",J270,
    IF(J$3=$B271,$E271,
       IF(J$3&lt;$B271,J270,
           1
)))</f>
        <v>1</v>
      </c>
      <c r="K271" s="4">
        <f t="shared" si="182"/>
        <v>1</v>
      </c>
      <c r="L271" s="4">
        <f t="shared" si="182"/>
        <v>1</v>
      </c>
      <c r="M271" s="4">
        <f t="shared" si="182"/>
        <v>1</v>
      </c>
      <c r="N271" s="4">
        <f t="shared" si="182"/>
        <v>1</v>
      </c>
      <c r="O271" s="4">
        <f t="shared" si="182"/>
        <v>1</v>
      </c>
      <c r="P271" s="4">
        <f t="shared" si="182"/>
        <v>1</v>
      </c>
      <c r="Q271" s="4">
        <f t="shared" si="182"/>
        <v>1</v>
      </c>
      <c r="R271" s="4">
        <f t="shared" si="182"/>
        <v>1</v>
      </c>
      <c r="S271" s="4">
        <f t="shared" si="182"/>
        <v>1</v>
      </c>
      <c r="U271" s="3">
        <f t="shared" si="153"/>
        <v>0</v>
      </c>
      <c r="V271" s="1" t="str">
        <f t="shared" si="154"/>
        <v/>
      </c>
    </row>
    <row r="272" spans="1:22" x14ac:dyDescent="0.25">
      <c r="A272" s="2">
        <v>269</v>
      </c>
      <c r="C272" s="7"/>
      <c r="G272" s="1" t="str">
        <f>IF(D272="","",VLOOKUP(D272,Table1[#All],2,FALSE))</f>
        <v/>
      </c>
      <c r="H272" s="2">
        <f t="shared" si="149"/>
        <v>1</v>
      </c>
      <c r="I272" s="45" t="str">
        <f>IF(D272&lt;&gt;"",(VLOOKUP(D272,part_details,4,FALSE)+VLOOKUP(D272,part_details,5,FALSE)+VLOOKUP(D272,part_details,6,FALSE))*'Multi-level BOM'!E272,"")</f>
        <v/>
      </c>
      <c r="J272" s="4">
        <f t="shared" ref="J272:S272" si="183">IF($B272="",J271,
    IF(J$3=$B272,$E272,
       IF(J$3&lt;$B272,J271,
           1
)))</f>
        <v>1</v>
      </c>
      <c r="K272" s="4">
        <f t="shared" si="183"/>
        <v>1</v>
      </c>
      <c r="L272" s="4">
        <f t="shared" si="183"/>
        <v>1</v>
      </c>
      <c r="M272" s="4">
        <f t="shared" si="183"/>
        <v>1</v>
      </c>
      <c r="N272" s="4">
        <f t="shared" si="183"/>
        <v>1</v>
      </c>
      <c r="O272" s="4">
        <f t="shared" si="183"/>
        <v>1</v>
      </c>
      <c r="P272" s="4">
        <f t="shared" si="183"/>
        <v>1</v>
      </c>
      <c r="Q272" s="4">
        <f t="shared" si="183"/>
        <v>1</v>
      </c>
      <c r="R272" s="4">
        <f t="shared" si="183"/>
        <v>1</v>
      </c>
      <c r="S272" s="4">
        <f t="shared" si="183"/>
        <v>1</v>
      </c>
      <c r="U272" s="3">
        <f t="shared" si="153"/>
        <v>0</v>
      </c>
      <c r="V272" s="1" t="str">
        <f t="shared" si="154"/>
        <v/>
      </c>
    </row>
    <row r="273" spans="1:22" x14ac:dyDescent="0.25">
      <c r="A273" s="2">
        <v>270</v>
      </c>
      <c r="C273" s="7"/>
      <c r="G273" s="1" t="str">
        <f>IF(D273="","",VLOOKUP(D273,Table1[#All],2,FALSE))</f>
        <v/>
      </c>
      <c r="H273" s="2">
        <f t="shared" si="149"/>
        <v>1</v>
      </c>
      <c r="I273" s="45" t="str">
        <f>IF(D273&lt;&gt;"",(VLOOKUP(D273,part_details,4,FALSE)+VLOOKUP(D273,part_details,5,FALSE)+VLOOKUP(D273,part_details,6,FALSE))*'Multi-level BOM'!E273,"")</f>
        <v/>
      </c>
      <c r="J273" s="4">
        <f t="shared" ref="J273:S273" si="184">IF($B273="",J272,
    IF(J$3=$B273,$E273,
       IF(J$3&lt;$B273,J272,
           1
)))</f>
        <v>1</v>
      </c>
      <c r="K273" s="4">
        <f t="shared" si="184"/>
        <v>1</v>
      </c>
      <c r="L273" s="4">
        <f t="shared" si="184"/>
        <v>1</v>
      </c>
      <c r="M273" s="4">
        <f t="shared" si="184"/>
        <v>1</v>
      </c>
      <c r="N273" s="4">
        <f t="shared" si="184"/>
        <v>1</v>
      </c>
      <c r="O273" s="4">
        <f t="shared" si="184"/>
        <v>1</v>
      </c>
      <c r="P273" s="4">
        <f t="shared" si="184"/>
        <v>1</v>
      </c>
      <c r="Q273" s="4">
        <f t="shared" si="184"/>
        <v>1</v>
      </c>
      <c r="R273" s="4">
        <f t="shared" si="184"/>
        <v>1</v>
      </c>
      <c r="S273" s="4">
        <f t="shared" si="184"/>
        <v>1</v>
      </c>
      <c r="U273" s="3">
        <f t="shared" si="153"/>
        <v>0</v>
      </c>
      <c r="V273" s="1" t="str">
        <f t="shared" si="154"/>
        <v/>
      </c>
    </row>
    <row r="274" spans="1:22" x14ac:dyDescent="0.25">
      <c r="A274" s="2">
        <v>271</v>
      </c>
      <c r="C274" s="7"/>
      <c r="G274" s="1" t="str">
        <f>IF(D274="","",VLOOKUP(D274,Table1[#All],2,FALSE))</f>
        <v/>
      </c>
      <c r="H274" s="2">
        <f t="shared" si="149"/>
        <v>1</v>
      </c>
      <c r="I274" s="45" t="str">
        <f>IF(D274&lt;&gt;"",(VLOOKUP(D274,part_details,4,FALSE)+VLOOKUP(D274,part_details,5,FALSE)+VLOOKUP(D274,part_details,6,FALSE))*'Multi-level BOM'!E274,"")</f>
        <v/>
      </c>
      <c r="J274" s="4">
        <f t="shared" ref="J274:S274" si="185">IF($B274="",J273,
    IF(J$3=$B274,$E274,
       IF(J$3&lt;$B274,J273,
           1
)))</f>
        <v>1</v>
      </c>
      <c r="K274" s="4">
        <f t="shared" si="185"/>
        <v>1</v>
      </c>
      <c r="L274" s="4">
        <f t="shared" si="185"/>
        <v>1</v>
      </c>
      <c r="M274" s="4">
        <f t="shared" si="185"/>
        <v>1</v>
      </c>
      <c r="N274" s="4">
        <f t="shared" si="185"/>
        <v>1</v>
      </c>
      <c r="O274" s="4">
        <f t="shared" si="185"/>
        <v>1</v>
      </c>
      <c r="P274" s="4">
        <f t="shared" si="185"/>
        <v>1</v>
      </c>
      <c r="Q274" s="4">
        <f t="shared" si="185"/>
        <v>1</v>
      </c>
      <c r="R274" s="4">
        <f t="shared" si="185"/>
        <v>1</v>
      </c>
      <c r="S274" s="4">
        <f t="shared" si="185"/>
        <v>1</v>
      </c>
      <c r="U274" s="3">
        <f t="shared" si="153"/>
        <v>0</v>
      </c>
      <c r="V274" s="1" t="str">
        <f t="shared" si="154"/>
        <v/>
      </c>
    </row>
    <row r="275" spans="1:22" x14ac:dyDescent="0.25">
      <c r="A275" s="2">
        <v>272</v>
      </c>
      <c r="C275" s="7"/>
      <c r="G275" s="1" t="str">
        <f>IF(D275="","",VLOOKUP(D275,Table1[#All],2,FALSE))</f>
        <v/>
      </c>
      <c r="H275" s="2">
        <f t="shared" si="149"/>
        <v>1</v>
      </c>
      <c r="I275" s="45" t="str">
        <f>IF(D275&lt;&gt;"",(VLOOKUP(D275,part_details,4,FALSE)+VLOOKUP(D275,part_details,5,FALSE)+VLOOKUP(D275,part_details,6,FALSE))*'Multi-level BOM'!E275,"")</f>
        <v/>
      </c>
      <c r="J275" s="4">
        <f t="shared" ref="J275:S275" si="186">IF($B275="",J274,
    IF(J$3=$B275,$E275,
       IF(J$3&lt;$B275,J274,
           1
)))</f>
        <v>1</v>
      </c>
      <c r="K275" s="4">
        <f t="shared" si="186"/>
        <v>1</v>
      </c>
      <c r="L275" s="4">
        <f t="shared" si="186"/>
        <v>1</v>
      </c>
      <c r="M275" s="4">
        <f t="shared" si="186"/>
        <v>1</v>
      </c>
      <c r="N275" s="4">
        <f t="shared" si="186"/>
        <v>1</v>
      </c>
      <c r="O275" s="4">
        <f t="shared" si="186"/>
        <v>1</v>
      </c>
      <c r="P275" s="4">
        <f t="shared" si="186"/>
        <v>1</v>
      </c>
      <c r="Q275" s="4">
        <f t="shared" si="186"/>
        <v>1</v>
      </c>
      <c r="R275" s="4">
        <f t="shared" si="186"/>
        <v>1</v>
      </c>
      <c r="S275" s="4">
        <f t="shared" si="186"/>
        <v>1</v>
      </c>
      <c r="U275" s="3">
        <f t="shared" si="153"/>
        <v>0</v>
      </c>
      <c r="V275" s="1" t="str">
        <f t="shared" si="154"/>
        <v/>
      </c>
    </row>
    <row r="276" spans="1:22" x14ac:dyDescent="0.25">
      <c r="A276" s="2">
        <v>273</v>
      </c>
      <c r="C276" s="7"/>
      <c r="G276" s="1" t="str">
        <f>IF(D276="","",VLOOKUP(D276,Table1[#All],2,FALSE))</f>
        <v/>
      </c>
      <c r="H276" s="2">
        <f t="shared" si="149"/>
        <v>1</v>
      </c>
      <c r="I276" s="45" t="str">
        <f>IF(D276&lt;&gt;"",(VLOOKUP(D276,part_details,4,FALSE)+VLOOKUP(D276,part_details,5,FALSE)+VLOOKUP(D276,part_details,6,FALSE))*'Multi-level BOM'!E276,"")</f>
        <v/>
      </c>
      <c r="J276" s="4">
        <f t="shared" ref="J276:S276" si="187">IF($B276="",J275,
    IF(J$3=$B276,$E276,
       IF(J$3&lt;$B276,J275,
           1
)))</f>
        <v>1</v>
      </c>
      <c r="K276" s="4">
        <f t="shared" si="187"/>
        <v>1</v>
      </c>
      <c r="L276" s="4">
        <f t="shared" si="187"/>
        <v>1</v>
      </c>
      <c r="M276" s="4">
        <f t="shared" si="187"/>
        <v>1</v>
      </c>
      <c r="N276" s="4">
        <f t="shared" si="187"/>
        <v>1</v>
      </c>
      <c r="O276" s="4">
        <f t="shared" si="187"/>
        <v>1</v>
      </c>
      <c r="P276" s="4">
        <f t="shared" si="187"/>
        <v>1</v>
      </c>
      <c r="Q276" s="4">
        <f t="shared" si="187"/>
        <v>1</v>
      </c>
      <c r="R276" s="4">
        <f t="shared" si="187"/>
        <v>1</v>
      </c>
      <c r="S276" s="4">
        <f t="shared" si="187"/>
        <v>1</v>
      </c>
      <c r="U276" s="3">
        <f t="shared" si="153"/>
        <v>0</v>
      </c>
      <c r="V276" s="1" t="str">
        <f t="shared" si="154"/>
        <v/>
      </c>
    </row>
    <row r="277" spans="1:22" x14ac:dyDescent="0.25">
      <c r="A277" s="2">
        <v>274</v>
      </c>
      <c r="C277" s="7"/>
      <c r="G277" s="1" t="str">
        <f>IF(D277="","",VLOOKUP(D277,Table1[#All],2,FALSE))</f>
        <v/>
      </c>
      <c r="H277" s="2">
        <f t="shared" si="149"/>
        <v>1</v>
      </c>
      <c r="I277" s="45" t="str">
        <f>IF(D277&lt;&gt;"",(VLOOKUP(D277,part_details,4,FALSE)+VLOOKUP(D277,part_details,5,FALSE)+VLOOKUP(D277,part_details,6,FALSE))*'Multi-level BOM'!E277,"")</f>
        <v/>
      </c>
      <c r="J277" s="4">
        <f t="shared" ref="J277:S277" si="188">IF($B277="",J276,
    IF(J$3=$B277,$E277,
       IF(J$3&lt;$B277,J276,
           1
)))</f>
        <v>1</v>
      </c>
      <c r="K277" s="4">
        <f t="shared" si="188"/>
        <v>1</v>
      </c>
      <c r="L277" s="4">
        <f t="shared" si="188"/>
        <v>1</v>
      </c>
      <c r="M277" s="4">
        <f t="shared" si="188"/>
        <v>1</v>
      </c>
      <c r="N277" s="4">
        <f t="shared" si="188"/>
        <v>1</v>
      </c>
      <c r="O277" s="4">
        <f t="shared" si="188"/>
        <v>1</v>
      </c>
      <c r="P277" s="4">
        <f t="shared" si="188"/>
        <v>1</v>
      </c>
      <c r="Q277" s="4">
        <f t="shared" si="188"/>
        <v>1</v>
      </c>
      <c r="R277" s="4">
        <f t="shared" si="188"/>
        <v>1</v>
      </c>
      <c r="S277" s="4">
        <f t="shared" si="188"/>
        <v>1</v>
      </c>
      <c r="U277" s="3">
        <f t="shared" si="153"/>
        <v>0</v>
      </c>
      <c r="V277" s="1" t="str">
        <f t="shared" si="154"/>
        <v/>
      </c>
    </row>
    <row r="278" spans="1:22" x14ac:dyDescent="0.25">
      <c r="A278" s="2">
        <v>275</v>
      </c>
      <c r="C278" s="7"/>
      <c r="G278" s="1" t="str">
        <f>IF(D278="","",VLOOKUP(D278,Table1[#All],2,FALSE))</f>
        <v/>
      </c>
      <c r="H278" s="2">
        <f t="shared" si="149"/>
        <v>1</v>
      </c>
      <c r="I278" s="45" t="str">
        <f>IF(D278&lt;&gt;"",(VLOOKUP(D278,part_details,4,FALSE)+VLOOKUP(D278,part_details,5,FALSE)+VLOOKUP(D278,part_details,6,FALSE))*'Multi-level BOM'!E278,"")</f>
        <v/>
      </c>
      <c r="J278" s="4">
        <f t="shared" ref="J278:S278" si="189">IF($B278="",J277,
    IF(J$3=$B278,$E278,
       IF(J$3&lt;$B278,J277,
           1
)))</f>
        <v>1</v>
      </c>
      <c r="K278" s="4">
        <f t="shared" si="189"/>
        <v>1</v>
      </c>
      <c r="L278" s="4">
        <f t="shared" si="189"/>
        <v>1</v>
      </c>
      <c r="M278" s="4">
        <f t="shared" si="189"/>
        <v>1</v>
      </c>
      <c r="N278" s="4">
        <f t="shared" si="189"/>
        <v>1</v>
      </c>
      <c r="O278" s="4">
        <f t="shared" si="189"/>
        <v>1</v>
      </c>
      <c r="P278" s="4">
        <f t="shared" si="189"/>
        <v>1</v>
      </c>
      <c r="Q278" s="4">
        <f t="shared" si="189"/>
        <v>1</v>
      </c>
      <c r="R278" s="4">
        <f t="shared" si="189"/>
        <v>1</v>
      </c>
      <c r="S278" s="4">
        <f t="shared" si="189"/>
        <v>1</v>
      </c>
      <c r="U278" s="3">
        <f t="shared" si="153"/>
        <v>0</v>
      </c>
      <c r="V278" s="1" t="str">
        <f t="shared" si="154"/>
        <v/>
      </c>
    </row>
    <row r="279" spans="1:22" x14ac:dyDescent="0.25">
      <c r="A279" s="2">
        <v>276</v>
      </c>
      <c r="C279" s="7"/>
      <c r="G279" s="1" t="str">
        <f>IF(D279="","",VLOOKUP(D279,Table1[#All],2,FALSE))</f>
        <v/>
      </c>
      <c r="H279" s="2">
        <f t="shared" si="149"/>
        <v>1</v>
      </c>
      <c r="I279" s="45" t="str">
        <f>IF(D279&lt;&gt;"",(VLOOKUP(D279,part_details,4,FALSE)+VLOOKUP(D279,part_details,5,FALSE)+VLOOKUP(D279,part_details,6,FALSE))*'Multi-level BOM'!E279,"")</f>
        <v/>
      </c>
      <c r="J279" s="4">
        <f t="shared" ref="J279:S279" si="190">IF($B279="",J278,
    IF(J$3=$B279,$E279,
       IF(J$3&lt;$B279,J278,
           1
)))</f>
        <v>1</v>
      </c>
      <c r="K279" s="4">
        <f t="shared" si="190"/>
        <v>1</v>
      </c>
      <c r="L279" s="4">
        <f t="shared" si="190"/>
        <v>1</v>
      </c>
      <c r="M279" s="4">
        <f t="shared" si="190"/>
        <v>1</v>
      </c>
      <c r="N279" s="4">
        <f t="shared" si="190"/>
        <v>1</v>
      </c>
      <c r="O279" s="4">
        <f t="shared" si="190"/>
        <v>1</v>
      </c>
      <c r="P279" s="4">
        <f t="shared" si="190"/>
        <v>1</v>
      </c>
      <c r="Q279" s="4">
        <f t="shared" si="190"/>
        <v>1</v>
      </c>
      <c r="R279" s="4">
        <f t="shared" si="190"/>
        <v>1</v>
      </c>
      <c r="S279" s="4">
        <f t="shared" si="190"/>
        <v>1</v>
      </c>
      <c r="U279" s="3">
        <f t="shared" si="153"/>
        <v>0</v>
      </c>
      <c r="V279" s="1" t="str">
        <f t="shared" si="154"/>
        <v/>
      </c>
    </row>
    <row r="280" spans="1:22" x14ac:dyDescent="0.25">
      <c r="A280" s="2">
        <v>277</v>
      </c>
      <c r="C280" s="7"/>
      <c r="G280" s="1" t="str">
        <f>IF(D280="","",VLOOKUP(D280,Table1[#All],2,FALSE))</f>
        <v/>
      </c>
      <c r="H280" s="2">
        <f t="shared" si="149"/>
        <v>1</v>
      </c>
      <c r="I280" s="45" t="str">
        <f>IF(D280&lt;&gt;"",(VLOOKUP(D280,part_details,4,FALSE)+VLOOKUP(D280,part_details,5,FALSE)+VLOOKUP(D280,part_details,6,FALSE))*'Multi-level BOM'!E280,"")</f>
        <v/>
      </c>
      <c r="J280" s="4">
        <f t="shared" ref="J280:S280" si="191">IF($B280="",J279,
    IF(J$3=$B280,$E280,
       IF(J$3&lt;$B280,J279,
           1
)))</f>
        <v>1</v>
      </c>
      <c r="K280" s="4">
        <f t="shared" si="191"/>
        <v>1</v>
      </c>
      <c r="L280" s="4">
        <f t="shared" si="191"/>
        <v>1</v>
      </c>
      <c r="M280" s="4">
        <f t="shared" si="191"/>
        <v>1</v>
      </c>
      <c r="N280" s="4">
        <f t="shared" si="191"/>
        <v>1</v>
      </c>
      <c r="O280" s="4">
        <f t="shared" si="191"/>
        <v>1</v>
      </c>
      <c r="P280" s="4">
        <f t="shared" si="191"/>
        <v>1</v>
      </c>
      <c r="Q280" s="4">
        <f t="shared" si="191"/>
        <v>1</v>
      </c>
      <c r="R280" s="4">
        <f t="shared" si="191"/>
        <v>1</v>
      </c>
      <c r="S280" s="4">
        <f t="shared" si="191"/>
        <v>1</v>
      </c>
      <c r="U280" s="3">
        <f t="shared" si="153"/>
        <v>0</v>
      </c>
      <c r="V280" s="1" t="str">
        <f t="shared" si="154"/>
        <v/>
      </c>
    </row>
    <row r="281" spans="1:22" x14ac:dyDescent="0.25">
      <c r="A281" s="2">
        <v>278</v>
      </c>
      <c r="C281" s="7"/>
      <c r="G281" s="1" t="str">
        <f>IF(D281="","",VLOOKUP(D281,Table1[#All],2,FALSE))</f>
        <v/>
      </c>
      <c r="H281" s="2">
        <f t="shared" si="149"/>
        <v>1</v>
      </c>
      <c r="I281" s="45" t="str">
        <f>IF(D281&lt;&gt;"",(VLOOKUP(D281,part_details,4,FALSE)+VLOOKUP(D281,part_details,5,FALSE)+VLOOKUP(D281,part_details,6,FALSE))*'Multi-level BOM'!E281,"")</f>
        <v/>
      </c>
      <c r="J281" s="4">
        <f t="shared" ref="J281:S281" si="192">IF($B281="",J280,
    IF(J$3=$B281,$E281,
       IF(J$3&lt;$B281,J280,
           1
)))</f>
        <v>1</v>
      </c>
      <c r="K281" s="4">
        <f t="shared" si="192"/>
        <v>1</v>
      </c>
      <c r="L281" s="4">
        <f t="shared" si="192"/>
        <v>1</v>
      </c>
      <c r="M281" s="4">
        <f t="shared" si="192"/>
        <v>1</v>
      </c>
      <c r="N281" s="4">
        <f t="shared" si="192"/>
        <v>1</v>
      </c>
      <c r="O281" s="4">
        <f t="shared" si="192"/>
        <v>1</v>
      </c>
      <c r="P281" s="4">
        <f t="shared" si="192"/>
        <v>1</v>
      </c>
      <c r="Q281" s="4">
        <f t="shared" si="192"/>
        <v>1</v>
      </c>
      <c r="R281" s="4">
        <f t="shared" si="192"/>
        <v>1</v>
      </c>
      <c r="S281" s="4">
        <f t="shared" si="192"/>
        <v>1</v>
      </c>
      <c r="U281" s="3">
        <f t="shared" si="153"/>
        <v>0</v>
      </c>
      <c r="V281" s="1" t="str">
        <f t="shared" si="154"/>
        <v/>
      </c>
    </row>
    <row r="282" spans="1:22" x14ac:dyDescent="0.25">
      <c r="A282" s="2">
        <v>279</v>
      </c>
      <c r="C282" s="7"/>
      <c r="G282" s="1" t="str">
        <f>IF(D282="","",VLOOKUP(D282,Table1[#All],2,FALSE))</f>
        <v/>
      </c>
      <c r="H282" s="2">
        <f t="shared" si="149"/>
        <v>1</v>
      </c>
      <c r="I282" s="45" t="str">
        <f>IF(D282&lt;&gt;"",(VLOOKUP(D282,part_details,4,FALSE)+VLOOKUP(D282,part_details,5,FALSE)+VLOOKUP(D282,part_details,6,FALSE))*'Multi-level BOM'!E282,"")</f>
        <v/>
      </c>
      <c r="J282" s="4">
        <f t="shared" ref="J282:S282" si="193">IF($B282="",J281,
    IF(J$3=$B282,$E282,
       IF(J$3&lt;$B282,J281,
           1
)))</f>
        <v>1</v>
      </c>
      <c r="K282" s="4">
        <f t="shared" si="193"/>
        <v>1</v>
      </c>
      <c r="L282" s="4">
        <f t="shared" si="193"/>
        <v>1</v>
      </c>
      <c r="M282" s="4">
        <f t="shared" si="193"/>
        <v>1</v>
      </c>
      <c r="N282" s="4">
        <f t="shared" si="193"/>
        <v>1</v>
      </c>
      <c r="O282" s="4">
        <f t="shared" si="193"/>
        <v>1</v>
      </c>
      <c r="P282" s="4">
        <f t="shared" si="193"/>
        <v>1</v>
      </c>
      <c r="Q282" s="4">
        <f t="shared" si="193"/>
        <v>1</v>
      </c>
      <c r="R282" s="4">
        <f t="shared" si="193"/>
        <v>1</v>
      </c>
      <c r="S282" s="4">
        <f t="shared" si="193"/>
        <v>1</v>
      </c>
      <c r="U282" s="3">
        <f t="shared" si="153"/>
        <v>0</v>
      </c>
      <c r="V282" s="1" t="str">
        <f t="shared" si="154"/>
        <v/>
      </c>
    </row>
    <row r="283" spans="1:22" x14ac:dyDescent="0.25">
      <c r="A283" s="2">
        <v>280</v>
      </c>
      <c r="C283" s="7"/>
      <c r="G283" s="1" t="str">
        <f>IF(D283="","",VLOOKUP(D283,Table1[#All],2,FALSE))</f>
        <v/>
      </c>
      <c r="H283" s="2">
        <f t="shared" si="149"/>
        <v>1</v>
      </c>
      <c r="I283" s="45" t="str">
        <f>IF(D283&lt;&gt;"",(VLOOKUP(D283,part_details,4,FALSE)+VLOOKUP(D283,part_details,5,FALSE)+VLOOKUP(D283,part_details,6,FALSE))*'Multi-level BOM'!E283,"")</f>
        <v/>
      </c>
      <c r="J283" s="4">
        <f t="shared" ref="J283:S283" si="194">IF($B283="",J282,
    IF(J$3=$B283,$E283,
       IF(J$3&lt;$B283,J282,
           1
)))</f>
        <v>1</v>
      </c>
      <c r="K283" s="4">
        <f t="shared" si="194"/>
        <v>1</v>
      </c>
      <c r="L283" s="4">
        <f t="shared" si="194"/>
        <v>1</v>
      </c>
      <c r="M283" s="4">
        <f t="shared" si="194"/>
        <v>1</v>
      </c>
      <c r="N283" s="4">
        <f t="shared" si="194"/>
        <v>1</v>
      </c>
      <c r="O283" s="4">
        <f t="shared" si="194"/>
        <v>1</v>
      </c>
      <c r="P283" s="4">
        <f t="shared" si="194"/>
        <v>1</v>
      </c>
      <c r="Q283" s="4">
        <f t="shared" si="194"/>
        <v>1</v>
      </c>
      <c r="R283" s="4">
        <f t="shared" si="194"/>
        <v>1</v>
      </c>
      <c r="S283" s="4">
        <f t="shared" si="194"/>
        <v>1</v>
      </c>
      <c r="U283" s="3">
        <f t="shared" si="153"/>
        <v>0</v>
      </c>
      <c r="V283" s="1" t="str">
        <f t="shared" si="154"/>
        <v/>
      </c>
    </row>
    <row r="284" spans="1:22" x14ac:dyDescent="0.25">
      <c r="A284" s="2">
        <v>281</v>
      </c>
      <c r="C284" s="7"/>
      <c r="G284" s="1" t="str">
        <f>IF(D284="","",VLOOKUP(D284,Table1[#All],2,FALSE))</f>
        <v/>
      </c>
      <c r="H284" s="2">
        <f t="shared" si="149"/>
        <v>1</v>
      </c>
      <c r="I284" s="45" t="str">
        <f>IF(D284&lt;&gt;"",(VLOOKUP(D284,part_details,4,FALSE)+VLOOKUP(D284,part_details,5,FALSE)+VLOOKUP(D284,part_details,6,FALSE))*'Multi-level BOM'!E284,"")</f>
        <v/>
      </c>
      <c r="J284" s="4">
        <f t="shared" ref="J284:S284" si="195">IF($B284="",J283,
    IF(J$3=$B284,$E284,
       IF(J$3&lt;$B284,J283,
           1
)))</f>
        <v>1</v>
      </c>
      <c r="K284" s="4">
        <f t="shared" si="195"/>
        <v>1</v>
      </c>
      <c r="L284" s="4">
        <f t="shared" si="195"/>
        <v>1</v>
      </c>
      <c r="M284" s="4">
        <f t="shared" si="195"/>
        <v>1</v>
      </c>
      <c r="N284" s="4">
        <f t="shared" si="195"/>
        <v>1</v>
      </c>
      <c r="O284" s="4">
        <f t="shared" si="195"/>
        <v>1</v>
      </c>
      <c r="P284" s="4">
        <f t="shared" si="195"/>
        <v>1</v>
      </c>
      <c r="Q284" s="4">
        <f t="shared" si="195"/>
        <v>1</v>
      </c>
      <c r="R284" s="4">
        <f t="shared" si="195"/>
        <v>1</v>
      </c>
      <c r="S284" s="4">
        <f t="shared" si="195"/>
        <v>1</v>
      </c>
      <c r="U284" s="3">
        <f t="shared" si="153"/>
        <v>0</v>
      </c>
      <c r="V284" s="1" t="str">
        <f t="shared" si="154"/>
        <v/>
      </c>
    </row>
    <row r="285" spans="1:22" x14ac:dyDescent="0.25">
      <c r="A285" s="2">
        <v>282</v>
      </c>
      <c r="C285" s="7"/>
      <c r="G285" s="1" t="str">
        <f>IF(D285="","",VLOOKUP(D285,Table1[#All],2,FALSE))</f>
        <v/>
      </c>
      <c r="H285" s="2">
        <f t="shared" si="149"/>
        <v>1</v>
      </c>
      <c r="I285" s="45" t="str">
        <f>IF(D285&lt;&gt;"",(VLOOKUP(D285,part_details,4,FALSE)+VLOOKUP(D285,part_details,5,FALSE)+VLOOKUP(D285,part_details,6,FALSE))*'Multi-level BOM'!E285,"")</f>
        <v/>
      </c>
      <c r="J285" s="4">
        <f t="shared" ref="J285:S285" si="196">IF($B285="",J284,
    IF(J$3=$B285,$E285,
       IF(J$3&lt;$B285,J284,
           1
)))</f>
        <v>1</v>
      </c>
      <c r="K285" s="4">
        <f t="shared" si="196"/>
        <v>1</v>
      </c>
      <c r="L285" s="4">
        <f t="shared" si="196"/>
        <v>1</v>
      </c>
      <c r="M285" s="4">
        <f t="shared" si="196"/>
        <v>1</v>
      </c>
      <c r="N285" s="4">
        <f t="shared" si="196"/>
        <v>1</v>
      </c>
      <c r="O285" s="4">
        <f t="shared" si="196"/>
        <v>1</v>
      </c>
      <c r="P285" s="4">
        <f t="shared" si="196"/>
        <v>1</v>
      </c>
      <c r="Q285" s="4">
        <f t="shared" si="196"/>
        <v>1</v>
      </c>
      <c r="R285" s="4">
        <f t="shared" si="196"/>
        <v>1</v>
      </c>
      <c r="S285" s="4">
        <f t="shared" si="196"/>
        <v>1</v>
      </c>
      <c r="U285" s="3">
        <f t="shared" si="153"/>
        <v>0</v>
      </c>
      <c r="V285" s="1" t="str">
        <f t="shared" si="154"/>
        <v/>
      </c>
    </row>
    <row r="286" spans="1:22" x14ac:dyDescent="0.25">
      <c r="A286" s="2">
        <v>283</v>
      </c>
      <c r="C286" s="7"/>
      <c r="G286" s="1" t="str">
        <f>IF(D286="","",VLOOKUP(D286,Table1[#All],2,FALSE))</f>
        <v/>
      </c>
      <c r="H286" s="2">
        <f t="shared" si="149"/>
        <v>1</v>
      </c>
      <c r="I286" s="45" t="str">
        <f>IF(D286&lt;&gt;"",(VLOOKUP(D286,part_details,4,FALSE)+VLOOKUP(D286,part_details,5,FALSE)+VLOOKUP(D286,part_details,6,FALSE))*'Multi-level BOM'!E286,"")</f>
        <v/>
      </c>
      <c r="J286" s="4">
        <f t="shared" ref="J286:S286" si="197">IF($B286="",J285,
    IF(J$3=$B286,$E286,
       IF(J$3&lt;$B286,J285,
           1
)))</f>
        <v>1</v>
      </c>
      <c r="K286" s="4">
        <f t="shared" si="197"/>
        <v>1</v>
      </c>
      <c r="L286" s="4">
        <f t="shared" si="197"/>
        <v>1</v>
      </c>
      <c r="M286" s="4">
        <f t="shared" si="197"/>
        <v>1</v>
      </c>
      <c r="N286" s="4">
        <f t="shared" si="197"/>
        <v>1</v>
      </c>
      <c r="O286" s="4">
        <f t="shared" si="197"/>
        <v>1</v>
      </c>
      <c r="P286" s="4">
        <f t="shared" si="197"/>
        <v>1</v>
      </c>
      <c r="Q286" s="4">
        <f t="shared" si="197"/>
        <v>1</v>
      </c>
      <c r="R286" s="4">
        <f t="shared" si="197"/>
        <v>1</v>
      </c>
      <c r="S286" s="4">
        <f t="shared" si="197"/>
        <v>1</v>
      </c>
      <c r="U286" s="3">
        <f t="shared" si="153"/>
        <v>0</v>
      </c>
      <c r="V286" s="1" t="str">
        <f t="shared" si="154"/>
        <v/>
      </c>
    </row>
    <row r="287" spans="1:22" x14ac:dyDescent="0.25">
      <c r="A287" s="2">
        <v>284</v>
      </c>
      <c r="C287" s="7"/>
      <c r="G287" s="1" t="str">
        <f>IF(D287="","",VLOOKUP(D287,Table1[#All],2,FALSE))</f>
        <v/>
      </c>
      <c r="H287" s="2">
        <f t="shared" si="149"/>
        <v>1</v>
      </c>
      <c r="I287" s="45" t="str">
        <f>IF(D287&lt;&gt;"",(VLOOKUP(D287,part_details,4,FALSE)+VLOOKUP(D287,part_details,5,FALSE)+VLOOKUP(D287,part_details,6,FALSE))*'Multi-level BOM'!E287,"")</f>
        <v/>
      </c>
      <c r="J287" s="4">
        <f t="shared" ref="J287:S287" si="198">IF($B287="",J286,
    IF(J$3=$B287,$E287,
       IF(J$3&lt;$B287,J286,
           1
)))</f>
        <v>1</v>
      </c>
      <c r="K287" s="4">
        <f t="shared" si="198"/>
        <v>1</v>
      </c>
      <c r="L287" s="4">
        <f t="shared" si="198"/>
        <v>1</v>
      </c>
      <c r="M287" s="4">
        <f t="shared" si="198"/>
        <v>1</v>
      </c>
      <c r="N287" s="4">
        <f t="shared" si="198"/>
        <v>1</v>
      </c>
      <c r="O287" s="4">
        <f t="shared" si="198"/>
        <v>1</v>
      </c>
      <c r="P287" s="4">
        <f t="shared" si="198"/>
        <v>1</v>
      </c>
      <c r="Q287" s="4">
        <f t="shared" si="198"/>
        <v>1</v>
      </c>
      <c r="R287" s="4">
        <f t="shared" si="198"/>
        <v>1</v>
      </c>
      <c r="S287" s="4">
        <f t="shared" si="198"/>
        <v>1</v>
      </c>
      <c r="U287" s="3">
        <f t="shared" si="153"/>
        <v>0</v>
      </c>
      <c r="V287" s="1" t="str">
        <f t="shared" si="154"/>
        <v/>
      </c>
    </row>
    <row r="288" spans="1:22" x14ac:dyDescent="0.25">
      <c r="A288" s="2">
        <v>285</v>
      </c>
      <c r="C288" s="7"/>
      <c r="G288" s="1" t="str">
        <f>IF(D288="","",VLOOKUP(D288,Table1[#All],2,FALSE))</f>
        <v/>
      </c>
      <c r="H288" s="2">
        <f t="shared" si="149"/>
        <v>1</v>
      </c>
      <c r="I288" s="45" t="str">
        <f>IF(D288&lt;&gt;"",(VLOOKUP(D288,part_details,4,FALSE)+VLOOKUP(D288,part_details,5,FALSE)+VLOOKUP(D288,part_details,6,FALSE))*'Multi-level BOM'!E288,"")</f>
        <v/>
      </c>
      <c r="J288" s="4">
        <f t="shared" ref="J288:S288" si="199">IF($B288="",J287,
    IF(J$3=$B288,$E288,
       IF(J$3&lt;$B288,J287,
           1
)))</f>
        <v>1</v>
      </c>
      <c r="K288" s="4">
        <f t="shared" si="199"/>
        <v>1</v>
      </c>
      <c r="L288" s="4">
        <f t="shared" si="199"/>
        <v>1</v>
      </c>
      <c r="M288" s="4">
        <f t="shared" si="199"/>
        <v>1</v>
      </c>
      <c r="N288" s="4">
        <f t="shared" si="199"/>
        <v>1</v>
      </c>
      <c r="O288" s="4">
        <f t="shared" si="199"/>
        <v>1</v>
      </c>
      <c r="P288" s="4">
        <f t="shared" si="199"/>
        <v>1</v>
      </c>
      <c r="Q288" s="4">
        <f t="shared" si="199"/>
        <v>1</v>
      </c>
      <c r="R288" s="4">
        <f t="shared" si="199"/>
        <v>1</v>
      </c>
      <c r="S288" s="4">
        <f t="shared" si="199"/>
        <v>1</v>
      </c>
      <c r="U288" s="3">
        <f t="shared" si="153"/>
        <v>0</v>
      </c>
      <c r="V288" s="1" t="str">
        <f t="shared" si="154"/>
        <v/>
      </c>
    </row>
    <row r="289" spans="1:22" x14ac:dyDescent="0.25">
      <c r="A289" s="2">
        <v>286</v>
      </c>
      <c r="C289" s="7"/>
      <c r="G289" s="1" t="str">
        <f>IF(D289="","",VLOOKUP(D289,Table1[#All],2,FALSE))</f>
        <v/>
      </c>
      <c r="H289" s="2">
        <f t="shared" si="149"/>
        <v>1</v>
      </c>
      <c r="I289" s="45" t="str">
        <f>IF(D289&lt;&gt;"",(VLOOKUP(D289,part_details,4,FALSE)+VLOOKUP(D289,part_details,5,FALSE)+VLOOKUP(D289,part_details,6,FALSE))*'Multi-level BOM'!E289,"")</f>
        <v/>
      </c>
      <c r="J289" s="4">
        <f t="shared" ref="J289:S289" si="200">IF($B289="",J288,
    IF(J$3=$B289,$E289,
       IF(J$3&lt;$B289,J288,
           1
)))</f>
        <v>1</v>
      </c>
      <c r="K289" s="4">
        <f t="shared" si="200"/>
        <v>1</v>
      </c>
      <c r="L289" s="4">
        <f t="shared" si="200"/>
        <v>1</v>
      </c>
      <c r="M289" s="4">
        <f t="shared" si="200"/>
        <v>1</v>
      </c>
      <c r="N289" s="4">
        <f t="shared" si="200"/>
        <v>1</v>
      </c>
      <c r="O289" s="4">
        <f t="shared" si="200"/>
        <v>1</v>
      </c>
      <c r="P289" s="4">
        <f t="shared" si="200"/>
        <v>1</v>
      </c>
      <c r="Q289" s="4">
        <f t="shared" si="200"/>
        <v>1</v>
      </c>
      <c r="R289" s="4">
        <f t="shared" si="200"/>
        <v>1</v>
      </c>
      <c r="S289" s="4">
        <f t="shared" si="200"/>
        <v>1</v>
      </c>
      <c r="U289" s="3">
        <f t="shared" si="153"/>
        <v>0</v>
      </c>
      <c r="V289" s="1" t="str">
        <f t="shared" si="154"/>
        <v/>
      </c>
    </row>
    <row r="290" spans="1:22" x14ac:dyDescent="0.25">
      <c r="A290" s="2">
        <v>287</v>
      </c>
      <c r="C290" s="7"/>
      <c r="G290" s="1" t="str">
        <f>IF(D290="","",VLOOKUP(D290,Table1[#All],2,FALSE))</f>
        <v/>
      </c>
      <c r="H290" s="2">
        <f t="shared" si="149"/>
        <v>1</v>
      </c>
      <c r="I290" s="45" t="str">
        <f>IF(D290&lt;&gt;"",(VLOOKUP(D290,part_details,4,FALSE)+VLOOKUP(D290,part_details,5,FALSE)+VLOOKUP(D290,part_details,6,FALSE))*'Multi-level BOM'!E290,"")</f>
        <v/>
      </c>
      <c r="J290" s="4">
        <f t="shared" ref="J290:S290" si="201">IF($B290="",J289,
    IF(J$3=$B290,$E290,
       IF(J$3&lt;$B290,J289,
           1
)))</f>
        <v>1</v>
      </c>
      <c r="K290" s="4">
        <f t="shared" si="201"/>
        <v>1</v>
      </c>
      <c r="L290" s="4">
        <f t="shared" si="201"/>
        <v>1</v>
      </c>
      <c r="M290" s="4">
        <f t="shared" si="201"/>
        <v>1</v>
      </c>
      <c r="N290" s="4">
        <f t="shared" si="201"/>
        <v>1</v>
      </c>
      <c r="O290" s="4">
        <f t="shared" si="201"/>
        <v>1</v>
      </c>
      <c r="P290" s="4">
        <f t="shared" si="201"/>
        <v>1</v>
      </c>
      <c r="Q290" s="4">
        <f t="shared" si="201"/>
        <v>1</v>
      </c>
      <c r="R290" s="4">
        <f t="shared" si="201"/>
        <v>1</v>
      </c>
      <c r="S290" s="4">
        <f t="shared" si="201"/>
        <v>1</v>
      </c>
      <c r="U290" s="3">
        <f t="shared" si="153"/>
        <v>0</v>
      </c>
      <c r="V290" s="1" t="str">
        <f t="shared" si="154"/>
        <v/>
      </c>
    </row>
    <row r="291" spans="1:22" x14ac:dyDescent="0.25">
      <c r="A291" s="2">
        <v>288</v>
      </c>
      <c r="C291" s="7"/>
      <c r="G291" s="1" t="str">
        <f>IF(D291="","",VLOOKUP(D291,Table1[#All],2,FALSE))</f>
        <v/>
      </c>
      <c r="H291" s="2">
        <f t="shared" si="149"/>
        <v>1</v>
      </c>
      <c r="I291" s="45" t="str">
        <f>IF(D291&lt;&gt;"",(VLOOKUP(D291,part_details,4,FALSE)+VLOOKUP(D291,part_details,5,FALSE)+VLOOKUP(D291,part_details,6,FALSE))*'Multi-level BOM'!E291,"")</f>
        <v/>
      </c>
      <c r="J291" s="4">
        <f t="shared" ref="J291:S291" si="202">IF($B291="",J290,
    IF(J$3=$B291,$E291,
       IF(J$3&lt;$B291,J290,
           1
)))</f>
        <v>1</v>
      </c>
      <c r="K291" s="4">
        <f t="shared" si="202"/>
        <v>1</v>
      </c>
      <c r="L291" s="4">
        <f t="shared" si="202"/>
        <v>1</v>
      </c>
      <c r="M291" s="4">
        <f t="shared" si="202"/>
        <v>1</v>
      </c>
      <c r="N291" s="4">
        <f t="shared" si="202"/>
        <v>1</v>
      </c>
      <c r="O291" s="4">
        <f t="shared" si="202"/>
        <v>1</v>
      </c>
      <c r="P291" s="4">
        <f t="shared" si="202"/>
        <v>1</v>
      </c>
      <c r="Q291" s="4">
        <f t="shared" si="202"/>
        <v>1</v>
      </c>
      <c r="R291" s="4">
        <f t="shared" si="202"/>
        <v>1</v>
      </c>
      <c r="S291" s="4">
        <f t="shared" si="202"/>
        <v>1</v>
      </c>
      <c r="U291" s="3">
        <f t="shared" si="153"/>
        <v>0</v>
      </c>
      <c r="V291" s="1" t="str">
        <f t="shared" si="154"/>
        <v/>
      </c>
    </row>
    <row r="292" spans="1:22" x14ac:dyDescent="0.25">
      <c r="A292" s="2">
        <v>289</v>
      </c>
      <c r="C292" s="7"/>
      <c r="G292" s="1" t="str">
        <f>IF(D292="","",VLOOKUP(D292,Table1[#All],2,FALSE))</f>
        <v/>
      </c>
      <c r="H292" s="2">
        <f t="shared" si="149"/>
        <v>1</v>
      </c>
      <c r="I292" s="45" t="str">
        <f>IF(D292&lt;&gt;"",(VLOOKUP(D292,part_details,4,FALSE)+VLOOKUP(D292,part_details,5,FALSE)+VLOOKUP(D292,part_details,6,FALSE))*'Multi-level BOM'!E292,"")</f>
        <v/>
      </c>
      <c r="J292" s="4">
        <f t="shared" ref="J292:S292" si="203">IF($B292="",J291,
    IF(J$3=$B292,$E292,
       IF(J$3&lt;$B292,J291,
           1
)))</f>
        <v>1</v>
      </c>
      <c r="K292" s="4">
        <f t="shared" si="203"/>
        <v>1</v>
      </c>
      <c r="L292" s="4">
        <f t="shared" si="203"/>
        <v>1</v>
      </c>
      <c r="M292" s="4">
        <f t="shared" si="203"/>
        <v>1</v>
      </c>
      <c r="N292" s="4">
        <f t="shared" si="203"/>
        <v>1</v>
      </c>
      <c r="O292" s="4">
        <f t="shared" si="203"/>
        <v>1</v>
      </c>
      <c r="P292" s="4">
        <f t="shared" si="203"/>
        <v>1</v>
      </c>
      <c r="Q292" s="4">
        <f t="shared" si="203"/>
        <v>1</v>
      </c>
      <c r="R292" s="4">
        <f t="shared" si="203"/>
        <v>1</v>
      </c>
      <c r="S292" s="4">
        <f t="shared" si="203"/>
        <v>1</v>
      </c>
      <c r="U292" s="3">
        <f t="shared" si="153"/>
        <v>0</v>
      </c>
      <c r="V292" s="1" t="str">
        <f t="shared" si="154"/>
        <v/>
      </c>
    </row>
    <row r="293" spans="1:22" x14ac:dyDescent="0.25">
      <c r="A293" s="2">
        <v>290</v>
      </c>
      <c r="C293" s="7"/>
      <c r="G293" s="1" t="str">
        <f>IF(D293="","",VLOOKUP(D293,Table1[#All],2,FALSE))</f>
        <v/>
      </c>
      <c r="H293" s="2">
        <f t="shared" si="149"/>
        <v>1</v>
      </c>
      <c r="I293" s="45" t="str">
        <f>IF(D293&lt;&gt;"",(VLOOKUP(D293,part_details,4,FALSE)+VLOOKUP(D293,part_details,5,FALSE)+VLOOKUP(D293,part_details,6,FALSE))*'Multi-level BOM'!E293,"")</f>
        <v/>
      </c>
      <c r="J293" s="4">
        <f t="shared" ref="J293:S293" si="204">IF($B293="",J292,
    IF(J$3=$B293,$E293,
       IF(J$3&lt;$B293,J292,
           1
)))</f>
        <v>1</v>
      </c>
      <c r="K293" s="4">
        <f t="shared" si="204"/>
        <v>1</v>
      </c>
      <c r="L293" s="4">
        <f t="shared" si="204"/>
        <v>1</v>
      </c>
      <c r="M293" s="4">
        <f t="shared" si="204"/>
        <v>1</v>
      </c>
      <c r="N293" s="4">
        <f t="shared" si="204"/>
        <v>1</v>
      </c>
      <c r="O293" s="4">
        <f t="shared" si="204"/>
        <v>1</v>
      </c>
      <c r="P293" s="4">
        <f t="shared" si="204"/>
        <v>1</v>
      </c>
      <c r="Q293" s="4">
        <f t="shared" si="204"/>
        <v>1</v>
      </c>
      <c r="R293" s="4">
        <f t="shared" si="204"/>
        <v>1</v>
      </c>
      <c r="S293" s="4">
        <f t="shared" si="204"/>
        <v>1</v>
      </c>
      <c r="U293" s="3">
        <f t="shared" si="153"/>
        <v>0</v>
      </c>
      <c r="V293" s="1" t="str">
        <f t="shared" si="154"/>
        <v/>
      </c>
    </row>
    <row r="294" spans="1:22" x14ac:dyDescent="0.25">
      <c r="A294" s="2">
        <v>291</v>
      </c>
      <c r="C294" s="7"/>
      <c r="G294" s="1" t="str">
        <f>IF(D294="","",VLOOKUP(D294,Table1[#All],2,FALSE))</f>
        <v/>
      </c>
      <c r="H294" s="2">
        <f t="shared" si="149"/>
        <v>1</v>
      </c>
      <c r="I294" s="45" t="str">
        <f>IF(D294&lt;&gt;"",(VLOOKUP(D294,part_details,4,FALSE)+VLOOKUP(D294,part_details,5,FALSE)+VLOOKUP(D294,part_details,6,FALSE))*'Multi-level BOM'!E294,"")</f>
        <v/>
      </c>
      <c r="J294" s="4">
        <f t="shared" ref="J294:S294" si="205">IF($B294="",J293,
    IF(J$3=$B294,$E294,
       IF(J$3&lt;$B294,J293,
           1
)))</f>
        <v>1</v>
      </c>
      <c r="K294" s="4">
        <f t="shared" si="205"/>
        <v>1</v>
      </c>
      <c r="L294" s="4">
        <f t="shared" si="205"/>
        <v>1</v>
      </c>
      <c r="M294" s="4">
        <f t="shared" si="205"/>
        <v>1</v>
      </c>
      <c r="N294" s="4">
        <f t="shared" si="205"/>
        <v>1</v>
      </c>
      <c r="O294" s="4">
        <f t="shared" si="205"/>
        <v>1</v>
      </c>
      <c r="P294" s="4">
        <f t="shared" si="205"/>
        <v>1</v>
      </c>
      <c r="Q294" s="4">
        <f t="shared" si="205"/>
        <v>1</v>
      </c>
      <c r="R294" s="4">
        <f t="shared" si="205"/>
        <v>1</v>
      </c>
      <c r="S294" s="4">
        <f t="shared" si="205"/>
        <v>1</v>
      </c>
      <c r="U294" s="3">
        <f t="shared" si="153"/>
        <v>0</v>
      </c>
      <c r="V294" s="1" t="str">
        <f t="shared" si="154"/>
        <v/>
      </c>
    </row>
    <row r="295" spans="1:22" x14ac:dyDescent="0.25">
      <c r="A295" s="2">
        <v>292</v>
      </c>
      <c r="C295" s="7"/>
      <c r="G295" s="1" t="str">
        <f>IF(D295="","",VLOOKUP(D295,Table1[#All],2,FALSE))</f>
        <v/>
      </c>
      <c r="H295" s="2">
        <f t="shared" si="149"/>
        <v>1</v>
      </c>
      <c r="I295" s="45" t="str">
        <f>IF(D295&lt;&gt;"",(VLOOKUP(D295,part_details,4,FALSE)+VLOOKUP(D295,part_details,5,FALSE)+VLOOKUP(D295,part_details,6,FALSE))*'Multi-level BOM'!E295,"")</f>
        <v/>
      </c>
      <c r="J295" s="4">
        <f t="shared" ref="J295:S295" si="206">IF($B295="",J294,
    IF(J$3=$B295,$E295,
       IF(J$3&lt;$B295,J294,
           1
)))</f>
        <v>1</v>
      </c>
      <c r="K295" s="4">
        <f t="shared" si="206"/>
        <v>1</v>
      </c>
      <c r="L295" s="4">
        <f t="shared" si="206"/>
        <v>1</v>
      </c>
      <c r="M295" s="4">
        <f t="shared" si="206"/>
        <v>1</v>
      </c>
      <c r="N295" s="4">
        <f t="shared" si="206"/>
        <v>1</v>
      </c>
      <c r="O295" s="4">
        <f t="shared" si="206"/>
        <v>1</v>
      </c>
      <c r="P295" s="4">
        <f t="shared" si="206"/>
        <v>1</v>
      </c>
      <c r="Q295" s="4">
        <f t="shared" si="206"/>
        <v>1</v>
      </c>
      <c r="R295" s="4">
        <f t="shared" si="206"/>
        <v>1</v>
      </c>
      <c r="S295" s="4">
        <f t="shared" si="206"/>
        <v>1</v>
      </c>
      <c r="U295" s="3">
        <f t="shared" si="153"/>
        <v>0</v>
      </c>
      <c r="V295" s="1" t="str">
        <f t="shared" si="154"/>
        <v/>
      </c>
    </row>
    <row r="296" spans="1:22" x14ac:dyDescent="0.25">
      <c r="A296" s="2">
        <v>293</v>
      </c>
      <c r="C296" s="7"/>
      <c r="G296" s="1" t="str">
        <f>IF(D296="","",VLOOKUP(D296,Table1[#All],2,FALSE))</f>
        <v/>
      </c>
      <c r="H296" s="2">
        <f t="shared" si="149"/>
        <v>1</v>
      </c>
      <c r="I296" s="45" t="str">
        <f>IF(D296&lt;&gt;"",(VLOOKUP(D296,part_details,4,FALSE)+VLOOKUP(D296,part_details,5,FALSE)+VLOOKUP(D296,part_details,6,FALSE))*'Multi-level BOM'!E296,"")</f>
        <v/>
      </c>
      <c r="J296" s="4">
        <f t="shared" ref="J296:S296" si="207">IF($B296="",J295,
    IF(J$3=$B296,$E296,
       IF(J$3&lt;$B296,J295,
           1
)))</f>
        <v>1</v>
      </c>
      <c r="K296" s="4">
        <f t="shared" si="207"/>
        <v>1</v>
      </c>
      <c r="L296" s="4">
        <f t="shared" si="207"/>
        <v>1</v>
      </c>
      <c r="M296" s="4">
        <f t="shared" si="207"/>
        <v>1</v>
      </c>
      <c r="N296" s="4">
        <f t="shared" si="207"/>
        <v>1</v>
      </c>
      <c r="O296" s="4">
        <f t="shared" si="207"/>
        <v>1</v>
      </c>
      <c r="P296" s="4">
        <f t="shared" si="207"/>
        <v>1</v>
      </c>
      <c r="Q296" s="4">
        <f t="shared" si="207"/>
        <v>1</v>
      </c>
      <c r="R296" s="4">
        <f t="shared" si="207"/>
        <v>1</v>
      </c>
      <c r="S296" s="4">
        <f t="shared" si="207"/>
        <v>1</v>
      </c>
      <c r="U296" s="3">
        <f t="shared" si="153"/>
        <v>0</v>
      </c>
      <c r="V296" s="1" t="str">
        <f t="shared" si="154"/>
        <v/>
      </c>
    </row>
    <row r="297" spans="1:22" x14ac:dyDescent="0.25">
      <c r="A297" s="2">
        <v>294</v>
      </c>
      <c r="C297" s="7"/>
      <c r="G297" s="1" t="str">
        <f>IF(D297="","",VLOOKUP(D297,Table1[#All],2,FALSE))</f>
        <v/>
      </c>
      <c r="H297" s="2">
        <f t="shared" si="149"/>
        <v>1</v>
      </c>
      <c r="I297" s="45" t="str">
        <f>IF(D297&lt;&gt;"",(VLOOKUP(D297,part_details,4,FALSE)+VLOOKUP(D297,part_details,5,FALSE)+VLOOKUP(D297,part_details,6,FALSE))*'Multi-level BOM'!E297,"")</f>
        <v/>
      </c>
      <c r="J297" s="4">
        <f t="shared" ref="J297:S297" si="208">IF($B297="",J296,
    IF(J$3=$B297,$E297,
       IF(J$3&lt;$B297,J296,
           1
)))</f>
        <v>1</v>
      </c>
      <c r="K297" s="4">
        <f t="shared" si="208"/>
        <v>1</v>
      </c>
      <c r="L297" s="4">
        <f t="shared" si="208"/>
        <v>1</v>
      </c>
      <c r="M297" s="4">
        <f t="shared" si="208"/>
        <v>1</v>
      </c>
      <c r="N297" s="4">
        <f t="shared" si="208"/>
        <v>1</v>
      </c>
      <c r="O297" s="4">
        <f t="shared" si="208"/>
        <v>1</v>
      </c>
      <c r="P297" s="4">
        <f t="shared" si="208"/>
        <v>1</v>
      </c>
      <c r="Q297" s="4">
        <f t="shared" si="208"/>
        <v>1</v>
      </c>
      <c r="R297" s="4">
        <f t="shared" si="208"/>
        <v>1</v>
      </c>
      <c r="S297" s="4">
        <f t="shared" si="208"/>
        <v>1</v>
      </c>
      <c r="U297" s="3">
        <f t="shared" si="153"/>
        <v>0</v>
      </c>
      <c r="V297" s="1" t="str">
        <f t="shared" si="154"/>
        <v/>
      </c>
    </row>
    <row r="298" spans="1:22" x14ac:dyDescent="0.25">
      <c r="A298" s="2">
        <v>295</v>
      </c>
      <c r="C298" s="7"/>
      <c r="G298" s="1" t="str">
        <f>IF(D298="","",VLOOKUP(D298,Table1[#All],2,FALSE))</f>
        <v/>
      </c>
      <c r="H298" s="2">
        <f t="shared" si="149"/>
        <v>1</v>
      </c>
      <c r="I298" s="45" t="str">
        <f>IF(D298&lt;&gt;"",(VLOOKUP(D298,part_details,4,FALSE)+VLOOKUP(D298,part_details,5,FALSE)+VLOOKUP(D298,part_details,6,FALSE))*'Multi-level BOM'!E298,"")</f>
        <v/>
      </c>
      <c r="J298" s="4">
        <f t="shared" ref="J298:S298" si="209">IF($B298="",J297,
    IF(J$3=$B298,$E298,
       IF(J$3&lt;$B298,J297,
           1
)))</f>
        <v>1</v>
      </c>
      <c r="K298" s="4">
        <f t="shared" si="209"/>
        <v>1</v>
      </c>
      <c r="L298" s="4">
        <f t="shared" si="209"/>
        <v>1</v>
      </c>
      <c r="M298" s="4">
        <f t="shared" si="209"/>
        <v>1</v>
      </c>
      <c r="N298" s="4">
        <f t="shared" si="209"/>
        <v>1</v>
      </c>
      <c r="O298" s="4">
        <f t="shared" si="209"/>
        <v>1</v>
      </c>
      <c r="P298" s="4">
        <f t="shared" si="209"/>
        <v>1</v>
      </c>
      <c r="Q298" s="4">
        <f t="shared" si="209"/>
        <v>1</v>
      </c>
      <c r="R298" s="4">
        <f t="shared" si="209"/>
        <v>1</v>
      </c>
      <c r="S298" s="4">
        <f t="shared" si="209"/>
        <v>1</v>
      </c>
      <c r="U298" s="3">
        <f t="shared" si="153"/>
        <v>0</v>
      </c>
      <c r="V298" s="1" t="str">
        <f t="shared" si="154"/>
        <v/>
      </c>
    </row>
    <row r="299" spans="1:22" x14ac:dyDescent="0.25">
      <c r="A299" s="2">
        <v>296</v>
      </c>
      <c r="C299" s="7"/>
      <c r="G299" s="1" t="str">
        <f>IF(D299="","",VLOOKUP(D299,Table1[#All],2,FALSE))</f>
        <v/>
      </c>
      <c r="H299" s="2">
        <f t="shared" si="149"/>
        <v>1</v>
      </c>
      <c r="I299" s="45" t="str">
        <f>IF(D299&lt;&gt;"",(VLOOKUP(D299,part_details,4,FALSE)+VLOOKUP(D299,part_details,5,FALSE)+VLOOKUP(D299,part_details,6,FALSE))*'Multi-level BOM'!E299,"")</f>
        <v/>
      </c>
      <c r="J299" s="4">
        <f t="shared" ref="J299:S299" si="210">IF($B299="",J298,
    IF(J$3=$B299,$E299,
       IF(J$3&lt;$B299,J298,
           1
)))</f>
        <v>1</v>
      </c>
      <c r="K299" s="4">
        <f t="shared" si="210"/>
        <v>1</v>
      </c>
      <c r="L299" s="4">
        <f t="shared" si="210"/>
        <v>1</v>
      </c>
      <c r="M299" s="4">
        <f t="shared" si="210"/>
        <v>1</v>
      </c>
      <c r="N299" s="4">
        <f t="shared" si="210"/>
        <v>1</v>
      </c>
      <c r="O299" s="4">
        <f t="shared" si="210"/>
        <v>1</v>
      </c>
      <c r="P299" s="4">
        <f t="shared" si="210"/>
        <v>1</v>
      </c>
      <c r="Q299" s="4">
        <f t="shared" si="210"/>
        <v>1</v>
      </c>
      <c r="R299" s="4">
        <f t="shared" si="210"/>
        <v>1</v>
      </c>
      <c r="S299" s="4">
        <f t="shared" si="210"/>
        <v>1</v>
      </c>
      <c r="U299" s="3">
        <f t="shared" si="153"/>
        <v>0</v>
      </c>
      <c r="V299" s="1" t="str">
        <f t="shared" si="154"/>
        <v/>
      </c>
    </row>
    <row r="300" spans="1:22" x14ac:dyDescent="0.25">
      <c r="A300" s="2">
        <v>297</v>
      </c>
      <c r="C300" s="7"/>
      <c r="G300" s="1" t="str">
        <f>IF(D300="","",VLOOKUP(D300,Table1[#All],2,FALSE))</f>
        <v/>
      </c>
      <c r="H300" s="2">
        <f t="shared" si="149"/>
        <v>1</v>
      </c>
      <c r="I300" s="45" t="str">
        <f>IF(D300&lt;&gt;"",(VLOOKUP(D300,part_details,4,FALSE)+VLOOKUP(D300,part_details,5,FALSE)+VLOOKUP(D300,part_details,6,FALSE))*'Multi-level BOM'!E300,"")</f>
        <v/>
      </c>
      <c r="J300" s="4">
        <f t="shared" ref="J300:S300" si="211">IF($B300="",J299,
    IF(J$3=$B300,$E300,
       IF(J$3&lt;$B300,J299,
           1
)))</f>
        <v>1</v>
      </c>
      <c r="K300" s="4">
        <f t="shared" si="211"/>
        <v>1</v>
      </c>
      <c r="L300" s="4">
        <f t="shared" si="211"/>
        <v>1</v>
      </c>
      <c r="M300" s="4">
        <f t="shared" si="211"/>
        <v>1</v>
      </c>
      <c r="N300" s="4">
        <f t="shared" si="211"/>
        <v>1</v>
      </c>
      <c r="O300" s="4">
        <f t="shared" si="211"/>
        <v>1</v>
      </c>
      <c r="P300" s="4">
        <f t="shared" si="211"/>
        <v>1</v>
      </c>
      <c r="Q300" s="4">
        <f t="shared" si="211"/>
        <v>1</v>
      </c>
      <c r="R300" s="4">
        <f t="shared" si="211"/>
        <v>1</v>
      </c>
      <c r="S300" s="4">
        <f t="shared" si="211"/>
        <v>1</v>
      </c>
      <c r="U300" s="3">
        <f t="shared" si="153"/>
        <v>0</v>
      </c>
      <c r="V300" s="1" t="str">
        <f t="shared" si="154"/>
        <v/>
      </c>
    </row>
    <row r="301" spans="1:22" x14ac:dyDescent="0.25">
      <c r="A301" s="2">
        <v>298</v>
      </c>
      <c r="C301" s="7"/>
      <c r="G301" s="1" t="str">
        <f>IF(D301="","",VLOOKUP(D301,Table1[#All],2,FALSE))</f>
        <v/>
      </c>
      <c r="H301" s="2">
        <f t="shared" si="149"/>
        <v>1</v>
      </c>
      <c r="I301" s="45" t="str">
        <f>IF(D301&lt;&gt;"",(VLOOKUP(D301,part_details,4,FALSE)+VLOOKUP(D301,part_details,5,FALSE)+VLOOKUP(D301,part_details,6,FALSE))*'Multi-level BOM'!E301,"")</f>
        <v/>
      </c>
      <c r="J301" s="4">
        <f t="shared" ref="J301:S301" si="212">IF($B301="",J300,
    IF(J$3=$B301,$E301,
       IF(J$3&lt;$B301,J300,
           1
)))</f>
        <v>1</v>
      </c>
      <c r="K301" s="4">
        <f t="shared" si="212"/>
        <v>1</v>
      </c>
      <c r="L301" s="4">
        <f t="shared" si="212"/>
        <v>1</v>
      </c>
      <c r="M301" s="4">
        <f t="shared" si="212"/>
        <v>1</v>
      </c>
      <c r="N301" s="4">
        <f t="shared" si="212"/>
        <v>1</v>
      </c>
      <c r="O301" s="4">
        <f t="shared" si="212"/>
        <v>1</v>
      </c>
      <c r="P301" s="4">
        <f t="shared" si="212"/>
        <v>1</v>
      </c>
      <c r="Q301" s="4">
        <f t="shared" si="212"/>
        <v>1</v>
      </c>
      <c r="R301" s="4">
        <f t="shared" si="212"/>
        <v>1</v>
      </c>
      <c r="S301" s="4">
        <f t="shared" si="212"/>
        <v>1</v>
      </c>
      <c r="U301" s="3">
        <f t="shared" si="153"/>
        <v>0</v>
      </c>
      <c r="V301" s="1" t="str">
        <f t="shared" si="154"/>
        <v/>
      </c>
    </row>
    <row r="302" spans="1:22" x14ac:dyDescent="0.25">
      <c r="A302" s="2">
        <v>299</v>
      </c>
      <c r="C302" s="7"/>
      <c r="G302" s="1" t="str">
        <f>IF(D302="","",VLOOKUP(D302,Table1[#All],2,FALSE))</f>
        <v/>
      </c>
      <c r="H302" s="2">
        <f t="shared" si="149"/>
        <v>1</v>
      </c>
      <c r="I302" s="45" t="str">
        <f>IF(D302&lt;&gt;"",(VLOOKUP(D302,part_details,4,FALSE)+VLOOKUP(D302,part_details,5,FALSE)+VLOOKUP(D302,part_details,6,FALSE))*'Multi-level BOM'!E302,"")</f>
        <v/>
      </c>
      <c r="J302" s="4">
        <f t="shared" ref="J302:S302" si="213">IF($B302="",J301,
    IF(J$3=$B302,$E302,
       IF(J$3&lt;$B302,J301,
           1
)))</f>
        <v>1</v>
      </c>
      <c r="K302" s="4">
        <f t="shared" si="213"/>
        <v>1</v>
      </c>
      <c r="L302" s="4">
        <f t="shared" si="213"/>
        <v>1</v>
      </c>
      <c r="M302" s="4">
        <f t="shared" si="213"/>
        <v>1</v>
      </c>
      <c r="N302" s="4">
        <f t="shared" si="213"/>
        <v>1</v>
      </c>
      <c r="O302" s="4">
        <f t="shared" si="213"/>
        <v>1</v>
      </c>
      <c r="P302" s="4">
        <f t="shared" si="213"/>
        <v>1</v>
      </c>
      <c r="Q302" s="4">
        <f t="shared" si="213"/>
        <v>1</v>
      </c>
      <c r="R302" s="4">
        <f t="shared" si="213"/>
        <v>1</v>
      </c>
      <c r="S302" s="4">
        <f t="shared" si="213"/>
        <v>1</v>
      </c>
      <c r="U302" s="3">
        <f t="shared" si="153"/>
        <v>0</v>
      </c>
      <c r="V302" s="1" t="str">
        <f t="shared" si="154"/>
        <v/>
      </c>
    </row>
    <row r="303" spans="1:22" x14ac:dyDescent="0.25">
      <c r="A303" s="2">
        <v>300</v>
      </c>
      <c r="C303" s="7"/>
      <c r="G303" s="1" t="str">
        <f>IF(D303="","",VLOOKUP(D303,Table1[#All],2,FALSE))</f>
        <v/>
      </c>
      <c r="H303" s="2">
        <f t="shared" si="149"/>
        <v>1</v>
      </c>
      <c r="I303" s="45" t="str">
        <f>IF(D303&lt;&gt;"",(VLOOKUP(D303,part_details,4,FALSE)+VLOOKUP(D303,part_details,5,FALSE)+VLOOKUP(D303,part_details,6,FALSE))*'Multi-level BOM'!E303,"")</f>
        <v/>
      </c>
      <c r="J303" s="4">
        <f t="shared" ref="J303:S303" si="214">IF($B303="",J302,
    IF(J$3=$B303,$E303,
       IF(J$3&lt;$B303,J302,
           1
)))</f>
        <v>1</v>
      </c>
      <c r="K303" s="4">
        <f t="shared" si="214"/>
        <v>1</v>
      </c>
      <c r="L303" s="4">
        <f t="shared" si="214"/>
        <v>1</v>
      </c>
      <c r="M303" s="4">
        <f t="shared" si="214"/>
        <v>1</v>
      </c>
      <c r="N303" s="4">
        <f t="shared" si="214"/>
        <v>1</v>
      </c>
      <c r="O303" s="4">
        <f t="shared" si="214"/>
        <v>1</v>
      </c>
      <c r="P303" s="4">
        <f t="shared" si="214"/>
        <v>1</v>
      </c>
      <c r="Q303" s="4">
        <f t="shared" si="214"/>
        <v>1</v>
      </c>
      <c r="R303" s="4">
        <f t="shared" si="214"/>
        <v>1</v>
      </c>
      <c r="S303" s="4">
        <f t="shared" si="214"/>
        <v>1</v>
      </c>
      <c r="U303" s="3">
        <f t="shared" si="153"/>
        <v>0</v>
      </c>
      <c r="V303" s="1" t="str">
        <f t="shared" si="154"/>
        <v/>
      </c>
    </row>
    <row r="304" spans="1:22" x14ac:dyDescent="0.25">
      <c r="A304" s="2">
        <v>301</v>
      </c>
      <c r="C304" s="7"/>
      <c r="G304" s="1" t="str">
        <f>IF(D304="","",VLOOKUP(D304,Table1[#All],2,FALSE))</f>
        <v/>
      </c>
      <c r="H304" s="2">
        <f t="shared" si="149"/>
        <v>1</v>
      </c>
      <c r="I304" s="45" t="str">
        <f>IF(D304&lt;&gt;"",(VLOOKUP(D304,part_details,4,FALSE)+VLOOKUP(D304,part_details,5,FALSE)+VLOOKUP(D304,part_details,6,FALSE))*'Multi-level BOM'!E304,"")</f>
        <v/>
      </c>
      <c r="J304" s="4">
        <f t="shared" ref="J304:S304" si="215">IF($B304="",J303,
    IF(J$3=$B304,$E304,
       IF(J$3&lt;$B304,J303,
           1
)))</f>
        <v>1</v>
      </c>
      <c r="K304" s="4">
        <f t="shared" si="215"/>
        <v>1</v>
      </c>
      <c r="L304" s="4">
        <f t="shared" si="215"/>
        <v>1</v>
      </c>
      <c r="M304" s="4">
        <f t="shared" si="215"/>
        <v>1</v>
      </c>
      <c r="N304" s="4">
        <f t="shared" si="215"/>
        <v>1</v>
      </c>
      <c r="O304" s="4">
        <f t="shared" si="215"/>
        <v>1</v>
      </c>
      <c r="P304" s="4">
        <f t="shared" si="215"/>
        <v>1</v>
      </c>
      <c r="Q304" s="4">
        <f t="shared" si="215"/>
        <v>1</v>
      </c>
      <c r="R304" s="4">
        <f t="shared" si="215"/>
        <v>1</v>
      </c>
      <c r="S304" s="4">
        <f t="shared" si="215"/>
        <v>1</v>
      </c>
      <c r="U304" s="3">
        <f t="shared" si="153"/>
        <v>0</v>
      </c>
      <c r="V304" s="1" t="str">
        <f t="shared" si="154"/>
        <v/>
      </c>
    </row>
    <row r="305" spans="1:22" x14ac:dyDescent="0.25">
      <c r="A305" s="2">
        <v>302</v>
      </c>
      <c r="C305" s="7"/>
      <c r="G305" s="1" t="str">
        <f>IF(D305="","",VLOOKUP(D305,Table1[#All],2,FALSE))</f>
        <v/>
      </c>
      <c r="H305" s="2">
        <f t="shared" ref="H305:H368" si="216">PRODUCT(J305:S305)</f>
        <v>1</v>
      </c>
      <c r="I305" s="45" t="str">
        <f>IF(D305&lt;&gt;"",(VLOOKUP(D305,part_details,4,FALSE)+VLOOKUP(D305,part_details,5,FALSE)+VLOOKUP(D305,part_details,6,FALSE))*'Multi-level BOM'!E305,"")</f>
        <v/>
      </c>
      <c r="J305" s="4">
        <f t="shared" ref="J305:S305" si="217">IF($B305="",J304,
    IF(J$3=$B305,$E305,
       IF(J$3&lt;$B305,J304,
           1
)))</f>
        <v>1</v>
      </c>
      <c r="K305" s="4">
        <f t="shared" si="217"/>
        <v>1</v>
      </c>
      <c r="L305" s="4">
        <f t="shared" si="217"/>
        <v>1</v>
      </c>
      <c r="M305" s="4">
        <f t="shared" si="217"/>
        <v>1</v>
      </c>
      <c r="N305" s="4">
        <f t="shared" si="217"/>
        <v>1</v>
      </c>
      <c r="O305" s="4">
        <f t="shared" si="217"/>
        <v>1</v>
      </c>
      <c r="P305" s="4">
        <f t="shared" si="217"/>
        <v>1</v>
      </c>
      <c r="Q305" s="4">
        <f t="shared" si="217"/>
        <v>1</v>
      </c>
      <c r="R305" s="4">
        <f t="shared" si="217"/>
        <v>1</v>
      </c>
      <c r="S305" s="4">
        <f t="shared" si="217"/>
        <v>1</v>
      </c>
      <c r="U305" s="3">
        <f t="shared" si="153"/>
        <v>0</v>
      </c>
      <c r="V305" s="1" t="str">
        <f t="shared" si="154"/>
        <v/>
      </c>
    </row>
    <row r="306" spans="1:22" x14ac:dyDescent="0.25">
      <c r="A306" s="2">
        <v>303</v>
      </c>
      <c r="C306" s="7"/>
      <c r="G306" s="1" t="str">
        <f>IF(D306="","",VLOOKUP(D306,Table1[#All],2,FALSE))</f>
        <v/>
      </c>
      <c r="H306" s="2">
        <f t="shared" si="216"/>
        <v>1</v>
      </c>
      <c r="I306" s="45" t="str">
        <f>IF(D306&lt;&gt;"",(VLOOKUP(D306,part_details,4,FALSE)+VLOOKUP(D306,part_details,5,FALSE)+VLOOKUP(D306,part_details,6,FALSE))*'Multi-level BOM'!E306,"")</f>
        <v/>
      </c>
      <c r="J306" s="4">
        <f t="shared" ref="J306:S306" si="218">IF($B306="",J305,
    IF(J$3=$B306,$E306,
       IF(J$3&lt;$B306,J305,
           1
)))</f>
        <v>1</v>
      </c>
      <c r="K306" s="4">
        <f t="shared" si="218"/>
        <v>1</v>
      </c>
      <c r="L306" s="4">
        <f t="shared" si="218"/>
        <v>1</v>
      </c>
      <c r="M306" s="4">
        <f t="shared" si="218"/>
        <v>1</v>
      </c>
      <c r="N306" s="4">
        <f t="shared" si="218"/>
        <v>1</v>
      </c>
      <c r="O306" s="4">
        <f t="shared" si="218"/>
        <v>1</v>
      </c>
      <c r="P306" s="4">
        <f t="shared" si="218"/>
        <v>1</v>
      </c>
      <c r="Q306" s="4">
        <f t="shared" si="218"/>
        <v>1</v>
      </c>
      <c r="R306" s="4">
        <f t="shared" si="218"/>
        <v>1</v>
      </c>
      <c r="S306" s="4">
        <f t="shared" si="218"/>
        <v>1</v>
      </c>
      <c r="U306" s="3">
        <f t="shared" si="153"/>
        <v>0</v>
      </c>
      <c r="V306" s="1" t="str">
        <f t="shared" si="154"/>
        <v/>
      </c>
    </row>
    <row r="307" spans="1:22" x14ac:dyDescent="0.25">
      <c r="A307" s="2">
        <v>304</v>
      </c>
      <c r="C307" s="7"/>
      <c r="G307" s="1" t="str">
        <f>IF(D307="","",VLOOKUP(D307,Table1[#All],2,FALSE))</f>
        <v/>
      </c>
      <c r="H307" s="2">
        <f t="shared" si="216"/>
        <v>1</v>
      </c>
      <c r="I307" s="45" t="str">
        <f>IF(D307&lt;&gt;"",(VLOOKUP(D307,part_details,4,FALSE)+VLOOKUP(D307,part_details,5,FALSE)+VLOOKUP(D307,part_details,6,FALSE))*'Multi-level BOM'!E307,"")</f>
        <v/>
      </c>
      <c r="J307" s="4">
        <f t="shared" ref="J307:S307" si="219">IF($B307="",J306,
    IF(J$3=$B307,$E307,
       IF(J$3&lt;$B307,J306,
           1
)))</f>
        <v>1</v>
      </c>
      <c r="K307" s="4">
        <f t="shared" si="219"/>
        <v>1</v>
      </c>
      <c r="L307" s="4">
        <f t="shared" si="219"/>
        <v>1</v>
      </c>
      <c r="M307" s="4">
        <f t="shared" si="219"/>
        <v>1</v>
      </c>
      <c r="N307" s="4">
        <f t="shared" si="219"/>
        <v>1</v>
      </c>
      <c r="O307" s="4">
        <f t="shared" si="219"/>
        <v>1</v>
      </c>
      <c r="P307" s="4">
        <f t="shared" si="219"/>
        <v>1</v>
      </c>
      <c r="Q307" s="4">
        <f t="shared" si="219"/>
        <v>1</v>
      </c>
      <c r="R307" s="4">
        <f t="shared" si="219"/>
        <v>1</v>
      </c>
      <c r="S307" s="4">
        <f t="shared" si="219"/>
        <v>1</v>
      </c>
      <c r="U307" s="3">
        <f t="shared" ref="U307:U370" si="220">IF(F307="x",I307,0)</f>
        <v>0</v>
      </c>
      <c r="V307" s="1" t="str">
        <f t="shared" ref="V307:V370" si="221">IF(F307="x",D307,"")</f>
        <v/>
      </c>
    </row>
    <row r="308" spans="1:22" x14ac:dyDescent="0.25">
      <c r="A308" s="2">
        <v>305</v>
      </c>
      <c r="C308" s="7"/>
      <c r="G308" s="1" t="str">
        <f>IF(D308="","",VLOOKUP(D308,Table1[#All],2,FALSE))</f>
        <v/>
      </c>
      <c r="H308" s="2">
        <f t="shared" si="216"/>
        <v>1</v>
      </c>
      <c r="I308" s="45" t="str">
        <f>IF(D308&lt;&gt;"",(VLOOKUP(D308,part_details,4,FALSE)+VLOOKUP(D308,part_details,5,FALSE)+VLOOKUP(D308,part_details,6,FALSE))*'Multi-level BOM'!E308,"")</f>
        <v/>
      </c>
      <c r="J308" s="4">
        <f t="shared" ref="J308:S308" si="222">IF($B308="",J307,
    IF(J$3=$B308,$E308,
       IF(J$3&lt;$B308,J307,
           1
)))</f>
        <v>1</v>
      </c>
      <c r="K308" s="4">
        <f t="shared" si="222"/>
        <v>1</v>
      </c>
      <c r="L308" s="4">
        <f t="shared" si="222"/>
        <v>1</v>
      </c>
      <c r="M308" s="4">
        <f t="shared" si="222"/>
        <v>1</v>
      </c>
      <c r="N308" s="4">
        <f t="shared" si="222"/>
        <v>1</v>
      </c>
      <c r="O308" s="4">
        <f t="shared" si="222"/>
        <v>1</v>
      </c>
      <c r="P308" s="4">
        <f t="shared" si="222"/>
        <v>1</v>
      </c>
      <c r="Q308" s="4">
        <f t="shared" si="222"/>
        <v>1</v>
      </c>
      <c r="R308" s="4">
        <f t="shared" si="222"/>
        <v>1</v>
      </c>
      <c r="S308" s="4">
        <f t="shared" si="222"/>
        <v>1</v>
      </c>
      <c r="U308" s="3">
        <f t="shared" si="220"/>
        <v>0</v>
      </c>
      <c r="V308" s="1" t="str">
        <f t="shared" si="221"/>
        <v/>
      </c>
    </row>
    <row r="309" spans="1:22" x14ac:dyDescent="0.25">
      <c r="A309" s="2">
        <v>306</v>
      </c>
      <c r="C309" s="7"/>
      <c r="G309" s="1" t="str">
        <f>IF(D309="","",VLOOKUP(D309,Table1[#All],2,FALSE))</f>
        <v/>
      </c>
      <c r="H309" s="2">
        <f t="shared" si="216"/>
        <v>1</v>
      </c>
      <c r="I309" s="45" t="str">
        <f>IF(D309&lt;&gt;"",(VLOOKUP(D309,part_details,4,FALSE)+VLOOKUP(D309,part_details,5,FALSE)+VLOOKUP(D309,part_details,6,FALSE))*'Multi-level BOM'!E309,"")</f>
        <v/>
      </c>
      <c r="J309" s="4">
        <f t="shared" ref="J309:S309" si="223">IF($B309="",J308,
    IF(J$3=$B309,$E309,
       IF(J$3&lt;$B309,J308,
           1
)))</f>
        <v>1</v>
      </c>
      <c r="K309" s="4">
        <f t="shared" si="223"/>
        <v>1</v>
      </c>
      <c r="L309" s="4">
        <f t="shared" si="223"/>
        <v>1</v>
      </c>
      <c r="M309" s="4">
        <f t="shared" si="223"/>
        <v>1</v>
      </c>
      <c r="N309" s="4">
        <f t="shared" si="223"/>
        <v>1</v>
      </c>
      <c r="O309" s="4">
        <f t="shared" si="223"/>
        <v>1</v>
      </c>
      <c r="P309" s="4">
        <f t="shared" si="223"/>
        <v>1</v>
      </c>
      <c r="Q309" s="4">
        <f t="shared" si="223"/>
        <v>1</v>
      </c>
      <c r="R309" s="4">
        <f t="shared" si="223"/>
        <v>1</v>
      </c>
      <c r="S309" s="4">
        <f t="shared" si="223"/>
        <v>1</v>
      </c>
      <c r="U309" s="3">
        <f t="shared" si="220"/>
        <v>0</v>
      </c>
      <c r="V309" s="1" t="str">
        <f t="shared" si="221"/>
        <v/>
      </c>
    </row>
    <row r="310" spans="1:22" x14ac:dyDescent="0.25">
      <c r="A310" s="2">
        <v>307</v>
      </c>
      <c r="C310" s="7"/>
      <c r="G310" s="1" t="str">
        <f>IF(D310="","",VLOOKUP(D310,Table1[#All],2,FALSE))</f>
        <v/>
      </c>
      <c r="H310" s="2">
        <f t="shared" si="216"/>
        <v>1</v>
      </c>
      <c r="I310" s="45" t="str">
        <f>IF(D310&lt;&gt;"",(VLOOKUP(D310,part_details,4,FALSE)+VLOOKUP(D310,part_details,5,FALSE)+VLOOKUP(D310,part_details,6,FALSE))*'Multi-level BOM'!E310,"")</f>
        <v/>
      </c>
      <c r="J310" s="4">
        <f t="shared" ref="J310:S310" si="224">IF($B310="",J309,
    IF(J$3=$B310,$E310,
       IF(J$3&lt;$B310,J309,
           1
)))</f>
        <v>1</v>
      </c>
      <c r="K310" s="4">
        <f t="shared" si="224"/>
        <v>1</v>
      </c>
      <c r="L310" s="4">
        <f t="shared" si="224"/>
        <v>1</v>
      </c>
      <c r="M310" s="4">
        <f t="shared" si="224"/>
        <v>1</v>
      </c>
      <c r="N310" s="4">
        <f t="shared" si="224"/>
        <v>1</v>
      </c>
      <c r="O310" s="4">
        <f t="shared" si="224"/>
        <v>1</v>
      </c>
      <c r="P310" s="4">
        <f t="shared" si="224"/>
        <v>1</v>
      </c>
      <c r="Q310" s="4">
        <f t="shared" si="224"/>
        <v>1</v>
      </c>
      <c r="R310" s="4">
        <f t="shared" si="224"/>
        <v>1</v>
      </c>
      <c r="S310" s="4">
        <f t="shared" si="224"/>
        <v>1</v>
      </c>
      <c r="U310" s="3">
        <f t="shared" si="220"/>
        <v>0</v>
      </c>
      <c r="V310" s="1" t="str">
        <f t="shared" si="221"/>
        <v/>
      </c>
    </row>
    <row r="311" spans="1:22" x14ac:dyDescent="0.25">
      <c r="A311" s="2">
        <v>308</v>
      </c>
      <c r="C311" s="7"/>
      <c r="G311" s="1" t="str">
        <f>IF(D311="","",VLOOKUP(D311,Table1[#All],2,FALSE))</f>
        <v/>
      </c>
      <c r="H311" s="2">
        <f t="shared" si="216"/>
        <v>1</v>
      </c>
      <c r="I311" s="45" t="str">
        <f>IF(D311&lt;&gt;"",(VLOOKUP(D311,part_details,4,FALSE)+VLOOKUP(D311,part_details,5,FALSE)+VLOOKUP(D311,part_details,6,FALSE))*'Multi-level BOM'!E311,"")</f>
        <v/>
      </c>
      <c r="J311" s="4">
        <f t="shared" ref="J311:S311" si="225">IF($B311="",J310,
    IF(J$3=$B311,$E311,
       IF(J$3&lt;$B311,J310,
           1
)))</f>
        <v>1</v>
      </c>
      <c r="K311" s="4">
        <f t="shared" si="225"/>
        <v>1</v>
      </c>
      <c r="L311" s="4">
        <f t="shared" si="225"/>
        <v>1</v>
      </c>
      <c r="M311" s="4">
        <f t="shared" si="225"/>
        <v>1</v>
      </c>
      <c r="N311" s="4">
        <f t="shared" si="225"/>
        <v>1</v>
      </c>
      <c r="O311" s="4">
        <f t="shared" si="225"/>
        <v>1</v>
      </c>
      <c r="P311" s="4">
        <f t="shared" si="225"/>
        <v>1</v>
      </c>
      <c r="Q311" s="4">
        <f t="shared" si="225"/>
        <v>1</v>
      </c>
      <c r="R311" s="4">
        <f t="shared" si="225"/>
        <v>1</v>
      </c>
      <c r="S311" s="4">
        <f t="shared" si="225"/>
        <v>1</v>
      </c>
      <c r="U311" s="3">
        <f t="shared" si="220"/>
        <v>0</v>
      </c>
      <c r="V311" s="1" t="str">
        <f t="shared" si="221"/>
        <v/>
      </c>
    </row>
    <row r="312" spans="1:22" x14ac:dyDescent="0.25">
      <c r="A312" s="2">
        <v>309</v>
      </c>
      <c r="C312" s="7"/>
      <c r="G312" s="1" t="str">
        <f>IF(D312="","",VLOOKUP(D312,Table1[#All],2,FALSE))</f>
        <v/>
      </c>
      <c r="H312" s="2">
        <f t="shared" si="216"/>
        <v>1</v>
      </c>
      <c r="I312" s="45" t="str">
        <f>IF(D312&lt;&gt;"",(VLOOKUP(D312,part_details,4,FALSE)+VLOOKUP(D312,part_details,5,FALSE)+VLOOKUP(D312,part_details,6,FALSE))*'Multi-level BOM'!E312,"")</f>
        <v/>
      </c>
      <c r="J312" s="4">
        <f t="shared" ref="J312:S312" si="226">IF($B312="",J311,
    IF(J$3=$B312,$E312,
       IF(J$3&lt;$B312,J311,
           1
)))</f>
        <v>1</v>
      </c>
      <c r="K312" s="4">
        <f t="shared" si="226"/>
        <v>1</v>
      </c>
      <c r="L312" s="4">
        <f t="shared" si="226"/>
        <v>1</v>
      </c>
      <c r="M312" s="4">
        <f t="shared" si="226"/>
        <v>1</v>
      </c>
      <c r="N312" s="4">
        <f t="shared" si="226"/>
        <v>1</v>
      </c>
      <c r="O312" s="4">
        <f t="shared" si="226"/>
        <v>1</v>
      </c>
      <c r="P312" s="4">
        <f t="shared" si="226"/>
        <v>1</v>
      </c>
      <c r="Q312" s="4">
        <f t="shared" si="226"/>
        <v>1</v>
      </c>
      <c r="R312" s="4">
        <f t="shared" si="226"/>
        <v>1</v>
      </c>
      <c r="S312" s="4">
        <f t="shared" si="226"/>
        <v>1</v>
      </c>
      <c r="U312" s="3">
        <f t="shared" si="220"/>
        <v>0</v>
      </c>
      <c r="V312" s="1" t="str">
        <f t="shared" si="221"/>
        <v/>
      </c>
    </row>
    <row r="313" spans="1:22" x14ac:dyDescent="0.25">
      <c r="A313" s="2">
        <v>310</v>
      </c>
      <c r="C313" s="7"/>
      <c r="G313" s="1" t="str">
        <f>IF(D313="","",VLOOKUP(D313,Table1[#All],2,FALSE))</f>
        <v/>
      </c>
      <c r="H313" s="2">
        <f t="shared" si="216"/>
        <v>1</v>
      </c>
      <c r="I313" s="45" t="str">
        <f>IF(D313&lt;&gt;"",(VLOOKUP(D313,part_details,4,FALSE)+VLOOKUP(D313,part_details,5,FALSE)+VLOOKUP(D313,part_details,6,FALSE))*'Multi-level BOM'!E313,"")</f>
        <v/>
      </c>
      <c r="J313" s="4">
        <f t="shared" ref="J313:S313" si="227">IF($B313="",J312,
    IF(J$3=$B313,$E313,
       IF(J$3&lt;$B313,J312,
           1
)))</f>
        <v>1</v>
      </c>
      <c r="K313" s="4">
        <f t="shared" si="227"/>
        <v>1</v>
      </c>
      <c r="L313" s="4">
        <f t="shared" si="227"/>
        <v>1</v>
      </c>
      <c r="M313" s="4">
        <f t="shared" si="227"/>
        <v>1</v>
      </c>
      <c r="N313" s="4">
        <f t="shared" si="227"/>
        <v>1</v>
      </c>
      <c r="O313" s="4">
        <f t="shared" si="227"/>
        <v>1</v>
      </c>
      <c r="P313" s="4">
        <f t="shared" si="227"/>
        <v>1</v>
      </c>
      <c r="Q313" s="4">
        <f t="shared" si="227"/>
        <v>1</v>
      </c>
      <c r="R313" s="4">
        <f t="shared" si="227"/>
        <v>1</v>
      </c>
      <c r="S313" s="4">
        <f t="shared" si="227"/>
        <v>1</v>
      </c>
      <c r="U313" s="3">
        <f t="shared" si="220"/>
        <v>0</v>
      </c>
      <c r="V313" s="1" t="str">
        <f t="shared" si="221"/>
        <v/>
      </c>
    </row>
    <row r="314" spans="1:22" x14ac:dyDescent="0.25">
      <c r="A314" s="2">
        <v>311</v>
      </c>
      <c r="C314" s="7"/>
      <c r="G314" s="1" t="str">
        <f>IF(D314="","",VLOOKUP(D314,Table1[#All],2,FALSE))</f>
        <v/>
      </c>
      <c r="H314" s="2">
        <f t="shared" si="216"/>
        <v>1</v>
      </c>
      <c r="I314" s="45" t="str">
        <f>IF(D314&lt;&gt;"",(VLOOKUP(D314,part_details,4,FALSE)+VLOOKUP(D314,part_details,5,FALSE)+VLOOKUP(D314,part_details,6,FALSE))*'Multi-level BOM'!E314,"")</f>
        <v/>
      </c>
      <c r="J314" s="4">
        <f t="shared" ref="J314:S314" si="228">IF($B314="",J313,
    IF(J$3=$B314,$E314,
       IF(J$3&lt;$B314,J313,
           1
)))</f>
        <v>1</v>
      </c>
      <c r="K314" s="4">
        <f t="shared" si="228"/>
        <v>1</v>
      </c>
      <c r="L314" s="4">
        <f t="shared" si="228"/>
        <v>1</v>
      </c>
      <c r="M314" s="4">
        <f t="shared" si="228"/>
        <v>1</v>
      </c>
      <c r="N314" s="4">
        <f t="shared" si="228"/>
        <v>1</v>
      </c>
      <c r="O314" s="4">
        <f t="shared" si="228"/>
        <v>1</v>
      </c>
      <c r="P314" s="4">
        <f t="shared" si="228"/>
        <v>1</v>
      </c>
      <c r="Q314" s="4">
        <f t="shared" si="228"/>
        <v>1</v>
      </c>
      <c r="R314" s="4">
        <f t="shared" si="228"/>
        <v>1</v>
      </c>
      <c r="S314" s="4">
        <f t="shared" si="228"/>
        <v>1</v>
      </c>
      <c r="U314" s="3">
        <f t="shared" si="220"/>
        <v>0</v>
      </c>
      <c r="V314" s="1" t="str">
        <f t="shared" si="221"/>
        <v/>
      </c>
    </row>
    <row r="315" spans="1:22" x14ac:dyDescent="0.25">
      <c r="A315" s="2">
        <v>312</v>
      </c>
      <c r="C315" s="7"/>
      <c r="G315" s="1" t="str">
        <f>IF(D315="","",VLOOKUP(D315,Table1[#All],2,FALSE))</f>
        <v/>
      </c>
      <c r="H315" s="2">
        <f t="shared" si="216"/>
        <v>1</v>
      </c>
      <c r="I315" s="45" t="str">
        <f>IF(D315&lt;&gt;"",(VLOOKUP(D315,part_details,4,FALSE)+VLOOKUP(D315,part_details,5,FALSE)+VLOOKUP(D315,part_details,6,FALSE))*'Multi-level BOM'!E315,"")</f>
        <v/>
      </c>
      <c r="J315" s="4">
        <f t="shared" ref="J315:S315" si="229">IF($B315="",J314,
    IF(J$3=$B315,$E315,
       IF(J$3&lt;$B315,J314,
           1
)))</f>
        <v>1</v>
      </c>
      <c r="K315" s="4">
        <f t="shared" si="229"/>
        <v>1</v>
      </c>
      <c r="L315" s="4">
        <f t="shared" si="229"/>
        <v>1</v>
      </c>
      <c r="M315" s="4">
        <f t="shared" si="229"/>
        <v>1</v>
      </c>
      <c r="N315" s="4">
        <f t="shared" si="229"/>
        <v>1</v>
      </c>
      <c r="O315" s="4">
        <f t="shared" si="229"/>
        <v>1</v>
      </c>
      <c r="P315" s="4">
        <f t="shared" si="229"/>
        <v>1</v>
      </c>
      <c r="Q315" s="4">
        <f t="shared" si="229"/>
        <v>1</v>
      </c>
      <c r="R315" s="4">
        <f t="shared" si="229"/>
        <v>1</v>
      </c>
      <c r="S315" s="4">
        <f t="shared" si="229"/>
        <v>1</v>
      </c>
      <c r="U315" s="3">
        <f t="shared" si="220"/>
        <v>0</v>
      </c>
      <c r="V315" s="1" t="str">
        <f t="shared" si="221"/>
        <v/>
      </c>
    </row>
    <row r="316" spans="1:22" x14ac:dyDescent="0.25">
      <c r="A316" s="2">
        <v>313</v>
      </c>
      <c r="C316" s="7"/>
      <c r="G316" s="1" t="str">
        <f>IF(D316="","",VLOOKUP(D316,Table1[#All],2,FALSE))</f>
        <v/>
      </c>
      <c r="H316" s="2">
        <f t="shared" si="216"/>
        <v>1</v>
      </c>
      <c r="I316" s="45" t="str">
        <f>IF(D316&lt;&gt;"",(VLOOKUP(D316,part_details,4,FALSE)+VLOOKUP(D316,part_details,5,FALSE)+VLOOKUP(D316,part_details,6,FALSE))*'Multi-level BOM'!E316,"")</f>
        <v/>
      </c>
      <c r="J316" s="4">
        <f t="shared" ref="J316:S316" si="230">IF($B316="",J315,
    IF(J$3=$B316,$E316,
       IF(J$3&lt;$B316,J315,
           1
)))</f>
        <v>1</v>
      </c>
      <c r="K316" s="4">
        <f t="shared" si="230"/>
        <v>1</v>
      </c>
      <c r="L316" s="4">
        <f t="shared" si="230"/>
        <v>1</v>
      </c>
      <c r="M316" s="4">
        <f t="shared" si="230"/>
        <v>1</v>
      </c>
      <c r="N316" s="4">
        <f t="shared" si="230"/>
        <v>1</v>
      </c>
      <c r="O316" s="4">
        <f t="shared" si="230"/>
        <v>1</v>
      </c>
      <c r="P316" s="4">
        <f t="shared" si="230"/>
        <v>1</v>
      </c>
      <c r="Q316" s="4">
        <f t="shared" si="230"/>
        <v>1</v>
      </c>
      <c r="R316" s="4">
        <f t="shared" si="230"/>
        <v>1</v>
      </c>
      <c r="S316" s="4">
        <f t="shared" si="230"/>
        <v>1</v>
      </c>
      <c r="U316" s="3">
        <f t="shared" si="220"/>
        <v>0</v>
      </c>
      <c r="V316" s="1" t="str">
        <f t="shared" si="221"/>
        <v/>
      </c>
    </row>
    <row r="317" spans="1:22" x14ac:dyDescent="0.25">
      <c r="A317" s="2">
        <v>314</v>
      </c>
      <c r="C317" s="7"/>
      <c r="G317" s="1" t="str">
        <f>IF(D317="","",VLOOKUP(D317,Table1[#All],2,FALSE))</f>
        <v/>
      </c>
      <c r="H317" s="2">
        <f t="shared" si="216"/>
        <v>1</v>
      </c>
      <c r="I317" s="45" t="str">
        <f>IF(D317&lt;&gt;"",(VLOOKUP(D317,part_details,4,FALSE)+VLOOKUP(D317,part_details,5,FALSE)+VLOOKUP(D317,part_details,6,FALSE))*'Multi-level BOM'!E317,"")</f>
        <v/>
      </c>
      <c r="J317" s="4">
        <f t="shared" ref="J317:S317" si="231">IF($B317="",J316,
    IF(J$3=$B317,$E317,
       IF(J$3&lt;$B317,J316,
           1
)))</f>
        <v>1</v>
      </c>
      <c r="K317" s="4">
        <f t="shared" si="231"/>
        <v>1</v>
      </c>
      <c r="L317" s="4">
        <f t="shared" si="231"/>
        <v>1</v>
      </c>
      <c r="M317" s="4">
        <f t="shared" si="231"/>
        <v>1</v>
      </c>
      <c r="N317" s="4">
        <f t="shared" si="231"/>
        <v>1</v>
      </c>
      <c r="O317" s="4">
        <f t="shared" si="231"/>
        <v>1</v>
      </c>
      <c r="P317" s="4">
        <f t="shared" si="231"/>
        <v>1</v>
      </c>
      <c r="Q317" s="4">
        <f t="shared" si="231"/>
        <v>1</v>
      </c>
      <c r="R317" s="4">
        <f t="shared" si="231"/>
        <v>1</v>
      </c>
      <c r="S317" s="4">
        <f t="shared" si="231"/>
        <v>1</v>
      </c>
      <c r="U317" s="3">
        <f t="shared" si="220"/>
        <v>0</v>
      </c>
      <c r="V317" s="1" t="str">
        <f t="shared" si="221"/>
        <v/>
      </c>
    </row>
    <row r="318" spans="1:22" x14ac:dyDescent="0.25">
      <c r="A318" s="2">
        <v>315</v>
      </c>
      <c r="C318" s="7"/>
      <c r="G318" s="1" t="str">
        <f>IF(D318="","",VLOOKUP(D318,Table1[#All],2,FALSE))</f>
        <v/>
      </c>
      <c r="H318" s="2">
        <f t="shared" si="216"/>
        <v>1</v>
      </c>
      <c r="I318" s="45" t="str">
        <f>IF(D318&lt;&gt;"",(VLOOKUP(D318,part_details,4,FALSE)+VLOOKUP(D318,part_details,5,FALSE)+VLOOKUP(D318,part_details,6,FALSE))*'Multi-level BOM'!E318,"")</f>
        <v/>
      </c>
      <c r="J318" s="4">
        <f t="shared" ref="J318:S318" si="232">IF($B318="",J317,
    IF(J$3=$B318,$E318,
       IF(J$3&lt;$B318,J317,
           1
)))</f>
        <v>1</v>
      </c>
      <c r="K318" s="4">
        <f t="shared" si="232"/>
        <v>1</v>
      </c>
      <c r="L318" s="4">
        <f t="shared" si="232"/>
        <v>1</v>
      </c>
      <c r="M318" s="4">
        <f t="shared" si="232"/>
        <v>1</v>
      </c>
      <c r="N318" s="4">
        <f t="shared" si="232"/>
        <v>1</v>
      </c>
      <c r="O318" s="4">
        <f t="shared" si="232"/>
        <v>1</v>
      </c>
      <c r="P318" s="4">
        <f t="shared" si="232"/>
        <v>1</v>
      </c>
      <c r="Q318" s="4">
        <f t="shared" si="232"/>
        <v>1</v>
      </c>
      <c r="R318" s="4">
        <f t="shared" si="232"/>
        <v>1</v>
      </c>
      <c r="S318" s="4">
        <f t="shared" si="232"/>
        <v>1</v>
      </c>
      <c r="U318" s="3">
        <f t="shared" si="220"/>
        <v>0</v>
      </c>
      <c r="V318" s="1" t="str">
        <f t="shared" si="221"/>
        <v/>
      </c>
    </row>
    <row r="319" spans="1:22" x14ac:dyDescent="0.25">
      <c r="A319" s="2">
        <v>316</v>
      </c>
      <c r="C319" s="7"/>
      <c r="G319" s="1" t="str">
        <f>IF(D319="","",VLOOKUP(D319,Table1[#All],2,FALSE))</f>
        <v/>
      </c>
      <c r="H319" s="2">
        <f t="shared" si="216"/>
        <v>1</v>
      </c>
      <c r="I319" s="45" t="str">
        <f>IF(D319&lt;&gt;"",(VLOOKUP(D319,part_details,4,FALSE)+VLOOKUP(D319,part_details,5,FALSE)+VLOOKUP(D319,part_details,6,FALSE))*'Multi-level BOM'!E319,"")</f>
        <v/>
      </c>
      <c r="J319" s="4">
        <f t="shared" ref="J319:S319" si="233">IF($B319="",J318,
    IF(J$3=$B319,$E319,
       IF(J$3&lt;$B319,J318,
           1
)))</f>
        <v>1</v>
      </c>
      <c r="K319" s="4">
        <f t="shared" si="233"/>
        <v>1</v>
      </c>
      <c r="L319" s="4">
        <f t="shared" si="233"/>
        <v>1</v>
      </c>
      <c r="M319" s="4">
        <f t="shared" si="233"/>
        <v>1</v>
      </c>
      <c r="N319" s="4">
        <f t="shared" si="233"/>
        <v>1</v>
      </c>
      <c r="O319" s="4">
        <f t="shared" si="233"/>
        <v>1</v>
      </c>
      <c r="P319" s="4">
        <f t="shared" si="233"/>
        <v>1</v>
      </c>
      <c r="Q319" s="4">
        <f t="shared" si="233"/>
        <v>1</v>
      </c>
      <c r="R319" s="4">
        <f t="shared" si="233"/>
        <v>1</v>
      </c>
      <c r="S319" s="4">
        <f t="shared" si="233"/>
        <v>1</v>
      </c>
      <c r="U319" s="3">
        <f t="shared" si="220"/>
        <v>0</v>
      </c>
      <c r="V319" s="1" t="str">
        <f t="shared" si="221"/>
        <v/>
      </c>
    </row>
    <row r="320" spans="1:22" x14ac:dyDescent="0.25">
      <c r="A320" s="2">
        <v>317</v>
      </c>
      <c r="C320" s="7"/>
      <c r="G320" s="1" t="str">
        <f>IF(D320="","",VLOOKUP(D320,Table1[#All],2,FALSE))</f>
        <v/>
      </c>
      <c r="H320" s="2">
        <f t="shared" si="216"/>
        <v>1</v>
      </c>
      <c r="I320" s="45" t="str">
        <f>IF(D320&lt;&gt;"",(VLOOKUP(D320,part_details,4,FALSE)+VLOOKUP(D320,part_details,5,FALSE)+VLOOKUP(D320,part_details,6,FALSE))*'Multi-level BOM'!E320,"")</f>
        <v/>
      </c>
      <c r="J320" s="4">
        <f t="shared" ref="J320:S320" si="234">IF($B320="",J319,
    IF(J$3=$B320,$E320,
       IF(J$3&lt;$B320,J319,
           1
)))</f>
        <v>1</v>
      </c>
      <c r="K320" s="4">
        <f t="shared" si="234"/>
        <v>1</v>
      </c>
      <c r="L320" s="4">
        <f t="shared" si="234"/>
        <v>1</v>
      </c>
      <c r="M320" s="4">
        <f t="shared" si="234"/>
        <v>1</v>
      </c>
      <c r="N320" s="4">
        <f t="shared" si="234"/>
        <v>1</v>
      </c>
      <c r="O320" s="4">
        <f t="shared" si="234"/>
        <v>1</v>
      </c>
      <c r="P320" s="4">
        <f t="shared" si="234"/>
        <v>1</v>
      </c>
      <c r="Q320" s="4">
        <f t="shared" si="234"/>
        <v>1</v>
      </c>
      <c r="R320" s="4">
        <f t="shared" si="234"/>
        <v>1</v>
      </c>
      <c r="S320" s="4">
        <f t="shared" si="234"/>
        <v>1</v>
      </c>
      <c r="U320" s="3">
        <f t="shared" si="220"/>
        <v>0</v>
      </c>
      <c r="V320" s="1" t="str">
        <f t="shared" si="221"/>
        <v/>
      </c>
    </row>
    <row r="321" spans="1:22" x14ac:dyDescent="0.25">
      <c r="A321" s="2">
        <v>318</v>
      </c>
      <c r="C321" s="7"/>
      <c r="G321" s="1" t="str">
        <f>IF(D321="","",VLOOKUP(D321,Table1[#All],2,FALSE))</f>
        <v/>
      </c>
      <c r="H321" s="2">
        <f t="shared" si="216"/>
        <v>1</v>
      </c>
      <c r="I321" s="45" t="str">
        <f>IF(D321&lt;&gt;"",(VLOOKUP(D321,part_details,4,FALSE)+VLOOKUP(D321,part_details,5,FALSE)+VLOOKUP(D321,part_details,6,FALSE))*'Multi-level BOM'!E321,"")</f>
        <v/>
      </c>
      <c r="J321" s="4">
        <f t="shared" ref="J321:S321" si="235">IF($B321="",J320,
    IF(J$3=$B321,$E321,
       IF(J$3&lt;$B321,J320,
           1
)))</f>
        <v>1</v>
      </c>
      <c r="K321" s="4">
        <f t="shared" si="235"/>
        <v>1</v>
      </c>
      <c r="L321" s="4">
        <f t="shared" si="235"/>
        <v>1</v>
      </c>
      <c r="M321" s="4">
        <f t="shared" si="235"/>
        <v>1</v>
      </c>
      <c r="N321" s="4">
        <f t="shared" si="235"/>
        <v>1</v>
      </c>
      <c r="O321" s="4">
        <f t="shared" si="235"/>
        <v>1</v>
      </c>
      <c r="P321" s="4">
        <f t="shared" si="235"/>
        <v>1</v>
      </c>
      <c r="Q321" s="4">
        <f t="shared" si="235"/>
        <v>1</v>
      </c>
      <c r="R321" s="4">
        <f t="shared" si="235"/>
        <v>1</v>
      </c>
      <c r="S321" s="4">
        <f t="shared" si="235"/>
        <v>1</v>
      </c>
      <c r="U321" s="3">
        <f t="shared" si="220"/>
        <v>0</v>
      </c>
      <c r="V321" s="1" t="str">
        <f t="shared" si="221"/>
        <v/>
      </c>
    </row>
    <row r="322" spans="1:22" x14ac:dyDescent="0.25">
      <c r="A322" s="2">
        <v>319</v>
      </c>
      <c r="C322" s="7"/>
      <c r="G322" s="1" t="str">
        <f>IF(D322="","",VLOOKUP(D322,Table1[#All],2,FALSE))</f>
        <v/>
      </c>
      <c r="H322" s="2">
        <f t="shared" si="216"/>
        <v>1</v>
      </c>
      <c r="I322" s="45" t="str">
        <f>IF(D322&lt;&gt;"",(VLOOKUP(D322,part_details,4,FALSE)+VLOOKUP(D322,part_details,5,FALSE)+VLOOKUP(D322,part_details,6,FALSE))*'Multi-level BOM'!E322,"")</f>
        <v/>
      </c>
      <c r="J322" s="4">
        <f t="shared" ref="J322:S322" si="236">IF($B322="",J321,
    IF(J$3=$B322,$E322,
       IF(J$3&lt;$B322,J321,
           1
)))</f>
        <v>1</v>
      </c>
      <c r="K322" s="4">
        <f t="shared" si="236"/>
        <v>1</v>
      </c>
      <c r="L322" s="4">
        <f t="shared" si="236"/>
        <v>1</v>
      </c>
      <c r="M322" s="4">
        <f t="shared" si="236"/>
        <v>1</v>
      </c>
      <c r="N322" s="4">
        <f t="shared" si="236"/>
        <v>1</v>
      </c>
      <c r="O322" s="4">
        <f t="shared" si="236"/>
        <v>1</v>
      </c>
      <c r="P322" s="4">
        <f t="shared" si="236"/>
        <v>1</v>
      </c>
      <c r="Q322" s="4">
        <f t="shared" si="236"/>
        <v>1</v>
      </c>
      <c r="R322" s="4">
        <f t="shared" si="236"/>
        <v>1</v>
      </c>
      <c r="S322" s="4">
        <f t="shared" si="236"/>
        <v>1</v>
      </c>
      <c r="U322" s="3">
        <f t="shared" si="220"/>
        <v>0</v>
      </c>
      <c r="V322" s="1" t="str">
        <f t="shared" si="221"/>
        <v/>
      </c>
    </row>
    <row r="323" spans="1:22" x14ac:dyDescent="0.25">
      <c r="A323" s="2">
        <v>320</v>
      </c>
      <c r="C323" s="7"/>
      <c r="G323" s="1" t="str">
        <f>IF(D323="","",VLOOKUP(D323,Table1[#All],2,FALSE))</f>
        <v/>
      </c>
      <c r="H323" s="2">
        <f t="shared" si="216"/>
        <v>1</v>
      </c>
      <c r="I323" s="45" t="str">
        <f>IF(D323&lt;&gt;"",(VLOOKUP(D323,part_details,4,FALSE)+VLOOKUP(D323,part_details,5,FALSE)+VLOOKUP(D323,part_details,6,FALSE))*'Multi-level BOM'!E323,"")</f>
        <v/>
      </c>
      <c r="J323" s="4">
        <f t="shared" ref="J323:S323" si="237">IF($B323="",J322,
    IF(J$3=$B323,$E323,
       IF(J$3&lt;$B323,J322,
           1
)))</f>
        <v>1</v>
      </c>
      <c r="K323" s="4">
        <f t="shared" si="237"/>
        <v>1</v>
      </c>
      <c r="L323" s="4">
        <f t="shared" si="237"/>
        <v>1</v>
      </c>
      <c r="M323" s="4">
        <f t="shared" si="237"/>
        <v>1</v>
      </c>
      <c r="N323" s="4">
        <f t="shared" si="237"/>
        <v>1</v>
      </c>
      <c r="O323" s="4">
        <f t="shared" si="237"/>
        <v>1</v>
      </c>
      <c r="P323" s="4">
        <f t="shared" si="237"/>
        <v>1</v>
      </c>
      <c r="Q323" s="4">
        <f t="shared" si="237"/>
        <v>1</v>
      </c>
      <c r="R323" s="4">
        <f t="shared" si="237"/>
        <v>1</v>
      </c>
      <c r="S323" s="4">
        <f t="shared" si="237"/>
        <v>1</v>
      </c>
      <c r="U323" s="3">
        <f t="shared" si="220"/>
        <v>0</v>
      </c>
      <c r="V323" s="1" t="str">
        <f t="shared" si="221"/>
        <v/>
      </c>
    </row>
    <row r="324" spans="1:22" x14ac:dyDescent="0.25">
      <c r="A324" s="2">
        <v>321</v>
      </c>
      <c r="C324" s="7"/>
      <c r="G324" s="1" t="str">
        <f>IF(D324="","",VLOOKUP(D324,Table1[#All],2,FALSE))</f>
        <v/>
      </c>
      <c r="H324" s="2">
        <f t="shared" si="216"/>
        <v>1</v>
      </c>
      <c r="I324" s="45" t="str">
        <f>IF(D324&lt;&gt;"",(VLOOKUP(D324,part_details,4,FALSE)+VLOOKUP(D324,part_details,5,FALSE)+VLOOKUP(D324,part_details,6,FALSE))*'Multi-level BOM'!E324,"")</f>
        <v/>
      </c>
      <c r="J324" s="4">
        <f t="shared" ref="J324:S324" si="238">IF($B324="",J323,
    IF(J$3=$B324,$E324,
       IF(J$3&lt;$B324,J323,
           1
)))</f>
        <v>1</v>
      </c>
      <c r="K324" s="4">
        <f t="shared" si="238"/>
        <v>1</v>
      </c>
      <c r="L324" s="4">
        <f t="shared" si="238"/>
        <v>1</v>
      </c>
      <c r="M324" s="4">
        <f t="shared" si="238"/>
        <v>1</v>
      </c>
      <c r="N324" s="4">
        <f t="shared" si="238"/>
        <v>1</v>
      </c>
      <c r="O324" s="4">
        <f t="shared" si="238"/>
        <v>1</v>
      </c>
      <c r="P324" s="4">
        <f t="shared" si="238"/>
        <v>1</v>
      </c>
      <c r="Q324" s="4">
        <f t="shared" si="238"/>
        <v>1</v>
      </c>
      <c r="R324" s="4">
        <f t="shared" si="238"/>
        <v>1</v>
      </c>
      <c r="S324" s="4">
        <f t="shared" si="238"/>
        <v>1</v>
      </c>
      <c r="U324" s="3">
        <f t="shared" si="220"/>
        <v>0</v>
      </c>
      <c r="V324" s="1" t="str">
        <f t="shared" si="221"/>
        <v/>
      </c>
    </row>
    <row r="325" spans="1:22" x14ac:dyDescent="0.25">
      <c r="A325" s="2">
        <v>322</v>
      </c>
      <c r="C325" s="7"/>
      <c r="G325" s="1" t="str">
        <f>IF(D325="","",VLOOKUP(D325,Table1[#All],2,FALSE))</f>
        <v/>
      </c>
      <c r="H325" s="2">
        <f t="shared" si="216"/>
        <v>1</v>
      </c>
      <c r="I325" s="45" t="str">
        <f>IF(D325&lt;&gt;"",(VLOOKUP(D325,part_details,4,FALSE)+VLOOKUP(D325,part_details,5,FALSE)+VLOOKUP(D325,part_details,6,FALSE))*'Multi-level BOM'!E325,"")</f>
        <v/>
      </c>
      <c r="J325" s="4">
        <f t="shared" ref="J325:S325" si="239">IF($B325="",J324,
    IF(J$3=$B325,$E325,
       IF(J$3&lt;$B325,J324,
           1
)))</f>
        <v>1</v>
      </c>
      <c r="K325" s="4">
        <f t="shared" si="239"/>
        <v>1</v>
      </c>
      <c r="L325" s="4">
        <f t="shared" si="239"/>
        <v>1</v>
      </c>
      <c r="M325" s="4">
        <f t="shared" si="239"/>
        <v>1</v>
      </c>
      <c r="N325" s="4">
        <f t="shared" si="239"/>
        <v>1</v>
      </c>
      <c r="O325" s="4">
        <f t="shared" si="239"/>
        <v>1</v>
      </c>
      <c r="P325" s="4">
        <f t="shared" si="239"/>
        <v>1</v>
      </c>
      <c r="Q325" s="4">
        <f t="shared" si="239"/>
        <v>1</v>
      </c>
      <c r="R325" s="4">
        <f t="shared" si="239"/>
        <v>1</v>
      </c>
      <c r="S325" s="4">
        <f t="shared" si="239"/>
        <v>1</v>
      </c>
      <c r="U325" s="3">
        <f t="shared" si="220"/>
        <v>0</v>
      </c>
      <c r="V325" s="1" t="str">
        <f t="shared" si="221"/>
        <v/>
      </c>
    </row>
    <row r="326" spans="1:22" x14ac:dyDescent="0.25">
      <c r="A326" s="2">
        <v>323</v>
      </c>
      <c r="C326" s="7"/>
      <c r="G326" s="1" t="str">
        <f>IF(D326="","",VLOOKUP(D326,Table1[#All],2,FALSE))</f>
        <v/>
      </c>
      <c r="H326" s="2">
        <f t="shared" si="216"/>
        <v>1</v>
      </c>
      <c r="I326" s="45" t="str">
        <f>IF(D326&lt;&gt;"",(VLOOKUP(D326,part_details,4,FALSE)+VLOOKUP(D326,part_details,5,FALSE)+VLOOKUP(D326,part_details,6,FALSE))*'Multi-level BOM'!E326,"")</f>
        <v/>
      </c>
      <c r="J326" s="4">
        <f t="shared" ref="J326:S326" si="240">IF($B326="",J325,
    IF(J$3=$B326,$E326,
       IF(J$3&lt;$B326,J325,
           1
)))</f>
        <v>1</v>
      </c>
      <c r="K326" s="4">
        <f t="shared" si="240"/>
        <v>1</v>
      </c>
      <c r="L326" s="4">
        <f t="shared" si="240"/>
        <v>1</v>
      </c>
      <c r="M326" s="4">
        <f t="shared" si="240"/>
        <v>1</v>
      </c>
      <c r="N326" s="4">
        <f t="shared" si="240"/>
        <v>1</v>
      </c>
      <c r="O326" s="4">
        <f t="shared" si="240"/>
        <v>1</v>
      </c>
      <c r="P326" s="4">
        <f t="shared" si="240"/>
        <v>1</v>
      </c>
      <c r="Q326" s="4">
        <f t="shared" si="240"/>
        <v>1</v>
      </c>
      <c r="R326" s="4">
        <f t="shared" si="240"/>
        <v>1</v>
      </c>
      <c r="S326" s="4">
        <f t="shared" si="240"/>
        <v>1</v>
      </c>
      <c r="U326" s="3">
        <f t="shared" si="220"/>
        <v>0</v>
      </c>
      <c r="V326" s="1" t="str">
        <f t="shared" si="221"/>
        <v/>
      </c>
    </row>
    <row r="327" spans="1:22" x14ac:dyDescent="0.25">
      <c r="A327" s="2">
        <v>324</v>
      </c>
      <c r="C327" s="7"/>
      <c r="G327" s="1" t="str">
        <f>IF(D327="","",VLOOKUP(D327,Table1[#All],2,FALSE))</f>
        <v/>
      </c>
      <c r="H327" s="2">
        <f t="shared" si="216"/>
        <v>1</v>
      </c>
      <c r="I327" s="45" t="str">
        <f>IF(D327&lt;&gt;"",(VLOOKUP(D327,part_details,4,FALSE)+VLOOKUP(D327,part_details,5,FALSE)+VLOOKUP(D327,part_details,6,FALSE))*'Multi-level BOM'!E327,"")</f>
        <v/>
      </c>
      <c r="J327" s="4">
        <f t="shared" ref="J327:S327" si="241">IF($B327="",J326,
    IF(J$3=$B327,$E327,
       IF(J$3&lt;$B327,J326,
           1
)))</f>
        <v>1</v>
      </c>
      <c r="K327" s="4">
        <f t="shared" si="241"/>
        <v>1</v>
      </c>
      <c r="L327" s="4">
        <f t="shared" si="241"/>
        <v>1</v>
      </c>
      <c r="M327" s="4">
        <f t="shared" si="241"/>
        <v>1</v>
      </c>
      <c r="N327" s="4">
        <f t="shared" si="241"/>
        <v>1</v>
      </c>
      <c r="O327" s="4">
        <f t="shared" si="241"/>
        <v>1</v>
      </c>
      <c r="P327" s="4">
        <f t="shared" si="241"/>
        <v>1</v>
      </c>
      <c r="Q327" s="4">
        <f t="shared" si="241"/>
        <v>1</v>
      </c>
      <c r="R327" s="4">
        <f t="shared" si="241"/>
        <v>1</v>
      </c>
      <c r="S327" s="4">
        <f t="shared" si="241"/>
        <v>1</v>
      </c>
      <c r="U327" s="3">
        <f t="shared" si="220"/>
        <v>0</v>
      </c>
      <c r="V327" s="1" t="str">
        <f t="shared" si="221"/>
        <v/>
      </c>
    </row>
    <row r="328" spans="1:22" x14ac:dyDescent="0.25">
      <c r="A328" s="2">
        <v>325</v>
      </c>
      <c r="C328" s="7"/>
      <c r="G328" s="1" t="str">
        <f>IF(D328="","",VLOOKUP(D328,Table1[#All],2,FALSE))</f>
        <v/>
      </c>
      <c r="H328" s="2">
        <f t="shared" si="216"/>
        <v>1</v>
      </c>
      <c r="I328" s="45" t="str">
        <f>IF(D328&lt;&gt;"",(VLOOKUP(D328,part_details,4,FALSE)+VLOOKUP(D328,part_details,5,FALSE)+VLOOKUP(D328,part_details,6,FALSE))*'Multi-level BOM'!E328,"")</f>
        <v/>
      </c>
      <c r="J328" s="4">
        <f t="shared" ref="J328:S328" si="242">IF($B328="",J327,
    IF(J$3=$B328,$E328,
       IF(J$3&lt;$B328,J327,
           1
)))</f>
        <v>1</v>
      </c>
      <c r="K328" s="4">
        <f t="shared" si="242"/>
        <v>1</v>
      </c>
      <c r="L328" s="4">
        <f t="shared" si="242"/>
        <v>1</v>
      </c>
      <c r="M328" s="4">
        <f t="shared" si="242"/>
        <v>1</v>
      </c>
      <c r="N328" s="4">
        <f t="shared" si="242"/>
        <v>1</v>
      </c>
      <c r="O328" s="4">
        <f t="shared" si="242"/>
        <v>1</v>
      </c>
      <c r="P328" s="4">
        <f t="shared" si="242"/>
        <v>1</v>
      </c>
      <c r="Q328" s="4">
        <f t="shared" si="242"/>
        <v>1</v>
      </c>
      <c r="R328" s="4">
        <f t="shared" si="242"/>
        <v>1</v>
      </c>
      <c r="S328" s="4">
        <f t="shared" si="242"/>
        <v>1</v>
      </c>
      <c r="U328" s="3">
        <f t="shared" si="220"/>
        <v>0</v>
      </c>
      <c r="V328" s="1" t="str">
        <f t="shared" si="221"/>
        <v/>
      </c>
    </row>
    <row r="329" spans="1:22" x14ac:dyDescent="0.25">
      <c r="A329" s="2">
        <v>326</v>
      </c>
      <c r="C329" s="7"/>
      <c r="G329" s="1" t="str">
        <f>IF(D329="","",VLOOKUP(D329,Table1[#All],2,FALSE))</f>
        <v/>
      </c>
      <c r="H329" s="2">
        <f t="shared" si="216"/>
        <v>1</v>
      </c>
      <c r="I329" s="45" t="str">
        <f>IF(D329&lt;&gt;"",(VLOOKUP(D329,part_details,4,FALSE)+VLOOKUP(D329,part_details,5,FALSE)+VLOOKUP(D329,part_details,6,FALSE))*'Multi-level BOM'!E329,"")</f>
        <v/>
      </c>
      <c r="J329" s="4">
        <f t="shared" ref="J329:S329" si="243">IF($B329="",J328,
    IF(J$3=$B329,$E329,
       IF(J$3&lt;$B329,J328,
           1
)))</f>
        <v>1</v>
      </c>
      <c r="K329" s="4">
        <f t="shared" si="243"/>
        <v>1</v>
      </c>
      <c r="L329" s="4">
        <f t="shared" si="243"/>
        <v>1</v>
      </c>
      <c r="M329" s="4">
        <f t="shared" si="243"/>
        <v>1</v>
      </c>
      <c r="N329" s="4">
        <f t="shared" si="243"/>
        <v>1</v>
      </c>
      <c r="O329" s="4">
        <f t="shared" si="243"/>
        <v>1</v>
      </c>
      <c r="P329" s="4">
        <f t="shared" si="243"/>
        <v>1</v>
      </c>
      <c r="Q329" s="4">
        <f t="shared" si="243"/>
        <v>1</v>
      </c>
      <c r="R329" s="4">
        <f t="shared" si="243"/>
        <v>1</v>
      </c>
      <c r="S329" s="4">
        <f t="shared" si="243"/>
        <v>1</v>
      </c>
      <c r="U329" s="3">
        <f t="shared" si="220"/>
        <v>0</v>
      </c>
      <c r="V329" s="1" t="str">
        <f t="shared" si="221"/>
        <v/>
      </c>
    </row>
    <row r="330" spans="1:22" x14ac:dyDescent="0.25">
      <c r="A330" s="2">
        <v>327</v>
      </c>
      <c r="C330" s="7"/>
      <c r="G330" s="1" t="str">
        <f>IF(D330="","",VLOOKUP(D330,Table1[#All],2,FALSE))</f>
        <v/>
      </c>
      <c r="H330" s="2">
        <f t="shared" si="216"/>
        <v>1</v>
      </c>
      <c r="I330" s="45" t="str">
        <f>IF(D330&lt;&gt;"",(VLOOKUP(D330,part_details,4,FALSE)+VLOOKUP(D330,part_details,5,FALSE)+VLOOKUP(D330,part_details,6,FALSE))*'Multi-level BOM'!E330,"")</f>
        <v/>
      </c>
      <c r="J330" s="4">
        <f t="shared" ref="J330:S330" si="244">IF($B330="",J329,
    IF(J$3=$B330,$E330,
       IF(J$3&lt;$B330,J329,
           1
)))</f>
        <v>1</v>
      </c>
      <c r="K330" s="4">
        <f t="shared" si="244"/>
        <v>1</v>
      </c>
      <c r="L330" s="4">
        <f t="shared" si="244"/>
        <v>1</v>
      </c>
      <c r="M330" s="4">
        <f t="shared" si="244"/>
        <v>1</v>
      </c>
      <c r="N330" s="4">
        <f t="shared" si="244"/>
        <v>1</v>
      </c>
      <c r="O330" s="4">
        <f t="shared" si="244"/>
        <v>1</v>
      </c>
      <c r="P330" s="4">
        <f t="shared" si="244"/>
        <v>1</v>
      </c>
      <c r="Q330" s="4">
        <f t="shared" si="244"/>
        <v>1</v>
      </c>
      <c r="R330" s="4">
        <f t="shared" si="244"/>
        <v>1</v>
      </c>
      <c r="S330" s="4">
        <f t="shared" si="244"/>
        <v>1</v>
      </c>
      <c r="U330" s="3">
        <f t="shared" si="220"/>
        <v>0</v>
      </c>
      <c r="V330" s="1" t="str">
        <f t="shared" si="221"/>
        <v/>
      </c>
    </row>
    <row r="331" spans="1:22" x14ac:dyDescent="0.25">
      <c r="A331" s="2">
        <v>328</v>
      </c>
      <c r="C331" s="7"/>
      <c r="G331" s="1" t="str">
        <f>IF(D331="","",VLOOKUP(D331,Table1[#All],2,FALSE))</f>
        <v/>
      </c>
      <c r="H331" s="2">
        <f t="shared" si="216"/>
        <v>1</v>
      </c>
      <c r="I331" s="45" t="str">
        <f>IF(D331&lt;&gt;"",(VLOOKUP(D331,part_details,4,FALSE)+VLOOKUP(D331,part_details,5,FALSE)+VLOOKUP(D331,part_details,6,FALSE))*'Multi-level BOM'!E331,"")</f>
        <v/>
      </c>
      <c r="J331" s="4">
        <f t="shared" ref="J331:S331" si="245">IF($B331="",J330,
    IF(J$3=$B331,$E331,
       IF(J$3&lt;$B331,J330,
           1
)))</f>
        <v>1</v>
      </c>
      <c r="K331" s="4">
        <f t="shared" si="245"/>
        <v>1</v>
      </c>
      <c r="L331" s="4">
        <f t="shared" si="245"/>
        <v>1</v>
      </c>
      <c r="M331" s="4">
        <f t="shared" si="245"/>
        <v>1</v>
      </c>
      <c r="N331" s="4">
        <f t="shared" si="245"/>
        <v>1</v>
      </c>
      <c r="O331" s="4">
        <f t="shared" si="245"/>
        <v>1</v>
      </c>
      <c r="P331" s="4">
        <f t="shared" si="245"/>
        <v>1</v>
      </c>
      <c r="Q331" s="4">
        <f t="shared" si="245"/>
        <v>1</v>
      </c>
      <c r="R331" s="4">
        <f t="shared" si="245"/>
        <v>1</v>
      </c>
      <c r="S331" s="4">
        <f t="shared" si="245"/>
        <v>1</v>
      </c>
      <c r="U331" s="3">
        <f t="shared" si="220"/>
        <v>0</v>
      </c>
      <c r="V331" s="1" t="str">
        <f t="shared" si="221"/>
        <v/>
      </c>
    </row>
    <row r="332" spans="1:22" x14ac:dyDescent="0.25">
      <c r="A332" s="2">
        <v>329</v>
      </c>
      <c r="C332" s="7"/>
      <c r="G332" s="1" t="str">
        <f>IF(D332="","",VLOOKUP(D332,Table1[#All],2,FALSE))</f>
        <v/>
      </c>
      <c r="H332" s="2">
        <f t="shared" si="216"/>
        <v>1</v>
      </c>
      <c r="I332" s="45" t="str">
        <f>IF(D332&lt;&gt;"",(VLOOKUP(D332,part_details,4,FALSE)+VLOOKUP(D332,part_details,5,FALSE)+VLOOKUP(D332,part_details,6,FALSE))*'Multi-level BOM'!E332,"")</f>
        <v/>
      </c>
      <c r="J332" s="4">
        <f t="shared" ref="J332:S332" si="246">IF($B332="",J331,
    IF(J$3=$B332,$E332,
       IF(J$3&lt;$B332,J331,
           1
)))</f>
        <v>1</v>
      </c>
      <c r="K332" s="4">
        <f t="shared" si="246"/>
        <v>1</v>
      </c>
      <c r="L332" s="4">
        <f t="shared" si="246"/>
        <v>1</v>
      </c>
      <c r="M332" s="4">
        <f t="shared" si="246"/>
        <v>1</v>
      </c>
      <c r="N332" s="4">
        <f t="shared" si="246"/>
        <v>1</v>
      </c>
      <c r="O332" s="4">
        <f t="shared" si="246"/>
        <v>1</v>
      </c>
      <c r="P332" s="4">
        <f t="shared" si="246"/>
        <v>1</v>
      </c>
      <c r="Q332" s="4">
        <f t="shared" si="246"/>
        <v>1</v>
      </c>
      <c r="R332" s="4">
        <f t="shared" si="246"/>
        <v>1</v>
      </c>
      <c r="S332" s="4">
        <f t="shared" si="246"/>
        <v>1</v>
      </c>
      <c r="U332" s="3">
        <f t="shared" si="220"/>
        <v>0</v>
      </c>
      <c r="V332" s="1" t="str">
        <f t="shared" si="221"/>
        <v/>
      </c>
    </row>
    <row r="333" spans="1:22" x14ac:dyDescent="0.25">
      <c r="A333" s="2">
        <v>330</v>
      </c>
      <c r="C333" s="7"/>
      <c r="G333" s="1" t="str">
        <f>IF(D333="","",VLOOKUP(D333,Table1[#All],2,FALSE))</f>
        <v/>
      </c>
      <c r="H333" s="2">
        <f t="shared" si="216"/>
        <v>1</v>
      </c>
      <c r="I333" s="45" t="str">
        <f>IF(D333&lt;&gt;"",(VLOOKUP(D333,part_details,4,FALSE)+VLOOKUP(D333,part_details,5,FALSE)+VLOOKUP(D333,part_details,6,FALSE))*'Multi-level BOM'!E333,"")</f>
        <v/>
      </c>
      <c r="J333" s="4">
        <f t="shared" ref="J333:S333" si="247">IF($B333="",J332,
    IF(J$3=$B333,$E333,
       IF(J$3&lt;$B333,J332,
           1
)))</f>
        <v>1</v>
      </c>
      <c r="K333" s="4">
        <f t="shared" si="247"/>
        <v>1</v>
      </c>
      <c r="L333" s="4">
        <f t="shared" si="247"/>
        <v>1</v>
      </c>
      <c r="M333" s="4">
        <f t="shared" si="247"/>
        <v>1</v>
      </c>
      <c r="N333" s="4">
        <f t="shared" si="247"/>
        <v>1</v>
      </c>
      <c r="O333" s="4">
        <f t="shared" si="247"/>
        <v>1</v>
      </c>
      <c r="P333" s="4">
        <f t="shared" si="247"/>
        <v>1</v>
      </c>
      <c r="Q333" s="4">
        <f t="shared" si="247"/>
        <v>1</v>
      </c>
      <c r="R333" s="4">
        <f t="shared" si="247"/>
        <v>1</v>
      </c>
      <c r="S333" s="4">
        <f t="shared" si="247"/>
        <v>1</v>
      </c>
      <c r="U333" s="3">
        <f t="shared" si="220"/>
        <v>0</v>
      </c>
      <c r="V333" s="1" t="str">
        <f t="shared" si="221"/>
        <v/>
      </c>
    </row>
    <row r="334" spans="1:22" x14ac:dyDescent="0.25">
      <c r="A334" s="2">
        <v>331</v>
      </c>
      <c r="C334" s="7"/>
      <c r="G334" s="1" t="str">
        <f>IF(D334="","",VLOOKUP(D334,Table1[#All],2,FALSE))</f>
        <v/>
      </c>
      <c r="H334" s="2">
        <f t="shared" si="216"/>
        <v>1</v>
      </c>
      <c r="I334" s="45" t="str">
        <f>IF(D334&lt;&gt;"",(VLOOKUP(D334,part_details,4,FALSE)+VLOOKUP(D334,part_details,5,FALSE)+VLOOKUP(D334,part_details,6,FALSE))*'Multi-level BOM'!E334,"")</f>
        <v/>
      </c>
      <c r="J334" s="4">
        <f t="shared" ref="J334:S334" si="248">IF($B334="",J333,
    IF(J$3=$B334,$E334,
       IF(J$3&lt;$B334,J333,
           1
)))</f>
        <v>1</v>
      </c>
      <c r="K334" s="4">
        <f t="shared" si="248"/>
        <v>1</v>
      </c>
      <c r="L334" s="4">
        <f t="shared" si="248"/>
        <v>1</v>
      </c>
      <c r="M334" s="4">
        <f t="shared" si="248"/>
        <v>1</v>
      </c>
      <c r="N334" s="4">
        <f t="shared" si="248"/>
        <v>1</v>
      </c>
      <c r="O334" s="4">
        <f t="shared" si="248"/>
        <v>1</v>
      </c>
      <c r="P334" s="4">
        <f t="shared" si="248"/>
        <v>1</v>
      </c>
      <c r="Q334" s="4">
        <f t="shared" si="248"/>
        <v>1</v>
      </c>
      <c r="R334" s="4">
        <f t="shared" si="248"/>
        <v>1</v>
      </c>
      <c r="S334" s="4">
        <f t="shared" si="248"/>
        <v>1</v>
      </c>
      <c r="U334" s="3">
        <f t="shared" si="220"/>
        <v>0</v>
      </c>
      <c r="V334" s="1" t="str">
        <f t="shared" si="221"/>
        <v/>
      </c>
    </row>
    <row r="335" spans="1:22" x14ac:dyDescent="0.25">
      <c r="A335" s="2">
        <v>332</v>
      </c>
      <c r="C335" s="7"/>
      <c r="G335" s="1" t="str">
        <f>IF(D335="","",VLOOKUP(D335,Table1[#All],2,FALSE))</f>
        <v/>
      </c>
      <c r="H335" s="2">
        <f t="shared" si="216"/>
        <v>1</v>
      </c>
      <c r="I335" s="45" t="str">
        <f>IF(D335&lt;&gt;"",(VLOOKUP(D335,part_details,4,FALSE)+VLOOKUP(D335,part_details,5,FALSE)+VLOOKUP(D335,part_details,6,FALSE))*'Multi-level BOM'!E335,"")</f>
        <v/>
      </c>
      <c r="J335" s="4">
        <f t="shared" ref="J335:S335" si="249">IF($B335="",J334,
    IF(J$3=$B335,$E335,
       IF(J$3&lt;$B335,J334,
           1
)))</f>
        <v>1</v>
      </c>
      <c r="K335" s="4">
        <f t="shared" si="249"/>
        <v>1</v>
      </c>
      <c r="L335" s="4">
        <f t="shared" si="249"/>
        <v>1</v>
      </c>
      <c r="M335" s="4">
        <f t="shared" si="249"/>
        <v>1</v>
      </c>
      <c r="N335" s="4">
        <f t="shared" si="249"/>
        <v>1</v>
      </c>
      <c r="O335" s="4">
        <f t="shared" si="249"/>
        <v>1</v>
      </c>
      <c r="P335" s="4">
        <f t="shared" si="249"/>
        <v>1</v>
      </c>
      <c r="Q335" s="4">
        <f t="shared" si="249"/>
        <v>1</v>
      </c>
      <c r="R335" s="4">
        <f t="shared" si="249"/>
        <v>1</v>
      </c>
      <c r="S335" s="4">
        <f t="shared" si="249"/>
        <v>1</v>
      </c>
      <c r="U335" s="3">
        <f t="shared" si="220"/>
        <v>0</v>
      </c>
      <c r="V335" s="1" t="str">
        <f t="shared" si="221"/>
        <v/>
      </c>
    </row>
    <row r="336" spans="1:22" x14ac:dyDescent="0.25">
      <c r="A336" s="2">
        <v>333</v>
      </c>
      <c r="C336" s="7"/>
      <c r="G336" s="1" t="str">
        <f>IF(D336="","",VLOOKUP(D336,Table1[#All],2,FALSE))</f>
        <v/>
      </c>
      <c r="H336" s="2">
        <f t="shared" si="216"/>
        <v>1</v>
      </c>
      <c r="I336" s="45" t="str">
        <f>IF(D336&lt;&gt;"",(VLOOKUP(D336,part_details,4,FALSE)+VLOOKUP(D336,part_details,5,FALSE)+VLOOKUP(D336,part_details,6,FALSE))*'Multi-level BOM'!E336,"")</f>
        <v/>
      </c>
      <c r="J336" s="4">
        <f t="shared" ref="J336:S336" si="250">IF($B336="",J335,
    IF(J$3=$B336,$E336,
       IF(J$3&lt;$B336,J335,
           1
)))</f>
        <v>1</v>
      </c>
      <c r="K336" s="4">
        <f t="shared" si="250"/>
        <v>1</v>
      </c>
      <c r="L336" s="4">
        <f t="shared" si="250"/>
        <v>1</v>
      </c>
      <c r="M336" s="4">
        <f t="shared" si="250"/>
        <v>1</v>
      </c>
      <c r="N336" s="4">
        <f t="shared" si="250"/>
        <v>1</v>
      </c>
      <c r="O336" s="4">
        <f t="shared" si="250"/>
        <v>1</v>
      </c>
      <c r="P336" s="4">
        <f t="shared" si="250"/>
        <v>1</v>
      </c>
      <c r="Q336" s="4">
        <f t="shared" si="250"/>
        <v>1</v>
      </c>
      <c r="R336" s="4">
        <f t="shared" si="250"/>
        <v>1</v>
      </c>
      <c r="S336" s="4">
        <f t="shared" si="250"/>
        <v>1</v>
      </c>
      <c r="U336" s="3">
        <f t="shared" si="220"/>
        <v>0</v>
      </c>
      <c r="V336" s="1" t="str">
        <f t="shared" si="221"/>
        <v/>
      </c>
    </row>
    <row r="337" spans="1:22" x14ac:dyDescent="0.25">
      <c r="A337" s="2">
        <v>334</v>
      </c>
      <c r="C337" s="7"/>
      <c r="G337" s="1" t="str">
        <f>IF(D337="","",VLOOKUP(D337,Table1[#All],2,FALSE))</f>
        <v/>
      </c>
      <c r="H337" s="2">
        <f t="shared" si="216"/>
        <v>1</v>
      </c>
      <c r="I337" s="45" t="str">
        <f>IF(D337&lt;&gt;"",(VLOOKUP(D337,part_details,4,FALSE)+VLOOKUP(D337,part_details,5,FALSE)+VLOOKUP(D337,part_details,6,FALSE))*'Multi-level BOM'!E337,"")</f>
        <v/>
      </c>
      <c r="J337" s="4">
        <f t="shared" ref="J337:S337" si="251">IF($B337="",J336,
    IF(J$3=$B337,$E337,
       IF(J$3&lt;$B337,J336,
           1
)))</f>
        <v>1</v>
      </c>
      <c r="K337" s="4">
        <f t="shared" si="251"/>
        <v>1</v>
      </c>
      <c r="L337" s="4">
        <f t="shared" si="251"/>
        <v>1</v>
      </c>
      <c r="M337" s="4">
        <f t="shared" si="251"/>
        <v>1</v>
      </c>
      <c r="N337" s="4">
        <f t="shared" si="251"/>
        <v>1</v>
      </c>
      <c r="O337" s="4">
        <f t="shared" si="251"/>
        <v>1</v>
      </c>
      <c r="P337" s="4">
        <f t="shared" si="251"/>
        <v>1</v>
      </c>
      <c r="Q337" s="4">
        <f t="shared" si="251"/>
        <v>1</v>
      </c>
      <c r="R337" s="4">
        <f t="shared" si="251"/>
        <v>1</v>
      </c>
      <c r="S337" s="4">
        <f t="shared" si="251"/>
        <v>1</v>
      </c>
      <c r="U337" s="3">
        <f t="shared" si="220"/>
        <v>0</v>
      </c>
      <c r="V337" s="1" t="str">
        <f t="shared" si="221"/>
        <v/>
      </c>
    </row>
    <row r="338" spans="1:22" x14ac:dyDescent="0.25">
      <c r="A338" s="2">
        <v>335</v>
      </c>
      <c r="C338" s="7"/>
      <c r="G338" s="1" t="str">
        <f>IF(D338="","",VLOOKUP(D338,Table1[#All],2,FALSE))</f>
        <v/>
      </c>
      <c r="H338" s="2">
        <f t="shared" si="216"/>
        <v>1</v>
      </c>
      <c r="I338" s="45" t="str">
        <f>IF(D338&lt;&gt;"",(VLOOKUP(D338,part_details,4,FALSE)+VLOOKUP(D338,part_details,5,FALSE)+VLOOKUP(D338,part_details,6,FALSE))*'Multi-level BOM'!E338,"")</f>
        <v/>
      </c>
      <c r="J338" s="4">
        <f t="shared" ref="J338:S338" si="252">IF($B338="",J337,
    IF(J$3=$B338,$E338,
       IF(J$3&lt;$B338,J337,
           1
)))</f>
        <v>1</v>
      </c>
      <c r="K338" s="4">
        <f t="shared" si="252"/>
        <v>1</v>
      </c>
      <c r="L338" s="4">
        <f t="shared" si="252"/>
        <v>1</v>
      </c>
      <c r="M338" s="4">
        <f t="shared" si="252"/>
        <v>1</v>
      </c>
      <c r="N338" s="4">
        <f t="shared" si="252"/>
        <v>1</v>
      </c>
      <c r="O338" s="4">
        <f t="shared" si="252"/>
        <v>1</v>
      </c>
      <c r="P338" s="4">
        <f t="shared" si="252"/>
        <v>1</v>
      </c>
      <c r="Q338" s="4">
        <f t="shared" si="252"/>
        <v>1</v>
      </c>
      <c r="R338" s="4">
        <f t="shared" si="252"/>
        <v>1</v>
      </c>
      <c r="S338" s="4">
        <f t="shared" si="252"/>
        <v>1</v>
      </c>
      <c r="U338" s="3">
        <f t="shared" si="220"/>
        <v>0</v>
      </c>
      <c r="V338" s="1" t="str">
        <f t="shared" si="221"/>
        <v/>
      </c>
    </row>
    <row r="339" spans="1:22" x14ac:dyDescent="0.25">
      <c r="A339" s="2">
        <v>336</v>
      </c>
      <c r="C339" s="7"/>
      <c r="G339" s="1" t="str">
        <f>IF(D339="","",VLOOKUP(D339,Table1[#All],2,FALSE))</f>
        <v/>
      </c>
      <c r="H339" s="2">
        <f t="shared" si="216"/>
        <v>1</v>
      </c>
      <c r="I339" s="45" t="str">
        <f>IF(D339&lt;&gt;"",(VLOOKUP(D339,part_details,4,FALSE)+VLOOKUP(D339,part_details,5,FALSE)+VLOOKUP(D339,part_details,6,FALSE))*'Multi-level BOM'!E339,"")</f>
        <v/>
      </c>
      <c r="J339" s="4">
        <f t="shared" ref="J339:S339" si="253">IF($B339="",J338,
    IF(J$3=$B339,$E339,
       IF(J$3&lt;$B339,J338,
           1
)))</f>
        <v>1</v>
      </c>
      <c r="K339" s="4">
        <f t="shared" si="253"/>
        <v>1</v>
      </c>
      <c r="L339" s="4">
        <f t="shared" si="253"/>
        <v>1</v>
      </c>
      <c r="M339" s="4">
        <f t="shared" si="253"/>
        <v>1</v>
      </c>
      <c r="N339" s="4">
        <f t="shared" si="253"/>
        <v>1</v>
      </c>
      <c r="O339" s="4">
        <f t="shared" si="253"/>
        <v>1</v>
      </c>
      <c r="P339" s="4">
        <f t="shared" si="253"/>
        <v>1</v>
      </c>
      <c r="Q339" s="4">
        <f t="shared" si="253"/>
        <v>1</v>
      </c>
      <c r="R339" s="4">
        <f t="shared" si="253"/>
        <v>1</v>
      </c>
      <c r="S339" s="4">
        <f t="shared" si="253"/>
        <v>1</v>
      </c>
      <c r="U339" s="3">
        <f t="shared" si="220"/>
        <v>0</v>
      </c>
      <c r="V339" s="1" t="str">
        <f t="shared" si="221"/>
        <v/>
      </c>
    </row>
    <row r="340" spans="1:22" x14ac:dyDescent="0.25">
      <c r="A340" s="2">
        <v>337</v>
      </c>
      <c r="C340" s="7"/>
      <c r="G340" s="1" t="str">
        <f>IF(D340="","",VLOOKUP(D340,Table1[#All],2,FALSE))</f>
        <v/>
      </c>
      <c r="H340" s="2">
        <f t="shared" si="216"/>
        <v>1</v>
      </c>
      <c r="I340" s="45" t="str">
        <f>IF(D340&lt;&gt;"",(VLOOKUP(D340,part_details,4,FALSE)+VLOOKUP(D340,part_details,5,FALSE)+VLOOKUP(D340,part_details,6,FALSE))*'Multi-level BOM'!E340,"")</f>
        <v/>
      </c>
      <c r="J340" s="4">
        <f t="shared" ref="J340:S340" si="254">IF($B340="",J339,
    IF(J$3=$B340,$E340,
       IF(J$3&lt;$B340,J339,
           1
)))</f>
        <v>1</v>
      </c>
      <c r="K340" s="4">
        <f t="shared" si="254"/>
        <v>1</v>
      </c>
      <c r="L340" s="4">
        <f t="shared" si="254"/>
        <v>1</v>
      </c>
      <c r="M340" s="4">
        <f t="shared" si="254"/>
        <v>1</v>
      </c>
      <c r="N340" s="4">
        <f t="shared" si="254"/>
        <v>1</v>
      </c>
      <c r="O340" s="4">
        <f t="shared" si="254"/>
        <v>1</v>
      </c>
      <c r="P340" s="4">
        <f t="shared" si="254"/>
        <v>1</v>
      </c>
      <c r="Q340" s="4">
        <f t="shared" si="254"/>
        <v>1</v>
      </c>
      <c r="R340" s="4">
        <f t="shared" si="254"/>
        <v>1</v>
      </c>
      <c r="S340" s="4">
        <f t="shared" si="254"/>
        <v>1</v>
      </c>
      <c r="U340" s="3">
        <f t="shared" si="220"/>
        <v>0</v>
      </c>
      <c r="V340" s="1" t="str">
        <f t="shared" si="221"/>
        <v/>
      </c>
    </row>
    <row r="341" spans="1:22" x14ac:dyDescent="0.25">
      <c r="A341" s="2">
        <v>338</v>
      </c>
      <c r="C341" s="7"/>
      <c r="G341" s="1" t="str">
        <f>IF(D341="","",VLOOKUP(D341,Table1[#All],2,FALSE))</f>
        <v/>
      </c>
      <c r="H341" s="2">
        <f t="shared" si="216"/>
        <v>1</v>
      </c>
      <c r="I341" s="45" t="str">
        <f>IF(D341&lt;&gt;"",(VLOOKUP(D341,part_details,4,FALSE)+VLOOKUP(D341,part_details,5,FALSE)+VLOOKUP(D341,part_details,6,FALSE))*'Multi-level BOM'!E341,"")</f>
        <v/>
      </c>
      <c r="J341" s="4">
        <f t="shared" ref="J341:S341" si="255">IF($B341="",J340,
    IF(J$3=$B341,$E341,
       IF(J$3&lt;$B341,J340,
           1
)))</f>
        <v>1</v>
      </c>
      <c r="K341" s="4">
        <f t="shared" si="255"/>
        <v>1</v>
      </c>
      <c r="L341" s="4">
        <f t="shared" si="255"/>
        <v>1</v>
      </c>
      <c r="M341" s="4">
        <f t="shared" si="255"/>
        <v>1</v>
      </c>
      <c r="N341" s="4">
        <f t="shared" si="255"/>
        <v>1</v>
      </c>
      <c r="O341" s="4">
        <f t="shared" si="255"/>
        <v>1</v>
      </c>
      <c r="P341" s="4">
        <f t="shared" si="255"/>
        <v>1</v>
      </c>
      <c r="Q341" s="4">
        <f t="shared" si="255"/>
        <v>1</v>
      </c>
      <c r="R341" s="4">
        <f t="shared" si="255"/>
        <v>1</v>
      </c>
      <c r="S341" s="4">
        <f t="shared" si="255"/>
        <v>1</v>
      </c>
      <c r="U341" s="3">
        <f t="shared" si="220"/>
        <v>0</v>
      </c>
      <c r="V341" s="1" t="str">
        <f t="shared" si="221"/>
        <v/>
      </c>
    </row>
    <row r="342" spans="1:22" x14ac:dyDescent="0.25">
      <c r="A342" s="2">
        <v>339</v>
      </c>
      <c r="C342" s="7"/>
      <c r="G342" s="1" t="str">
        <f>IF(D342="","",VLOOKUP(D342,Table1[#All],2,FALSE))</f>
        <v/>
      </c>
      <c r="H342" s="2">
        <f t="shared" si="216"/>
        <v>1</v>
      </c>
      <c r="I342" s="45" t="str">
        <f>IF(D342&lt;&gt;"",(VLOOKUP(D342,part_details,4,FALSE)+VLOOKUP(D342,part_details,5,FALSE)+VLOOKUP(D342,part_details,6,FALSE))*'Multi-level BOM'!E342,"")</f>
        <v/>
      </c>
      <c r="J342" s="4">
        <f t="shared" ref="J342:S342" si="256">IF($B342="",J341,
    IF(J$3=$B342,$E342,
       IF(J$3&lt;$B342,J341,
           1
)))</f>
        <v>1</v>
      </c>
      <c r="K342" s="4">
        <f t="shared" si="256"/>
        <v>1</v>
      </c>
      <c r="L342" s="4">
        <f t="shared" si="256"/>
        <v>1</v>
      </c>
      <c r="M342" s="4">
        <f t="shared" si="256"/>
        <v>1</v>
      </c>
      <c r="N342" s="4">
        <f t="shared" si="256"/>
        <v>1</v>
      </c>
      <c r="O342" s="4">
        <f t="shared" si="256"/>
        <v>1</v>
      </c>
      <c r="P342" s="4">
        <f t="shared" si="256"/>
        <v>1</v>
      </c>
      <c r="Q342" s="4">
        <f t="shared" si="256"/>
        <v>1</v>
      </c>
      <c r="R342" s="4">
        <f t="shared" si="256"/>
        <v>1</v>
      </c>
      <c r="S342" s="4">
        <f t="shared" si="256"/>
        <v>1</v>
      </c>
      <c r="U342" s="3">
        <f t="shared" si="220"/>
        <v>0</v>
      </c>
      <c r="V342" s="1" t="str">
        <f t="shared" si="221"/>
        <v/>
      </c>
    </row>
    <row r="343" spans="1:22" x14ac:dyDescent="0.25">
      <c r="A343" s="2">
        <v>340</v>
      </c>
      <c r="C343" s="7"/>
      <c r="G343" s="1" t="str">
        <f>IF(D343="","",VLOOKUP(D343,Table1[#All],2,FALSE))</f>
        <v/>
      </c>
      <c r="H343" s="2">
        <f t="shared" si="216"/>
        <v>1</v>
      </c>
      <c r="I343" s="45" t="str">
        <f>IF(D343&lt;&gt;"",(VLOOKUP(D343,part_details,4,FALSE)+VLOOKUP(D343,part_details,5,FALSE)+VLOOKUP(D343,part_details,6,FALSE))*'Multi-level BOM'!E343,"")</f>
        <v/>
      </c>
      <c r="J343" s="4">
        <f t="shared" ref="J343:S343" si="257">IF($B343="",J342,
    IF(J$3=$B343,$E343,
       IF(J$3&lt;$B343,J342,
           1
)))</f>
        <v>1</v>
      </c>
      <c r="K343" s="4">
        <f t="shared" si="257"/>
        <v>1</v>
      </c>
      <c r="L343" s="4">
        <f t="shared" si="257"/>
        <v>1</v>
      </c>
      <c r="M343" s="4">
        <f t="shared" si="257"/>
        <v>1</v>
      </c>
      <c r="N343" s="4">
        <f t="shared" si="257"/>
        <v>1</v>
      </c>
      <c r="O343" s="4">
        <f t="shared" si="257"/>
        <v>1</v>
      </c>
      <c r="P343" s="4">
        <f t="shared" si="257"/>
        <v>1</v>
      </c>
      <c r="Q343" s="4">
        <f t="shared" si="257"/>
        <v>1</v>
      </c>
      <c r="R343" s="4">
        <f t="shared" si="257"/>
        <v>1</v>
      </c>
      <c r="S343" s="4">
        <f t="shared" si="257"/>
        <v>1</v>
      </c>
      <c r="U343" s="3">
        <f t="shared" si="220"/>
        <v>0</v>
      </c>
      <c r="V343" s="1" t="str">
        <f t="shared" si="221"/>
        <v/>
      </c>
    </row>
    <row r="344" spans="1:22" x14ac:dyDescent="0.25">
      <c r="A344" s="2">
        <v>341</v>
      </c>
      <c r="C344" s="7"/>
      <c r="G344" s="1" t="str">
        <f>IF(D344="","",VLOOKUP(D344,Table1[#All],2,FALSE))</f>
        <v/>
      </c>
      <c r="H344" s="2">
        <f t="shared" si="216"/>
        <v>1</v>
      </c>
      <c r="I344" s="45" t="str">
        <f>IF(D344&lt;&gt;"",(VLOOKUP(D344,part_details,4,FALSE)+VLOOKUP(D344,part_details,5,FALSE)+VLOOKUP(D344,part_details,6,FALSE))*'Multi-level BOM'!E344,"")</f>
        <v/>
      </c>
      <c r="J344" s="4">
        <f t="shared" ref="J344:S344" si="258">IF($B344="",J343,
    IF(J$3=$B344,$E344,
       IF(J$3&lt;$B344,J343,
           1
)))</f>
        <v>1</v>
      </c>
      <c r="K344" s="4">
        <f t="shared" si="258"/>
        <v>1</v>
      </c>
      <c r="L344" s="4">
        <f t="shared" si="258"/>
        <v>1</v>
      </c>
      <c r="M344" s="4">
        <f t="shared" si="258"/>
        <v>1</v>
      </c>
      <c r="N344" s="4">
        <f t="shared" si="258"/>
        <v>1</v>
      </c>
      <c r="O344" s="4">
        <f t="shared" si="258"/>
        <v>1</v>
      </c>
      <c r="P344" s="4">
        <f t="shared" si="258"/>
        <v>1</v>
      </c>
      <c r="Q344" s="4">
        <f t="shared" si="258"/>
        <v>1</v>
      </c>
      <c r="R344" s="4">
        <f t="shared" si="258"/>
        <v>1</v>
      </c>
      <c r="S344" s="4">
        <f t="shared" si="258"/>
        <v>1</v>
      </c>
      <c r="U344" s="3">
        <f t="shared" si="220"/>
        <v>0</v>
      </c>
      <c r="V344" s="1" t="str">
        <f t="shared" si="221"/>
        <v/>
      </c>
    </row>
    <row r="345" spans="1:22" x14ac:dyDescent="0.25">
      <c r="A345" s="2">
        <v>342</v>
      </c>
      <c r="C345" s="7"/>
      <c r="G345" s="1" t="str">
        <f>IF(D345="","",VLOOKUP(D345,Table1[#All],2,FALSE))</f>
        <v/>
      </c>
      <c r="H345" s="2">
        <f t="shared" si="216"/>
        <v>1</v>
      </c>
      <c r="I345" s="45" t="str">
        <f>IF(D345&lt;&gt;"",(VLOOKUP(D345,part_details,4,FALSE)+VLOOKUP(D345,part_details,5,FALSE)+VLOOKUP(D345,part_details,6,FALSE))*'Multi-level BOM'!E345,"")</f>
        <v/>
      </c>
      <c r="J345" s="4">
        <f t="shared" ref="J345:S345" si="259">IF($B345="",J344,
    IF(J$3=$B345,$E345,
       IF(J$3&lt;$B345,J344,
           1
)))</f>
        <v>1</v>
      </c>
      <c r="K345" s="4">
        <f t="shared" si="259"/>
        <v>1</v>
      </c>
      <c r="L345" s="4">
        <f t="shared" si="259"/>
        <v>1</v>
      </c>
      <c r="M345" s="4">
        <f t="shared" si="259"/>
        <v>1</v>
      </c>
      <c r="N345" s="4">
        <f t="shared" si="259"/>
        <v>1</v>
      </c>
      <c r="O345" s="4">
        <f t="shared" si="259"/>
        <v>1</v>
      </c>
      <c r="P345" s="4">
        <f t="shared" si="259"/>
        <v>1</v>
      </c>
      <c r="Q345" s="4">
        <f t="shared" si="259"/>
        <v>1</v>
      </c>
      <c r="R345" s="4">
        <f t="shared" si="259"/>
        <v>1</v>
      </c>
      <c r="S345" s="4">
        <f t="shared" si="259"/>
        <v>1</v>
      </c>
      <c r="U345" s="3">
        <f t="shared" si="220"/>
        <v>0</v>
      </c>
      <c r="V345" s="1" t="str">
        <f t="shared" si="221"/>
        <v/>
      </c>
    </row>
    <row r="346" spans="1:22" x14ac:dyDescent="0.25">
      <c r="A346" s="2">
        <v>343</v>
      </c>
      <c r="C346" s="7"/>
      <c r="G346" s="1" t="str">
        <f>IF(D346="","",VLOOKUP(D346,Table1[#All],2,FALSE))</f>
        <v/>
      </c>
      <c r="H346" s="2">
        <f t="shared" si="216"/>
        <v>1</v>
      </c>
      <c r="I346" s="45" t="str">
        <f>IF(D346&lt;&gt;"",(VLOOKUP(D346,part_details,4,FALSE)+VLOOKUP(D346,part_details,5,FALSE)+VLOOKUP(D346,part_details,6,FALSE))*'Multi-level BOM'!E346,"")</f>
        <v/>
      </c>
      <c r="J346" s="4">
        <f t="shared" ref="J346:S346" si="260">IF($B346="",J345,
    IF(J$3=$B346,$E346,
       IF(J$3&lt;$B346,J345,
           1
)))</f>
        <v>1</v>
      </c>
      <c r="K346" s="4">
        <f t="shared" si="260"/>
        <v>1</v>
      </c>
      <c r="L346" s="4">
        <f t="shared" si="260"/>
        <v>1</v>
      </c>
      <c r="M346" s="4">
        <f t="shared" si="260"/>
        <v>1</v>
      </c>
      <c r="N346" s="4">
        <f t="shared" si="260"/>
        <v>1</v>
      </c>
      <c r="O346" s="4">
        <f t="shared" si="260"/>
        <v>1</v>
      </c>
      <c r="P346" s="4">
        <f t="shared" si="260"/>
        <v>1</v>
      </c>
      <c r="Q346" s="4">
        <f t="shared" si="260"/>
        <v>1</v>
      </c>
      <c r="R346" s="4">
        <f t="shared" si="260"/>
        <v>1</v>
      </c>
      <c r="S346" s="4">
        <f t="shared" si="260"/>
        <v>1</v>
      </c>
      <c r="U346" s="3">
        <f t="shared" si="220"/>
        <v>0</v>
      </c>
      <c r="V346" s="1" t="str">
        <f t="shared" si="221"/>
        <v/>
      </c>
    </row>
    <row r="347" spans="1:22" x14ac:dyDescent="0.25">
      <c r="A347" s="2">
        <v>344</v>
      </c>
      <c r="C347" s="7"/>
      <c r="G347" s="1" t="str">
        <f>IF(D347="","",VLOOKUP(D347,Table1[#All],2,FALSE))</f>
        <v/>
      </c>
      <c r="H347" s="2">
        <f t="shared" si="216"/>
        <v>1</v>
      </c>
      <c r="I347" s="45" t="str">
        <f>IF(D347&lt;&gt;"",(VLOOKUP(D347,part_details,4,FALSE)+VLOOKUP(D347,part_details,5,FALSE)+VLOOKUP(D347,part_details,6,FALSE))*'Multi-level BOM'!E347,"")</f>
        <v/>
      </c>
      <c r="J347" s="4">
        <f t="shared" ref="J347:S347" si="261">IF($B347="",J346,
    IF(J$3=$B347,$E347,
       IF(J$3&lt;$B347,J346,
           1
)))</f>
        <v>1</v>
      </c>
      <c r="K347" s="4">
        <f t="shared" si="261"/>
        <v>1</v>
      </c>
      <c r="L347" s="4">
        <f t="shared" si="261"/>
        <v>1</v>
      </c>
      <c r="M347" s="4">
        <f t="shared" si="261"/>
        <v>1</v>
      </c>
      <c r="N347" s="4">
        <f t="shared" si="261"/>
        <v>1</v>
      </c>
      <c r="O347" s="4">
        <f t="shared" si="261"/>
        <v>1</v>
      </c>
      <c r="P347" s="4">
        <f t="shared" si="261"/>
        <v>1</v>
      </c>
      <c r="Q347" s="4">
        <f t="shared" si="261"/>
        <v>1</v>
      </c>
      <c r="R347" s="4">
        <f t="shared" si="261"/>
        <v>1</v>
      </c>
      <c r="S347" s="4">
        <f t="shared" si="261"/>
        <v>1</v>
      </c>
      <c r="U347" s="3">
        <f t="shared" si="220"/>
        <v>0</v>
      </c>
      <c r="V347" s="1" t="str">
        <f t="shared" si="221"/>
        <v/>
      </c>
    </row>
    <row r="348" spans="1:22" x14ac:dyDescent="0.25">
      <c r="A348" s="2">
        <v>345</v>
      </c>
      <c r="C348" s="7"/>
      <c r="G348" s="1" t="str">
        <f>IF(D348="","",VLOOKUP(D348,Table1[#All],2,FALSE))</f>
        <v/>
      </c>
      <c r="H348" s="2">
        <f t="shared" si="216"/>
        <v>1</v>
      </c>
      <c r="I348" s="45" t="str">
        <f>IF(D348&lt;&gt;"",(VLOOKUP(D348,part_details,4,FALSE)+VLOOKUP(D348,part_details,5,FALSE)+VLOOKUP(D348,part_details,6,FALSE))*'Multi-level BOM'!E348,"")</f>
        <v/>
      </c>
      <c r="J348" s="4">
        <f t="shared" ref="J348:S348" si="262">IF($B348="",J347,
    IF(J$3=$B348,$E348,
       IF(J$3&lt;$B348,J347,
           1
)))</f>
        <v>1</v>
      </c>
      <c r="K348" s="4">
        <f t="shared" si="262"/>
        <v>1</v>
      </c>
      <c r="L348" s="4">
        <f t="shared" si="262"/>
        <v>1</v>
      </c>
      <c r="M348" s="4">
        <f t="shared" si="262"/>
        <v>1</v>
      </c>
      <c r="N348" s="4">
        <f t="shared" si="262"/>
        <v>1</v>
      </c>
      <c r="O348" s="4">
        <f t="shared" si="262"/>
        <v>1</v>
      </c>
      <c r="P348" s="4">
        <f t="shared" si="262"/>
        <v>1</v>
      </c>
      <c r="Q348" s="4">
        <f t="shared" si="262"/>
        <v>1</v>
      </c>
      <c r="R348" s="4">
        <f t="shared" si="262"/>
        <v>1</v>
      </c>
      <c r="S348" s="4">
        <f t="shared" si="262"/>
        <v>1</v>
      </c>
      <c r="U348" s="3">
        <f t="shared" si="220"/>
        <v>0</v>
      </c>
      <c r="V348" s="1" t="str">
        <f t="shared" si="221"/>
        <v/>
      </c>
    </row>
    <row r="349" spans="1:22" x14ac:dyDescent="0.25">
      <c r="A349" s="2">
        <v>346</v>
      </c>
      <c r="C349" s="7"/>
      <c r="G349" s="1" t="str">
        <f>IF(D349="","",VLOOKUP(D349,Table1[#All],2,FALSE))</f>
        <v/>
      </c>
      <c r="H349" s="2">
        <f t="shared" si="216"/>
        <v>1</v>
      </c>
      <c r="I349" s="45" t="str">
        <f>IF(D349&lt;&gt;"",(VLOOKUP(D349,part_details,4,FALSE)+VLOOKUP(D349,part_details,5,FALSE)+VLOOKUP(D349,part_details,6,FALSE))*'Multi-level BOM'!E349,"")</f>
        <v/>
      </c>
      <c r="J349" s="4">
        <f t="shared" ref="J349:S349" si="263">IF($B349="",J348,
    IF(J$3=$B349,$E349,
       IF(J$3&lt;$B349,J348,
           1
)))</f>
        <v>1</v>
      </c>
      <c r="K349" s="4">
        <f t="shared" si="263"/>
        <v>1</v>
      </c>
      <c r="L349" s="4">
        <f t="shared" si="263"/>
        <v>1</v>
      </c>
      <c r="M349" s="4">
        <f t="shared" si="263"/>
        <v>1</v>
      </c>
      <c r="N349" s="4">
        <f t="shared" si="263"/>
        <v>1</v>
      </c>
      <c r="O349" s="4">
        <f t="shared" si="263"/>
        <v>1</v>
      </c>
      <c r="P349" s="4">
        <f t="shared" si="263"/>
        <v>1</v>
      </c>
      <c r="Q349" s="4">
        <f t="shared" si="263"/>
        <v>1</v>
      </c>
      <c r="R349" s="4">
        <f t="shared" si="263"/>
        <v>1</v>
      </c>
      <c r="S349" s="4">
        <f t="shared" si="263"/>
        <v>1</v>
      </c>
      <c r="U349" s="3">
        <f t="shared" si="220"/>
        <v>0</v>
      </c>
      <c r="V349" s="1" t="str">
        <f t="shared" si="221"/>
        <v/>
      </c>
    </row>
    <row r="350" spans="1:22" x14ac:dyDescent="0.25">
      <c r="A350" s="2">
        <v>347</v>
      </c>
      <c r="C350" s="7"/>
      <c r="G350" s="1" t="str">
        <f>IF(D350="","",VLOOKUP(D350,Table1[#All],2,FALSE))</f>
        <v/>
      </c>
      <c r="H350" s="2">
        <f t="shared" si="216"/>
        <v>1</v>
      </c>
      <c r="I350" s="45" t="str">
        <f>IF(D350&lt;&gt;"",(VLOOKUP(D350,part_details,4,FALSE)+VLOOKUP(D350,part_details,5,FALSE)+VLOOKUP(D350,part_details,6,FALSE))*'Multi-level BOM'!E350,"")</f>
        <v/>
      </c>
      <c r="J350" s="4">
        <f t="shared" ref="J350:S350" si="264">IF($B350="",J349,
    IF(J$3=$B350,$E350,
       IF(J$3&lt;$B350,J349,
           1
)))</f>
        <v>1</v>
      </c>
      <c r="K350" s="4">
        <f t="shared" si="264"/>
        <v>1</v>
      </c>
      <c r="L350" s="4">
        <f t="shared" si="264"/>
        <v>1</v>
      </c>
      <c r="M350" s="4">
        <f t="shared" si="264"/>
        <v>1</v>
      </c>
      <c r="N350" s="4">
        <f t="shared" si="264"/>
        <v>1</v>
      </c>
      <c r="O350" s="4">
        <f t="shared" si="264"/>
        <v>1</v>
      </c>
      <c r="P350" s="4">
        <f t="shared" si="264"/>
        <v>1</v>
      </c>
      <c r="Q350" s="4">
        <f t="shared" si="264"/>
        <v>1</v>
      </c>
      <c r="R350" s="4">
        <f t="shared" si="264"/>
        <v>1</v>
      </c>
      <c r="S350" s="4">
        <f t="shared" si="264"/>
        <v>1</v>
      </c>
      <c r="U350" s="3">
        <f t="shared" si="220"/>
        <v>0</v>
      </c>
      <c r="V350" s="1" t="str">
        <f t="shared" si="221"/>
        <v/>
      </c>
    </row>
    <row r="351" spans="1:22" x14ac:dyDescent="0.25">
      <c r="A351" s="2">
        <v>348</v>
      </c>
      <c r="C351" s="7"/>
      <c r="G351" s="1" t="str">
        <f>IF(D351="","",VLOOKUP(D351,Table1[#All],2,FALSE))</f>
        <v/>
      </c>
      <c r="H351" s="2">
        <f t="shared" si="216"/>
        <v>1</v>
      </c>
      <c r="I351" s="45" t="str">
        <f>IF(D351&lt;&gt;"",(VLOOKUP(D351,part_details,4,FALSE)+VLOOKUP(D351,part_details,5,FALSE)+VLOOKUP(D351,part_details,6,FALSE))*'Multi-level BOM'!E351,"")</f>
        <v/>
      </c>
      <c r="J351" s="4">
        <f t="shared" ref="J351:S351" si="265">IF($B351="",J350,
    IF(J$3=$B351,$E351,
       IF(J$3&lt;$B351,J350,
           1
)))</f>
        <v>1</v>
      </c>
      <c r="K351" s="4">
        <f t="shared" si="265"/>
        <v>1</v>
      </c>
      <c r="L351" s="4">
        <f t="shared" si="265"/>
        <v>1</v>
      </c>
      <c r="M351" s="4">
        <f t="shared" si="265"/>
        <v>1</v>
      </c>
      <c r="N351" s="4">
        <f t="shared" si="265"/>
        <v>1</v>
      </c>
      <c r="O351" s="4">
        <f t="shared" si="265"/>
        <v>1</v>
      </c>
      <c r="P351" s="4">
        <f t="shared" si="265"/>
        <v>1</v>
      </c>
      <c r="Q351" s="4">
        <f t="shared" si="265"/>
        <v>1</v>
      </c>
      <c r="R351" s="4">
        <f t="shared" si="265"/>
        <v>1</v>
      </c>
      <c r="S351" s="4">
        <f t="shared" si="265"/>
        <v>1</v>
      </c>
      <c r="U351" s="3">
        <f t="shared" si="220"/>
        <v>0</v>
      </c>
      <c r="V351" s="1" t="str">
        <f t="shared" si="221"/>
        <v/>
      </c>
    </row>
    <row r="352" spans="1:22" x14ac:dyDescent="0.25">
      <c r="A352" s="2">
        <v>349</v>
      </c>
      <c r="C352" s="7"/>
      <c r="G352" s="1" t="str">
        <f>IF(D352="","",VLOOKUP(D352,Table1[#All],2,FALSE))</f>
        <v/>
      </c>
      <c r="H352" s="2">
        <f t="shared" si="216"/>
        <v>1</v>
      </c>
      <c r="I352" s="45" t="str">
        <f>IF(D352&lt;&gt;"",(VLOOKUP(D352,part_details,4,FALSE)+VLOOKUP(D352,part_details,5,FALSE)+VLOOKUP(D352,part_details,6,FALSE))*'Multi-level BOM'!E352,"")</f>
        <v/>
      </c>
      <c r="J352" s="4">
        <f t="shared" ref="J352:S352" si="266">IF($B352="",J351,
    IF(J$3=$B352,$E352,
       IF(J$3&lt;$B352,J351,
           1
)))</f>
        <v>1</v>
      </c>
      <c r="K352" s="4">
        <f t="shared" si="266"/>
        <v>1</v>
      </c>
      <c r="L352" s="4">
        <f t="shared" si="266"/>
        <v>1</v>
      </c>
      <c r="M352" s="4">
        <f t="shared" si="266"/>
        <v>1</v>
      </c>
      <c r="N352" s="4">
        <f t="shared" si="266"/>
        <v>1</v>
      </c>
      <c r="O352" s="4">
        <f t="shared" si="266"/>
        <v>1</v>
      </c>
      <c r="P352" s="4">
        <f t="shared" si="266"/>
        <v>1</v>
      </c>
      <c r="Q352" s="4">
        <f t="shared" si="266"/>
        <v>1</v>
      </c>
      <c r="R352" s="4">
        <f t="shared" si="266"/>
        <v>1</v>
      </c>
      <c r="S352" s="4">
        <f t="shared" si="266"/>
        <v>1</v>
      </c>
      <c r="U352" s="3">
        <f t="shared" si="220"/>
        <v>0</v>
      </c>
      <c r="V352" s="1" t="str">
        <f t="shared" si="221"/>
        <v/>
      </c>
    </row>
    <row r="353" spans="1:22" x14ac:dyDescent="0.25">
      <c r="A353" s="2">
        <v>350</v>
      </c>
      <c r="C353" s="7"/>
      <c r="G353" s="1" t="str">
        <f>IF(D353="","",VLOOKUP(D353,Table1[#All],2,FALSE))</f>
        <v/>
      </c>
      <c r="H353" s="2">
        <f t="shared" si="216"/>
        <v>1</v>
      </c>
      <c r="I353" s="45" t="str">
        <f>IF(D353&lt;&gt;"",(VLOOKUP(D353,part_details,4,FALSE)+VLOOKUP(D353,part_details,5,FALSE)+VLOOKUP(D353,part_details,6,FALSE))*'Multi-level BOM'!E353,"")</f>
        <v/>
      </c>
      <c r="J353" s="4">
        <f t="shared" ref="J353:S353" si="267">IF($B353="",J352,
    IF(J$3=$B353,$E353,
       IF(J$3&lt;$B353,J352,
           1
)))</f>
        <v>1</v>
      </c>
      <c r="K353" s="4">
        <f t="shared" si="267"/>
        <v>1</v>
      </c>
      <c r="L353" s="4">
        <f t="shared" si="267"/>
        <v>1</v>
      </c>
      <c r="M353" s="4">
        <f t="shared" si="267"/>
        <v>1</v>
      </c>
      <c r="N353" s="4">
        <f t="shared" si="267"/>
        <v>1</v>
      </c>
      <c r="O353" s="4">
        <f t="shared" si="267"/>
        <v>1</v>
      </c>
      <c r="P353" s="4">
        <f t="shared" si="267"/>
        <v>1</v>
      </c>
      <c r="Q353" s="4">
        <f t="shared" si="267"/>
        <v>1</v>
      </c>
      <c r="R353" s="4">
        <f t="shared" si="267"/>
        <v>1</v>
      </c>
      <c r="S353" s="4">
        <f t="shared" si="267"/>
        <v>1</v>
      </c>
      <c r="U353" s="3">
        <f t="shared" si="220"/>
        <v>0</v>
      </c>
      <c r="V353" s="1" t="str">
        <f t="shared" si="221"/>
        <v/>
      </c>
    </row>
    <row r="354" spans="1:22" x14ac:dyDescent="0.25">
      <c r="A354" s="2">
        <v>351</v>
      </c>
      <c r="C354" s="7"/>
      <c r="H354" s="2">
        <f t="shared" si="216"/>
        <v>1</v>
      </c>
      <c r="I354" s="45" t="str">
        <f>IF(D354&lt;&gt;"",(VLOOKUP(D354,part_details,4,FALSE)+VLOOKUP(D354,part_details,5,FALSE)+VLOOKUP(D354,part_details,6,FALSE))*'Multi-level BOM'!E354,"")</f>
        <v/>
      </c>
      <c r="J354" s="4">
        <f t="shared" ref="J354:S354" si="268">IF($B354="",J353,
    IF(J$3=$B354,$E354,
       IF(J$3&lt;$B354,J353,
           1
)))</f>
        <v>1</v>
      </c>
      <c r="K354" s="4">
        <f t="shared" si="268"/>
        <v>1</v>
      </c>
      <c r="L354" s="4">
        <f t="shared" si="268"/>
        <v>1</v>
      </c>
      <c r="M354" s="4">
        <f t="shared" si="268"/>
        <v>1</v>
      </c>
      <c r="N354" s="4">
        <f t="shared" si="268"/>
        <v>1</v>
      </c>
      <c r="O354" s="4">
        <f t="shared" si="268"/>
        <v>1</v>
      </c>
      <c r="P354" s="4">
        <f t="shared" si="268"/>
        <v>1</v>
      </c>
      <c r="Q354" s="4">
        <f t="shared" si="268"/>
        <v>1</v>
      </c>
      <c r="R354" s="4">
        <f t="shared" si="268"/>
        <v>1</v>
      </c>
      <c r="S354" s="4">
        <f t="shared" si="268"/>
        <v>1</v>
      </c>
      <c r="U354" s="3">
        <f t="shared" si="220"/>
        <v>0</v>
      </c>
      <c r="V354" s="1" t="str">
        <f t="shared" si="221"/>
        <v/>
      </c>
    </row>
    <row r="355" spans="1:22" x14ac:dyDescent="0.25">
      <c r="A355" s="2">
        <v>352</v>
      </c>
      <c r="C355" s="7"/>
      <c r="H355" s="2">
        <f t="shared" si="216"/>
        <v>1</v>
      </c>
      <c r="I355" s="45" t="str">
        <f>IF(D355&lt;&gt;"",(VLOOKUP(D355,part_details,4,FALSE)+VLOOKUP(D355,part_details,5,FALSE)+VLOOKUP(D355,part_details,6,FALSE))*'Multi-level BOM'!E355,"")</f>
        <v/>
      </c>
      <c r="J355" s="4">
        <f t="shared" ref="J355:S355" si="269">IF($B355="",J354,
    IF(J$3=$B355,$E355,
       IF(J$3&lt;$B355,J354,
           1
)))</f>
        <v>1</v>
      </c>
      <c r="K355" s="4">
        <f t="shared" si="269"/>
        <v>1</v>
      </c>
      <c r="L355" s="4">
        <f t="shared" si="269"/>
        <v>1</v>
      </c>
      <c r="M355" s="4">
        <f t="shared" si="269"/>
        <v>1</v>
      </c>
      <c r="N355" s="4">
        <f t="shared" si="269"/>
        <v>1</v>
      </c>
      <c r="O355" s="4">
        <f t="shared" si="269"/>
        <v>1</v>
      </c>
      <c r="P355" s="4">
        <f t="shared" si="269"/>
        <v>1</v>
      </c>
      <c r="Q355" s="4">
        <f t="shared" si="269"/>
        <v>1</v>
      </c>
      <c r="R355" s="4">
        <f t="shared" si="269"/>
        <v>1</v>
      </c>
      <c r="S355" s="4">
        <f t="shared" si="269"/>
        <v>1</v>
      </c>
      <c r="U355" s="3">
        <f t="shared" si="220"/>
        <v>0</v>
      </c>
      <c r="V355" s="1" t="str">
        <f t="shared" si="221"/>
        <v/>
      </c>
    </row>
    <row r="356" spans="1:22" x14ac:dyDescent="0.25">
      <c r="A356" s="2">
        <v>353</v>
      </c>
      <c r="C356" s="7"/>
      <c r="H356" s="2">
        <f t="shared" si="216"/>
        <v>1</v>
      </c>
      <c r="I356" s="45" t="str">
        <f>IF(D356&lt;&gt;"",(VLOOKUP(D356,part_details,4,FALSE)+VLOOKUP(D356,part_details,5,FALSE)+VLOOKUP(D356,part_details,6,FALSE))*'Multi-level BOM'!E356,"")</f>
        <v/>
      </c>
      <c r="J356" s="4">
        <f t="shared" ref="J356:S356" si="270">IF($B356="",J355,
    IF(J$3=$B356,$E356,
       IF(J$3&lt;$B356,J355,
           1
)))</f>
        <v>1</v>
      </c>
      <c r="K356" s="4">
        <f t="shared" si="270"/>
        <v>1</v>
      </c>
      <c r="L356" s="4">
        <f t="shared" si="270"/>
        <v>1</v>
      </c>
      <c r="M356" s="4">
        <f t="shared" si="270"/>
        <v>1</v>
      </c>
      <c r="N356" s="4">
        <f t="shared" si="270"/>
        <v>1</v>
      </c>
      <c r="O356" s="4">
        <f t="shared" si="270"/>
        <v>1</v>
      </c>
      <c r="P356" s="4">
        <f t="shared" si="270"/>
        <v>1</v>
      </c>
      <c r="Q356" s="4">
        <f t="shared" si="270"/>
        <v>1</v>
      </c>
      <c r="R356" s="4">
        <f t="shared" si="270"/>
        <v>1</v>
      </c>
      <c r="S356" s="4">
        <f t="shared" si="270"/>
        <v>1</v>
      </c>
      <c r="U356" s="3">
        <f t="shared" si="220"/>
        <v>0</v>
      </c>
      <c r="V356" s="1" t="str">
        <f t="shared" si="221"/>
        <v/>
      </c>
    </row>
    <row r="357" spans="1:22" x14ac:dyDescent="0.25">
      <c r="A357" s="2">
        <v>354</v>
      </c>
      <c r="C357" s="7"/>
      <c r="H357" s="2">
        <f t="shared" si="216"/>
        <v>1</v>
      </c>
      <c r="I357" s="45" t="str">
        <f>IF(D357&lt;&gt;"",(VLOOKUP(D357,part_details,4,FALSE)+VLOOKUP(D357,part_details,5,FALSE)+VLOOKUP(D357,part_details,6,FALSE))*'Multi-level BOM'!E357,"")</f>
        <v/>
      </c>
      <c r="J357" s="4">
        <f t="shared" ref="J357:S357" si="271">IF($B357="",J356,
    IF(J$3=$B357,$E357,
       IF(J$3&lt;$B357,J356,
           1
)))</f>
        <v>1</v>
      </c>
      <c r="K357" s="4">
        <f t="shared" si="271"/>
        <v>1</v>
      </c>
      <c r="L357" s="4">
        <f t="shared" si="271"/>
        <v>1</v>
      </c>
      <c r="M357" s="4">
        <f t="shared" si="271"/>
        <v>1</v>
      </c>
      <c r="N357" s="4">
        <f t="shared" si="271"/>
        <v>1</v>
      </c>
      <c r="O357" s="4">
        <f t="shared" si="271"/>
        <v>1</v>
      </c>
      <c r="P357" s="4">
        <f t="shared" si="271"/>
        <v>1</v>
      </c>
      <c r="Q357" s="4">
        <f t="shared" si="271"/>
        <v>1</v>
      </c>
      <c r="R357" s="4">
        <f t="shared" si="271"/>
        <v>1</v>
      </c>
      <c r="S357" s="4">
        <f t="shared" si="271"/>
        <v>1</v>
      </c>
      <c r="U357" s="3">
        <f t="shared" si="220"/>
        <v>0</v>
      </c>
      <c r="V357" s="1" t="str">
        <f t="shared" si="221"/>
        <v/>
      </c>
    </row>
    <row r="358" spans="1:22" x14ac:dyDescent="0.25">
      <c r="A358" s="2">
        <v>355</v>
      </c>
      <c r="C358" s="7"/>
      <c r="H358" s="2">
        <f t="shared" si="216"/>
        <v>1</v>
      </c>
      <c r="I358" s="45" t="str">
        <f>IF(D358&lt;&gt;"",(VLOOKUP(D358,part_details,4,FALSE)+VLOOKUP(D358,part_details,5,FALSE)+VLOOKUP(D358,part_details,6,FALSE))*'Multi-level BOM'!E358,"")</f>
        <v/>
      </c>
      <c r="J358" s="4">
        <f t="shared" ref="J358:S358" si="272">IF($B358="",J357,
    IF(J$3=$B358,$E358,
       IF(J$3&lt;$B358,J357,
           1
)))</f>
        <v>1</v>
      </c>
      <c r="K358" s="4">
        <f t="shared" si="272"/>
        <v>1</v>
      </c>
      <c r="L358" s="4">
        <f t="shared" si="272"/>
        <v>1</v>
      </c>
      <c r="M358" s="4">
        <f t="shared" si="272"/>
        <v>1</v>
      </c>
      <c r="N358" s="4">
        <f t="shared" si="272"/>
        <v>1</v>
      </c>
      <c r="O358" s="4">
        <f t="shared" si="272"/>
        <v>1</v>
      </c>
      <c r="P358" s="4">
        <f t="shared" si="272"/>
        <v>1</v>
      </c>
      <c r="Q358" s="4">
        <f t="shared" si="272"/>
        <v>1</v>
      </c>
      <c r="R358" s="4">
        <f t="shared" si="272"/>
        <v>1</v>
      </c>
      <c r="S358" s="4">
        <f t="shared" si="272"/>
        <v>1</v>
      </c>
      <c r="U358" s="3">
        <f t="shared" si="220"/>
        <v>0</v>
      </c>
      <c r="V358" s="1" t="str">
        <f t="shared" si="221"/>
        <v/>
      </c>
    </row>
    <row r="359" spans="1:22" x14ac:dyDescent="0.25">
      <c r="A359" s="2">
        <v>356</v>
      </c>
      <c r="C359" s="7"/>
      <c r="H359" s="2">
        <f t="shared" si="216"/>
        <v>1</v>
      </c>
      <c r="I359" s="45" t="str">
        <f>IF(D359&lt;&gt;"",(VLOOKUP(D359,part_details,4,FALSE)+VLOOKUP(D359,part_details,5,FALSE)+VLOOKUP(D359,part_details,6,FALSE))*'Multi-level BOM'!E359,"")</f>
        <v/>
      </c>
      <c r="J359" s="4">
        <f t="shared" ref="J359:S359" si="273">IF($B359="",J358,
    IF(J$3=$B359,$E359,
       IF(J$3&lt;$B359,J358,
           1
)))</f>
        <v>1</v>
      </c>
      <c r="K359" s="4">
        <f t="shared" si="273"/>
        <v>1</v>
      </c>
      <c r="L359" s="4">
        <f t="shared" si="273"/>
        <v>1</v>
      </c>
      <c r="M359" s="4">
        <f t="shared" si="273"/>
        <v>1</v>
      </c>
      <c r="N359" s="4">
        <f t="shared" si="273"/>
        <v>1</v>
      </c>
      <c r="O359" s="4">
        <f t="shared" si="273"/>
        <v>1</v>
      </c>
      <c r="P359" s="4">
        <f t="shared" si="273"/>
        <v>1</v>
      </c>
      <c r="Q359" s="4">
        <f t="shared" si="273"/>
        <v>1</v>
      </c>
      <c r="R359" s="4">
        <f t="shared" si="273"/>
        <v>1</v>
      </c>
      <c r="S359" s="4">
        <f t="shared" si="273"/>
        <v>1</v>
      </c>
      <c r="U359" s="3">
        <f t="shared" si="220"/>
        <v>0</v>
      </c>
      <c r="V359" s="1" t="str">
        <f t="shared" si="221"/>
        <v/>
      </c>
    </row>
    <row r="360" spans="1:22" x14ac:dyDescent="0.25">
      <c r="A360" s="2">
        <v>357</v>
      </c>
      <c r="C360" s="7"/>
      <c r="H360" s="2">
        <f t="shared" si="216"/>
        <v>1</v>
      </c>
      <c r="I360" s="45" t="str">
        <f>IF(D360&lt;&gt;"",(VLOOKUP(D360,part_details,4,FALSE)+VLOOKUP(D360,part_details,5,FALSE)+VLOOKUP(D360,part_details,6,FALSE))*'Multi-level BOM'!E360,"")</f>
        <v/>
      </c>
      <c r="J360" s="4">
        <f t="shared" ref="J360:S360" si="274">IF($B360="",J359,
    IF(J$3=$B360,$E360,
       IF(J$3&lt;$B360,J359,
           1
)))</f>
        <v>1</v>
      </c>
      <c r="K360" s="4">
        <f t="shared" si="274"/>
        <v>1</v>
      </c>
      <c r="L360" s="4">
        <f t="shared" si="274"/>
        <v>1</v>
      </c>
      <c r="M360" s="4">
        <f t="shared" si="274"/>
        <v>1</v>
      </c>
      <c r="N360" s="4">
        <f t="shared" si="274"/>
        <v>1</v>
      </c>
      <c r="O360" s="4">
        <f t="shared" si="274"/>
        <v>1</v>
      </c>
      <c r="P360" s="4">
        <f t="shared" si="274"/>
        <v>1</v>
      </c>
      <c r="Q360" s="4">
        <f t="shared" si="274"/>
        <v>1</v>
      </c>
      <c r="R360" s="4">
        <f t="shared" si="274"/>
        <v>1</v>
      </c>
      <c r="S360" s="4">
        <f t="shared" si="274"/>
        <v>1</v>
      </c>
      <c r="U360" s="3">
        <f t="shared" si="220"/>
        <v>0</v>
      </c>
      <c r="V360" s="1" t="str">
        <f t="shared" si="221"/>
        <v/>
      </c>
    </row>
    <row r="361" spans="1:22" x14ac:dyDescent="0.25">
      <c r="A361" s="2">
        <v>358</v>
      </c>
      <c r="C361" s="7"/>
      <c r="H361" s="2">
        <f t="shared" si="216"/>
        <v>1</v>
      </c>
      <c r="I361" s="45" t="str">
        <f>IF(D361&lt;&gt;"",(VLOOKUP(D361,part_details,4,FALSE)+VLOOKUP(D361,part_details,5,FALSE)+VLOOKUP(D361,part_details,6,FALSE))*'Multi-level BOM'!E361,"")</f>
        <v/>
      </c>
      <c r="J361" s="4">
        <f t="shared" ref="J361:S361" si="275">IF($B361="",J360,
    IF(J$3=$B361,$E361,
       IF(J$3&lt;$B361,J360,
           1
)))</f>
        <v>1</v>
      </c>
      <c r="K361" s="4">
        <f t="shared" si="275"/>
        <v>1</v>
      </c>
      <c r="L361" s="4">
        <f t="shared" si="275"/>
        <v>1</v>
      </c>
      <c r="M361" s="4">
        <f t="shared" si="275"/>
        <v>1</v>
      </c>
      <c r="N361" s="4">
        <f t="shared" si="275"/>
        <v>1</v>
      </c>
      <c r="O361" s="4">
        <f t="shared" si="275"/>
        <v>1</v>
      </c>
      <c r="P361" s="4">
        <f t="shared" si="275"/>
        <v>1</v>
      </c>
      <c r="Q361" s="4">
        <f t="shared" si="275"/>
        <v>1</v>
      </c>
      <c r="R361" s="4">
        <f t="shared" si="275"/>
        <v>1</v>
      </c>
      <c r="S361" s="4">
        <f t="shared" si="275"/>
        <v>1</v>
      </c>
      <c r="U361" s="3">
        <f t="shared" si="220"/>
        <v>0</v>
      </c>
      <c r="V361" s="1" t="str">
        <f t="shared" si="221"/>
        <v/>
      </c>
    </row>
    <row r="362" spans="1:22" x14ac:dyDescent="0.25">
      <c r="A362" s="2">
        <v>359</v>
      </c>
      <c r="C362" s="7"/>
      <c r="H362" s="2">
        <f t="shared" si="216"/>
        <v>1</v>
      </c>
      <c r="I362" s="45" t="str">
        <f>IF(D362&lt;&gt;"",(VLOOKUP(D362,part_details,4,FALSE)+VLOOKUP(D362,part_details,5,FALSE)+VLOOKUP(D362,part_details,6,FALSE))*'Multi-level BOM'!E362,"")</f>
        <v/>
      </c>
      <c r="J362" s="4">
        <f t="shared" ref="J362:S362" si="276">IF($B362="",J361,
    IF(J$3=$B362,$E362,
       IF(J$3&lt;$B362,J361,
           1
)))</f>
        <v>1</v>
      </c>
      <c r="K362" s="4">
        <f t="shared" si="276"/>
        <v>1</v>
      </c>
      <c r="L362" s="4">
        <f t="shared" si="276"/>
        <v>1</v>
      </c>
      <c r="M362" s="4">
        <f t="shared" si="276"/>
        <v>1</v>
      </c>
      <c r="N362" s="4">
        <f t="shared" si="276"/>
        <v>1</v>
      </c>
      <c r="O362" s="4">
        <f t="shared" si="276"/>
        <v>1</v>
      </c>
      <c r="P362" s="4">
        <f t="shared" si="276"/>
        <v>1</v>
      </c>
      <c r="Q362" s="4">
        <f t="shared" si="276"/>
        <v>1</v>
      </c>
      <c r="R362" s="4">
        <f t="shared" si="276"/>
        <v>1</v>
      </c>
      <c r="S362" s="4">
        <f t="shared" si="276"/>
        <v>1</v>
      </c>
      <c r="U362" s="3">
        <f t="shared" si="220"/>
        <v>0</v>
      </c>
      <c r="V362" s="1" t="str">
        <f t="shared" si="221"/>
        <v/>
      </c>
    </row>
    <row r="363" spans="1:22" x14ac:dyDescent="0.25">
      <c r="A363" s="2">
        <v>360</v>
      </c>
      <c r="C363" s="7"/>
      <c r="H363" s="2">
        <f t="shared" si="216"/>
        <v>1</v>
      </c>
      <c r="I363" s="45" t="str">
        <f>IF(D363&lt;&gt;"",(VLOOKUP(D363,part_details,4,FALSE)+VLOOKUP(D363,part_details,5,FALSE)+VLOOKUP(D363,part_details,6,FALSE))*'Multi-level BOM'!E363,"")</f>
        <v/>
      </c>
      <c r="J363" s="4">
        <f t="shared" ref="J363:S363" si="277">IF($B363="",J362,
    IF(J$3=$B363,$E363,
       IF(J$3&lt;$B363,J362,
           1
)))</f>
        <v>1</v>
      </c>
      <c r="K363" s="4">
        <f t="shared" si="277"/>
        <v>1</v>
      </c>
      <c r="L363" s="4">
        <f t="shared" si="277"/>
        <v>1</v>
      </c>
      <c r="M363" s="4">
        <f t="shared" si="277"/>
        <v>1</v>
      </c>
      <c r="N363" s="4">
        <f t="shared" si="277"/>
        <v>1</v>
      </c>
      <c r="O363" s="4">
        <f t="shared" si="277"/>
        <v>1</v>
      </c>
      <c r="P363" s="4">
        <f t="shared" si="277"/>
        <v>1</v>
      </c>
      <c r="Q363" s="4">
        <f t="shared" si="277"/>
        <v>1</v>
      </c>
      <c r="R363" s="4">
        <f t="shared" si="277"/>
        <v>1</v>
      </c>
      <c r="S363" s="4">
        <f t="shared" si="277"/>
        <v>1</v>
      </c>
      <c r="U363" s="3">
        <f t="shared" si="220"/>
        <v>0</v>
      </c>
      <c r="V363" s="1" t="str">
        <f t="shared" si="221"/>
        <v/>
      </c>
    </row>
    <row r="364" spans="1:22" x14ac:dyDescent="0.25">
      <c r="A364" s="2">
        <v>361</v>
      </c>
      <c r="C364" s="7"/>
      <c r="H364" s="2">
        <f t="shared" si="216"/>
        <v>1</v>
      </c>
      <c r="I364" s="45" t="str">
        <f>IF(D364&lt;&gt;"",(VLOOKUP(D364,part_details,4,FALSE)+VLOOKUP(D364,part_details,5,FALSE)+VLOOKUP(D364,part_details,6,FALSE))*'Multi-level BOM'!E364,"")</f>
        <v/>
      </c>
      <c r="J364" s="4">
        <f t="shared" ref="J364:S364" si="278">IF($B364="",J363,
    IF(J$3=$B364,$E364,
       IF(J$3&lt;$B364,J363,
           1
)))</f>
        <v>1</v>
      </c>
      <c r="K364" s="4">
        <f t="shared" si="278"/>
        <v>1</v>
      </c>
      <c r="L364" s="4">
        <f t="shared" si="278"/>
        <v>1</v>
      </c>
      <c r="M364" s="4">
        <f t="shared" si="278"/>
        <v>1</v>
      </c>
      <c r="N364" s="4">
        <f t="shared" si="278"/>
        <v>1</v>
      </c>
      <c r="O364" s="4">
        <f t="shared" si="278"/>
        <v>1</v>
      </c>
      <c r="P364" s="4">
        <f t="shared" si="278"/>
        <v>1</v>
      </c>
      <c r="Q364" s="4">
        <f t="shared" si="278"/>
        <v>1</v>
      </c>
      <c r="R364" s="4">
        <f t="shared" si="278"/>
        <v>1</v>
      </c>
      <c r="S364" s="4">
        <f t="shared" si="278"/>
        <v>1</v>
      </c>
      <c r="U364" s="3">
        <f t="shared" si="220"/>
        <v>0</v>
      </c>
      <c r="V364" s="1" t="str">
        <f t="shared" si="221"/>
        <v/>
      </c>
    </row>
    <row r="365" spans="1:22" x14ac:dyDescent="0.25">
      <c r="A365" s="2">
        <v>362</v>
      </c>
      <c r="C365" s="7"/>
      <c r="H365" s="2">
        <f t="shared" si="216"/>
        <v>1</v>
      </c>
      <c r="I365" s="45" t="str">
        <f>IF(D365&lt;&gt;"",(VLOOKUP(D365,part_details,4,FALSE)+VLOOKUP(D365,part_details,5,FALSE)+VLOOKUP(D365,part_details,6,FALSE))*'Multi-level BOM'!E365,"")</f>
        <v/>
      </c>
      <c r="J365" s="4">
        <f t="shared" ref="J365:S365" si="279">IF($B365="",J364,
    IF(J$3=$B365,$E365,
       IF(J$3&lt;$B365,J364,
           1
)))</f>
        <v>1</v>
      </c>
      <c r="K365" s="4">
        <f t="shared" si="279"/>
        <v>1</v>
      </c>
      <c r="L365" s="4">
        <f t="shared" si="279"/>
        <v>1</v>
      </c>
      <c r="M365" s="4">
        <f t="shared" si="279"/>
        <v>1</v>
      </c>
      <c r="N365" s="4">
        <f t="shared" si="279"/>
        <v>1</v>
      </c>
      <c r="O365" s="4">
        <f t="shared" si="279"/>
        <v>1</v>
      </c>
      <c r="P365" s="4">
        <f t="shared" si="279"/>
        <v>1</v>
      </c>
      <c r="Q365" s="4">
        <f t="shared" si="279"/>
        <v>1</v>
      </c>
      <c r="R365" s="4">
        <f t="shared" si="279"/>
        <v>1</v>
      </c>
      <c r="S365" s="4">
        <f t="shared" si="279"/>
        <v>1</v>
      </c>
      <c r="U365" s="3">
        <f t="shared" si="220"/>
        <v>0</v>
      </c>
      <c r="V365" s="1" t="str">
        <f t="shared" si="221"/>
        <v/>
      </c>
    </row>
    <row r="366" spans="1:22" x14ac:dyDescent="0.25">
      <c r="A366" s="2">
        <v>363</v>
      </c>
      <c r="C366" s="7"/>
      <c r="H366" s="2">
        <f t="shared" si="216"/>
        <v>1</v>
      </c>
      <c r="I366" s="45" t="str">
        <f>IF(D366&lt;&gt;"",(VLOOKUP(D366,part_details,4,FALSE)+VLOOKUP(D366,part_details,5,FALSE)+VLOOKUP(D366,part_details,6,FALSE))*'Multi-level BOM'!E366,"")</f>
        <v/>
      </c>
      <c r="J366" s="4">
        <f t="shared" ref="J366:S366" si="280">IF($B366="",J365,
    IF(J$3=$B366,$E366,
       IF(J$3&lt;$B366,J365,
           1
)))</f>
        <v>1</v>
      </c>
      <c r="K366" s="4">
        <f t="shared" si="280"/>
        <v>1</v>
      </c>
      <c r="L366" s="4">
        <f t="shared" si="280"/>
        <v>1</v>
      </c>
      <c r="M366" s="4">
        <f t="shared" si="280"/>
        <v>1</v>
      </c>
      <c r="N366" s="4">
        <f t="shared" si="280"/>
        <v>1</v>
      </c>
      <c r="O366" s="4">
        <f t="shared" si="280"/>
        <v>1</v>
      </c>
      <c r="P366" s="4">
        <f t="shared" si="280"/>
        <v>1</v>
      </c>
      <c r="Q366" s="4">
        <f t="shared" si="280"/>
        <v>1</v>
      </c>
      <c r="R366" s="4">
        <f t="shared" si="280"/>
        <v>1</v>
      </c>
      <c r="S366" s="4">
        <f t="shared" si="280"/>
        <v>1</v>
      </c>
      <c r="U366" s="3">
        <f t="shared" si="220"/>
        <v>0</v>
      </c>
      <c r="V366" s="1" t="str">
        <f t="shared" si="221"/>
        <v/>
      </c>
    </row>
    <row r="367" spans="1:22" x14ac:dyDescent="0.25">
      <c r="A367" s="2">
        <v>364</v>
      </c>
      <c r="C367" s="7"/>
      <c r="H367" s="2">
        <f t="shared" si="216"/>
        <v>1</v>
      </c>
      <c r="I367" s="45" t="str">
        <f>IF(D367&lt;&gt;"",(VLOOKUP(D367,part_details,4,FALSE)+VLOOKUP(D367,part_details,5,FALSE)+VLOOKUP(D367,part_details,6,FALSE))*'Multi-level BOM'!E367,"")</f>
        <v/>
      </c>
      <c r="J367" s="4">
        <f t="shared" ref="J367:S367" si="281">IF($B367="",J366,
    IF(J$3=$B367,$E367,
       IF(J$3&lt;$B367,J366,
           1
)))</f>
        <v>1</v>
      </c>
      <c r="K367" s="4">
        <f t="shared" si="281"/>
        <v>1</v>
      </c>
      <c r="L367" s="4">
        <f t="shared" si="281"/>
        <v>1</v>
      </c>
      <c r="M367" s="4">
        <f t="shared" si="281"/>
        <v>1</v>
      </c>
      <c r="N367" s="4">
        <f t="shared" si="281"/>
        <v>1</v>
      </c>
      <c r="O367" s="4">
        <f t="shared" si="281"/>
        <v>1</v>
      </c>
      <c r="P367" s="4">
        <f t="shared" si="281"/>
        <v>1</v>
      </c>
      <c r="Q367" s="4">
        <f t="shared" si="281"/>
        <v>1</v>
      </c>
      <c r="R367" s="4">
        <f t="shared" si="281"/>
        <v>1</v>
      </c>
      <c r="S367" s="4">
        <f t="shared" si="281"/>
        <v>1</v>
      </c>
      <c r="U367" s="3">
        <f t="shared" si="220"/>
        <v>0</v>
      </c>
      <c r="V367" s="1" t="str">
        <f t="shared" si="221"/>
        <v/>
      </c>
    </row>
    <row r="368" spans="1:22" x14ac:dyDescent="0.25">
      <c r="A368" s="2">
        <v>365</v>
      </c>
      <c r="C368" s="7"/>
      <c r="H368" s="2">
        <f t="shared" si="216"/>
        <v>1</v>
      </c>
      <c r="I368" s="45" t="str">
        <f>IF(D368&lt;&gt;"",(VLOOKUP(D368,part_details,4,FALSE)+VLOOKUP(D368,part_details,5,FALSE)+VLOOKUP(D368,part_details,6,FALSE))*'Multi-level BOM'!E368,"")</f>
        <v/>
      </c>
      <c r="J368" s="4">
        <f t="shared" ref="J368:S368" si="282">IF($B368="",J367,
    IF(J$3=$B368,$E368,
       IF(J$3&lt;$B368,J367,
           1
)))</f>
        <v>1</v>
      </c>
      <c r="K368" s="4">
        <f t="shared" si="282"/>
        <v>1</v>
      </c>
      <c r="L368" s="4">
        <f t="shared" si="282"/>
        <v>1</v>
      </c>
      <c r="M368" s="4">
        <f t="shared" si="282"/>
        <v>1</v>
      </c>
      <c r="N368" s="4">
        <f t="shared" si="282"/>
        <v>1</v>
      </c>
      <c r="O368" s="4">
        <f t="shared" si="282"/>
        <v>1</v>
      </c>
      <c r="P368" s="4">
        <f t="shared" si="282"/>
        <v>1</v>
      </c>
      <c r="Q368" s="4">
        <f t="shared" si="282"/>
        <v>1</v>
      </c>
      <c r="R368" s="4">
        <f t="shared" si="282"/>
        <v>1</v>
      </c>
      <c r="S368" s="4">
        <f t="shared" si="282"/>
        <v>1</v>
      </c>
      <c r="U368" s="3">
        <f t="shared" si="220"/>
        <v>0</v>
      </c>
      <c r="V368" s="1" t="str">
        <f t="shared" si="221"/>
        <v/>
      </c>
    </row>
    <row r="369" spans="1:22" x14ac:dyDescent="0.25">
      <c r="A369" s="2">
        <v>366</v>
      </c>
      <c r="C369" s="7"/>
      <c r="H369" s="2">
        <f t="shared" ref="H369:H377" si="283">PRODUCT(J369:S369)</f>
        <v>1</v>
      </c>
      <c r="I369" s="45" t="str">
        <f>IF(D369&lt;&gt;"",(VLOOKUP(D369,part_details,4,FALSE)+VLOOKUP(D369,part_details,5,FALSE)+VLOOKUP(D369,part_details,6,FALSE))*'Multi-level BOM'!E369,"")</f>
        <v/>
      </c>
      <c r="J369" s="4">
        <f t="shared" ref="J369:S369" si="284">IF($B369="",J368,
    IF(J$3=$B369,$E369,
       IF(J$3&lt;$B369,J368,
           1
)))</f>
        <v>1</v>
      </c>
      <c r="K369" s="4">
        <f t="shared" si="284"/>
        <v>1</v>
      </c>
      <c r="L369" s="4">
        <f t="shared" si="284"/>
        <v>1</v>
      </c>
      <c r="M369" s="4">
        <f t="shared" si="284"/>
        <v>1</v>
      </c>
      <c r="N369" s="4">
        <f t="shared" si="284"/>
        <v>1</v>
      </c>
      <c r="O369" s="4">
        <f t="shared" si="284"/>
        <v>1</v>
      </c>
      <c r="P369" s="4">
        <f t="shared" si="284"/>
        <v>1</v>
      </c>
      <c r="Q369" s="4">
        <f t="shared" si="284"/>
        <v>1</v>
      </c>
      <c r="R369" s="4">
        <f t="shared" si="284"/>
        <v>1</v>
      </c>
      <c r="S369" s="4">
        <f t="shared" si="284"/>
        <v>1</v>
      </c>
      <c r="U369" s="3">
        <f t="shared" si="220"/>
        <v>0</v>
      </c>
      <c r="V369" s="1" t="str">
        <f t="shared" si="221"/>
        <v/>
      </c>
    </row>
    <row r="370" spans="1:22" x14ac:dyDescent="0.25">
      <c r="A370" s="2">
        <v>367</v>
      </c>
      <c r="C370" s="7"/>
      <c r="H370" s="2">
        <f t="shared" si="283"/>
        <v>1</v>
      </c>
      <c r="I370" s="45" t="str">
        <f>IF(D370&lt;&gt;"",(VLOOKUP(D370,part_details,4,FALSE)+VLOOKUP(D370,part_details,5,FALSE)+VLOOKUP(D370,part_details,6,FALSE))*'Multi-level BOM'!E370,"")</f>
        <v/>
      </c>
      <c r="J370" s="4">
        <f t="shared" ref="J370:S370" si="285">IF($B370="",J369,
    IF(J$3=$B370,$E370,
       IF(J$3&lt;$B370,J369,
           1
)))</f>
        <v>1</v>
      </c>
      <c r="K370" s="4">
        <f t="shared" si="285"/>
        <v>1</v>
      </c>
      <c r="L370" s="4">
        <f t="shared" si="285"/>
        <v>1</v>
      </c>
      <c r="M370" s="4">
        <f t="shared" si="285"/>
        <v>1</v>
      </c>
      <c r="N370" s="4">
        <f t="shared" si="285"/>
        <v>1</v>
      </c>
      <c r="O370" s="4">
        <f t="shared" si="285"/>
        <v>1</v>
      </c>
      <c r="P370" s="4">
        <f t="shared" si="285"/>
        <v>1</v>
      </c>
      <c r="Q370" s="4">
        <f t="shared" si="285"/>
        <v>1</v>
      </c>
      <c r="R370" s="4">
        <f t="shared" si="285"/>
        <v>1</v>
      </c>
      <c r="S370" s="4">
        <f t="shared" si="285"/>
        <v>1</v>
      </c>
      <c r="U370" s="3">
        <f t="shared" si="220"/>
        <v>0</v>
      </c>
      <c r="V370" s="1" t="str">
        <f t="shared" si="221"/>
        <v/>
      </c>
    </row>
    <row r="371" spans="1:22" x14ac:dyDescent="0.25">
      <c r="A371" s="2">
        <v>368</v>
      </c>
      <c r="C371" s="7"/>
      <c r="H371" s="2">
        <f t="shared" si="283"/>
        <v>1</v>
      </c>
      <c r="I371" s="45" t="str">
        <f>IF(D371&lt;&gt;"",(VLOOKUP(D371,part_details,4,FALSE)+VLOOKUP(D371,part_details,5,FALSE)+VLOOKUP(D371,part_details,6,FALSE))*'Multi-level BOM'!E371,"")</f>
        <v/>
      </c>
      <c r="J371" s="4">
        <f t="shared" ref="J371:S371" si="286">IF($B371="",J370,
    IF(J$3=$B371,$E371,
       IF(J$3&lt;$B371,J370,
           1
)))</f>
        <v>1</v>
      </c>
      <c r="K371" s="4">
        <f t="shared" si="286"/>
        <v>1</v>
      </c>
      <c r="L371" s="4">
        <f t="shared" si="286"/>
        <v>1</v>
      </c>
      <c r="M371" s="4">
        <f t="shared" si="286"/>
        <v>1</v>
      </c>
      <c r="N371" s="4">
        <f t="shared" si="286"/>
        <v>1</v>
      </c>
      <c r="O371" s="4">
        <f t="shared" si="286"/>
        <v>1</v>
      </c>
      <c r="P371" s="4">
        <f t="shared" si="286"/>
        <v>1</v>
      </c>
      <c r="Q371" s="4">
        <f t="shared" si="286"/>
        <v>1</v>
      </c>
      <c r="R371" s="4">
        <f t="shared" si="286"/>
        <v>1</v>
      </c>
      <c r="S371" s="4">
        <f t="shared" si="286"/>
        <v>1</v>
      </c>
      <c r="U371" s="3">
        <f t="shared" ref="U371:U377" si="287">IF(F371="x",I371,0)</f>
        <v>0</v>
      </c>
      <c r="V371" s="1" t="str">
        <f t="shared" ref="V371:V377" si="288">IF(F371="x",D371,"")</f>
        <v/>
      </c>
    </row>
    <row r="372" spans="1:22" x14ac:dyDescent="0.25">
      <c r="A372" s="2">
        <v>369</v>
      </c>
      <c r="C372" s="7"/>
      <c r="H372" s="2">
        <f t="shared" si="283"/>
        <v>1</v>
      </c>
      <c r="I372" s="45" t="str">
        <f>IF(D372&lt;&gt;"",(VLOOKUP(D372,part_details,4,FALSE)+VLOOKUP(D372,part_details,5,FALSE)+VLOOKUP(D372,part_details,6,FALSE))*'Multi-level BOM'!E372,"")</f>
        <v/>
      </c>
      <c r="J372" s="4">
        <f t="shared" ref="J372:S372" si="289">IF($B372="",J371,
    IF(J$3=$B372,$E372,
       IF(J$3&lt;$B372,J371,
           1
)))</f>
        <v>1</v>
      </c>
      <c r="K372" s="4">
        <f t="shared" si="289"/>
        <v>1</v>
      </c>
      <c r="L372" s="4">
        <f t="shared" si="289"/>
        <v>1</v>
      </c>
      <c r="M372" s="4">
        <f t="shared" si="289"/>
        <v>1</v>
      </c>
      <c r="N372" s="4">
        <f t="shared" si="289"/>
        <v>1</v>
      </c>
      <c r="O372" s="4">
        <f t="shared" si="289"/>
        <v>1</v>
      </c>
      <c r="P372" s="4">
        <f t="shared" si="289"/>
        <v>1</v>
      </c>
      <c r="Q372" s="4">
        <f t="shared" si="289"/>
        <v>1</v>
      </c>
      <c r="R372" s="4">
        <f t="shared" si="289"/>
        <v>1</v>
      </c>
      <c r="S372" s="4">
        <f t="shared" si="289"/>
        <v>1</v>
      </c>
      <c r="U372" s="3">
        <f t="shared" si="287"/>
        <v>0</v>
      </c>
      <c r="V372" s="1" t="str">
        <f t="shared" si="288"/>
        <v/>
      </c>
    </row>
    <row r="373" spans="1:22" x14ac:dyDescent="0.25">
      <c r="A373" s="2">
        <v>370</v>
      </c>
      <c r="C373" s="7"/>
      <c r="H373" s="2">
        <f t="shared" si="283"/>
        <v>1</v>
      </c>
      <c r="I373" s="45" t="str">
        <f>IF(D373&lt;&gt;"",(VLOOKUP(D373,part_details,4,FALSE)+VLOOKUP(D373,part_details,5,FALSE)+VLOOKUP(D373,part_details,6,FALSE))*'Multi-level BOM'!E373,"")</f>
        <v/>
      </c>
      <c r="J373" s="4">
        <f t="shared" ref="J373:S373" si="290">IF($B373="",J372,
    IF(J$3=$B373,$E373,
       IF(J$3&lt;$B373,J372,
           1
)))</f>
        <v>1</v>
      </c>
      <c r="K373" s="4">
        <f t="shared" si="290"/>
        <v>1</v>
      </c>
      <c r="L373" s="4">
        <f t="shared" si="290"/>
        <v>1</v>
      </c>
      <c r="M373" s="4">
        <f t="shared" si="290"/>
        <v>1</v>
      </c>
      <c r="N373" s="4">
        <f t="shared" si="290"/>
        <v>1</v>
      </c>
      <c r="O373" s="4">
        <f t="shared" si="290"/>
        <v>1</v>
      </c>
      <c r="P373" s="4">
        <f t="shared" si="290"/>
        <v>1</v>
      </c>
      <c r="Q373" s="4">
        <f t="shared" si="290"/>
        <v>1</v>
      </c>
      <c r="R373" s="4">
        <f t="shared" si="290"/>
        <v>1</v>
      </c>
      <c r="S373" s="4">
        <f t="shared" si="290"/>
        <v>1</v>
      </c>
      <c r="U373" s="3">
        <f t="shared" si="287"/>
        <v>0</v>
      </c>
      <c r="V373" s="1" t="str">
        <f t="shared" si="288"/>
        <v/>
      </c>
    </row>
    <row r="374" spans="1:22" x14ac:dyDescent="0.25">
      <c r="A374" s="2">
        <v>371</v>
      </c>
      <c r="C374" s="7"/>
      <c r="H374" s="2">
        <f t="shared" si="283"/>
        <v>1</v>
      </c>
      <c r="I374" s="45" t="str">
        <f>IF(D374&lt;&gt;"",(VLOOKUP(D374,part_details,4,FALSE)+VLOOKUP(D374,part_details,5,FALSE)+VLOOKUP(D374,part_details,6,FALSE))*'Multi-level BOM'!E374,"")</f>
        <v/>
      </c>
      <c r="J374" s="4">
        <f t="shared" ref="J374:S374" si="291">IF($B374="",J373,
    IF(J$3=$B374,$E374,
       IF(J$3&lt;$B374,J373,
           1
)))</f>
        <v>1</v>
      </c>
      <c r="K374" s="4">
        <f t="shared" si="291"/>
        <v>1</v>
      </c>
      <c r="L374" s="4">
        <f t="shared" si="291"/>
        <v>1</v>
      </c>
      <c r="M374" s="4">
        <f t="shared" si="291"/>
        <v>1</v>
      </c>
      <c r="N374" s="4">
        <f t="shared" si="291"/>
        <v>1</v>
      </c>
      <c r="O374" s="4">
        <f t="shared" si="291"/>
        <v>1</v>
      </c>
      <c r="P374" s="4">
        <f t="shared" si="291"/>
        <v>1</v>
      </c>
      <c r="Q374" s="4">
        <f t="shared" si="291"/>
        <v>1</v>
      </c>
      <c r="R374" s="4">
        <f t="shared" si="291"/>
        <v>1</v>
      </c>
      <c r="S374" s="4">
        <f t="shared" si="291"/>
        <v>1</v>
      </c>
      <c r="U374" s="3">
        <f t="shared" si="287"/>
        <v>0</v>
      </c>
      <c r="V374" s="1" t="str">
        <f t="shared" si="288"/>
        <v/>
      </c>
    </row>
    <row r="375" spans="1:22" x14ac:dyDescent="0.25">
      <c r="C375" s="7"/>
      <c r="H375" s="2">
        <f t="shared" si="283"/>
        <v>1</v>
      </c>
      <c r="I375" s="45" t="str">
        <f>IF(D375&lt;&gt;"",(VLOOKUP(D375,part_details,4,FALSE)+VLOOKUP(D375,part_details,5,FALSE)+VLOOKUP(D375,part_details,6,FALSE))*'Multi-level BOM'!E375,"")</f>
        <v/>
      </c>
      <c r="J375" s="4">
        <f t="shared" ref="J375:S375" si="292">IF($B375="",J374,
    IF(J$3=$B375,$E375,
       IF(J$3&lt;$B375,J374,
           1
)))</f>
        <v>1</v>
      </c>
      <c r="K375" s="4">
        <f t="shared" si="292"/>
        <v>1</v>
      </c>
      <c r="L375" s="4">
        <f t="shared" si="292"/>
        <v>1</v>
      </c>
      <c r="M375" s="4">
        <f t="shared" si="292"/>
        <v>1</v>
      </c>
      <c r="N375" s="4">
        <f t="shared" si="292"/>
        <v>1</v>
      </c>
      <c r="O375" s="4">
        <f t="shared" si="292"/>
        <v>1</v>
      </c>
      <c r="P375" s="4">
        <f t="shared" si="292"/>
        <v>1</v>
      </c>
      <c r="Q375" s="4">
        <f t="shared" si="292"/>
        <v>1</v>
      </c>
      <c r="R375" s="4">
        <f t="shared" si="292"/>
        <v>1</v>
      </c>
      <c r="S375" s="4">
        <f t="shared" si="292"/>
        <v>1</v>
      </c>
      <c r="U375" s="3">
        <f t="shared" si="287"/>
        <v>0</v>
      </c>
      <c r="V375" s="1" t="str">
        <f t="shared" si="288"/>
        <v/>
      </c>
    </row>
    <row r="376" spans="1:22" x14ac:dyDescent="0.25">
      <c r="C376" s="7"/>
      <c r="H376" s="2">
        <f t="shared" si="283"/>
        <v>1</v>
      </c>
      <c r="I376" s="45" t="str">
        <f>IF(D376&lt;&gt;"",(VLOOKUP(D376,part_details,4,FALSE)+VLOOKUP(D376,part_details,5,FALSE)+VLOOKUP(D376,part_details,6,FALSE))*'Multi-level BOM'!E376,"")</f>
        <v/>
      </c>
      <c r="J376" s="4">
        <f t="shared" ref="J376:S376" si="293">IF($B376="",J375,
    IF(J$3=$B376,$E376,
       IF(J$3&lt;$B376,J375,
           1
)))</f>
        <v>1</v>
      </c>
      <c r="K376" s="4">
        <f t="shared" si="293"/>
        <v>1</v>
      </c>
      <c r="L376" s="4">
        <f t="shared" si="293"/>
        <v>1</v>
      </c>
      <c r="M376" s="4">
        <f t="shared" si="293"/>
        <v>1</v>
      </c>
      <c r="N376" s="4">
        <f t="shared" si="293"/>
        <v>1</v>
      </c>
      <c r="O376" s="4">
        <f t="shared" si="293"/>
        <v>1</v>
      </c>
      <c r="P376" s="4">
        <f t="shared" si="293"/>
        <v>1</v>
      </c>
      <c r="Q376" s="4">
        <f t="shared" si="293"/>
        <v>1</v>
      </c>
      <c r="R376" s="4">
        <f t="shared" si="293"/>
        <v>1</v>
      </c>
      <c r="S376" s="4">
        <f t="shared" si="293"/>
        <v>1</v>
      </c>
      <c r="U376" s="3">
        <f t="shared" si="287"/>
        <v>0</v>
      </c>
      <c r="V376" s="1" t="str">
        <f t="shared" si="288"/>
        <v/>
      </c>
    </row>
    <row r="377" spans="1:22" x14ac:dyDescent="0.25">
      <c r="C377" s="7"/>
      <c r="H377" s="2">
        <f t="shared" si="283"/>
        <v>1</v>
      </c>
      <c r="I377" s="45" t="str">
        <f>IF(D377&lt;&gt;"",(VLOOKUP(D377,part_details,4,FALSE)+VLOOKUP(D377,part_details,5,FALSE)+VLOOKUP(D377,part_details,6,FALSE))*'Multi-level BOM'!E377,"")</f>
        <v/>
      </c>
      <c r="J377" s="4">
        <f t="shared" ref="J377:S377" si="294">IF($B377="",J376,
    IF(J$3=$B377,$E377,
       IF(J$3&lt;$B377,J376,
           1
)))</f>
        <v>1</v>
      </c>
      <c r="K377" s="4">
        <f t="shared" si="294"/>
        <v>1</v>
      </c>
      <c r="L377" s="4">
        <f t="shared" si="294"/>
        <v>1</v>
      </c>
      <c r="M377" s="4">
        <f t="shared" si="294"/>
        <v>1</v>
      </c>
      <c r="N377" s="4">
        <f t="shared" si="294"/>
        <v>1</v>
      </c>
      <c r="O377" s="4">
        <f t="shared" si="294"/>
        <v>1</v>
      </c>
      <c r="P377" s="4">
        <f t="shared" si="294"/>
        <v>1</v>
      </c>
      <c r="Q377" s="4">
        <f t="shared" si="294"/>
        <v>1</v>
      </c>
      <c r="R377" s="4">
        <f t="shared" si="294"/>
        <v>1</v>
      </c>
      <c r="S377" s="4">
        <f t="shared" si="294"/>
        <v>1</v>
      </c>
      <c r="U377" s="3">
        <f t="shared" si="287"/>
        <v>0</v>
      </c>
      <c r="V377" s="1" t="str">
        <f t="shared" si="288"/>
        <v/>
      </c>
    </row>
    <row r="378" spans="1:22" x14ac:dyDescent="0.25">
      <c r="C378" s="7"/>
      <c r="U378" s="3">
        <f t="shared" ref="U378:U398" si="295">IF(F378="x",I378,0)</f>
        <v>0</v>
      </c>
      <c r="V378" s="1" t="str">
        <f t="shared" ref="V378:V389" si="296">IF(F378="x",D378,"")</f>
        <v/>
      </c>
    </row>
    <row r="379" spans="1:22" x14ac:dyDescent="0.25">
      <c r="C379" s="7"/>
      <c r="U379" s="3">
        <f t="shared" si="295"/>
        <v>0</v>
      </c>
      <c r="V379" s="1" t="str">
        <f t="shared" si="296"/>
        <v/>
      </c>
    </row>
    <row r="380" spans="1:22" x14ac:dyDescent="0.25">
      <c r="C380" s="7"/>
      <c r="U380" s="3">
        <f t="shared" si="295"/>
        <v>0</v>
      </c>
      <c r="V380" s="1" t="str">
        <f t="shared" si="296"/>
        <v/>
      </c>
    </row>
    <row r="381" spans="1:22" x14ac:dyDescent="0.25">
      <c r="C381" s="7"/>
      <c r="U381" s="3">
        <f t="shared" si="295"/>
        <v>0</v>
      </c>
      <c r="V381" s="1" t="str">
        <f t="shared" si="296"/>
        <v/>
      </c>
    </row>
    <row r="382" spans="1:22" x14ac:dyDescent="0.25">
      <c r="C382" s="7"/>
      <c r="U382" s="3">
        <f t="shared" si="295"/>
        <v>0</v>
      </c>
      <c r="V382" s="1" t="str">
        <f t="shared" si="296"/>
        <v/>
      </c>
    </row>
    <row r="383" spans="1:22" x14ac:dyDescent="0.25">
      <c r="C383" s="7"/>
      <c r="U383" s="3">
        <f t="shared" si="295"/>
        <v>0</v>
      </c>
      <c r="V383" s="1" t="str">
        <f t="shared" si="296"/>
        <v/>
      </c>
    </row>
    <row r="384" spans="1:22" x14ac:dyDescent="0.25">
      <c r="C384" s="7"/>
      <c r="U384" s="3">
        <f t="shared" si="295"/>
        <v>0</v>
      </c>
      <c r="V384" s="1" t="str">
        <f t="shared" si="296"/>
        <v/>
      </c>
    </row>
    <row r="385" spans="3:22" x14ac:dyDescent="0.25">
      <c r="C385" s="7"/>
      <c r="U385" s="3">
        <f t="shared" si="295"/>
        <v>0</v>
      </c>
      <c r="V385" s="1" t="str">
        <f t="shared" si="296"/>
        <v/>
      </c>
    </row>
    <row r="386" spans="3:22" x14ac:dyDescent="0.25">
      <c r="C386" s="7"/>
      <c r="U386" s="3">
        <f t="shared" si="295"/>
        <v>0</v>
      </c>
      <c r="V386" s="1" t="str">
        <f t="shared" si="296"/>
        <v/>
      </c>
    </row>
    <row r="387" spans="3:22" x14ac:dyDescent="0.25">
      <c r="C387" s="7"/>
      <c r="U387" s="3">
        <f t="shared" si="295"/>
        <v>0</v>
      </c>
      <c r="V387" s="1" t="str">
        <f t="shared" si="296"/>
        <v/>
      </c>
    </row>
    <row r="388" spans="3:22" x14ac:dyDescent="0.25">
      <c r="C388" s="7"/>
      <c r="U388" s="3">
        <f t="shared" si="295"/>
        <v>0</v>
      </c>
      <c r="V388" s="1" t="str">
        <f t="shared" si="296"/>
        <v/>
      </c>
    </row>
    <row r="389" spans="3:22" x14ac:dyDescent="0.25">
      <c r="C389" s="7"/>
      <c r="U389" s="3">
        <f t="shared" si="295"/>
        <v>0</v>
      </c>
      <c r="V389" s="1" t="str">
        <f t="shared" si="296"/>
        <v/>
      </c>
    </row>
    <row r="390" spans="3:22" x14ac:dyDescent="0.25">
      <c r="C390" s="7"/>
      <c r="U390" s="3">
        <f t="shared" si="295"/>
        <v>0</v>
      </c>
      <c r="V390" s="1" t="str">
        <f t="shared" ref="V390:V454" si="297">IF(F390="x",D390,"")</f>
        <v/>
      </c>
    </row>
    <row r="391" spans="3:22" x14ac:dyDescent="0.25">
      <c r="C391" s="7"/>
      <c r="U391" s="3">
        <f t="shared" si="295"/>
        <v>0</v>
      </c>
      <c r="V391" s="1" t="str">
        <f t="shared" si="297"/>
        <v/>
      </c>
    </row>
    <row r="392" spans="3:22" x14ac:dyDescent="0.25">
      <c r="C392" s="7"/>
      <c r="U392" s="3">
        <f t="shared" si="295"/>
        <v>0</v>
      </c>
      <c r="V392" s="1" t="str">
        <f t="shared" si="297"/>
        <v/>
      </c>
    </row>
    <row r="393" spans="3:22" x14ac:dyDescent="0.25">
      <c r="C393" s="7"/>
      <c r="U393" s="3">
        <f t="shared" si="295"/>
        <v>0</v>
      </c>
      <c r="V393" s="1" t="str">
        <f t="shared" si="297"/>
        <v/>
      </c>
    </row>
    <row r="394" spans="3:22" x14ac:dyDescent="0.25">
      <c r="C394" s="7"/>
      <c r="U394" s="3">
        <f t="shared" si="295"/>
        <v>0</v>
      </c>
      <c r="V394" s="1" t="str">
        <f t="shared" si="297"/>
        <v/>
      </c>
    </row>
    <row r="395" spans="3:22" x14ac:dyDescent="0.25">
      <c r="C395" s="7"/>
      <c r="U395" s="3">
        <f t="shared" si="295"/>
        <v>0</v>
      </c>
      <c r="V395" s="1" t="str">
        <f t="shared" si="297"/>
        <v/>
      </c>
    </row>
    <row r="396" spans="3:22" x14ac:dyDescent="0.25">
      <c r="C396" s="7"/>
      <c r="U396" s="3">
        <f t="shared" si="295"/>
        <v>0</v>
      </c>
      <c r="V396" s="1" t="str">
        <f t="shared" si="297"/>
        <v/>
      </c>
    </row>
    <row r="397" spans="3:22" x14ac:dyDescent="0.25">
      <c r="C397" s="7"/>
      <c r="U397" s="3">
        <f t="shared" si="295"/>
        <v>0</v>
      </c>
      <c r="V397" s="1" t="str">
        <f t="shared" si="297"/>
        <v/>
      </c>
    </row>
    <row r="398" spans="3:22" x14ac:dyDescent="0.25">
      <c r="C398" s="7"/>
      <c r="U398" s="3">
        <f t="shared" si="295"/>
        <v>0</v>
      </c>
      <c r="V398" s="1" t="str">
        <f t="shared" si="297"/>
        <v/>
      </c>
    </row>
    <row r="399" spans="3:22" x14ac:dyDescent="0.25">
      <c r="C399" s="7"/>
      <c r="U399" s="3">
        <f t="shared" ref="U399:U449" si="298">IF(F399="x",I399,0)</f>
        <v>0</v>
      </c>
      <c r="V399" s="1" t="str">
        <f t="shared" si="297"/>
        <v/>
      </c>
    </row>
    <row r="400" spans="3:22" x14ac:dyDescent="0.25">
      <c r="C400" s="7"/>
      <c r="U400" s="3">
        <f t="shared" si="298"/>
        <v>0</v>
      </c>
      <c r="V400" s="1" t="str">
        <f t="shared" si="297"/>
        <v/>
      </c>
    </row>
    <row r="401" spans="3:22" x14ac:dyDescent="0.25">
      <c r="C401" s="7"/>
      <c r="U401" s="3">
        <f t="shared" si="298"/>
        <v>0</v>
      </c>
      <c r="V401" s="1" t="str">
        <f t="shared" si="297"/>
        <v/>
      </c>
    </row>
    <row r="402" spans="3:22" x14ac:dyDescent="0.25">
      <c r="C402" s="7"/>
      <c r="U402" s="3">
        <f t="shared" si="298"/>
        <v>0</v>
      </c>
      <c r="V402" s="1" t="str">
        <f t="shared" si="297"/>
        <v/>
      </c>
    </row>
    <row r="403" spans="3:22" x14ac:dyDescent="0.25">
      <c r="C403" s="7"/>
      <c r="U403" s="3">
        <f t="shared" si="298"/>
        <v>0</v>
      </c>
      <c r="V403" s="1" t="str">
        <f t="shared" si="297"/>
        <v/>
      </c>
    </row>
    <row r="404" spans="3:22" x14ac:dyDescent="0.25">
      <c r="C404" s="7"/>
      <c r="U404" s="3">
        <f t="shared" si="298"/>
        <v>0</v>
      </c>
      <c r="V404" s="1" t="str">
        <f t="shared" si="297"/>
        <v/>
      </c>
    </row>
    <row r="405" spans="3:22" x14ac:dyDescent="0.25">
      <c r="C405" s="7"/>
      <c r="U405" s="3">
        <f t="shared" si="298"/>
        <v>0</v>
      </c>
      <c r="V405" s="1" t="str">
        <f t="shared" si="297"/>
        <v/>
      </c>
    </row>
    <row r="406" spans="3:22" x14ac:dyDescent="0.25">
      <c r="C406" s="7"/>
      <c r="U406" s="3">
        <f t="shared" si="298"/>
        <v>0</v>
      </c>
      <c r="V406" s="1" t="str">
        <f t="shared" si="297"/>
        <v/>
      </c>
    </row>
    <row r="407" spans="3:22" x14ac:dyDescent="0.25">
      <c r="C407" s="7"/>
      <c r="U407" s="3">
        <f t="shared" si="298"/>
        <v>0</v>
      </c>
      <c r="V407" s="1" t="str">
        <f t="shared" si="297"/>
        <v/>
      </c>
    </row>
    <row r="408" spans="3:22" x14ac:dyDescent="0.25">
      <c r="C408" s="7"/>
      <c r="U408" s="3">
        <f t="shared" si="298"/>
        <v>0</v>
      </c>
      <c r="V408" s="1" t="str">
        <f t="shared" si="297"/>
        <v/>
      </c>
    </row>
    <row r="409" spans="3:22" x14ac:dyDescent="0.25">
      <c r="C409" s="7"/>
      <c r="U409" s="3">
        <f t="shared" si="298"/>
        <v>0</v>
      </c>
      <c r="V409" s="1" t="str">
        <f t="shared" si="297"/>
        <v/>
      </c>
    </row>
    <row r="410" spans="3:22" x14ac:dyDescent="0.25">
      <c r="C410" s="7"/>
      <c r="U410" s="3">
        <f t="shared" si="298"/>
        <v>0</v>
      </c>
      <c r="V410" s="1" t="str">
        <f t="shared" si="297"/>
        <v/>
      </c>
    </row>
    <row r="411" spans="3:22" x14ac:dyDescent="0.25">
      <c r="C411" s="7"/>
      <c r="U411" s="3">
        <f t="shared" si="298"/>
        <v>0</v>
      </c>
      <c r="V411" s="1" t="str">
        <f t="shared" si="297"/>
        <v/>
      </c>
    </row>
    <row r="412" spans="3:22" x14ac:dyDescent="0.25">
      <c r="C412" s="7"/>
      <c r="U412" s="3">
        <f t="shared" si="298"/>
        <v>0</v>
      </c>
      <c r="V412" s="1" t="str">
        <f t="shared" si="297"/>
        <v/>
      </c>
    </row>
    <row r="413" spans="3:22" x14ac:dyDescent="0.25">
      <c r="C413" s="7"/>
      <c r="U413" s="3">
        <f t="shared" si="298"/>
        <v>0</v>
      </c>
      <c r="V413" s="1" t="str">
        <f t="shared" si="297"/>
        <v/>
      </c>
    </row>
    <row r="414" spans="3:22" x14ac:dyDescent="0.25">
      <c r="C414" s="7"/>
      <c r="U414" s="3">
        <f t="shared" si="298"/>
        <v>0</v>
      </c>
      <c r="V414" s="1" t="str">
        <f t="shared" si="297"/>
        <v/>
      </c>
    </row>
    <row r="415" spans="3:22" x14ac:dyDescent="0.25">
      <c r="C415" s="7"/>
      <c r="U415" s="3">
        <f t="shared" si="298"/>
        <v>0</v>
      </c>
      <c r="V415" s="1" t="str">
        <f t="shared" si="297"/>
        <v/>
      </c>
    </row>
    <row r="416" spans="3:22" x14ac:dyDescent="0.25">
      <c r="C416" s="7"/>
      <c r="U416" s="3">
        <f t="shared" si="298"/>
        <v>0</v>
      </c>
      <c r="V416" s="1" t="str">
        <f t="shared" si="297"/>
        <v/>
      </c>
    </row>
    <row r="417" spans="3:22" x14ac:dyDescent="0.25">
      <c r="C417" s="7"/>
      <c r="U417" s="3">
        <f t="shared" si="298"/>
        <v>0</v>
      </c>
      <c r="V417" s="1" t="str">
        <f t="shared" si="297"/>
        <v/>
      </c>
    </row>
    <row r="418" spans="3:22" x14ac:dyDescent="0.25">
      <c r="C418" s="7"/>
      <c r="U418" s="3">
        <f t="shared" si="298"/>
        <v>0</v>
      </c>
      <c r="V418" s="1" t="str">
        <f t="shared" si="297"/>
        <v/>
      </c>
    </row>
    <row r="419" spans="3:22" x14ac:dyDescent="0.25">
      <c r="C419" s="7"/>
      <c r="U419" s="3">
        <f t="shared" si="298"/>
        <v>0</v>
      </c>
      <c r="V419" s="1" t="str">
        <f t="shared" si="297"/>
        <v/>
      </c>
    </row>
    <row r="420" spans="3:22" x14ac:dyDescent="0.25">
      <c r="C420" s="7"/>
      <c r="U420" s="3">
        <f t="shared" si="298"/>
        <v>0</v>
      </c>
      <c r="V420" s="1" t="str">
        <f t="shared" si="297"/>
        <v/>
      </c>
    </row>
    <row r="421" spans="3:22" x14ac:dyDescent="0.25">
      <c r="C421" s="7"/>
      <c r="U421" s="3">
        <f t="shared" si="298"/>
        <v>0</v>
      </c>
      <c r="V421" s="1" t="str">
        <f t="shared" si="297"/>
        <v/>
      </c>
    </row>
    <row r="422" spans="3:22" x14ac:dyDescent="0.25">
      <c r="C422" s="7"/>
      <c r="U422" s="3">
        <f t="shared" si="298"/>
        <v>0</v>
      </c>
      <c r="V422" s="1" t="str">
        <f t="shared" si="297"/>
        <v/>
      </c>
    </row>
    <row r="423" spans="3:22" x14ac:dyDescent="0.25">
      <c r="C423" s="7"/>
      <c r="U423" s="3">
        <f t="shared" si="298"/>
        <v>0</v>
      </c>
      <c r="V423" s="1" t="str">
        <f t="shared" si="297"/>
        <v/>
      </c>
    </row>
    <row r="424" spans="3:22" x14ac:dyDescent="0.25">
      <c r="C424" s="7"/>
      <c r="U424" s="3">
        <f t="shared" si="298"/>
        <v>0</v>
      </c>
      <c r="V424" s="1" t="str">
        <f t="shared" si="297"/>
        <v/>
      </c>
    </row>
    <row r="425" spans="3:22" x14ac:dyDescent="0.25">
      <c r="C425" s="7"/>
      <c r="U425" s="3">
        <f t="shared" si="298"/>
        <v>0</v>
      </c>
      <c r="V425" s="1" t="str">
        <f t="shared" si="297"/>
        <v/>
      </c>
    </row>
    <row r="426" spans="3:22" x14ac:dyDescent="0.25">
      <c r="C426" s="7"/>
      <c r="U426" s="3">
        <f t="shared" si="298"/>
        <v>0</v>
      </c>
      <c r="V426" s="1" t="str">
        <f t="shared" si="297"/>
        <v/>
      </c>
    </row>
    <row r="427" spans="3:22" x14ac:dyDescent="0.25">
      <c r="C427" s="7"/>
      <c r="U427" s="3">
        <f t="shared" si="298"/>
        <v>0</v>
      </c>
      <c r="V427" s="1" t="str">
        <f t="shared" si="297"/>
        <v/>
      </c>
    </row>
    <row r="428" spans="3:22" x14ac:dyDescent="0.25">
      <c r="C428" s="7"/>
      <c r="U428" s="3">
        <f t="shared" si="298"/>
        <v>0</v>
      </c>
      <c r="V428" s="1" t="str">
        <f t="shared" si="297"/>
        <v/>
      </c>
    </row>
    <row r="429" spans="3:22" x14ac:dyDescent="0.25">
      <c r="C429" s="7"/>
      <c r="U429" s="3">
        <f t="shared" si="298"/>
        <v>0</v>
      </c>
      <c r="V429" s="1" t="str">
        <f t="shared" si="297"/>
        <v/>
      </c>
    </row>
    <row r="430" spans="3:22" x14ac:dyDescent="0.25">
      <c r="C430" s="7"/>
      <c r="U430" s="3">
        <f t="shared" si="298"/>
        <v>0</v>
      </c>
      <c r="V430" s="1" t="str">
        <f t="shared" si="297"/>
        <v/>
      </c>
    </row>
    <row r="431" spans="3:22" x14ac:dyDescent="0.25">
      <c r="C431" s="7"/>
      <c r="U431" s="3">
        <f t="shared" si="298"/>
        <v>0</v>
      </c>
      <c r="V431" s="1" t="str">
        <f t="shared" si="297"/>
        <v/>
      </c>
    </row>
    <row r="432" spans="3:22" x14ac:dyDescent="0.25">
      <c r="C432" s="7"/>
      <c r="U432" s="3">
        <f t="shared" si="298"/>
        <v>0</v>
      </c>
      <c r="V432" s="1" t="str">
        <f t="shared" si="297"/>
        <v/>
      </c>
    </row>
    <row r="433" spans="3:22" x14ac:dyDescent="0.25">
      <c r="C433" s="7"/>
      <c r="U433" s="3">
        <f t="shared" si="298"/>
        <v>0</v>
      </c>
      <c r="V433" s="1" t="str">
        <f t="shared" si="297"/>
        <v/>
      </c>
    </row>
    <row r="434" spans="3:22" x14ac:dyDescent="0.25">
      <c r="C434" s="7"/>
      <c r="U434" s="3">
        <f t="shared" si="298"/>
        <v>0</v>
      </c>
      <c r="V434" s="1" t="str">
        <f t="shared" si="297"/>
        <v/>
      </c>
    </row>
    <row r="435" spans="3:22" x14ac:dyDescent="0.25">
      <c r="C435" s="7"/>
      <c r="U435" s="3">
        <f t="shared" si="298"/>
        <v>0</v>
      </c>
      <c r="V435" s="1" t="str">
        <f t="shared" si="297"/>
        <v/>
      </c>
    </row>
    <row r="436" spans="3:22" x14ac:dyDescent="0.25">
      <c r="C436" s="7"/>
      <c r="U436" s="3">
        <f t="shared" si="298"/>
        <v>0</v>
      </c>
      <c r="V436" s="1" t="str">
        <f t="shared" si="297"/>
        <v/>
      </c>
    </row>
    <row r="437" spans="3:22" x14ac:dyDescent="0.25">
      <c r="C437" s="7"/>
      <c r="U437" s="3">
        <f t="shared" si="298"/>
        <v>0</v>
      </c>
      <c r="V437" s="1" t="str">
        <f t="shared" si="297"/>
        <v/>
      </c>
    </row>
    <row r="438" spans="3:22" x14ac:dyDescent="0.25">
      <c r="C438" s="7"/>
      <c r="U438" s="3">
        <f t="shared" si="298"/>
        <v>0</v>
      </c>
      <c r="V438" s="1" t="str">
        <f t="shared" si="297"/>
        <v/>
      </c>
    </row>
    <row r="439" spans="3:22" x14ac:dyDescent="0.25">
      <c r="C439" s="7"/>
      <c r="U439" s="3">
        <f t="shared" si="298"/>
        <v>0</v>
      </c>
      <c r="V439" s="1" t="str">
        <f t="shared" si="297"/>
        <v/>
      </c>
    </row>
    <row r="440" spans="3:22" x14ac:dyDescent="0.25">
      <c r="C440" s="7"/>
      <c r="U440" s="3">
        <f t="shared" si="298"/>
        <v>0</v>
      </c>
      <c r="V440" s="1" t="str">
        <f t="shared" si="297"/>
        <v/>
      </c>
    </row>
    <row r="441" spans="3:22" x14ac:dyDescent="0.25">
      <c r="C441" s="7"/>
      <c r="U441" s="3">
        <f t="shared" si="298"/>
        <v>0</v>
      </c>
      <c r="V441" s="1" t="str">
        <f t="shared" si="297"/>
        <v/>
      </c>
    </row>
    <row r="442" spans="3:22" x14ac:dyDescent="0.25">
      <c r="C442" s="7"/>
      <c r="U442" s="3">
        <f t="shared" si="298"/>
        <v>0</v>
      </c>
      <c r="V442" s="1" t="str">
        <f t="shared" si="297"/>
        <v/>
      </c>
    </row>
    <row r="443" spans="3:22" x14ac:dyDescent="0.25">
      <c r="C443" s="7"/>
      <c r="U443" s="3">
        <f t="shared" si="298"/>
        <v>0</v>
      </c>
      <c r="V443" s="1" t="str">
        <f t="shared" si="297"/>
        <v/>
      </c>
    </row>
    <row r="444" spans="3:22" x14ac:dyDescent="0.25">
      <c r="C444" s="7"/>
      <c r="U444" s="3">
        <f t="shared" si="298"/>
        <v>0</v>
      </c>
      <c r="V444" s="1" t="str">
        <f t="shared" si="297"/>
        <v/>
      </c>
    </row>
    <row r="445" spans="3:22" x14ac:dyDescent="0.25">
      <c r="C445" s="7"/>
      <c r="U445" s="3">
        <f t="shared" si="298"/>
        <v>0</v>
      </c>
      <c r="V445" s="1" t="str">
        <f t="shared" si="297"/>
        <v/>
      </c>
    </row>
    <row r="446" spans="3:22" x14ac:dyDescent="0.25">
      <c r="C446" s="7"/>
      <c r="U446" s="3">
        <f t="shared" si="298"/>
        <v>0</v>
      </c>
      <c r="V446" s="1" t="str">
        <f t="shared" si="297"/>
        <v/>
      </c>
    </row>
    <row r="447" spans="3:22" x14ac:dyDescent="0.25">
      <c r="C447" s="7"/>
      <c r="U447" s="3">
        <f t="shared" si="298"/>
        <v>0</v>
      </c>
      <c r="V447" s="1" t="str">
        <f t="shared" si="297"/>
        <v/>
      </c>
    </row>
    <row r="448" spans="3:22" x14ac:dyDescent="0.25">
      <c r="U448" s="3">
        <f t="shared" si="298"/>
        <v>0</v>
      </c>
      <c r="V448" s="1" t="str">
        <f t="shared" si="297"/>
        <v/>
      </c>
    </row>
    <row r="449" spans="8:22" x14ac:dyDescent="0.25">
      <c r="U449" s="3">
        <f t="shared" si="298"/>
        <v>0</v>
      </c>
      <c r="V449" s="1" t="str">
        <f t="shared" si="297"/>
        <v/>
      </c>
    </row>
    <row r="450" spans="8:22" x14ac:dyDescent="0.25">
      <c r="V450" s="1" t="str">
        <f t="shared" si="297"/>
        <v/>
      </c>
    </row>
    <row r="451" spans="8:22" x14ac:dyDescent="0.25">
      <c r="V451" s="1" t="str">
        <f t="shared" si="297"/>
        <v/>
      </c>
    </row>
    <row r="452" spans="8:22" x14ac:dyDescent="0.25">
      <c r="V452" s="1" t="str">
        <f t="shared" si="297"/>
        <v/>
      </c>
    </row>
    <row r="453" spans="8:22" x14ac:dyDescent="0.25">
      <c r="V453" s="1" t="str">
        <f t="shared" si="297"/>
        <v/>
      </c>
    </row>
    <row r="454" spans="8:22" x14ac:dyDescent="0.25">
      <c r="V454" s="1" t="str">
        <f t="shared" si="297"/>
        <v/>
      </c>
    </row>
    <row r="455" spans="8:22" ht="15.75" x14ac:dyDescent="0.25">
      <c r="H455" s="47"/>
    </row>
  </sheetData>
  <autoFilter ref="A2:F377">
    <sortState ref="A5:F375">
      <sortCondition ref="A2:A375"/>
    </sortState>
  </autoFilter>
  <mergeCells count="11">
    <mergeCell ref="A2:A3"/>
    <mergeCell ref="V2:V3"/>
    <mergeCell ref="U2:U3"/>
    <mergeCell ref="F2:F3"/>
    <mergeCell ref="B2:B3"/>
    <mergeCell ref="J2:S2"/>
    <mergeCell ref="C2:C3"/>
    <mergeCell ref="D2:D3"/>
    <mergeCell ref="E2:E3"/>
    <mergeCell ref="G2:G3"/>
    <mergeCell ref="H2:H3"/>
  </mergeCells>
  <conditionalFormatting sqref="C5:C14 C24 C16:C22 C60:C63 C52:C57 C77:C83 C85:C89 C158 C198:C205 C207:C227 C45:C49 C140:C152 C173 C193 C65:C75 C91:C96 C131:C132 C98:C105 C134:C138 C238:C447">
    <cfRule type="expression" dxfId="833" priority="183">
      <formula>IF(B5=3,TRUE,FALSE)</formula>
    </cfRule>
    <cfRule type="expression" dxfId="832" priority="184">
      <formula>IF(B5=2,TRUE,FALSE)</formula>
    </cfRule>
    <cfRule type="expression" dxfId="831" priority="185">
      <formula>IF(B5=1,TRUE,FALSE)</formula>
    </cfRule>
  </conditionalFormatting>
  <conditionalFormatting sqref="C139">
    <cfRule type="expression" dxfId="830" priority="177">
      <formula>IF(B139=3,TRUE,FALSE)</formula>
    </cfRule>
    <cfRule type="expression" dxfId="829" priority="178">
      <formula>IF(B139=2,TRUE,FALSE)</formula>
    </cfRule>
    <cfRule type="expression" dxfId="828" priority="179">
      <formula>IF(B139=1,TRUE,FALSE)</formula>
    </cfRule>
  </conditionalFormatting>
  <conditionalFormatting sqref="C159:C160 C163 C168:C169 C178 C171">
    <cfRule type="expression" dxfId="827" priority="174">
      <formula>IF(B159=3,TRUE,FALSE)</formula>
    </cfRule>
    <cfRule type="expression" dxfId="826" priority="175">
      <formula>IF(B159=2,TRUE,FALSE)</formula>
    </cfRule>
    <cfRule type="expression" dxfId="825" priority="176">
      <formula>IF(B159=1,TRUE,FALSE)</formula>
    </cfRule>
  </conditionalFormatting>
  <conditionalFormatting sqref="C161">
    <cfRule type="expression" dxfId="824" priority="171">
      <formula>IF(B161=3,TRUE,FALSE)</formula>
    </cfRule>
    <cfRule type="expression" dxfId="823" priority="172">
      <formula>IF(B161=2,TRUE,FALSE)</formula>
    </cfRule>
    <cfRule type="expression" dxfId="822" priority="173">
      <formula>IF(B161=1,TRUE,FALSE)</formula>
    </cfRule>
  </conditionalFormatting>
  <conditionalFormatting sqref="C179:C180 C183 C188:C189 C191">
    <cfRule type="expression" dxfId="821" priority="165">
      <formula>IF(B179=3,TRUE,FALSE)</formula>
    </cfRule>
    <cfRule type="expression" dxfId="820" priority="166">
      <formula>IF(B179=2,TRUE,FALSE)</formula>
    </cfRule>
    <cfRule type="expression" dxfId="819" priority="167">
      <formula>IF(B179=1,TRUE,FALSE)</formula>
    </cfRule>
  </conditionalFormatting>
  <conditionalFormatting sqref="C181">
    <cfRule type="expression" dxfId="818" priority="162">
      <formula>IF(B181=3,TRUE,FALSE)</formula>
    </cfRule>
    <cfRule type="expression" dxfId="817" priority="163">
      <formula>IF(B181=2,TRUE,FALSE)</formula>
    </cfRule>
    <cfRule type="expression" dxfId="816" priority="164">
      <formula>IF(B181=1,TRUE,FALSE)</formula>
    </cfRule>
  </conditionalFormatting>
  <conditionalFormatting sqref="C186">
    <cfRule type="expression" dxfId="815" priority="159">
      <formula>IF(B186=3,TRUE,FALSE)</formula>
    </cfRule>
    <cfRule type="expression" dxfId="814" priority="160">
      <formula>IF(B186=2,TRUE,FALSE)</formula>
    </cfRule>
    <cfRule type="expression" dxfId="813" priority="161">
      <formula>IF(B186=1,TRUE,FALSE)</formula>
    </cfRule>
  </conditionalFormatting>
  <conditionalFormatting sqref="C15">
    <cfRule type="expression" dxfId="812" priority="156">
      <formula>IF(B15=3,TRUE,FALSE)</formula>
    </cfRule>
    <cfRule type="expression" dxfId="811" priority="157">
      <formula>IF(B15=2,TRUE,FALSE)</formula>
    </cfRule>
    <cfRule type="expression" dxfId="810" priority="158">
      <formula>IF(B15=1,TRUE,FALSE)</formula>
    </cfRule>
  </conditionalFormatting>
  <conditionalFormatting sqref="C23">
    <cfRule type="expression" dxfId="809" priority="153">
      <formula>IF(B23=3,TRUE,FALSE)</formula>
    </cfRule>
    <cfRule type="expression" dxfId="808" priority="154">
      <formula>IF(B23=2,TRUE,FALSE)</formula>
    </cfRule>
    <cfRule type="expression" dxfId="807" priority="155">
      <formula>IF(B23=1,TRUE,FALSE)</formula>
    </cfRule>
  </conditionalFormatting>
  <conditionalFormatting sqref="C50">
    <cfRule type="expression" dxfId="806" priority="150">
      <formula>IF(B50=3,TRUE,FALSE)</formula>
    </cfRule>
    <cfRule type="expression" dxfId="805" priority="151">
      <formula>IF(B50=2,TRUE,FALSE)</formula>
    </cfRule>
    <cfRule type="expression" dxfId="804" priority="152">
      <formula>IF(B50=1,TRUE,FALSE)</formula>
    </cfRule>
  </conditionalFormatting>
  <conditionalFormatting sqref="C51">
    <cfRule type="expression" dxfId="803" priority="147">
      <formula>IF(B51=3,TRUE,FALSE)</formula>
    </cfRule>
    <cfRule type="expression" dxfId="802" priority="148">
      <formula>IF(B51=2,TRUE,FALSE)</formula>
    </cfRule>
    <cfRule type="expression" dxfId="801" priority="149">
      <formula>IF(B51=1,TRUE,FALSE)</formula>
    </cfRule>
  </conditionalFormatting>
  <conditionalFormatting sqref="C58">
    <cfRule type="expression" dxfId="800" priority="144">
      <formula>IF(B58=3,TRUE,FALSE)</formula>
    </cfRule>
    <cfRule type="expression" dxfId="799" priority="145">
      <formula>IF(B58=2,TRUE,FALSE)</formula>
    </cfRule>
    <cfRule type="expression" dxfId="798" priority="146">
      <formula>IF(B58=1,TRUE,FALSE)</formula>
    </cfRule>
  </conditionalFormatting>
  <conditionalFormatting sqref="C59">
    <cfRule type="expression" dxfId="797" priority="141">
      <formula>IF(B59=3,TRUE,FALSE)</formula>
    </cfRule>
    <cfRule type="expression" dxfId="796" priority="142">
      <formula>IF(B59=2,TRUE,FALSE)</formula>
    </cfRule>
    <cfRule type="expression" dxfId="795" priority="143">
      <formula>IF(B59=1,TRUE,FALSE)</formula>
    </cfRule>
  </conditionalFormatting>
  <conditionalFormatting sqref="C76">
    <cfRule type="expression" dxfId="794" priority="138">
      <formula>IF(B76=3,TRUE,FALSE)</formula>
    </cfRule>
    <cfRule type="expression" dxfId="793" priority="139">
      <formula>IF(B76=2,TRUE,FALSE)</formula>
    </cfRule>
    <cfRule type="expression" dxfId="792" priority="140">
      <formula>IF(B76=1,TRUE,FALSE)</formula>
    </cfRule>
  </conditionalFormatting>
  <conditionalFormatting sqref="C84">
    <cfRule type="expression" dxfId="791" priority="135">
      <formula>IF(B84=3,TRUE,FALSE)</formula>
    </cfRule>
    <cfRule type="expression" dxfId="790" priority="136">
      <formula>IF(B84=2,TRUE,FALSE)</formula>
    </cfRule>
    <cfRule type="expression" dxfId="789" priority="137">
      <formula>IF(B84=1,TRUE,FALSE)</formula>
    </cfRule>
  </conditionalFormatting>
  <conditionalFormatting sqref="C64">
    <cfRule type="expression" dxfId="788" priority="132">
      <formula>IF(B64=3,TRUE,FALSE)</formula>
    </cfRule>
    <cfRule type="expression" dxfId="787" priority="133">
      <formula>IF(B64=2,TRUE,FALSE)</formula>
    </cfRule>
    <cfRule type="expression" dxfId="786" priority="134">
      <formula>IF(B64=1,TRUE,FALSE)</formula>
    </cfRule>
  </conditionalFormatting>
  <conditionalFormatting sqref="C90">
    <cfRule type="expression" dxfId="785" priority="126">
      <formula>IF(B90=3,TRUE,FALSE)</formula>
    </cfRule>
    <cfRule type="expression" dxfId="784" priority="127">
      <formula>IF(B90=2,TRUE,FALSE)</formula>
    </cfRule>
    <cfRule type="expression" dxfId="783" priority="128">
      <formula>IF(B90=1,TRUE,FALSE)</formula>
    </cfRule>
  </conditionalFormatting>
  <conditionalFormatting sqref="C153:C157">
    <cfRule type="expression" dxfId="782" priority="123">
      <formula>IF(B153=3,TRUE,FALSE)</formula>
    </cfRule>
    <cfRule type="expression" dxfId="781" priority="124">
      <formula>IF(B153=2,TRUE,FALSE)</formula>
    </cfRule>
    <cfRule type="expression" dxfId="780" priority="125">
      <formula>IF(B153=1,TRUE,FALSE)</formula>
    </cfRule>
  </conditionalFormatting>
  <conditionalFormatting sqref="C174 C177">
    <cfRule type="expression" dxfId="779" priority="120">
      <formula>IF(B174=3,TRUE,FALSE)</formula>
    </cfRule>
    <cfRule type="expression" dxfId="778" priority="121">
      <formula>IF(B174=2,TRUE,FALSE)</formula>
    </cfRule>
    <cfRule type="expression" dxfId="777" priority="122">
      <formula>IF(B174=1,TRUE,FALSE)</formula>
    </cfRule>
  </conditionalFormatting>
  <conditionalFormatting sqref="C197">
    <cfRule type="expression" dxfId="776" priority="117">
      <formula>IF(B197=3,TRUE,FALSE)</formula>
    </cfRule>
    <cfRule type="expression" dxfId="775" priority="118">
      <formula>IF(B197=2,TRUE,FALSE)</formula>
    </cfRule>
    <cfRule type="expression" dxfId="774" priority="119">
      <formula>IF(B197=1,TRUE,FALSE)</formula>
    </cfRule>
  </conditionalFormatting>
  <conditionalFormatting sqref="C194">
    <cfRule type="expression" dxfId="773" priority="114">
      <formula>IF(B194=3,TRUE,FALSE)</formula>
    </cfRule>
    <cfRule type="expression" dxfId="772" priority="115">
      <formula>IF(B194=2,TRUE,FALSE)</formula>
    </cfRule>
    <cfRule type="expression" dxfId="771" priority="116">
      <formula>IF(B194=1,TRUE,FALSE)</formula>
    </cfRule>
  </conditionalFormatting>
  <conditionalFormatting sqref="C175:C176">
    <cfRule type="expression" dxfId="770" priority="108">
      <formula>IF(B175=3,TRUE,FALSE)</formula>
    </cfRule>
    <cfRule type="expression" dxfId="769" priority="109">
      <formula>IF(B175=2,TRUE,FALSE)</formula>
    </cfRule>
    <cfRule type="expression" dxfId="768" priority="110">
      <formula>IF(B175=1,TRUE,FALSE)</formula>
    </cfRule>
  </conditionalFormatting>
  <conditionalFormatting sqref="C195:C196">
    <cfRule type="expression" dxfId="767" priority="105">
      <formula>IF(B195=3,TRUE,FALSE)</formula>
    </cfRule>
    <cfRule type="expression" dxfId="766" priority="106">
      <formula>IF(B195=2,TRUE,FALSE)</formula>
    </cfRule>
    <cfRule type="expression" dxfId="765" priority="107">
      <formula>IF(B195=1,TRUE,FALSE)</formula>
    </cfRule>
  </conditionalFormatting>
  <conditionalFormatting sqref="C228:C237">
    <cfRule type="expression" dxfId="764" priority="99">
      <formula>IF(B228=3,TRUE,FALSE)</formula>
    </cfRule>
    <cfRule type="expression" dxfId="763" priority="100">
      <formula>IF(B228=2,TRUE,FALSE)</formula>
    </cfRule>
    <cfRule type="expression" dxfId="762" priority="101">
      <formula>IF(B228=1,TRUE,FALSE)</formula>
    </cfRule>
  </conditionalFormatting>
  <conditionalFormatting sqref="C206">
    <cfRule type="expression" dxfId="761" priority="96">
      <formula>IF(B206=3,TRUE,FALSE)</formula>
    </cfRule>
    <cfRule type="expression" dxfId="760" priority="97">
      <formula>IF(B206=2,TRUE,FALSE)</formula>
    </cfRule>
    <cfRule type="expression" dxfId="759" priority="98">
      <formula>IF(B206=1,TRUE,FALSE)</formula>
    </cfRule>
  </conditionalFormatting>
  <conditionalFormatting sqref="C170">
    <cfRule type="expression" dxfId="758" priority="90">
      <formula>IF(B170=3,TRUE,FALSE)</formula>
    </cfRule>
    <cfRule type="expression" dxfId="757" priority="91">
      <formula>IF(B170=2,TRUE,FALSE)</formula>
    </cfRule>
    <cfRule type="expression" dxfId="756" priority="92">
      <formula>IF(B170=1,TRUE,FALSE)</formula>
    </cfRule>
  </conditionalFormatting>
  <conditionalFormatting sqref="C164:C165">
    <cfRule type="expression" dxfId="755" priority="84">
      <formula>IF(B164=3,TRUE,FALSE)</formula>
    </cfRule>
    <cfRule type="expression" dxfId="754" priority="85">
      <formula>IF(B164=2,TRUE,FALSE)</formula>
    </cfRule>
    <cfRule type="expression" dxfId="753" priority="86">
      <formula>IF(B164=1,TRUE,FALSE)</formula>
    </cfRule>
  </conditionalFormatting>
  <conditionalFormatting sqref="C166">
    <cfRule type="expression" dxfId="752" priority="78">
      <formula>IF(B166=3,TRUE,FALSE)</formula>
    </cfRule>
    <cfRule type="expression" dxfId="751" priority="79">
      <formula>IF(B166=2,TRUE,FALSE)</formula>
    </cfRule>
    <cfRule type="expression" dxfId="750" priority="80">
      <formula>IF(B166=1,TRUE,FALSE)</formula>
    </cfRule>
  </conditionalFormatting>
  <conditionalFormatting sqref="C184:C185">
    <cfRule type="expression" dxfId="749" priority="81">
      <formula>IF(B184=3,TRUE,FALSE)</formula>
    </cfRule>
    <cfRule type="expression" dxfId="748" priority="82">
      <formula>IF(B184=2,TRUE,FALSE)</formula>
    </cfRule>
    <cfRule type="expression" dxfId="747" priority="83">
      <formula>IF(B184=1,TRUE,FALSE)</formula>
    </cfRule>
  </conditionalFormatting>
  <conditionalFormatting sqref="C167">
    <cfRule type="expression" dxfId="746" priority="75">
      <formula>IF(B167=3,TRUE,FALSE)</formula>
    </cfRule>
    <cfRule type="expression" dxfId="745" priority="76">
      <formula>IF(B167=2,TRUE,FALSE)</formula>
    </cfRule>
    <cfRule type="expression" dxfId="744" priority="77">
      <formula>IF(B167=1,TRUE,FALSE)</formula>
    </cfRule>
  </conditionalFormatting>
  <conditionalFormatting sqref="C187">
    <cfRule type="expression" dxfId="743" priority="72">
      <formula>IF(B187=3,TRUE,FALSE)</formula>
    </cfRule>
    <cfRule type="expression" dxfId="742" priority="73">
      <formula>IF(B187=2,TRUE,FALSE)</formula>
    </cfRule>
    <cfRule type="expression" dxfId="741" priority="74">
      <formula>IF(B187=1,TRUE,FALSE)</formula>
    </cfRule>
  </conditionalFormatting>
  <conditionalFormatting sqref="C190">
    <cfRule type="expression" dxfId="740" priority="69">
      <formula>IF(B190=3,TRUE,FALSE)</formula>
    </cfRule>
    <cfRule type="expression" dxfId="739" priority="70">
      <formula>IF(B190=2,TRUE,FALSE)</formula>
    </cfRule>
    <cfRule type="expression" dxfId="738" priority="71">
      <formula>IF(B190=1,TRUE,FALSE)</formula>
    </cfRule>
  </conditionalFormatting>
  <conditionalFormatting sqref="C172">
    <cfRule type="expression" dxfId="737" priority="66">
      <formula>IF(B172=3,TRUE,FALSE)</formula>
    </cfRule>
    <cfRule type="expression" dxfId="736" priority="67">
      <formula>IF(B172=2,TRUE,FALSE)</formula>
    </cfRule>
    <cfRule type="expression" dxfId="735" priority="68">
      <formula>IF(B172=1,TRUE,FALSE)</formula>
    </cfRule>
  </conditionalFormatting>
  <conditionalFormatting sqref="C192">
    <cfRule type="expression" dxfId="734" priority="63">
      <formula>IF(B192=3,TRUE,FALSE)</formula>
    </cfRule>
    <cfRule type="expression" dxfId="733" priority="64">
      <formula>IF(B192=2,TRUE,FALSE)</formula>
    </cfRule>
    <cfRule type="expression" dxfId="732" priority="65">
      <formula>IF(B192=1,TRUE,FALSE)</formula>
    </cfRule>
  </conditionalFormatting>
  <conditionalFormatting sqref="C34 C25:C30">
    <cfRule type="expression" dxfId="731" priority="60">
      <formula>IF(B25=3,TRUE,FALSE)</formula>
    </cfRule>
    <cfRule type="expression" dxfId="730" priority="61">
      <formula>IF(B25=2,TRUE,FALSE)</formula>
    </cfRule>
    <cfRule type="expression" dxfId="729" priority="62">
      <formula>IF(B25=1,TRUE,FALSE)</formula>
    </cfRule>
  </conditionalFormatting>
  <conditionalFormatting sqref="C31:C33">
    <cfRule type="expression" dxfId="728" priority="57">
      <formula>IF(B31=3,TRUE,FALSE)</formula>
    </cfRule>
    <cfRule type="expression" dxfId="727" priority="58">
      <formula>IF(B31=2,TRUE,FALSE)</formula>
    </cfRule>
    <cfRule type="expression" dxfId="726" priority="59">
      <formula>IF(B31=1,TRUE,FALSE)</formula>
    </cfRule>
  </conditionalFormatting>
  <conditionalFormatting sqref="C44 C35:C40">
    <cfRule type="expression" dxfId="725" priority="54">
      <formula>IF(B35=3,TRUE,FALSE)</formula>
    </cfRule>
    <cfRule type="expression" dxfId="724" priority="55">
      <formula>IF(B35=2,TRUE,FALSE)</formula>
    </cfRule>
    <cfRule type="expression" dxfId="723" priority="56">
      <formula>IF(B35=1,TRUE,FALSE)</formula>
    </cfRule>
  </conditionalFormatting>
  <conditionalFormatting sqref="C41:C43">
    <cfRule type="expression" dxfId="722" priority="51">
      <formula>IF(B41=3,TRUE,FALSE)</formula>
    </cfRule>
    <cfRule type="expression" dxfId="721" priority="52">
      <formula>IF(B41=2,TRUE,FALSE)</formula>
    </cfRule>
    <cfRule type="expression" dxfId="720" priority="53">
      <formula>IF(B41=1,TRUE,FALSE)</formula>
    </cfRule>
  </conditionalFormatting>
  <conditionalFormatting sqref="C106:C107">
    <cfRule type="expression" dxfId="719" priority="48">
      <formula>IF(B106=3,TRUE,FALSE)</formula>
    </cfRule>
    <cfRule type="expression" dxfId="718" priority="49">
      <formula>IF(B106=2,TRUE,FALSE)</formula>
    </cfRule>
    <cfRule type="expression" dxfId="717" priority="50">
      <formula>IF(B106=1,TRUE,FALSE)</formula>
    </cfRule>
  </conditionalFormatting>
  <conditionalFormatting sqref="C111:C112">
    <cfRule type="expression" dxfId="716" priority="45">
      <formula>IF(B111=3,TRUE,FALSE)</formula>
    </cfRule>
    <cfRule type="expression" dxfId="715" priority="46">
      <formula>IF(B111=2,TRUE,FALSE)</formula>
    </cfRule>
    <cfRule type="expression" dxfId="714" priority="47">
      <formula>IF(B111=1,TRUE,FALSE)</formula>
    </cfRule>
  </conditionalFormatting>
  <conditionalFormatting sqref="C108:C110">
    <cfRule type="expression" dxfId="713" priority="39">
      <formula>IF(B108=3,TRUE,FALSE)</formula>
    </cfRule>
    <cfRule type="expression" dxfId="712" priority="40">
      <formula>IF(B108=2,TRUE,FALSE)</formula>
    </cfRule>
    <cfRule type="expression" dxfId="711" priority="41">
      <formula>IF(B108=1,TRUE,FALSE)</formula>
    </cfRule>
  </conditionalFormatting>
  <conditionalFormatting sqref="C113:C115">
    <cfRule type="expression" dxfId="710" priority="36">
      <formula>IF(B113=3,TRUE,FALSE)</formula>
    </cfRule>
    <cfRule type="expression" dxfId="709" priority="37">
      <formula>IF(B113=2,TRUE,FALSE)</formula>
    </cfRule>
    <cfRule type="expression" dxfId="708" priority="38">
      <formula>IF(B113=1,TRUE,FALSE)</formula>
    </cfRule>
  </conditionalFormatting>
  <conditionalFormatting sqref="C116:C120">
    <cfRule type="expression" dxfId="707" priority="33">
      <formula>IF(B116=3,TRUE,FALSE)</formula>
    </cfRule>
    <cfRule type="expression" dxfId="706" priority="34">
      <formula>IF(B116=2,TRUE,FALSE)</formula>
    </cfRule>
    <cfRule type="expression" dxfId="705" priority="35">
      <formula>IF(B116=1,TRUE,FALSE)</formula>
    </cfRule>
  </conditionalFormatting>
  <conditionalFormatting sqref="C121:C122">
    <cfRule type="expression" dxfId="704" priority="30">
      <formula>IF(B121=3,TRUE,FALSE)</formula>
    </cfRule>
    <cfRule type="expression" dxfId="703" priority="31">
      <formula>IF(B121=2,TRUE,FALSE)</formula>
    </cfRule>
    <cfRule type="expression" dxfId="702" priority="32">
      <formula>IF(B121=1,TRUE,FALSE)</formula>
    </cfRule>
  </conditionalFormatting>
  <conditionalFormatting sqref="C126:C127">
    <cfRule type="expression" dxfId="701" priority="27">
      <formula>IF(B126=3,TRUE,FALSE)</formula>
    </cfRule>
    <cfRule type="expression" dxfId="700" priority="28">
      <formula>IF(B126=2,TRUE,FALSE)</formula>
    </cfRule>
    <cfRule type="expression" dxfId="699" priority="29">
      <formula>IF(B126=1,TRUE,FALSE)</formula>
    </cfRule>
  </conditionalFormatting>
  <conditionalFormatting sqref="C123:C125">
    <cfRule type="expression" dxfId="698" priority="24">
      <formula>IF(B123=3,TRUE,FALSE)</formula>
    </cfRule>
    <cfRule type="expression" dxfId="697" priority="25">
      <formula>IF(B123=2,TRUE,FALSE)</formula>
    </cfRule>
    <cfRule type="expression" dxfId="696" priority="26">
      <formula>IF(B123=1,TRUE,FALSE)</formula>
    </cfRule>
  </conditionalFormatting>
  <conditionalFormatting sqref="C128:C130">
    <cfRule type="expression" dxfId="695" priority="21">
      <formula>IF(B128=3,TRUE,FALSE)</formula>
    </cfRule>
    <cfRule type="expression" dxfId="694" priority="22">
      <formula>IF(B128=2,TRUE,FALSE)</formula>
    </cfRule>
    <cfRule type="expression" dxfId="693" priority="23">
      <formula>IF(B128=1,TRUE,FALSE)</formula>
    </cfRule>
  </conditionalFormatting>
  <conditionalFormatting sqref="H4:H203">
    <cfRule type="expression" dxfId="692" priority="20">
      <formula>IF(VLOOKUP(D4,part_details,13,FALSE)&gt;=H4,TRUE,FALSE)</formula>
    </cfRule>
  </conditionalFormatting>
  <conditionalFormatting sqref="D4:D96 D98:D132 D134:D467">
    <cfRule type="expression" dxfId="691" priority="186">
      <formula>IF(F4="x",TRUE,FALSE)</formula>
    </cfRule>
  </conditionalFormatting>
  <conditionalFormatting sqref="C97">
    <cfRule type="expression" dxfId="690" priority="14">
      <formula>IF(B97=3,TRUE,FALSE)</formula>
    </cfRule>
    <cfRule type="expression" dxfId="689" priority="15">
      <formula>IF(B97=2,TRUE,FALSE)</formula>
    </cfRule>
    <cfRule type="expression" dxfId="688" priority="16">
      <formula>IF(B97=1,TRUE,FALSE)</formula>
    </cfRule>
  </conditionalFormatting>
  <conditionalFormatting sqref="D97">
    <cfRule type="expression" dxfId="687" priority="12">
      <formula>IF(F97="x",TRUE,FALSE)</formula>
    </cfRule>
  </conditionalFormatting>
  <conditionalFormatting sqref="D133">
    <cfRule type="expression" dxfId="686" priority="7">
      <formula>IF(F133="x",TRUE,FALSE)</formula>
    </cfRule>
  </conditionalFormatting>
  <conditionalFormatting sqref="C133">
    <cfRule type="expression" dxfId="685" priority="9">
      <formula>IF(B133=3,TRUE,FALSE)</formula>
    </cfRule>
    <cfRule type="expression" dxfId="684" priority="10">
      <formula>IF(B133=2,TRUE,FALSE)</formula>
    </cfRule>
    <cfRule type="expression" dxfId="683" priority="11">
      <formula>IF(B133=1,TRUE,FALSE)</formula>
    </cfRule>
  </conditionalFormatting>
  <conditionalFormatting sqref="C162">
    <cfRule type="expression" dxfId="682" priority="4">
      <formula>IF(B162=3,TRUE,FALSE)</formula>
    </cfRule>
    <cfRule type="expression" dxfId="681" priority="5">
      <formula>IF(B162=2,TRUE,FALSE)</formula>
    </cfRule>
    <cfRule type="expression" dxfId="680" priority="6">
      <formula>IF(B162=1,TRUE,FALSE)</formula>
    </cfRule>
  </conditionalFormatting>
  <conditionalFormatting sqref="C182">
    <cfRule type="expression" dxfId="679" priority="1">
      <formula>IF(B182=3,TRUE,FALSE)</formula>
    </cfRule>
    <cfRule type="expression" dxfId="678" priority="2">
      <formula>IF(B182=2,TRUE,FALSE)</formula>
    </cfRule>
    <cfRule type="expression" dxfId="677" priority="3">
      <formula>IF(B182=1,TRUE,FALSE)</formula>
    </cfRule>
  </conditionalFormatting>
  <dataValidations count="1">
    <dataValidation type="list" allowBlank="1" showInputMessage="1" showErrorMessage="1" sqref="D4:D747">
      <formula1>Part_number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37"/>
  <sheetViews>
    <sheetView zoomScaleNormal="100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AB14" sqref="AB14"/>
    </sheetView>
  </sheetViews>
  <sheetFormatPr defaultColWidth="9.140625" defaultRowHeight="15" x14ac:dyDescent="0.25"/>
  <cols>
    <col min="1" max="1" width="10.28515625" style="1" customWidth="1"/>
    <col min="2" max="2" width="51" style="1" customWidth="1"/>
    <col min="3" max="3" width="20.140625" style="1" bestFit="1" customWidth="1"/>
    <col min="4" max="4" width="9" style="3" bestFit="1" customWidth="1"/>
    <col min="5" max="5" width="11.28515625" style="3" bestFit="1" customWidth="1"/>
    <col min="6" max="6" width="7" style="3" bestFit="1" customWidth="1"/>
    <col min="7" max="7" width="14" style="1" customWidth="1"/>
    <col min="8" max="8" width="10" style="2" customWidth="1"/>
    <col min="9" max="9" width="26.140625" style="1" customWidth="1"/>
    <col min="10" max="10" width="11.28515625" style="38" customWidth="1"/>
    <col min="11" max="11" width="10.28515625" style="11" customWidth="1"/>
    <col min="12" max="14" width="10.42578125" style="81" customWidth="1"/>
    <col min="15" max="15" width="9.7109375" style="38" customWidth="1"/>
    <col min="16" max="16" width="9.7109375" style="77" customWidth="1"/>
    <col min="17" max="17" width="9.7109375" style="38" customWidth="1"/>
    <col min="18" max="18" width="9.7109375" style="44" customWidth="1"/>
    <col min="19" max="19" width="11.42578125" style="38" customWidth="1"/>
    <col min="20" max="20" width="10" style="38" customWidth="1"/>
    <col min="21" max="21" width="12.85546875" style="44" customWidth="1"/>
    <col min="22" max="22" width="13.85546875" style="50" customWidth="1"/>
    <col min="23" max="24" width="14" style="1" customWidth="1"/>
    <col min="25" max="27" width="14" style="88" customWidth="1"/>
    <col min="28" max="28" width="36.42578125" style="1" customWidth="1"/>
    <col min="29" max="29" width="18.28515625" style="1" customWidth="1"/>
    <col min="30" max="16384" width="9.140625" style="1"/>
  </cols>
  <sheetData>
    <row r="1" spans="1:29" ht="30" x14ac:dyDescent="0.25">
      <c r="D1" s="60"/>
      <c r="K1" s="57" t="s">
        <v>764</v>
      </c>
      <c r="V1" s="56" t="s">
        <v>934</v>
      </c>
    </row>
    <row r="2" spans="1:29" x14ac:dyDescent="0.25">
      <c r="K2" s="3">
        <f>SUM(Table1[Ideal cost])</f>
        <v>1974.8073070589467</v>
      </c>
      <c r="L2" s="44"/>
      <c r="M2" s="44"/>
      <c r="N2" s="44"/>
      <c r="P2" s="3">
        <f>SUM(Table1[Ideal cost of parts on hand])</f>
        <v>838.41595529776077</v>
      </c>
      <c r="R2" s="3">
        <f>SUM(Table1[Ideal cost of parts on order])</f>
        <v>47.96</v>
      </c>
      <c r="U2" s="3">
        <f>SUM(Table1[Remaining ideal cost])</f>
        <v>1082.9747164999997</v>
      </c>
      <c r="V2" s="51">
        <f>SUM(Table1[Remaining Extended cost])</f>
        <v>1186.3813</v>
      </c>
      <c r="W2" s="3">
        <f>SUM(Table1[Cost of excess material])</f>
        <v>166.52507926453279</v>
      </c>
      <c r="X2" s="3"/>
      <c r="Y2" s="89"/>
      <c r="Z2" s="89"/>
      <c r="AA2" s="89"/>
      <c r="AB2" s="1" t="s">
        <v>6</v>
      </c>
      <c r="AC2" s="3">
        <f>SUM(Table1[Buy-now costs])</f>
        <v>384.29239999999999</v>
      </c>
    </row>
    <row r="3" spans="1:29" s="12" customFormat="1" ht="60" customHeight="1" x14ac:dyDescent="0.25">
      <c r="A3" s="12" t="s">
        <v>1</v>
      </c>
      <c r="B3" s="12" t="s">
        <v>2</v>
      </c>
      <c r="C3" s="12" t="s">
        <v>3</v>
      </c>
      <c r="D3" s="13" t="s">
        <v>5</v>
      </c>
      <c r="E3" s="13" t="s">
        <v>652</v>
      </c>
      <c r="F3" s="13" t="s">
        <v>653</v>
      </c>
      <c r="G3" s="12" t="s">
        <v>4</v>
      </c>
      <c r="H3" s="14" t="s">
        <v>907</v>
      </c>
      <c r="I3" s="12" t="s">
        <v>6</v>
      </c>
      <c r="J3" s="48" t="s">
        <v>694</v>
      </c>
      <c r="K3" s="15" t="s">
        <v>763</v>
      </c>
      <c r="L3" s="82" t="s">
        <v>915</v>
      </c>
      <c r="M3" s="82" t="s">
        <v>1098</v>
      </c>
      <c r="N3" s="82" t="s">
        <v>1099</v>
      </c>
      <c r="O3" s="39" t="s">
        <v>869</v>
      </c>
      <c r="P3" s="96" t="s">
        <v>1093</v>
      </c>
      <c r="Q3" s="48" t="s">
        <v>1053</v>
      </c>
      <c r="R3" s="94" t="s">
        <v>1096</v>
      </c>
      <c r="S3" s="48" t="s">
        <v>1067</v>
      </c>
      <c r="T3" s="48" t="s">
        <v>695</v>
      </c>
      <c r="U3" s="94" t="s">
        <v>1091</v>
      </c>
      <c r="V3" s="52" t="s">
        <v>908</v>
      </c>
      <c r="W3" s="37" t="s">
        <v>910</v>
      </c>
      <c r="X3" s="13" t="s">
        <v>1069</v>
      </c>
      <c r="Y3" s="90" t="s">
        <v>1074</v>
      </c>
      <c r="Z3" s="90" t="s">
        <v>1076</v>
      </c>
      <c r="AA3" s="90" t="s">
        <v>1075</v>
      </c>
      <c r="AB3" s="37" t="s">
        <v>870</v>
      </c>
      <c r="AC3" s="37" t="s">
        <v>942</v>
      </c>
    </row>
    <row r="4" spans="1:29" x14ac:dyDescent="0.25">
      <c r="A4" s="1" t="s">
        <v>7</v>
      </c>
      <c r="B4" s="4" t="s">
        <v>720</v>
      </c>
      <c r="C4" s="1" t="s">
        <v>648</v>
      </c>
      <c r="D4" s="3">
        <v>106.51</v>
      </c>
      <c r="E4" s="3">
        <f>61.85/2</f>
        <v>30.925000000000001</v>
      </c>
      <c r="F4" s="3">
        <v>0</v>
      </c>
      <c r="G4" s="5" t="s">
        <v>649</v>
      </c>
      <c r="H4" s="2">
        <v>1</v>
      </c>
      <c r="I4" s="1" t="s">
        <v>719</v>
      </c>
      <c r="J4" s="49">
        <f>SUMIF('Multi-level BOM'!D$4:D$467,Table1[[#This Row],[Part Number]],'Multi-level BOM'!H$4:H$467)</f>
        <v>1</v>
      </c>
      <c r="K4" s="10">
        <f>Table1[[#This Row],[extended quantity]]*(Table1[[#This Row],[Cost ]]+Table1[[#This Row],[shipping]]+Table1[[#This Row],[Tax]])</f>
        <v>137.435</v>
      </c>
      <c r="L4" s="83" t="str">
        <f>IF(Table1[[#This Row],[Buy-now costs]]&gt;0,"X","")</f>
        <v>X</v>
      </c>
      <c r="M4" s="83"/>
      <c r="N4" s="83"/>
      <c r="O4" s="40">
        <v>0</v>
      </c>
      <c r="P4" s="97">
        <f>Table1[[#This Row],[quantity on-hand]]*(Table1[[#This Row],[Cost ]]+Table1[[#This Row],[shipping]]+Table1[[#This Row],[Tax]])</f>
        <v>0</v>
      </c>
      <c r="Q4" s="40">
        <v>0</v>
      </c>
      <c r="R4" s="95">
        <f>Table1[[#This Row],[Quantity on order]]*(Table1[[#This Row],[Cost ]]+Table1[[#This Row],[shipping]]+Table1[[#This Row],[Tax]])</f>
        <v>0</v>
      </c>
      <c r="S4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4" s="49">
        <f>Table1[[#This Row],[Quantity  to  purchase]]+Table1[[#This Row],[Quantity purchased]]+Table1[[#This Row],[Quantity on order]]+Table1[[#This Row],[Quantity donated]]-Table1[[#This Row],[extended quantity]]</f>
        <v>0</v>
      </c>
      <c r="U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137.435</v>
      </c>
      <c r="V4" s="51">
        <f>IFERROR(Table1[[#This Row],[Quantity  to  purchase]]*(Table1[[#This Row],[Cost ]]+Table1[[#This Row],[shipping]]+Table1[[#This Row],[Tax]]),0)</f>
        <v>137.435</v>
      </c>
      <c r="W4" s="36">
        <f>IFERROR(Table1[[#This Row],[leftover material]]*(Table1[[#This Row],[Cost ]]+Table1[[#This Row],[shipping]]+Table1[[#This Row],[Tax]]),0)</f>
        <v>0</v>
      </c>
      <c r="X4" s="36"/>
      <c r="Y4" s="87"/>
      <c r="Z4" s="87"/>
      <c r="AA4" s="87"/>
      <c r="AB4" s="36"/>
      <c r="AC4" s="36">
        <f>IF(ISNA(VLOOKUP(Table1[[#This Row],[Part Number]],'Multi-level BOM'!V$4:V$449,1,FALSE)),0,Table1[[#This Row],[Remaining Extended cost]])</f>
        <v>137.435</v>
      </c>
    </row>
    <row r="5" spans="1:29" x14ac:dyDescent="0.25">
      <c r="A5" s="1" t="s">
        <v>8</v>
      </c>
      <c r="B5" s="4" t="s">
        <v>721</v>
      </c>
      <c r="C5" s="1" t="s">
        <v>648</v>
      </c>
      <c r="D5" s="3">
        <v>65.510000000000005</v>
      </c>
      <c r="E5" s="3">
        <f>61.85/2</f>
        <v>30.925000000000001</v>
      </c>
      <c r="F5" s="3">
        <v>0</v>
      </c>
      <c r="G5" s="5" t="s">
        <v>649</v>
      </c>
      <c r="H5" s="2">
        <v>1</v>
      </c>
      <c r="J5" s="49">
        <f>SUMIF('Multi-level BOM'!D$4:D$467,Table1[[#This Row],[Part Number]],'Multi-level BOM'!H$4:H$467)</f>
        <v>1</v>
      </c>
      <c r="K5" s="10">
        <f>Table1[[#This Row],[extended quantity]]*(Table1[[#This Row],[Cost ]]+Table1[[#This Row],[shipping]]+Table1[[#This Row],[Tax]])</f>
        <v>96.435000000000002</v>
      </c>
      <c r="L5" s="83" t="str">
        <f>IF(Table1[[#This Row],[Buy-now costs]]&gt;0,"X","")</f>
        <v>X</v>
      </c>
      <c r="M5" s="83"/>
      <c r="N5" s="83"/>
      <c r="O5" s="40">
        <v>0</v>
      </c>
      <c r="P5" s="97">
        <f>Table1[[#This Row],[quantity on-hand]]*(Table1[[#This Row],[Cost ]]+Table1[[#This Row],[shipping]]+Table1[[#This Row],[Tax]])</f>
        <v>0</v>
      </c>
      <c r="Q5" s="40">
        <v>0</v>
      </c>
      <c r="R5" s="95">
        <f>Table1[[#This Row],[Quantity on order]]*(Table1[[#This Row],[Cost ]]+Table1[[#This Row],[shipping]]+Table1[[#This Row],[Tax]])</f>
        <v>0</v>
      </c>
      <c r="S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5" s="49">
        <f>Table1[[#This Row],[Quantity  to  purchase]]+Table1[[#This Row],[Quantity purchased]]+Table1[[#This Row],[Quantity on order]]+Table1[[#This Row],[Quantity donated]]-Table1[[#This Row],[extended quantity]]</f>
        <v>0</v>
      </c>
      <c r="U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96.435000000000002</v>
      </c>
      <c r="V5" s="51">
        <f>IFERROR(Table1[[#This Row],[Quantity  to  purchase]]*(Table1[[#This Row],[Cost ]]+Table1[[#This Row],[shipping]]+Table1[[#This Row],[Tax]]),0)</f>
        <v>96.435000000000002</v>
      </c>
      <c r="W5" s="36">
        <f>IFERROR(Table1[[#This Row],[leftover material]]*(Table1[[#This Row],[Cost ]]+Table1[[#This Row],[shipping]]+Table1[[#This Row],[Tax]]),0)</f>
        <v>0</v>
      </c>
      <c r="X5" s="36"/>
      <c r="Y5" s="87"/>
      <c r="Z5" s="87"/>
      <c r="AA5" s="87"/>
      <c r="AB5" s="36"/>
      <c r="AC5" s="36">
        <f>IF(ISNA(VLOOKUP(Table1[[#This Row],[Part Number]],'Multi-level BOM'!V$4:V$449,1,FALSE)),0,Table1[[#This Row],[Remaining Extended cost]])</f>
        <v>96.435000000000002</v>
      </c>
    </row>
    <row r="6" spans="1:29" x14ac:dyDescent="0.25">
      <c r="A6" s="1" t="s">
        <v>9</v>
      </c>
      <c r="B6" s="4" t="s">
        <v>654</v>
      </c>
      <c r="C6" s="1" t="s">
        <v>656</v>
      </c>
      <c r="D6" s="3">
        <f>13.49/10</f>
        <v>1.349</v>
      </c>
      <c r="E6" s="3">
        <v>0</v>
      </c>
      <c r="F6" s="3">
        <f>9%*Table1[[#This Row],[Cost ]]</f>
        <v>0.12140999999999999</v>
      </c>
      <c r="G6" s="1" t="s">
        <v>655</v>
      </c>
      <c r="H6" s="2">
        <v>10</v>
      </c>
      <c r="I6" s="1" t="s">
        <v>657</v>
      </c>
      <c r="J6" s="49">
        <f>SUMIF('Multi-level BOM'!D$4:D$467,Table1[[#This Row],[Part Number]],'Multi-level BOM'!H$4:H$467)</f>
        <v>28</v>
      </c>
      <c r="K6" s="10">
        <f>Table1[[#This Row],[extended quantity]]*(Table1[[#This Row],[Cost ]]+Table1[[#This Row],[shipping]]+Table1[[#This Row],[Tax]])</f>
        <v>41.171480000000003</v>
      </c>
      <c r="L6" s="83" t="str">
        <f>IF(Table1[[#This Row],[Buy-now costs]]&gt;0,"X","")</f>
        <v/>
      </c>
      <c r="M6" s="83">
        <v>0</v>
      </c>
      <c r="N6" s="83">
        <v>20</v>
      </c>
      <c r="O6" s="40">
        <v>20</v>
      </c>
      <c r="P6" s="97">
        <f>Table1[[#This Row],[quantity on-hand]]*(Table1[[#This Row],[Cost ]]+Table1[[#This Row],[shipping]]+Table1[[#This Row],[Tax]])</f>
        <v>29.408200000000001</v>
      </c>
      <c r="Q6" s="40">
        <v>0</v>
      </c>
      <c r="R6" s="95">
        <f>Table1[[#This Row],[Quantity on order]]*(Table1[[#This Row],[Cost ]]+Table1[[#This Row],[shipping]]+Table1[[#This Row],[Tax]])</f>
        <v>0</v>
      </c>
      <c r="S6" s="49">
        <f>IFERROR(CEILING((Table1[[#This Row],[extended quantity]]-Table1[[#This Row],[quantity on-hand]]-Table1[[#This Row],[Quantity on order]])/Table1[[#This Row],[Minimum order quantity]],1)*Table1[[#This Row],[Minimum order quantity]],0)</f>
        <v>10</v>
      </c>
      <c r="T6" s="49">
        <f>Table1[[#This Row],[Quantity  to  purchase]]+Table1[[#This Row],[Quantity purchased]]+Table1[[#This Row],[Quantity on order]]+Table1[[#This Row],[Quantity donated]]-Table1[[#This Row],[extended quantity]]</f>
        <v>2</v>
      </c>
      <c r="U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11.76328</v>
      </c>
      <c r="V6" s="51">
        <f>IFERROR(Table1[[#This Row],[Quantity  to  purchase]]*(Table1[[#This Row],[Cost ]]+Table1[[#This Row],[shipping]]+Table1[[#This Row],[Tax]]),0)</f>
        <v>14.7041</v>
      </c>
      <c r="W6" s="36">
        <f>IFERROR(Table1[[#This Row],[leftover material]]*(Table1[[#This Row],[Cost ]]+Table1[[#This Row],[shipping]]+Table1[[#This Row],[Tax]]),0)</f>
        <v>2.94082</v>
      </c>
      <c r="X6" s="36"/>
      <c r="Y6" s="87"/>
      <c r="Z6" s="87"/>
      <c r="AA6" s="87"/>
      <c r="AB6" s="36" t="s">
        <v>914</v>
      </c>
      <c r="AC6" s="36">
        <f>IF(ISNA(VLOOKUP(Table1[[#This Row],[Part Number]],'Multi-level BOM'!V$4:V$449,1,FALSE)),0,Table1[[#This Row],[Remaining Extended cost]])</f>
        <v>0</v>
      </c>
    </row>
    <row r="7" spans="1:29" ht="45" x14ac:dyDescent="0.25">
      <c r="A7" s="1" t="s">
        <v>10</v>
      </c>
      <c r="B7" s="4" t="s">
        <v>659</v>
      </c>
      <c r="C7" s="1" t="s">
        <v>656</v>
      </c>
      <c r="D7" s="3">
        <f>10.19/600</f>
        <v>1.6983333333333333E-2</v>
      </c>
      <c r="E7" s="3">
        <v>0</v>
      </c>
      <c r="F7" s="3">
        <f>9%*Table1[[#This Row],[Cost ]]</f>
        <v>1.5284999999999999E-3</v>
      </c>
      <c r="G7" s="5" t="s">
        <v>664</v>
      </c>
      <c r="H7" s="2">
        <v>300</v>
      </c>
      <c r="I7" s="1" t="s">
        <v>660</v>
      </c>
      <c r="J7" s="49">
        <f>SUMIF('Multi-level BOM'!D$4:D$467,Table1[[#This Row],[Part Number]],'Multi-level BOM'!H$4:H$467)</f>
        <v>313.8</v>
      </c>
      <c r="K7" s="10">
        <f>Table1[[#This Row],[extended quantity]]*(Table1[[#This Row],[Cost ]]+Table1[[#This Row],[shipping]]+Table1[[#This Row],[Tax]])</f>
        <v>5.8090132999999993</v>
      </c>
      <c r="L7" s="83" t="str">
        <f>IF(Table1[[#This Row],[Buy-now costs]]&gt;0,"X","")</f>
        <v/>
      </c>
      <c r="M7" s="83">
        <v>600</v>
      </c>
      <c r="N7" s="83"/>
      <c r="O7" s="40">
        <v>314</v>
      </c>
      <c r="P7" s="97">
        <f>Table1[[#This Row],[quantity on-hand]]*(Table1[[#This Row],[Cost ]]+Table1[[#This Row],[shipping]]+Table1[[#This Row],[Tax]])</f>
        <v>5.8127156666666657</v>
      </c>
      <c r="Q7" s="40">
        <v>0</v>
      </c>
      <c r="R7" s="95">
        <f>Table1[[#This Row],[Quantity on order]]*(Table1[[#This Row],[Cost ]]+Table1[[#This Row],[shipping]]+Table1[[#This Row],[Tax]])</f>
        <v>0</v>
      </c>
      <c r="S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" s="49">
        <f>Table1[[#This Row],[Quantity  to  purchase]]+Table1[[#This Row],[Quantity purchased]]+Table1[[#This Row],[Quantity on order]]+Table1[[#This Row],[Quantity donated]]-Table1[[#This Row],[extended quantity]]</f>
        <v>286.2</v>
      </c>
      <c r="U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" s="51">
        <f>IFERROR(Table1[[#This Row],[Quantity  to  purchase]]*(Table1[[#This Row],[Cost ]]+Table1[[#This Row],[shipping]]+Table1[[#This Row],[Tax]]),0)</f>
        <v>0</v>
      </c>
      <c r="W7" s="36">
        <f>IFERROR(Table1[[#This Row],[leftover material]]*(Table1[[#This Row],[Cost ]]+Table1[[#This Row],[shipping]]+Table1[[#This Row],[Tax]]),0)</f>
        <v>5.2980866999999989</v>
      </c>
      <c r="X7" s="36">
        <v>0</v>
      </c>
      <c r="Y7" s="87"/>
      <c r="Z7" s="87"/>
      <c r="AA7" s="87"/>
      <c r="AB7" s="36" t="s">
        <v>871</v>
      </c>
      <c r="AC7" s="36">
        <f>IF(ISNA(VLOOKUP(Table1[[#This Row],[Part Number]],'Multi-level BOM'!V$4:V$449,1,FALSE)),0,Table1[[#This Row],[Remaining Extended cost]])</f>
        <v>0</v>
      </c>
    </row>
    <row r="8" spans="1:29" x14ac:dyDescent="0.25">
      <c r="A8" s="1" t="s">
        <v>11</v>
      </c>
      <c r="B8" s="4" t="s">
        <v>662</v>
      </c>
      <c r="C8" s="1" t="s">
        <v>656</v>
      </c>
      <c r="D8" s="3">
        <f>8.78/40</f>
        <v>0.21949999999999997</v>
      </c>
      <c r="E8" s="3">
        <v>0</v>
      </c>
      <c r="F8" s="3">
        <f>9%*Table1[[#This Row],[Cost ]]</f>
        <v>1.9754999999999998E-2</v>
      </c>
      <c r="G8" s="5" t="s">
        <v>663</v>
      </c>
      <c r="H8" s="2">
        <v>40</v>
      </c>
      <c r="I8" s="1" t="s">
        <v>665</v>
      </c>
      <c r="J8" s="49">
        <f>SUMIF('Multi-level BOM'!D$4:D$467,Table1[[#This Row],[Part Number]],'Multi-level BOM'!H$4:H$467)</f>
        <v>14</v>
      </c>
      <c r="K8" s="10">
        <f>Table1[[#This Row],[extended quantity]]*(Table1[[#This Row],[Cost ]]+Table1[[#This Row],[shipping]]+Table1[[#This Row],[Tax]])</f>
        <v>3.3495699999999995</v>
      </c>
      <c r="L8" s="83" t="str">
        <f>IF(Table1[[#This Row],[Buy-now costs]]&gt;0,"X","")</f>
        <v/>
      </c>
      <c r="M8" s="83">
        <v>0</v>
      </c>
      <c r="N8" s="83">
        <v>15</v>
      </c>
      <c r="O8" s="40">
        <v>15</v>
      </c>
      <c r="P8" s="97">
        <f>Table1[[#This Row],[quantity on-hand]]*(Table1[[#This Row],[Cost ]]+Table1[[#This Row],[shipping]]+Table1[[#This Row],[Tax]])</f>
        <v>3.5888249999999995</v>
      </c>
      <c r="Q8" s="40">
        <v>0</v>
      </c>
      <c r="R8" s="95">
        <f>Table1[[#This Row],[Quantity on order]]*(Table1[[#This Row],[Cost ]]+Table1[[#This Row],[shipping]]+Table1[[#This Row],[Tax]])</f>
        <v>0</v>
      </c>
      <c r="S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" s="49">
        <f>Table1[[#This Row],[Quantity  to  purchase]]+Table1[[#This Row],[Quantity purchased]]+Table1[[#This Row],[Quantity on order]]+Table1[[#This Row],[Quantity donated]]-Table1[[#This Row],[extended quantity]]</f>
        <v>1</v>
      </c>
      <c r="U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" s="51">
        <f>IFERROR(Table1[[#This Row],[Quantity  to  purchase]]*(Table1[[#This Row],[Cost ]]+Table1[[#This Row],[shipping]]+Table1[[#This Row],[Tax]]),0)</f>
        <v>0</v>
      </c>
      <c r="W8" s="36">
        <f>IFERROR(Table1[[#This Row],[leftover material]]*(Table1[[#This Row],[Cost ]]+Table1[[#This Row],[shipping]]+Table1[[#This Row],[Tax]]),0)</f>
        <v>0.23925499999999997</v>
      </c>
      <c r="X8" s="36">
        <v>0</v>
      </c>
      <c r="Y8" s="87"/>
      <c r="Z8" s="87"/>
      <c r="AA8" s="87"/>
      <c r="AB8" s="3" t="s">
        <v>871</v>
      </c>
      <c r="AC8" s="36">
        <f>IF(ISNA(VLOOKUP(Table1[[#This Row],[Part Number]],'Multi-level BOM'!V$4:V$449,1,FALSE)),0,Table1[[#This Row],[Remaining Extended cost]])</f>
        <v>0</v>
      </c>
    </row>
    <row r="9" spans="1:29" x14ac:dyDescent="0.25">
      <c r="A9" s="1" t="s">
        <v>12</v>
      </c>
      <c r="B9" s="4" t="s">
        <v>986</v>
      </c>
      <c r="C9" s="1" t="s">
        <v>928</v>
      </c>
      <c r="D9" s="3">
        <v>0.51</v>
      </c>
      <c r="E9" s="3">
        <f>0.262338232068436*D9</f>
        <v>0.13379249835490237</v>
      </c>
      <c r="F9" s="3">
        <f>0.113621408203553*D9</f>
        <v>5.7946918183812028E-2</v>
      </c>
      <c r="G9" s="5" t="s">
        <v>985</v>
      </c>
      <c r="H9" s="2">
        <v>1</v>
      </c>
      <c r="J9" s="49">
        <f>SUMIF('Multi-level BOM'!D$4:D$467,Table1[[#This Row],[Part Number]],'Multi-level BOM'!H$4:H$467)</f>
        <v>4</v>
      </c>
      <c r="K9" s="10">
        <f>Table1[[#This Row],[extended quantity]]*(Table1[[#This Row],[Cost ]]+Table1[[#This Row],[shipping]]+Table1[[#This Row],[Tax]])</f>
        <v>2.8069576661548576</v>
      </c>
      <c r="L9" s="83" t="str">
        <f>IF(Table1[[#This Row],[Buy-now costs]]&gt;0,"X","")</f>
        <v/>
      </c>
      <c r="M9" s="83">
        <v>4</v>
      </c>
      <c r="N9" s="83"/>
      <c r="O9" s="40">
        <v>4</v>
      </c>
      <c r="P9" s="97">
        <f>Table1[[#This Row],[quantity on-hand]]*(Table1[[#This Row],[Cost ]]+Table1[[#This Row],[shipping]]+Table1[[#This Row],[Tax]])</f>
        <v>2.8069576661548576</v>
      </c>
      <c r="Q9" s="40"/>
      <c r="R9" s="95">
        <f>Table1[[#This Row],[Quantity on order]]*(Table1[[#This Row],[Cost ]]+Table1[[#This Row],[shipping]]+Table1[[#This Row],[Tax]])</f>
        <v>0</v>
      </c>
      <c r="S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" s="49">
        <f>Table1[[#This Row],[Quantity  to  purchase]]+Table1[[#This Row],[Quantity purchased]]+Table1[[#This Row],[Quantity on order]]+Table1[[#This Row],[Quantity donated]]-Table1[[#This Row],[extended quantity]]</f>
        <v>0</v>
      </c>
      <c r="U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" s="51">
        <f>IFERROR(Table1[[#This Row],[Quantity  to  purchase]]*(Table1[[#This Row],[Cost ]]+Table1[[#This Row],[shipping]]+Table1[[#This Row],[Tax]]),0)</f>
        <v>0</v>
      </c>
      <c r="W9" s="36">
        <f>IFERROR(Table1[[#This Row],[leftover material]]*(Table1[[#This Row],[Cost ]]+Table1[[#This Row],[shipping]]+Table1[[#This Row],[Tax]]),0)</f>
        <v>0</v>
      </c>
      <c r="X9" s="36">
        <f>Table1[[#This Row],[Quantity purchased]]*(Table1[[#This Row],[Cost ]]+Table1[[#This Row],[shipping]]+Table1[[#This Row],[Tax]])</f>
        <v>2.8069576661548576</v>
      </c>
      <c r="Y9" s="87">
        <v>43875</v>
      </c>
      <c r="Z9" s="87">
        <v>43885</v>
      </c>
      <c r="AA9" s="87">
        <v>43885</v>
      </c>
      <c r="AB9" s="3" t="s">
        <v>988</v>
      </c>
      <c r="AC9" s="59">
        <f>IF(ISNA(VLOOKUP(Table1[[#This Row],[Part Number]],'Multi-level BOM'!V$4:V$449,1,FALSE)),0,Table1[[#This Row],[Remaining Extended cost]])</f>
        <v>0</v>
      </c>
    </row>
    <row r="10" spans="1:29" x14ac:dyDescent="0.25">
      <c r="A10" s="1" t="s">
        <v>13</v>
      </c>
      <c r="B10" s="4" t="s">
        <v>669</v>
      </c>
      <c r="C10" s="1" t="s">
        <v>656</v>
      </c>
      <c r="D10" s="3">
        <f>8.09/200</f>
        <v>4.045E-2</v>
      </c>
      <c r="E10" s="3">
        <v>0</v>
      </c>
      <c r="F10" s="3">
        <f>9%*Table1[[#This Row],[Cost ]]</f>
        <v>3.6404999999999996E-3</v>
      </c>
      <c r="G10" s="1" t="s">
        <v>670</v>
      </c>
      <c r="H10" s="2">
        <v>200</v>
      </c>
      <c r="J10" s="49">
        <f>SUMIF('Multi-level BOM'!D$4:D$467,Table1[[#This Row],[Part Number]],'Multi-level BOM'!H$4:H$467)</f>
        <v>36</v>
      </c>
      <c r="K10" s="10">
        <f>Table1[[#This Row],[extended quantity]]*(Table1[[#This Row],[Cost ]]+Table1[[#This Row],[shipping]]+Table1[[#This Row],[Tax]])</f>
        <v>1.5872579999999998</v>
      </c>
      <c r="L10" s="83" t="str">
        <f>IF(Table1[[#This Row],[Buy-now costs]]&gt;0,"X","")</f>
        <v/>
      </c>
      <c r="M10" s="83">
        <v>0</v>
      </c>
      <c r="N10" s="83">
        <v>36</v>
      </c>
      <c r="O10" s="40">
        <v>36</v>
      </c>
      <c r="P10" s="97">
        <f>Table1[[#This Row],[quantity on-hand]]*(Table1[[#This Row],[Cost ]]+Table1[[#This Row],[shipping]]+Table1[[#This Row],[Tax]])</f>
        <v>1.5872579999999998</v>
      </c>
      <c r="Q10" s="40">
        <v>0</v>
      </c>
      <c r="R10" s="95">
        <f>Table1[[#This Row],[Quantity on order]]*(Table1[[#This Row],[Cost ]]+Table1[[#This Row],[shipping]]+Table1[[#This Row],[Tax]])</f>
        <v>0</v>
      </c>
      <c r="S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" s="49">
        <f>Table1[[#This Row],[Quantity  to  purchase]]+Table1[[#This Row],[Quantity purchased]]+Table1[[#This Row],[Quantity on order]]+Table1[[#This Row],[Quantity donated]]-Table1[[#This Row],[extended quantity]]</f>
        <v>0</v>
      </c>
      <c r="U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" s="51">
        <f>IFERROR(Table1[[#This Row],[Quantity  to  purchase]]*(Table1[[#This Row],[Cost ]]+Table1[[#This Row],[shipping]]+Table1[[#This Row],[Tax]]),0)</f>
        <v>0</v>
      </c>
      <c r="W10" s="36">
        <f>IFERROR(Table1[[#This Row],[leftover material]]*(Table1[[#This Row],[Cost ]]+Table1[[#This Row],[shipping]]+Table1[[#This Row],[Tax]]),0)</f>
        <v>0</v>
      </c>
      <c r="X10" s="36">
        <v>0</v>
      </c>
      <c r="Y10" s="87"/>
      <c r="Z10" s="87"/>
      <c r="AA10" s="87"/>
      <c r="AB10" s="36" t="s">
        <v>913</v>
      </c>
      <c r="AC10" s="36">
        <f>IF(ISNA(VLOOKUP(Table1[[#This Row],[Part Number]],'Multi-level BOM'!V$4:V$449,1,FALSE)),0,Table1[[#This Row],[Remaining Extended cost]])</f>
        <v>0</v>
      </c>
    </row>
    <row r="11" spans="1:29" ht="30" x14ac:dyDescent="0.25">
      <c r="A11" s="1" t="s">
        <v>14</v>
      </c>
      <c r="B11" s="4" t="s">
        <v>687</v>
      </c>
      <c r="C11" s="1" t="s">
        <v>656</v>
      </c>
      <c r="D11" s="3">
        <v>35.18</v>
      </c>
      <c r="E11" s="3">
        <v>0</v>
      </c>
      <c r="F11" s="3">
        <f>9%*Table1[[#This Row],[Cost ]]</f>
        <v>3.1661999999999999</v>
      </c>
      <c r="G11" s="5" t="s">
        <v>679</v>
      </c>
      <c r="H11" s="2">
        <v>1</v>
      </c>
      <c r="J11" s="49">
        <f>SUMIF('Multi-level BOM'!D$4:D$467,Table1[[#This Row],[Part Number]],'Multi-level BOM'!H$4:H$467)</f>
        <v>2</v>
      </c>
      <c r="K11" s="10">
        <f>Table1[[#This Row],[extended quantity]]*(Table1[[#This Row],[Cost ]]+Table1[[#This Row],[shipping]]+Table1[[#This Row],[Tax]])</f>
        <v>76.692399999999992</v>
      </c>
      <c r="L11" s="83" t="str">
        <f>IF(Table1[[#This Row],[Buy-now costs]]&gt;0,"X","")</f>
        <v/>
      </c>
      <c r="M11" s="83">
        <v>2</v>
      </c>
      <c r="N11" s="83"/>
      <c r="O11" s="40">
        <v>2</v>
      </c>
      <c r="P11" s="97">
        <f>Table1[[#This Row],[quantity on-hand]]*(Table1[[#This Row],[Cost ]]+Table1[[#This Row],[shipping]]+Table1[[#This Row],[Tax]])</f>
        <v>76.692399999999992</v>
      </c>
      <c r="Q11" s="40">
        <v>0</v>
      </c>
      <c r="R11" s="95">
        <f>Table1[[#This Row],[Quantity on order]]*(Table1[[#This Row],[Cost ]]+Table1[[#This Row],[shipping]]+Table1[[#This Row],[Tax]])</f>
        <v>0</v>
      </c>
      <c r="S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" s="49">
        <f>Table1[[#This Row],[Quantity  to  purchase]]+Table1[[#This Row],[Quantity purchased]]+Table1[[#This Row],[Quantity on order]]+Table1[[#This Row],[Quantity donated]]-Table1[[#This Row],[extended quantity]]</f>
        <v>0</v>
      </c>
      <c r="U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" s="51">
        <f>IFERROR(Table1[[#This Row],[Quantity  to  purchase]]*(Table1[[#This Row],[Cost ]]+Table1[[#This Row],[shipping]]+Table1[[#This Row],[Tax]]),0)</f>
        <v>0</v>
      </c>
      <c r="W11" s="36">
        <f>IFERROR(Table1[[#This Row],[leftover material]]*(Table1[[#This Row],[Cost ]]+Table1[[#This Row],[shipping]]+Table1[[#This Row],[Tax]]),0)</f>
        <v>0</v>
      </c>
      <c r="X11" s="36">
        <v>76.69</v>
      </c>
      <c r="Y11" s="87">
        <v>43882</v>
      </c>
      <c r="Z11" s="89" t="s">
        <v>1079</v>
      </c>
      <c r="AA11" s="87">
        <v>43889</v>
      </c>
      <c r="AB11" s="36"/>
      <c r="AC11" s="36">
        <f>IF(ISNA(VLOOKUP(Table1[[#This Row],[Part Number]],'Multi-level BOM'!V$4:V$449,1,FALSE)),0,Table1[[#This Row],[Remaining Extended cost]])</f>
        <v>0</v>
      </c>
    </row>
    <row r="12" spans="1:29" ht="45" x14ac:dyDescent="0.25">
      <c r="A12" s="1" t="s">
        <v>15</v>
      </c>
      <c r="B12" s="16" t="s">
        <v>749</v>
      </c>
      <c r="C12" s="1" t="s">
        <v>656</v>
      </c>
      <c r="D12" s="3">
        <f>10.09/300</f>
        <v>3.3633333333333335E-2</v>
      </c>
      <c r="E12" s="3">
        <v>0</v>
      </c>
      <c r="F12" s="3">
        <f>9%*Table1[[#This Row],[Cost ]]</f>
        <v>3.0270000000000002E-3</v>
      </c>
      <c r="G12" s="5" t="s">
        <v>681</v>
      </c>
      <c r="H12" s="2">
        <v>300</v>
      </c>
      <c r="I12" s="1" t="s">
        <v>660</v>
      </c>
      <c r="J12" s="49">
        <f>SUMIF('Multi-level BOM'!D$4:D$467,Table1[[#This Row],[Part Number]],'Multi-level BOM'!H$4:H$467)</f>
        <v>353</v>
      </c>
      <c r="K12" s="10">
        <f>Table1[[#This Row],[extended quantity]]*(Table1[[#This Row],[Cost ]]+Table1[[#This Row],[shipping]]+Table1[[#This Row],[Tax]])</f>
        <v>12.941097666666668</v>
      </c>
      <c r="L12" s="83" t="str">
        <f>IF(Table1[[#This Row],[Buy-now costs]]&gt;0,"X","")</f>
        <v/>
      </c>
      <c r="M12" s="83">
        <v>0</v>
      </c>
      <c r="N12" s="83">
        <v>600</v>
      </c>
      <c r="O12" s="40">
        <v>353</v>
      </c>
      <c r="P12" s="97">
        <f>Table1[[#This Row],[quantity on-hand]]*(Table1[[#This Row],[Cost ]]+Table1[[#This Row],[shipping]]+Table1[[#This Row],[Tax]])</f>
        <v>12.941097666666668</v>
      </c>
      <c r="Q12" s="40">
        <v>0</v>
      </c>
      <c r="R12" s="95">
        <f>Table1[[#This Row],[Quantity on order]]*(Table1[[#This Row],[Cost ]]+Table1[[#This Row],[shipping]]+Table1[[#This Row],[Tax]])</f>
        <v>0</v>
      </c>
      <c r="S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" s="49">
        <f>Table1[[#This Row],[Quantity  to  purchase]]+Table1[[#This Row],[Quantity purchased]]+Table1[[#This Row],[Quantity on order]]+Table1[[#This Row],[Quantity donated]]-Table1[[#This Row],[extended quantity]]</f>
        <v>247</v>
      </c>
      <c r="U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" s="51">
        <f>IFERROR(Table1[[#This Row],[Quantity  to  purchase]]*(Table1[[#This Row],[Cost ]]+Table1[[#This Row],[shipping]]+Table1[[#This Row],[Tax]]),0)</f>
        <v>0</v>
      </c>
      <c r="W12" s="36">
        <f>IFERROR(Table1[[#This Row],[leftover material]]*(Table1[[#This Row],[Cost ]]+Table1[[#This Row],[shipping]]+Table1[[#This Row],[Tax]]),0)</f>
        <v>9.055102333333334</v>
      </c>
      <c r="X12" s="36">
        <v>0</v>
      </c>
      <c r="Y12" s="87"/>
      <c r="Z12" s="87"/>
      <c r="AA12" s="87"/>
      <c r="AB12" s="36" t="s">
        <v>871</v>
      </c>
      <c r="AC12" s="36">
        <f>IF(ISNA(VLOOKUP(Table1[[#This Row],[Part Number]],'Multi-level BOM'!V$4:V$449,1,FALSE)),0,Table1[[#This Row],[Remaining Extended cost]])</f>
        <v>0</v>
      </c>
    </row>
    <row r="13" spans="1:29" ht="30" x14ac:dyDescent="0.25">
      <c r="A13" s="1" t="s">
        <v>16</v>
      </c>
      <c r="B13" s="4" t="s">
        <v>740</v>
      </c>
      <c r="C13" s="1" t="s">
        <v>928</v>
      </c>
      <c r="D13" s="3">
        <v>0.35</v>
      </c>
      <c r="E13" s="3">
        <f>0.262338232068436*D13</f>
        <v>9.1818381223952583E-2</v>
      </c>
      <c r="F13" s="3">
        <f>0.113621408203553*D13</f>
        <v>3.9767492871243551E-2</v>
      </c>
      <c r="G13" s="5" t="s">
        <v>957</v>
      </c>
      <c r="H13" s="2">
        <v>1</v>
      </c>
      <c r="J13" s="49">
        <f>SUMIF('Multi-level BOM'!D$4:D$467,Table1[[#This Row],[Part Number]],'Multi-level BOM'!H$4:H$467)</f>
        <v>4</v>
      </c>
      <c r="K13" s="10">
        <f>Table1[[#This Row],[extended quantity]]*(Table1[[#This Row],[Cost ]]+Table1[[#This Row],[shipping]]+Table1[[#This Row],[Tax]])</f>
        <v>1.9263434963807844</v>
      </c>
      <c r="L13" s="83" t="str">
        <f>IF(Table1[[#This Row],[Buy-now costs]]&gt;0,"X","")</f>
        <v/>
      </c>
      <c r="M13" s="83">
        <v>4</v>
      </c>
      <c r="N13" s="83"/>
      <c r="O13" s="40">
        <v>4</v>
      </c>
      <c r="P13" s="97">
        <f>Table1[[#This Row],[quantity on-hand]]*(Table1[[#This Row],[Cost ]]+Table1[[#This Row],[shipping]]+Table1[[#This Row],[Tax]])</f>
        <v>1.9263434963807844</v>
      </c>
      <c r="Q13" s="40"/>
      <c r="R13" s="95">
        <f>Table1[[#This Row],[Quantity on order]]*(Table1[[#This Row],[Cost ]]+Table1[[#This Row],[shipping]]+Table1[[#This Row],[Tax]])</f>
        <v>0</v>
      </c>
      <c r="S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" s="49">
        <f>Table1[[#This Row],[Quantity  to  purchase]]+Table1[[#This Row],[Quantity purchased]]+Table1[[#This Row],[Quantity on order]]+Table1[[#This Row],[Quantity donated]]-Table1[[#This Row],[extended quantity]]</f>
        <v>0</v>
      </c>
      <c r="U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" s="51">
        <f>IFERROR(Table1[[#This Row],[Quantity  to  purchase]]*(Table1[[#This Row],[Cost ]]+Table1[[#This Row],[shipping]]+Table1[[#This Row],[Tax]]),0)</f>
        <v>0</v>
      </c>
      <c r="W13" s="36">
        <f>IFERROR(Table1[[#This Row],[leftover material]]*(Table1[[#This Row],[Cost ]]+Table1[[#This Row],[shipping]]+Table1[[#This Row],[Tax]]),0)</f>
        <v>0</v>
      </c>
      <c r="X13" s="36">
        <f>Table1[[#This Row],[Quantity purchased]]*(Table1[[#This Row],[Cost ]]+Table1[[#This Row],[shipping]]+Table1[[#This Row],[Tax]])</f>
        <v>1.9263434963807844</v>
      </c>
      <c r="Y13" s="87">
        <v>43875</v>
      </c>
      <c r="Z13" s="87">
        <v>43885</v>
      </c>
      <c r="AA13" s="87">
        <v>43885</v>
      </c>
      <c r="AB13" s="3" t="s">
        <v>988</v>
      </c>
      <c r="AC13" s="59">
        <f>IF(ISNA(VLOOKUP(Table1[[#This Row],[Part Number]],'Multi-level BOM'!V$4:V$449,1,FALSE)),0,Table1[[#This Row],[Remaining Extended cost]])</f>
        <v>0</v>
      </c>
    </row>
    <row r="14" spans="1:29" ht="45" x14ac:dyDescent="0.25">
      <c r="A14" s="1" t="s">
        <v>17</v>
      </c>
      <c r="B14" s="4" t="s">
        <v>685</v>
      </c>
      <c r="C14" s="1" t="s">
        <v>698</v>
      </c>
      <c r="D14" s="3">
        <v>26.94</v>
      </c>
      <c r="E14" s="3">
        <v>0</v>
      </c>
      <c r="F14" s="3">
        <f>0.113621408203553*D14</f>
        <v>3.0609607370037182</v>
      </c>
      <c r="G14" s="5" t="s">
        <v>1100</v>
      </c>
      <c r="H14" s="2">
        <v>1</v>
      </c>
      <c r="I14" s="1" t="s">
        <v>1095</v>
      </c>
      <c r="J14" s="49">
        <f>SUMIF('Multi-level BOM'!D$4:D$467,Table1[[#This Row],[Part Number]],'Multi-level BOM'!H$4:H$467)</f>
        <v>5</v>
      </c>
      <c r="K14" s="10">
        <f>Table1[[#This Row],[extended quantity]]*(Table1[[#This Row],[Cost ]]+Table1[[#This Row],[shipping]]+Table1[[#This Row],[Tax]])</f>
        <v>150.0048036850186</v>
      </c>
      <c r="L14" s="83" t="str">
        <f>IF(Table1[[#This Row],[Buy-now costs]]&gt;0,"X","")</f>
        <v/>
      </c>
      <c r="M14" s="83">
        <v>3</v>
      </c>
      <c r="N14" s="83"/>
      <c r="O14" s="40">
        <v>3</v>
      </c>
      <c r="P14" s="97">
        <f>Table1[[#This Row],[quantity on-hand]]*(Table1[[#This Row],[Cost ]]+Table1[[#This Row],[shipping]]+Table1[[#This Row],[Tax]])</f>
        <v>90.002882211011155</v>
      </c>
      <c r="Q14" s="40">
        <v>2</v>
      </c>
      <c r="R14" s="95">
        <v>47.96</v>
      </c>
      <c r="S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" s="49">
        <f>Table1[[#This Row],[Quantity  to  purchase]]+Table1[[#This Row],[Quantity purchased]]+Table1[[#This Row],[Quantity on order]]+Table1[[#This Row],[Quantity donated]]-Table1[[#This Row],[extended quantity]]</f>
        <v>0</v>
      </c>
      <c r="U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" s="51">
        <f>IFERROR(Table1[[#This Row],[Quantity  to  purchase]]*(Table1[[#This Row],[Cost ]]+Table1[[#This Row],[shipping]]+Table1[[#This Row],[Tax]]),0)</f>
        <v>0</v>
      </c>
      <c r="W14" s="36">
        <f>IFERROR(Table1[[#This Row],[leftover material]]*(Table1[[#This Row],[Cost ]]+Table1[[#This Row],[shipping]]+Table1[[#This Row],[Tax]]),0)</f>
        <v>0</v>
      </c>
      <c r="X14" s="36">
        <v>67.62</v>
      </c>
      <c r="Y14" s="87">
        <v>43890</v>
      </c>
      <c r="Z14" s="89" t="s">
        <v>1080</v>
      </c>
      <c r="AA14" s="87"/>
      <c r="AB14" s="36" t="s">
        <v>909</v>
      </c>
      <c r="AC14" s="36">
        <f>IF(ISNA(VLOOKUP(Table1[[#This Row],[Part Number]],'Multi-level BOM'!V$4:V$449,1,FALSE)),0,Table1[[#This Row],[Remaining Extended cost]])</f>
        <v>0</v>
      </c>
    </row>
    <row r="15" spans="1:29" ht="45" x14ac:dyDescent="0.25">
      <c r="A15" s="1" t="s">
        <v>18</v>
      </c>
      <c r="B15" s="4" t="s">
        <v>757</v>
      </c>
      <c r="C15" s="1" t="s">
        <v>928</v>
      </c>
      <c r="D15" s="3">
        <f>9.15/100</f>
        <v>9.1499999999999998E-2</v>
      </c>
      <c r="E15" s="3">
        <f>0.262338232068436*D15</f>
        <v>2.4003948234261892E-2</v>
      </c>
      <c r="F15" s="3">
        <f>0.113621408203553*D15</f>
        <v>1.03963588506251E-2</v>
      </c>
      <c r="G15" s="5" t="s">
        <v>959</v>
      </c>
      <c r="H15" s="2">
        <v>100</v>
      </c>
      <c r="J15" s="49">
        <f>SUMIF('Multi-level BOM'!D$4:D$467,Table1[[#This Row],[Part Number]],'Multi-level BOM'!H$4:H$467)</f>
        <v>65</v>
      </c>
      <c r="K15" s="10">
        <f>Table1[[#This Row],[extended quantity]]*(Table1[[#This Row],[Cost ]]+Table1[[#This Row],[shipping]]+Table1[[#This Row],[Tax]])</f>
        <v>8.1835199605176534</v>
      </c>
      <c r="L15" s="83" t="str">
        <f>IF(Table1[[#This Row],[Buy-now costs]]&gt;0,"X","")</f>
        <v/>
      </c>
      <c r="M15" s="83">
        <v>100</v>
      </c>
      <c r="N15" s="83"/>
      <c r="O15" s="40">
        <v>65</v>
      </c>
      <c r="P15" s="97">
        <f>Table1[[#This Row],[quantity on-hand]]*(Table1[[#This Row],[Cost ]]+Table1[[#This Row],[shipping]]+Table1[[#This Row],[Tax]])</f>
        <v>8.1835199605176534</v>
      </c>
      <c r="Q15" s="40"/>
      <c r="R15" s="95">
        <f>Table1[[#This Row],[Quantity on order]]*(Table1[[#This Row],[Cost ]]+Table1[[#This Row],[shipping]]+Table1[[#This Row],[Tax]])</f>
        <v>0</v>
      </c>
      <c r="S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" s="49">
        <f>Table1[[#This Row],[Quantity  to  purchase]]+Table1[[#This Row],[Quantity purchased]]+Table1[[#This Row],[Quantity on order]]+Table1[[#This Row],[Quantity donated]]-Table1[[#This Row],[extended quantity]]</f>
        <v>35</v>
      </c>
      <c r="U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" s="51">
        <f>IFERROR(Table1[[#This Row],[Quantity  to  purchase]]*(Table1[[#This Row],[Cost ]]+Table1[[#This Row],[shipping]]+Table1[[#This Row],[Tax]]),0)</f>
        <v>0</v>
      </c>
      <c r="W15" s="36">
        <f>IFERROR(Table1[[#This Row],[leftover material]]*(Table1[[#This Row],[Cost ]]+Table1[[#This Row],[shipping]]+Table1[[#This Row],[Tax]]),0)</f>
        <v>4.4065107479710441</v>
      </c>
      <c r="X15" s="36">
        <f>Table1[[#This Row],[Quantity purchased]]*(Table1[[#This Row],[Cost ]]+Table1[[#This Row],[shipping]]+Table1[[#This Row],[Tax]])</f>
        <v>12.590030708488698</v>
      </c>
      <c r="Y15" s="87">
        <v>43875</v>
      </c>
      <c r="Z15" s="87">
        <v>43885</v>
      </c>
      <c r="AA15" s="87">
        <v>43885</v>
      </c>
      <c r="AB15" s="3" t="s">
        <v>988</v>
      </c>
      <c r="AC15" s="59">
        <f>IF(ISNA(VLOOKUP(Table1[[#This Row],[Part Number]],'Multi-level BOM'!V$4:V$449,1,FALSE)),0,Table1[[#This Row],[Remaining Extended cost]])</f>
        <v>0</v>
      </c>
    </row>
    <row r="16" spans="1:29" ht="45" x14ac:dyDescent="0.25">
      <c r="A16" s="1" t="s">
        <v>19</v>
      </c>
      <c r="B16" s="4" t="s">
        <v>688</v>
      </c>
      <c r="C16" s="1" t="s">
        <v>656</v>
      </c>
      <c r="D16" s="3">
        <f>11.5/4</f>
        <v>2.875</v>
      </c>
      <c r="E16" s="3">
        <v>0</v>
      </c>
      <c r="F16" s="3">
        <f>9%*Table1[[#This Row],[Cost ]]</f>
        <v>0.25874999999999998</v>
      </c>
      <c r="G16" s="5" t="s">
        <v>689</v>
      </c>
      <c r="H16" s="2">
        <v>4</v>
      </c>
      <c r="J16" s="49">
        <f>SUMIF('Multi-level BOM'!D$4:D$467,Table1[[#This Row],[Part Number]],'Multi-level BOM'!H$4:H$467)</f>
        <v>2</v>
      </c>
      <c r="K16" s="10">
        <f>Table1[[#This Row],[extended quantity]]*(Table1[[#This Row],[Cost ]]+Table1[[#This Row],[shipping]]+Table1[[#This Row],[Tax]])</f>
        <v>6.2675000000000001</v>
      </c>
      <c r="L16" s="83" t="str">
        <f>IF(Table1[[#This Row],[Buy-now costs]]&gt;0,"X","")</f>
        <v/>
      </c>
      <c r="M16" s="83">
        <v>4</v>
      </c>
      <c r="N16" s="83"/>
      <c r="O16" s="40">
        <v>2</v>
      </c>
      <c r="P16" s="97">
        <f>Table1[[#This Row],[quantity on-hand]]*(Table1[[#This Row],[Cost ]]+Table1[[#This Row],[shipping]]+Table1[[#This Row],[Tax]])</f>
        <v>6.2675000000000001</v>
      </c>
      <c r="Q16" s="40">
        <v>0</v>
      </c>
      <c r="R16" s="95">
        <f>Table1[[#This Row],[Quantity on order]]*(Table1[[#This Row],[Cost ]]+Table1[[#This Row],[shipping]]+Table1[[#This Row],[Tax]])</f>
        <v>0</v>
      </c>
      <c r="S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" s="49">
        <f>Table1[[#This Row],[Quantity  to  purchase]]+Table1[[#This Row],[Quantity purchased]]+Table1[[#This Row],[Quantity on order]]+Table1[[#This Row],[Quantity donated]]-Table1[[#This Row],[extended quantity]]</f>
        <v>2</v>
      </c>
      <c r="U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" s="51">
        <f>IFERROR(Table1[[#This Row],[Quantity  to  purchase]]*(Table1[[#This Row],[Cost ]]+Table1[[#This Row],[shipping]]+Table1[[#This Row],[Tax]]),0)</f>
        <v>0</v>
      </c>
      <c r="W16" s="36">
        <f>IFERROR(Table1[[#This Row],[leftover material]]*(Table1[[#This Row],[Cost ]]+Table1[[#This Row],[shipping]]+Table1[[#This Row],[Tax]]),0)</f>
        <v>6.2675000000000001</v>
      </c>
      <c r="X16" s="36">
        <v>12.54</v>
      </c>
      <c r="Y16" s="87">
        <v>43876</v>
      </c>
      <c r="Z16" s="87"/>
      <c r="AA16" s="87"/>
      <c r="AB16" s="3" t="s">
        <v>993</v>
      </c>
      <c r="AC16" s="36">
        <f>IF(ISNA(VLOOKUP(Table1[[#This Row],[Part Number]],'Multi-level BOM'!V$4:V$449,1,FALSE)),0,Table1[[#This Row],[Remaining Extended cost]])</f>
        <v>0</v>
      </c>
    </row>
    <row r="17" spans="1:29" ht="30" x14ac:dyDescent="0.25">
      <c r="A17" s="1" t="s">
        <v>20</v>
      </c>
      <c r="B17" s="4" t="s">
        <v>937</v>
      </c>
      <c r="C17" s="1" t="s">
        <v>693</v>
      </c>
      <c r="D17" s="3">
        <v>38.68</v>
      </c>
      <c r="E17" s="3">
        <f>16.57/3</f>
        <v>5.5233333333333334</v>
      </c>
      <c r="F17" s="3">
        <v>0</v>
      </c>
      <c r="G17" s="1" t="s">
        <v>936</v>
      </c>
      <c r="H17" s="2">
        <v>1</v>
      </c>
      <c r="J17" s="49">
        <f>SUMIF('Multi-level BOM'!D$4:D$467,Table1[[#This Row],[Part Number]],'Multi-level BOM'!H$4:H$467)</f>
        <v>3</v>
      </c>
      <c r="K17" s="10">
        <f>Table1[[#This Row],[extended quantity]]*(Table1[[#This Row],[Cost ]]+Table1[[#This Row],[shipping]]+Table1[[#This Row],[Tax]])</f>
        <v>132.61000000000001</v>
      </c>
      <c r="L17" s="83" t="str">
        <f>IF(Table1[[#This Row],[Buy-now costs]]&gt;0,"X","")</f>
        <v/>
      </c>
      <c r="M17" s="83">
        <v>3</v>
      </c>
      <c r="N17" s="83"/>
      <c r="O17" s="40">
        <v>3</v>
      </c>
      <c r="P17" s="97">
        <f>Table1[[#This Row],[quantity on-hand]]*(Table1[[#This Row],[Cost ]]+Table1[[#This Row],[shipping]]+Table1[[#This Row],[Tax]])</f>
        <v>132.61000000000001</v>
      </c>
      <c r="Q17" s="40">
        <v>0</v>
      </c>
      <c r="R17" s="95">
        <f>Table1[[#This Row],[Quantity on order]]*(Table1[[#This Row],[Cost ]]+Table1[[#This Row],[shipping]]+Table1[[#This Row],[Tax]])</f>
        <v>0</v>
      </c>
      <c r="S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" s="49">
        <f>Table1[[#This Row],[Quantity  to  purchase]]+Table1[[#This Row],[Quantity purchased]]+Table1[[#This Row],[Quantity on order]]+Table1[[#This Row],[Quantity donated]]-Table1[[#This Row],[extended quantity]]</f>
        <v>0</v>
      </c>
      <c r="U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" s="51">
        <f>IFERROR(Table1[[#This Row],[Quantity  to  purchase]]*(Table1[[#This Row],[Cost ]]+Table1[[#This Row],[shipping]]+Table1[[#This Row],[Tax]]),0)</f>
        <v>0</v>
      </c>
      <c r="W17" s="36">
        <f>IFERROR(Table1[[#This Row],[leftover material]]*(Table1[[#This Row],[Cost ]]+Table1[[#This Row],[shipping]]+Table1[[#This Row],[Tax]]),0)</f>
        <v>0</v>
      </c>
      <c r="X17" s="36">
        <v>132.61000000000001</v>
      </c>
      <c r="Y17" s="87">
        <v>43877</v>
      </c>
      <c r="Z17" s="89">
        <v>43889</v>
      </c>
      <c r="AA17" s="87">
        <v>43889</v>
      </c>
      <c r="AB17" s="3" t="s">
        <v>995</v>
      </c>
      <c r="AC17" s="36">
        <f>IF(ISNA(VLOOKUP(Table1[[#This Row],[Part Number]],'Multi-level BOM'!V$4:V$449,1,FALSE)),0,Table1[[#This Row],[Remaining Extended cost]])</f>
        <v>0</v>
      </c>
    </row>
    <row r="18" spans="1:29" x14ac:dyDescent="0.25">
      <c r="A18" s="1" t="s">
        <v>21</v>
      </c>
      <c r="B18" s="4" t="s">
        <v>969</v>
      </c>
      <c r="C18" s="1" t="s">
        <v>928</v>
      </c>
      <c r="D18" s="3">
        <v>0.24</v>
      </c>
      <c r="E18" s="3">
        <f>0.262338232068436*D18</f>
        <v>6.2961175696424634E-2</v>
      </c>
      <c r="F18" s="3">
        <f>0.113621408203553*D18</f>
        <v>2.7269137968852719E-2</v>
      </c>
      <c r="G18" s="5" t="s">
        <v>968</v>
      </c>
      <c r="H18" s="2">
        <v>1</v>
      </c>
      <c r="I18" s="1" t="s">
        <v>929</v>
      </c>
      <c r="J18" s="49">
        <f>SUMIF('Multi-level BOM'!D$4:D$467,Table1[[#This Row],[Part Number]],'Multi-level BOM'!H$4:H$467)</f>
        <v>12</v>
      </c>
      <c r="K18" s="10">
        <f>Table1[[#This Row],[extended quantity]]*(Table1[[#This Row],[Cost ]]+Table1[[#This Row],[shipping]]+Table1[[#This Row],[Tax]])</f>
        <v>3.962763763983328</v>
      </c>
      <c r="L18" s="83" t="str">
        <f>IF(Table1[[#This Row],[Buy-now costs]]&gt;0,"X","")</f>
        <v/>
      </c>
      <c r="M18" s="83">
        <v>12</v>
      </c>
      <c r="N18" s="83"/>
      <c r="O18" s="40">
        <v>12</v>
      </c>
      <c r="P18" s="97">
        <f>Table1[[#This Row],[quantity on-hand]]*(Table1[[#This Row],[Cost ]]+Table1[[#This Row],[shipping]]+Table1[[#This Row],[Tax]])</f>
        <v>3.962763763983328</v>
      </c>
      <c r="Q18" s="40"/>
      <c r="R18" s="95">
        <f>Table1[[#This Row],[Quantity on order]]*(Table1[[#This Row],[Cost ]]+Table1[[#This Row],[shipping]]+Table1[[#This Row],[Tax]])</f>
        <v>0</v>
      </c>
      <c r="S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" s="49">
        <f>Table1[[#This Row],[Quantity  to  purchase]]+Table1[[#This Row],[Quantity purchased]]+Table1[[#This Row],[Quantity on order]]+Table1[[#This Row],[Quantity donated]]-Table1[[#This Row],[extended quantity]]</f>
        <v>0</v>
      </c>
      <c r="U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" s="51">
        <f>IFERROR(Table1[[#This Row],[Quantity  to  purchase]]*(Table1[[#This Row],[Cost ]]+Table1[[#This Row],[shipping]]+Table1[[#This Row],[Tax]]),0)</f>
        <v>0</v>
      </c>
      <c r="W18" s="36">
        <f>IFERROR(Table1[[#This Row],[leftover material]]*(Table1[[#This Row],[Cost ]]+Table1[[#This Row],[shipping]]+Table1[[#This Row],[Tax]]),0)</f>
        <v>0</v>
      </c>
      <c r="X18" s="36">
        <f>Table1[[#This Row],[Quantity purchased]]*(Table1[[#This Row],[Cost ]]+Table1[[#This Row],[shipping]]+Table1[[#This Row],[Tax]])</f>
        <v>3.962763763983328</v>
      </c>
      <c r="Y18" s="87">
        <v>43875</v>
      </c>
      <c r="Z18" s="87">
        <v>43885</v>
      </c>
      <c r="AA18" s="87">
        <v>43885</v>
      </c>
      <c r="AB18" s="3" t="s">
        <v>988</v>
      </c>
      <c r="AC18" s="59">
        <f>IF(ISNA(VLOOKUP(Table1[[#This Row],[Part Number]],'Multi-level BOM'!V$4:V$449,1,FALSE)),0,Table1[[#This Row],[Remaining Extended cost]])</f>
        <v>0</v>
      </c>
    </row>
    <row r="19" spans="1:29" ht="30" x14ac:dyDescent="0.25">
      <c r="A19" s="1" t="s">
        <v>22</v>
      </c>
      <c r="B19" s="4" t="s">
        <v>1070</v>
      </c>
      <c r="C19" s="1" t="s">
        <v>698</v>
      </c>
      <c r="D19" s="3">
        <v>16.989999999999998</v>
      </c>
      <c r="E19" s="3">
        <v>2.99</v>
      </c>
      <c r="F19" s="3">
        <v>0</v>
      </c>
      <c r="G19" s="5" t="s">
        <v>699</v>
      </c>
      <c r="H19" s="2">
        <v>1</v>
      </c>
      <c r="I19" s="1" t="s">
        <v>978</v>
      </c>
      <c r="J19" s="49">
        <f>SUMIF('Multi-level BOM'!D$4:D$467,Table1[[#This Row],[Part Number]],'Multi-level BOM'!H$4:H$467)</f>
        <v>1</v>
      </c>
      <c r="K19" s="10">
        <f>Table1[[#This Row],[extended quantity]]*(Table1[[#This Row],[Cost ]]+Table1[[#This Row],[shipping]]+Table1[[#This Row],[Tax]])</f>
        <v>19.979999999999997</v>
      </c>
      <c r="L19" s="83" t="str">
        <f>IF(Table1[[#This Row],[Buy-now costs]]&gt;0,"X","")</f>
        <v/>
      </c>
      <c r="M19" s="83">
        <v>1</v>
      </c>
      <c r="N19" s="83"/>
      <c r="O19" s="40">
        <v>1</v>
      </c>
      <c r="P19" s="97">
        <f>Table1[[#This Row],[quantity on-hand]]*(Table1[[#This Row],[Cost ]]+Table1[[#This Row],[shipping]]+Table1[[#This Row],[Tax]])</f>
        <v>19.979999999999997</v>
      </c>
      <c r="Q19" s="40">
        <v>0</v>
      </c>
      <c r="R19" s="95">
        <f>Table1[[#This Row],[Quantity on order]]*(Table1[[#This Row],[Cost ]]+Table1[[#This Row],[shipping]]+Table1[[#This Row],[Tax]])</f>
        <v>0</v>
      </c>
      <c r="S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" s="49">
        <f>Table1[[#This Row],[Quantity  to  purchase]]+Table1[[#This Row],[Quantity purchased]]+Table1[[#This Row],[Quantity on order]]+Table1[[#This Row],[Quantity donated]]-Table1[[#This Row],[extended quantity]]</f>
        <v>0</v>
      </c>
      <c r="U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" s="51">
        <f>IFERROR(Table1[[#This Row],[Quantity  to  purchase]]*(Table1[[#This Row],[Cost ]]+Table1[[#This Row],[shipping]]+Table1[[#This Row],[Tax]]),0)</f>
        <v>0</v>
      </c>
      <c r="W19" s="36">
        <f>IFERROR(Table1[[#This Row],[leftover material]]*(Table1[[#This Row],[Cost ]]+Table1[[#This Row],[shipping]]+Table1[[#This Row],[Tax]]),0)</f>
        <v>0</v>
      </c>
      <c r="X19" s="36">
        <v>19.98</v>
      </c>
      <c r="Y19" s="87">
        <v>43875</v>
      </c>
      <c r="Z19" s="87"/>
      <c r="AA19" s="87">
        <v>43881</v>
      </c>
      <c r="AB19" s="3" t="s">
        <v>1071</v>
      </c>
      <c r="AC19" s="36">
        <f>IF(ISNA(VLOOKUP(Table1[[#This Row],[Part Number]],'Multi-level BOM'!V$4:V$449,1,FALSE)),0,Table1[[#This Row],[Remaining Extended cost]])</f>
        <v>0</v>
      </c>
    </row>
    <row r="20" spans="1:29" x14ac:dyDescent="0.25">
      <c r="A20" s="1" t="s">
        <v>23</v>
      </c>
      <c r="B20" s="4" t="s">
        <v>748</v>
      </c>
      <c r="C20" s="1" t="s">
        <v>648</v>
      </c>
      <c r="D20" s="3">
        <v>0</v>
      </c>
      <c r="E20" s="3">
        <v>0</v>
      </c>
      <c r="F20" s="3">
        <v>0</v>
      </c>
      <c r="G20" s="5" t="s">
        <v>649</v>
      </c>
      <c r="H20" s="2">
        <v>1</v>
      </c>
      <c r="I20" s="1" t="s">
        <v>930</v>
      </c>
      <c r="J20" s="49">
        <f>SUMIF('Multi-level BOM'!D$4:D$467,Table1[[#This Row],[Part Number]],'Multi-level BOM'!H$4:H$467)</f>
        <v>1</v>
      </c>
      <c r="K20" s="10">
        <f>Table1[[#This Row],[extended quantity]]*(Table1[[#This Row],[Cost ]]+Table1[[#This Row],[shipping]]+Table1[[#This Row],[Tax]])</f>
        <v>0</v>
      </c>
      <c r="L20" s="83" t="str">
        <f>IF(Table1[[#This Row],[Buy-now costs]]&gt;0,"X","")</f>
        <v/>
      </c>
      <c r="M20" s="83"/>
      <c r="N20" s="83"/>
      <c r="O20" s="40">
        <v>0</v>
      </c>
      <c r="P20" s="97">
        <f>Table1[[#This Row],[quantity on-hand]]*(Table1[[#This Row],[Cost ]]+Table1[[#This Row],[shipping]]+Table1[[#This Row],[Tax]])</f>
        <v>0</v>
      </c>
      <c r="Q20" s="40">
        <v>0</v>
      </c>
      <c r="R20" s="95">
        <f>Table1[[#This Row],[Quantity on order]]*(Table1[[#This Row],[Cost ]]+Table1[[#This Row],[shipping]]+Table1[[#This Row],[Tax]])</f>
        <v>0</v>
      </c>
      <c r="S2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20" s="49">
        <f>Table1[[#This Row],[Quantity  to  purchase]]+Table1[[#This Row],[Quantity purchased]]+Table1[[#This Row],[Quantity on order]]+Table1[[#This Row],[Quantity donated]]-Table1[[#This Row],[extended quantity]]</f>
        <v>0</v>
      </c>
      <c r="U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" s="51">
        <f>IFERROR(Table1[[#This Row],[Quantity  to  purchase]]*(Table1[[#This Row],[Cost ]]+Table1[[#This Row],[shipping]]+Table1[[#This Row],[Tax]]),0)</f>
        <v>0</v>
      </c>
      <c r="W20" s="36">
        <f>IFERROR(Table1[[#This Row],[leftover material]]*(Table1[[#This Row],[Cost ]]+Table1[[#This Row],[shipping]]+Table1[[#This Row],[Tax]]),0)</f>
        <v>0</v>
      </c>
      <c r="X20" s="36"/>
      <c r="Y20" s="87"/>
      <c r="Z20" s="87"/>
      <c r="AA20" s="87"/>
      <c r="AB20" s="36"/>
      <c r="AC20" s="36">
        <f>IF(ISNA(VLOOKUP(Table1[[#This Row],[Part Number]],'Multi-level BOM'!V$4:V$449,1,FALSE)),0,Table1[[#This Row],[Remaining Extended cost]])</f>
        <v>0</v>
      </c>
    </row>
    <row r="21" spans="1:29" ht="30" x14ac:dyDescent="0.25">
      <c r="A21" s="1" t="s">
        <v>24</v>
      </c>
      <c r="B21" s="16" t="s">
        <v>1055</v>
      </c>
      <c r="C21" s="1" t="s">
        <v>1017</v>
      </c>
      <c r="D21" s="3">
        <f>11.33/50</f>
        <v>0.2266</v>
      </c>
      <c r="E21" s="3">
        <v>0</v>
      </c>
      <c r="F21" s="3">
        <f>9%*(Table1[[#This Row],[Cost ]]+Table1[[#This Row],[shipping]])</f>
        <v>2.0393999999999999E-2</v>
      </c>
      <c r="G21" s="5" t="s">
        <v>1057</v>
      </c>
      <c r="H21" s="2">
        <v>50</v>
      </c>
      <c r="I21" s="1" t="s">
        <v>702</v>
      </c>
      <c r="J21" s="49">
        <f>SUMIF('Multi-level BOM'!D$4:D$467,Table1[[#This Row],[Part Number]],'Multi-level BOM'!H$4:H$467)</f>
        <v>39</v>
      </c>
      <c r="K21" s="10">
        <f>Table1[[#This Row],[extended quantity]]*(Table1[[#This Row],[Cost ]]+Table1[[#This Row],[shipping]]+Table1[[#This Row],[Tax]])</f>
        <v>9.6327660000000002</v>
      </c>
      <c r="L21" s="83" t="str">
        <f>IF(Table1[[#This Row],[Buy-now costs]]&gt;0,"X","")</f>
        <v/>
      </c>
      <c r="M21" s="83">
        <v>50</v>
      </c>
      <c r="N21" s="83"/>
      <c r="O21" s="40">
        <v>39</v>
      </c>
      <c r="P21" s="97">
        <f>Table1[[#This Row],[quantity on-hand]]*(Table1[[#This Row],[Cost ]]+Table1[[#This Row],[shipping]]+Table1[[#This Row],[Tax]])</f>
        <v>9.6327660000000002</v>
      </c>
      <c r="Q21" s="40">
        <v>0</v>
      </c>
      <c r="R21" s="95">
        <f>Table1[[#This Row],[Quantity on order]]*(Table1[[#This Row],[Cost ]]+Table1[[#This Row],[shipping]]+Table1[[#This Row],[Tax]])</f>
        <v>0</v>
      </c>
      <c r="S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" s="49">
        <f>Table1[[#This Row],[Quantity  to  purchase]]+Table1[[#This Row],[Quantity purchased]]+Table1[[#This Row],[Quantity on order]]+Table1[[#This Row],[Quantity donated]]-Table1[[#This Row],[extended quantity]]</f>
        <v>11</v>
      </c>
      <c r="U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" s="51">
        <f>IFERROR(Table1[[#This Row],[Quantity  to  purchase]]*(Table1[[#This Row],[Cost ]]+Table1[[#This Row],[shipping]]+Table1[[#This Row],[Tax]]),0)</f>
        <v>0</v>
      </c>
      <c r="W21" s="36">
        <f>IFERROR(Table1[[#This Row],[leftover material]]*(Table1[[#This Row],[Cost ]]+Table1[[#This Row],[shipping]]+Table1[[#This Row],[Tax]]),0)</f>
        <v>2.7169339999999997</v>
      </c>
      <c r="X21" s="36">
        <f>Table1[[#This Row],[Quantity purchased]]*(Table1[[#This Row],[Cost ]]+Table1[[#This Row],[shipping]]+Table1[[#This Row],[Tax]])</f>
        <v>12.3497</v>
      </c>
      <c r="Y21" s="87">
        <v>43882</v>
      </c>
      <c r="Z21" s="87">
        <v>43913</v>
      </c>
      <c r="AA21" s="87"/>
      <c r="AB21" s="3"/>
      <c r="AC21" s="36">
        <f>IF(ISNA(VLOOKUP(Table1[[#This Row],[Part Number]],'Multi-level BOM'!V$4:V$449,1,FALSE)),0,Table1[[#This Row],[Remaining Extended cost]])</f>
        <v>0</v>
      </c>
    </row>
    <row r="22" spans="1:29" ht="30" x14ac:dyDescent="0.25">
      <c r="A22" s="1" t="s">
        <v>25</v>
      </c>
      <c r="B22" s="4" t="s">
        <v>992</v>
      </c>
      <c r="C22" s="1" t="s">
        <v>656</v>
      </c>
      <c r="D22" s="3">
        <v>21.5</v>
      </c>
      <c r="E22" s="3">
        <v>0</v>
      </c>
      <c r="F22" s="3">
        <f>9%*Table1[[#This Row],[Cost ]]</f>
        <v>1.9349999999999998</v>
      </c>
      <c r="G22" s="5" t="s">
        <v>991</v>
      </c>
      <c r="H22" s="2">
        <v>1</v>
      </c>
      <c r="J22" s="49">
        <f>SUMIF('Multi-level BOM'!D$4:D$467,Table1[[#This Row],[Part Number]],'Multi-level BOM'!H$4:H$467)</f>
        <v>3</v>
      </c>
      <c r="K22" s="10">
        <f>Table1[[#This Row],[extended quantity]]*(Table1[[#This Row],[Cost ]]+Table1[[#This Row],[shipping]]+Table1[[#This Row],[Tax]])</f>
        <v>70.304999999999993</v>
      </c>
      <c r="L22" s="83" t="str">
        <f>IF(Table1[[#This Row],[Buy-now costs]]&gt;0,"X","")</f>
        <v/>
      </c>
      <c r="M22" s="83">
        <v>3</v>
      </c>
      <c r="N22" s="83"/>
      <c r="O22" s="40">
        <v>3</v>
      </c>
      <c r="P22" s="97">
        <f>Table1[[#This Row],[quantity on-hand]]*(Table1[[#This Row],[Cost ]]+Table1[[#This Row],[shipping]]+Table1[[#This Row],[Tax]])</f>
        <v>70.304999999999993</v>
      </c>
      <c r="Q22" s="40">
        <v>0</v>
      </c>
      <c r="R22" s="95">
        <f>Table1[[#This Row],[Quantity on order]]*(Table1[[#This Row],[Cost ]]+Table1[[#This Row],[shipping]]+Table1[[#This Row],[Tax]])</f>
        <v>0</v>
      </c>
      <c r="S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" s="49">
        <f>Table1[[#This Row],[Quantity  to  purchase]]+Table1[[#This Row],[Quantity purchased]]+Table1[[#This Row],[Quantity on order]]+Table1[[#This Row],[Quantity donated]]-Table1[[#This Row],[extended quantity]]</f>
        <v>0</v>
      </c>
      <c r="U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" s="51">
        <f>IFERROR(Table1[[#This Row],[Quantity  to  purchase]]*(Table1[[#This Row],[Cost ]]+Table1[[#This Row],[shipping]]+Table1[[#This Row],[Tax]]),0)</f>
        <v>0</v>
      </c>
      <c r="W22" s="36">
        <f>IFERROR(Table1[[#This Row],[leftover material]]*(Table1[[#This Row],[Cost ]]+Table1[[#This Row],[shipping]]+Table1[[#This Row],[Tax]]),0)</f>
        <v>0</v>
      </c>
      <c r="X22" s="36">
        <v>45.7</v>
      </c>
      <c r="Y22" s="87"/>
      <c r="Z22" s="87"/>
      <c r="AA22" s="87"/>
      <c r="AB22" s="3" t="s">
        <v>994</v>
      </c>
      <c r="AC22" s="36">
        <f>IF(ISNA(VLOOKUP(Table1[[#This Row],[Part Number]],'Multi-level BOM'!V$4:V$449,1,FALSE)),0,Table1[[#This Row],[Remaining Extended cost]])</f>
        <v>0</v>
      </c>
    </row>
    <row r="23" spans="1:29" ht="30" x14ac:dyDescent="0.25">
      <c r="A23" s="1" t="s">
        <v>26</v>
      </c>
      <c r="B23" s="4" t="s">
        <v>979</v>
      </c>
      <c r="C23" s="1" t="s">
        <v>964</v>
      </c>
      <c r="D23" s="3">
        <f>50.85/3</f>
        <v>16.95</v>
      </c>
      <c r="E23" s="3">
        <f>0.595*Table1[[#This Row],[Cost ]]/3</f>
        <v>3.3617499999999993</v>
      </c>
      <c r="F23" s="3">
        <f>9%*Table1[[#This Row],[Cost ]]</f>
        <v>1.5254999999999999</v>
      </c>
      <c r="G23" s="5" t="s">
        <v>980</v>
      </c>
      <c r="H23" s="2">
        <v>1</v>
      </c>
      <c r="J23" s="49">
        <f>SUMIF('Multi-level BOM'!D$4:D$467,Table1[[#This Row],[Part Number]],'Multi-level BOM'!H$4:H$467)</f>
        <v>3</v>
      </c>
      <c r="K23" s="10">
        <f>Table1[[#This Row],[extended quantity]]*(Table1[[#This Row],[Cost ]]+Table1[[#This Row],[shipping]]+Table1[[#This Row],[Tax]])</f>
        <v>65.511750000000006</v>
      </c>
      <c r="L23" s="83" t="str">
        <f>IF(Table1[[#This Row],[Buy-now costs]]&gt;0,"X","")</f>
        <v/>
      </c>
      <c r="M23" s="83">
        <v>3</v>
      </c>
      <c r="N23" s="83"/>
      <c r="O23" s="40">
        <v>3</v>
      </c>
      <c r="P23" s="97">
        <f>Table1[[#This Row],[quantity on-hand]]*(Table1[[#This Row],[Cost ]]+Table1[[#This Row],[shipping]]+Table1[[#This Row],[Tax]])</f>
        <v>65.511750000000006</v>
      </c>
      <c r="Q23" s="40">
        <v>0</v>
      </c>
      <c r="R23" s="95">
        <f>Table1[[#This Row],[Quantity on order]]*(Table1[[#This Row],[Cost ]]+Table1[[#This Row],[shipping]]+Table1[[#This Row],[Tax]])</f>
        <v>0</v>
      </c>
      <c r="S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" s="49">
        <f>Table1[[#This Row],[Quantity  to  purchase]]+Table1[[#This Row],[Quantity purchased]]+Table1[[#This Row],[Quantity on order]]+Table1[[#This Row],[Quantity donated]]-Table1[[#This Row],[extended quantity]]</f>
        <v>0</v>
      </c>
      <c r="U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" s="51">
        <f>IFERROR(Table1[[#This Row],[Quantity  to  purchase]]*(Table1[[#This Row],[Cost ]]+Table1[[#This Row],[shipping]]+Table1[[#This Row],[Tax]]),0)</f>
        <v>0</v>
      </c>
      <c r="W23" s="36">
        <f>IFERROR(Table1[[#This Row],[leftover material]]*(Table1[[#This Row],[Cost ]]+Table1[[#This Row],[shipping]]+Table1[[#This Row],[Tax]]),0)</f>
        <v>0</v>
      </c>
      <c r="X23" s="36">
        <v>65.510000000000005</v>
      </c>
      <c r="Y23" s="87"/>
      <c r="Z23" s="87"/>
      <c r="AA23" s="87"/>
      <c r="AB23" s="3" t="s">
        <v>1073</v>
      </c>
      <c r="AC23" s="36">
        <f>IF(ISNA(VLOOKUP(Table1[[#This Row],[Part Number]],'Multi-level BOM'!V$4:V$449,1,FALSE)),0,Table1[[#This Row],[Remaining Extended cost]])</f>
        <v>0</v>
      </c>
    </row>
    <row r="24" spans="1:29" ht="30" x14ac:dyDescent="0.25">
      <c r="A24" s="1" t="s">
        <v>27</v>
      </c>
      <c r="B24" s="16" t="s">
        <v>725</v>
      </c>
      <c r="C24" s="1" t="s">
        <v>698</v>
      </c>
      <c r="D24" s="3">
        <v>8.5500000000000007</v>
      </c>
      <c r="E24" s="3">
        <v>2</v>
      </c>
      <c r="F24" s="3">
        <f>9%*Table1[[#This Row],[Cost ]]</f>
        <v>0.76950000000000007</v>
      </c>
      <c r="G24" s="1" t="s">
        <v>726</v>
      </c>
      <c r="H24" s="2">
        <v>1</v>
      </c>
      <c r="I24" s="1" t="s">
        <v>702</v>
      </c>
      <c r="J24" s="49">
        <f>SUMIF('Multi-level BOM'!D$4:D$467,Table1[[#This Row],[Part Number]],'Multi-level BOM'!H$4:H$467)</f>
        <v>1</v>
      </c>
      <c r="K24" s="10">
        <f>Table1[[#This Row],[extended quantity]]*(Table1[[#This Row],[Cost ]]+Table1[[#This Row],[shipping]]+Table1[[#This Row],[Tax]])</f>
        <v>11.319500000000001</v>
      </c>
      <c r="L24" s="83" t="str">
        <f>IF(Table1[[#This Row],[Buy-now costs]]&gt;0,"X","")</f>
        <v/>
      </c>
      <c r="M24" s="83">
        <v>1</v>
      </c>
      <c r="N24" s="83"/>
      <c r="O24" s="40">
        <v>1</v>
      </c>
      <c r="P24" s="97">
        <f>Table1[[#This Row],[quantity on-hand]]*(Table1[[#This Row],[Cost ]]+Table1[[#This Row],[shipping]]+Table1[[#This Row],[Tax]])</f>
        <v>11.319500000000001</v>
      </c>
      <c r="Q24" s="40">
        <v>0</v>
      </c>
      <c r="R24" s="95">
        <f>Table1[[#This Row],[Quantity on order]]*(Table1[[#This Row],[Cost ]]+Table1[[#This Row],[shipping]]+Table1[[#This Row],[Tax]])</f>
        <v>0</v>
      </c>
      <c r="S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" s="49">
        <f>Table1[[#This Row],[Quantity  to  purchase]]+Table1[[#This Row],[Quantity purchased]]+Table1[[#This Row],[Quantity on order]]+Table1[[#This Row],[Quantity donated]]-Table1[[#This Row],[extended quantity]]</f>
        <v>0</v>
      </c>
      <c r="U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" s="51">
        <f>IFERROR(Table1[[#This Row],[Quantity  to  purchase]]*(Table1[[#This Row],[Cost ]]+Table1[[#This Row],[shipping]]+Table1[[#This Row],[Tax]]),0)</f>
        <v>0</v>
      </c>
      <c r="W24" s="36">
        <f>IFERROR(Table1[[#This Row],[leftover material]]*(Table1[[#This Row],[Cost ]]+Table1[[#This Row],[shipping]]+Table1[[#This Row],[Tax]]),0)</f>
        <v>0</v>
      </c>
      <c r="X24" s="36"/>
      <c r="Y24" s="87">
        <v>43874</v>
      </c>
      <c r="Z24" s="87">
        <v>43905</v>
      </c>
      <c r="AA24" s="87"/>
      <c r="AB24" s="3" t="s">
        <v>1082</v>
      </c>
      <c r="AC24" s="36">
        <f>IF(ISNA(VLOOKUP(Table1[[#This Row],[Part Number]],'Multi-level BOM'!V$4:V$449,1,FALSE)),0,Table1[[#This Row],[Remaining Extended cost]])</f>
        <v>0</v>
      </c>
    </row>
    <row r="25" spans="1:29" ht="30" x14ac:dyDescent="0.25">
      <c r="A25" s="1" t="s">
        <v>28</v>
      </c>
      <c r="B25" s="17" t="s">
        <v>728</v>
      </c>
      <c r="C25" s="1" t="s">
        <v>928</v>
      </c>
      <c r="D25" s="3">
        <f>4.95/100</f>
        <v>4.9500000000000002E-2</v>
      </c>
      <c r="E25" s="3">
        <f>0.262338232068436*D25</f>
        <v>1.2985742487387581E-2</v>
      </c>
      <c r="F25" s="3">
        <f>0.113621408203553*D25</f>
        <v>5.6242597060758735E-3</v>
      </c>
      <c r="G25" s="5" t="s">
        <v>944</v>
      </c>
      <c r="H25" s="2">
        <v>100</v>
      </c>
      <c r="I25" s="1" t="s">
        <v>729</v>
      </c>
      <c r="J25" s="49">
        <f>SUMIF('Multi-level BOM'!D$4:D$467,Table1[[#This Row],[Part Number]],'Multi-level BOM'!H$4:H$467)</f>
        <v>22</v>
      </c>
      <c r="K25" s="10">
        <f>Table1[[#This Row],[extended quantity]]*(Table1[[#This Row],[Cost ]]+Table1[[#This Row],[shipping]]+Table1[[#This Row],[Tax]])</f>
        <v>1.498420048256196</v>
      </c>
      <c r="L25" s="83" t="str">
        <f>IF(Table1[[#This Row],[Buy-now costs]]&gt;0,"X","")</f>
        <v/>
      </c>
      <c r="M25" s="83">
        <v>100</v>
      </c>
      <c r="N25" s="83"/>
      <c r="O25" s="40">
        <v>22</v>
      </c>
      <c r="P25" s="97">
        <f>Table1[[#This Row],[quantity on-hand]]*(Table1[[#This Row],[Cost ]]+Table1[[#This Row],[shipping]]+Table1[[#This Row],[Tax]])</f>
        <v>1.498420048256196</v>
      </c>
      <c r="Q25" s="40"/>
      <c r="R25" s="95">
        <f>Table1[[#This Row],[Quantity on order]]*(Table1[[#This Row],[Cost ]]+Table1[[#This Row],[shipping]]+Table1[[#This Row],[Tax]])</f>
        <v>0</v>
      </c>
      <c r="S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" s="49">
        <f>Table1[[#This Row],[Quantity  to  purchase]]+Table1[[#This Row],[Quantity purchased]]+Table1[[#This Row],[Quantity on order]]+Table1[[#This Row],[Quantity donated]]-Table1[[#This Row],[extended quantity]]</f>
        <v>78</v>
      </c>
      <c r="U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" s="51">
        <f>IFERROR(Table1[[#This Row],[Quantity  to  purchase]]*(Table1[[#This Row],[Cost ]]+Table1[[#This Row],[shipping]]+Table1[[#This Row],[Tax]]),0)</f>
        <v>0</v>
      </c>
      <c r="W25" s="36">
        <f>IFERROR(Table1[[#This Row],[leftover material]]*(Table1[[#This Row],[Cost ]]+Table1[[#This Row],[shipping]]+Table1[[#This Row],[Tax]]),0)</f>
        <v>5.3125801710901497</v>
      </c>
      <c r="X25" s="36">
        <f>Table1[[#This Row],[Quantity purchased]]*(Table1[[#This Row],[Cost ]]+Table1[[#This Row],[shipping]]+Table1[[#This Row],[Tax]])</f>
        <v>6.8110002193463455</v>
      </c>
      <c r="Y25" s="87">
        <v>43875</v>
      </c>
      <c r="Z25" s="87">
        <v>43885</v>
      </c>
      <c r="AA25" s="87">
        <v>43885</v>
      </c>
      <c r="AB25" s="3" t="s">
        <v>988</v>
      </c>
      <c r="AC25" s="59">
        <f>IF(ISNA(VLOOKUP(Table1[[#This Row],[Part Number]],'Multi-level BOM'!V$4:V$449,1,FALSE)),0,Table1[[#This Row],[Remaining Extended cost]])</f>
        <v>0</v>
      </c>
    </row>
    <row r="26" spans="1:29" x14ac:dyDescent="0.25">
      <c r="A26" s="42" t="s">
        <v>29</v>
      </c>
      <c r="B26" s="4" t="s">
        <v>981</v>
      </c>
      <c r="C26" s="1" t="s">
        <v>704</v>
      </c>
      <c r="D26" s="3">
        <f>14.75/4</f>
        <v>3.6875</v>
      </c>
      <c r="E26" s="3">
        <f>3/4</f>
        <v>0.75</v>
      </c>
      <c r="F26" s="3">
        <f>9%*Table1[[#This Row],[Cost ]]</f>
        <v>0.33187499999999998</v>
      </c>
      <c r="H26" s="2">
        <v>4</v>
      </c>
      <c r="I26" s="1" t="s">
        <v>705</v>
      </c>
      <c r="J26" s="49">
        <f>SUMIF('Multi-level BOM'!D$4:D$467,Table1[[#This Row],[Part Number]],'Multi-level BOM'!H$4:H$467)</f>
        <v>2</v>
      </c>
      <c r="K26" s="10">
        <f>Table1[[#This Row],[extended quantity]]*(Table1[[#This Row],[Cost ]]+Table1[[#This Row],[shipping]]+Table1[[#This Row],[Tax]])</f>
        <v>9.5387500000000003</v>
      </c>
      <c r="L26" s="83" t="str">
        <f>IF(Table1[[#This Row],[Buy-now costs]]&gt;0,"X","")</f>
        <v/>
      </c>
      <c r="M26" s="83">
        <v>0</v>
      </c>
      <c r="N26" s="83">
        <v>3</v>
      </c>
      <c r="O26" s="40">
        <v>3</v>
      </c>
      <c r="P26" s="97">
        <f>Table1[[#This Row],[quantity on-hand]]*(Table1[[#This Row],[Cost ]]+Table1[[#This Row],[shipping]]+Table1[[#This Row],[Tax]])</f>
        <v>14.308125</v>
      </c>
      <c r="Q26" s="40">
        <v>0</v>
      </c>
      <c r="R26" s="95">
        <f>Table1[[#This Row],[Quantity on order]]*(Table1[[#This Row],[Cost ]]+Table1[[#This Row],[shipping]]+Table1[[#This Row],[Tax]])</f>
        <v>0</v>
      </c>
      <c r="S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" s="49">
        <f>Table1[[#This Row],[Quantity  to  purchase]]+Table1[[#This Row],[Quantity purchased]]+Table1[[#This Row],[Quantity on order]]+Table1[[#This Row],[Quantity donated]]-Table1[[#This Row],[extended quantity]]</f>
        <v>1</v>
      </c>
      <c r="U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" s="51">
        <f>IFERROR(Table1[[#This Row],[Quantity  to  purchase]]*(Table1[[#This Row],[Cost ]]+Table1[[#This Row],[shipping]]+Table1[[#This Row],[Tax]]),0)</f>
        <v>0</v>
      </c>
      <c r="W26" s="36">
        <f>IFERROR(Table1[[#This Row],[leftover material]]*(Table1[[#This Row],[Cost ]]+Table1[[#This Row],[shipping]]+Table1[[#This Row],[Tax]]),0)</f>
        <v>4.7693750000000001</v>
      </c>
      <c r="X26" s="36">
        <v>0</v>
      </c>
      <c r="Y26" s="87"/>
      <c r="Z26" s="87"/>
      <c r="AA26" s="87"/>
      <c r="AB26" s="3" t="s">
        <v>913</v>
      </c>
      <c r="AC26" s="36">
        <f>IF(ISNA(VLOOKUP(Table1[[#This Row],[Part Number]],'Multi-level BOM'!V$4:V$449,1,FALSE)),0,Table1[[#This Row],[Remaining Extended cost]])</f>
        <v>0</v>
      </c>
    </row>
    <row r="27" spans="1:29" x14ac:dyDescent="0.25">
      <c r="A27" s="1" t="s">
        <v>30</v>
      </c>
      <c r="B27" s="16" t="s">
        <v>875</v>
      </c>
      <c r="C27" s="1" t="s">
        <v>704</v>
      </c>
      <c r="D27" s="3">
        <f>7.51/12</f>
        <v>0.62583333333333335</v>
      </c>
      <c r="E27" s="3">
        <f>3/12</f>
        <v>0.25</v>
      </c>
      <c r="F27" s="3">
        <f>9%*Table1[[#This Row],[Cost ]]</f>
        <v>5.6325E-2</v>
      </c>
      <c r="H27" s="2">
        <v>12</v>
      </c>
      <c r="I27" s="1" t="s">
        <v>702</v>
      </c>
      <c r="J27" s="49">
        <f>SUMIF('Multi-level BOM'!D$4:D$467,Table1[[#This Row],[Part Number]],'Multi-level BOM'!H$4:H$467)</f>
        <v>0</v>
      </c>
      <c r="K27" s="10">
        <f>Table1[[#This Row],[extended quantity]]*(Table1[[#This Row],[Cost ]]+Table1[[#This Row],[shipping]]+Table1[[#This Row],[Tax]])</f>
        <v>0</v>
      </c>
      <c r="L27" s="83" t="str">
        <f>IF(Table1[[#This Row],[Buy-now costs]]&gt;0,"X","")</f>
        <v/>
      </c>
      <c r="M27" s="83"/>
      <c r="N27" s="83"/>
      <c r="O27" s="40">
        <v>0</v>
      </c>
      <c r="P27" s="97">
        <f>Table1[[#This Row],[quantity on-hand]]*(Table1[[#This Row],[Cost ]]+Table1[[#This Row],[shipping]]+Table1[[#This Row],[Tax]])</f>
        <v>0</v>
      </c>
      <c r="Q27" s="40">
        <v>0</v>
      </c>
      <c r="R27" s="95">
        <f>Table1[[#This Row],[Quantity on order]]*(Table1[[#This Row],[Cost ]]+Table1[[#This Row],[shipping]]+Table1[[#This Row],[Tax]])</f>
        <v>0</v>
      </c>
      <c r="S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" s="49">
        <f>Table1[[#This Row],[Quantity  to  purchase]]+Table1[[#This Row],[Quantity purchased]]+Table1[[#This Row],[Quantity on order]]+Table1[[#This Row],[Quantity donated]]-Table1[[#This Row],[extended quantity]]</f>
        <v>0</v>
      </c>
      <c r="U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" s="51">
        <f>IFERROR(Table1[[#This Row],[Quantity  to  purchase]]*(Table1[[#This Row],[Cost ]]+Table1[[#This Row],[shipping]]+Table1[[#This Row],[Tax]]),0)</f>
        <v>0</v>
      </c>
      <c r="W27" s="36">
        <f>IFERROR(Table1[[#This Row],[leftover material]]*(Table1[[#This Row],[Cost ]]+Table1[[#This Row],[shipping]]+Table1[[#This Row],[Tax]]),0)</f>
        <v>0</v>
      </c>
      <c r="X27" s="36"/>
      <c r="Y27" s="87"/>
      <c r="Z27" s="87"/>
      <c r="AA27" s="87"/>
      <c r="AB27" s="3"/>
      <c r="AC27" s="36">
        <f>IF(ISNA(VLOOKUP(Table1[[#This Row],[Part Number]],'Multi-level BOM'!V$4:V$449,1,FALSE)),0,Table1[[#This Row],[Remaining Extended cost]])</f>
        <v>0</v>
      </c>
    </row>
    <row r="28" spans="1:29" ht="30" x14ac:dyDescent="0.25">
      <c r="A28" s="1" t="s">
        <v>31</v>
      </c>
      <c r="B28" s="4" t="s">
        <v>904</v>
      </c>
      <c r="C28" s="1" t="s">
        <v>704</v>
      </c>
      <c r="D28" s="3">
        <f>0.9*5.1/2</f>
        <v>2.2949999999999999</v>
      </c>
      <c r="E28" s="3">
        <f>0.901*Table1[[#This Row],[Cost ]]</f>
        <v>2.0677949999999998</v>
      </c>
      <c r="F28" s="3">
        <f>9%*(Table1[[#This Row],[Cost ]]+Table1[[#This Row],[shipping]])</f>
        <v>0.39265155000000002</v>
      </c>
      <c r="G28" s="5" t="s">
        <v>716</v>
      </c>
      <c r="H28" s="2">
        <v>2</v>
      </c>
      <c r="I28" s="1" t="s">
        <v>715</v>
      </c>
      <c r="J28" s="49">
        <f>SUMIF('Multi-level BOM'!D$4:D$467,Table1[[#This Row],[Part Number]],'Multi-level BOM'!H$4:H$467)</f>
        <v>2</v>
      </c>
      <c r="K28" s="10">
        <f>Table1[[#This Row],[extended quantity]]*(Table1[[#This Row],[Cost ]]+Table1[[#This Row],[shipping]]+Table1[[#This Row],[Tax]])</f>
        <v>9.5108931000000005</v>
      </c>
      <c r="L28" s="83" t="str">
        <f>IF(Table1[[#This Row],[Buy-now costs]]&gt;0,"X","")</f>
        <v/>
      </c>
      <c r="M28" s="83">
        <v>2</v>
      </c>
      <c r="N28" s="83"/>
      <c r="O28" s="40">
        <v>2</v>
      </c>
      <c r="P28" s="97">
        <f>Table1[[#This Row],[quantity on-hand]]*(Table1[[#This Row],[Cost ]]+Table1[[#This Row],[shipping]]+Table1[[#This Row],[Tax]])</f>
        <v>9.5108931000000005</v>
      </c>
      <c r="Q28" s="40">
        <v>0</v>
      </c>
      <c r="R28" s="95">
        <f>Table1[[#This Row],[Quantity on order]]*(Table1[[#This Row],[Cost ]]+Table1[[#This Row],[shipping]]+Table1[[#This Row],[Tax]])</f>
        <v>0</v>
      </c>
      <c r="S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" s="49">
        <f>Table1[[#This Row],[Quantity  to  purchase]]+Table1[[#This Row],[Quantity purchased]]+Table1[[#This Row],[Quantity on order]]+Table1[[#This Row],[Quantity donated]]-Table1[[#This Row],[extended quantity]]</f>
        <v>0</v>
      </c>
      <c r="U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" s="51">
        <f>IFERROR(Table1[[#This Row],[Quantity  to  purchase]]*(Table1[[#This Row],[Cost ]]+Table1[[#This Row],[shipping]]+Table1[[#This Row],[Tax]]),0)</f>
        <v>0</v>
      </c>
      <c r="W28" s="36">
        <f>IFERROR(Table1[[#This Row],[leftover material]]*(Table1[[#This Row],[Cost ]]+Table1[[#This Row],[shipping]]+Table1[[#This Row],[Tax]]),0)</f>
        <v>0</v>
      </c>
      <c r="X28" s="36">
        <v>9.51</v>
      </c>
      <c r="Y28" s="87"/>
      <c r="Z28" s="87"/>
      <c r="AA28" s="87"/>
      <c r="AB28" s="3" t="s">
        <v>995</v>
      </c>
      <c r="AC28" s="36">
        <f>IF(ISNA(VLOOKUP(Table1[[#This Row],[Part Number]],'Multi-level BOM'!V$4:V$449,1,FALSE)),0,Table1[[#This Row],[Remaining Extended cost]])</f>
        <v>0</v>
      </c>
    </row>
    <row r="29" spans="1:29" x14ac:dyDescent="0.25">
      <c r="A29" s="1" t="s">
        <v>32</v>
      </c>
      <c r="B29" s="4" t="s">
        <v>960</v>
      </c>
      <c r="C29" s="1" t="s">
        <v>928</v>
      </c>
      <c r="D29" s="3">
        <v>0.12</v>
      </c>
      <c r="E29" s="3">
        <f>0.262338232068436*D29</f>
        <v>3.1480587848212317E-2</v>
      </c>
      <c r="F29" s="3">
        <f>0.113621408203553*D29</f>
        <v>1.363456898442636E-2</v>
      </c>
      <c r="G29" s="5" t="s">
        <v>947</v>
      </c>
      <c r="H29" s="2">
        <v>1</v>
      </c>
      <c r="J29" s="49">
        <f>SUMIF('Multi-level BOM'!D$4:D$467,Table1[[#This Row],[Part Number]],'Multi-level BOM'!H$4:H$467)</f>
        <v>8</v>
      </c>
      <c r="K29" s="10">
        <f>Table1[[#This Row],[extended quantity]]*(Table1[[#This Row],[Cost ]]+Table1[[#This Row],[shipping]]+Table1[[#This Row],[Tax]])</f>
        <v>1.3209212546611093</v>
      </c>
      <c r="L29" s="83" t="str">
        <f>IF(Table1[[#This Row],[Buy-now costs]]&gt;0,"X","")</f>
        <v/>
      </c>
      <c r="M29" s="83">
        <v>8</v>
      </c>
      <c r="N29" s="83"/>
      <c r="O29" s="40">
        <v>8</v>
      </c>
      <c r="P29" s="97">
        <f>Table1[[#This Row],[quantity on-hand]]*(Table1[[#This Row],[Cost ]]+Table1[[#This Row],[shipping]]+Table1[[#This Row],[Tax]])</f>
        <v>1.3209212546611093</v>
      </c>
      <c r="Q29" s="40"/>
      <c r="R29" s="95">
        <f>Table1[[#This Row],[Quantity on order]]*(Table1[[#This Row],[Cost ]]+Table1[[#This Row],[shipping]]+Table1[[#This Row],[Tax]])</f>
        <v>0</v>
      </c>
      <c r="S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" s="49">
        <f>Table1[[#This Row],[Quantity  to  purchase]]+Table1[[#This Row],[Quantity purchased]]+Table1[[#This Row],[Quantity on order]]+Table1[[#This Row],[Quantity donated]]-Table1[[#This Row],[extended quantity]]</f>
        <v>0</v>
      </c>
      <c r="U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" s="51">
        <f>IFERROR(Table1[[#This Row],[Quantity  to  purchase]]*(Table1[[#This Row],[Cost ]]+Table1[[#This Row],[shipping]]+Table1[[#This Row],[Tax]]),0)</f>
        <v>0</v>
      </c>
      <c r="W29" s="36">
        <f>IFERROR(Table1[[#This Row],[leftover material]]*(Table1[[#This Row],[Cost ]]+Table1[[#This Row],[shipping]]+Table1[[#This Row],[Tax]]),0)</f>
        <v>0</v>
      </c>
      <c r="X29" s="36">
        <f>Table1[[#This Row],[Quantity purchased]]*(Table1[[#This Row],[Cost ]]+Table1[[#This Row],[shipping]]+Table1[[#This Row],[Tax]])</f>
        <v>1.3209212546611093</v>
      </c>
      <c r="Y29" s="87">
        <v>43875</v>
      </c>
      <c r="Z29" s="87">
        <v>43885</v>
      </c>
      <c r="AA29" s="87">
        <v>43885</v>
      </c>
      <c r="AB29" s="3" t="s">
        <v>988</v>
      </c>
      <c r="AC29" s="59">
        <f>IF(ISNA(VLOOKUP(Table1[[#This Row],[Part Number]],'Multi-level BOM'!V$4:V$449,1,FALSE)),0,Table1[[#This Row],[Remaining Extended cost]])</f>
        <v>0</v>
      </c>
    </row>
    <row r="30" spans="1:29" ht="30" x14ac:dyDescent="0.25">
      <c r="A30" s="1" t="s">
        <v>33</v>
      </c>
      <c r="B30" s="4" t="s">
        <v>708</v>
      </c>
      <c r="C30" s="1" t="s">
        <v>656</v>
      </c>
      <c r="D30" s="3">
        <f>8.09/26</f>
        <v>0.31115384615384617</v>
      </c>
      <c r="E30" s="3">
        <v>0</v>
      </c>
      <c r="F30" s="3">
        <f>9%*Table1[[#This Row],[Cost ]]</f>
        <v>2.8003846153846153E-2</v>
      </c>
      <c r="G30" s="5" t="s">
        <v>709</v>
      </c>
      <c r="H30" s="2">
        <v>26</v>
      </c>
      <c r="J30" s="49">
        <f>SUMIF('Multi-level BOM'!D$4:D$467,Table1[[#This Row],[Part Number]],'Multi-level BOM'!H$4:H$467)</f>
        <v>9</v>
      </c>
      <c r="K30" s="10">
        <f>Table1[[#This Row],[extended quantity]]*(Table1[[#This Row],[Cost ]]+Table1[[#This Row],[shipping]]+Table1[[#This Row],[Tax]])</f>
        <v>3.0524192307692308</v>
      </c>
      <c r="L30" s="83" t="str">
        <f>IF(Table1[[#This Row],[Buy-now costs]]&gt;0,"X","")</f>
        <v/>
      </c>
      <c r="M30" s="83">
        <v>26</v>
      </c>
      <c r="N30" s="83"/>
      <c r="O30" s="40">
        <v>9</v>
      </c>
      <c r="P30" s="97">
        <f>Table1[[#This Row],[quantity on-hand]]*(Table1[[#This Row],[Cost ]]+Table1[[#This Row],[shipping]]+Table1[[#This Row],[Tax]])</f>
        <v>3.0524192307692308</v>
      </c>
      <c r="Q30" s="40">
        <v>0</v>
      </c>
      <c r="R30" s="95">
        <f>Table1[[#This Row],[Quantity on order]]*(Table1[[#This Row],[Cost ]]+Table1[[#This Row],[shipping]]+Table1[[#This Row],[Tax]])</f>
        <v>0</v>
      </c>
      <c r="S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" s="49">
        <f>Table1[[#This Row],[Quantity  to  purchase]]+Table1[[#This Row],[Quantity purchased]]+Table1[[#This Row],[Quantity on order]]+Table1[[#This Row],[Quantity donated]]-Table1[[#This Row],[extended quantity]]</f>
        <v>17</v>
      </c>
      <c r="U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" s="51">
        <f>IFERROR(Table1[[#This Row],[Quantity  to  purchase]]*(Table1[[#This Row],[Cost ]]+Table1[[#This Row],[shipping]]+Table1[[#This Row],[Tax]]),0)</f>
        <v>0</v>
      </c>
      <c r="W30" s="36">
        <f>IFERROR(Table1[[#This Row],[leftover material]]*(Table1[[#This Row],[Cost ]]+Table1[[#This Row],[shipping]]+Table1[[#This Row],[Tax]]),0)</f>
        <v>5.7656807692307694</v>
      </c>
      <c r="X30" s="36">
        <v>8.82</v>
      </c>
      <c r="Y30" s="87">
        <v>43876</v>
      </c>
      <c r="Z30" s="87"/>
      <c r="AA30" s="87">
        <v>43879</v>
      </c>
      <c r="AB30" s="3" t="s">
        <v>993</v>
      </c>
      <c r="AC30" s="36">
        <f>IF(ISNA(VLOOKUP(Table1[[#This Row],[Part Number]],'Multi-level BOM'!V$4:V$449,1,FALSE)),0,Table1[[#This Row],[Remaining Extended cost]])</f>
        <v>0</v>
      </c>
    </row>
    <row r="31" spans="1:29" ht="30" x14ac:dyDescent="0.25">
      <c r="A31" s="1" t="s">
        <v>34</v>
      </c>
      <c r="B31" s="4" t="s">
        <v>769</v>
      </c>
      <c r="C31" s="1" t="s">
        <v>656</v>
      </c>
      <c r="D31" s="3">
        <f>8.89/100</f>
        <v>8.8900000000000007E-2</v>
      </c>
      <c r="E31" s="3">
        <v>0</v>
      </c>
      <c r="F31" s="3">
        <f>9%*Table1[[#This Row],[Cost ]]</f>
        <v>8.0010000000000012E-3</v>
      </c>
      <c r="G31" s="1" t="s">
        <v>711</v>
      </c>
      <c r="H31" s="2">
        <v>100</v>
      </c>
      <c r="J31" s="49">
        <f>SUMIF('Multi-level BOM'!D$4:D$467,Table1[[#This Row],[Part Number]],'Multi-level BOM'!H$4:H$467)</f>
        <v>0</v>
      </c>
      <c r="K31" s="10">
        <f>Table1[[#This Row],[extended quantity]]*(Table1[[#This Row],[Cost ]]+Table1[[#This Row],[shipping]]+Table1[[#This Row],[Tax]])</f>
        <v>0</v>
      </c>
      <c r="L31" s="83" t="str">
        <f>IF(Table1[[#This Row],[Buy-now costs]]&gt;0,"X","")</f>
        <v/>
      </c>
      <c r="M31" s="83"/>
      <c r="N31" s="83"/>
      <c r="O31" s="40">
        <v>0</v>
      </c>
      <c r="P31" s="97">
        <f>Table1[[#This Row],[quantity on-hand]]*(Table1[[#This Row],[Cost ]]+Table1[[#This Row],[shipping]]+Table1[[#This Row],[Tax]])</f>
        <v>0</v>
      </c>
      <c r="Q31" s="40">
        <v>0</v>
      </c>
      <c r="R31" s="95">
        <f>Table1[[#This Row],[Quantity on order]]*(Table1[[#This Row],[Cost ]]+Table1[[#This Row],[shipping]]+Table1[[#This Row],[Tax]])</f>
        <v>0</v>
      </c>
      <c r="S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" s="49">
        <f>Table1[[#This Row],[Quantity  to  purchase]]+Table1[[#This Row],[Quantity purchased]]+Table1[[#This Row],[Quantity on order]]+Table1[[#This Row],[Quantity donated]]-Table1[[#This Row],[extended quantity]]</f>
        <v>0</v>
      </c>
      <c r="U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" s="51">
        <f>IFERROR(Table1[[#This Row],[Quantity  to  purchase]]*(Table1[[#This Row],[Cost ]]+Table1[[#This Row],[shipping]]+Table1[[#This Row],[Tax]]),0)</f>
        <v>0</v>
      </c>
      <c r="W31" s="36">
        <f>IFERROR(Table1[[#This Row],[leftover material]]*(Table1[[#This Row],[Cost ]]+Table1[[#This Row],[shipping]]+Table1[[#This Row],[Tax]]),0)</f>
        <v>0</v>
      </c>
      <c r="X31" s="36"/>
      <c r="Y31" s="87"/>
      <c r="Z31" s="87"/>
      <c r="AA31" s="87"/>
      <c r="AB31" s="36"/>
      <c r="AC31" s="36">
        <f>IF(ISNA(VLOOKUP(Table1[[#This Row],[Part Number]],'Multi-level BOM'!V$4:V$449,1,FALSE)),0,Table1[[#This Row],[Remaining Extended cost]])</f>
        <v>0</v>
      </c>
    </row>
    <row r="32" spans="1:29" ht="30" x14ac:dyDescent="0.25">
      <c r="A32" s="1" t="s">
        <v>35</v>
      </c>
      <c r="B32" s="4" t="s">
        <v>989</v>
      </c>
      <c r="C32" s="1" t="s">
        <v>928</v>
      </c>
      <c r="D32" s="3">
        <v>0.37</v>
      </c>
      <c r="E32" s="3">
        <f t="shared" ref="E32:E38" si="0">0.262338232068436*D32</f>
        <v>9.7065145865321306E-2</v>
      </c>
      <c r="F32" s="3">
        <f t="shared" ref="F32:F38" si="1">0.113621408203553*D32</f>
        <v>4.2039921035314613E-2</v>
      </c>
      <c r="G32" s="5" t="s">
        <v>990</v>
      </c>
      <c r="H32" s="2">
        <v>1</v>
      </c>
      <c r="J32" s="49">
        <f>SUMIF('Multi-level BOM'!D$4:D$467,Table1[[#This Row],[Part Number]],'Multi-level BOM'!H$4:H$467)</f>
        <v>4</v>
      </c>
      <c r="K32" s="10">
        <f>Table1[[#This Row],[extended quantity]]*(Table1[[#This Row],[Cost ]]+Table1[[#This Row],[shipping]]+Table1[[#This Row],[Tax]])</f>
        <v>2.0364202676025438</v>
      </c>
      <c r="L32" s="83" t="str">
        <f>IF(Table1[[#This Row],[Buy-now costs]]&gt;0,"X","")</f>
        <v/>
      </c>
      <c r="M32" s="83">
        <v>4</v>
      </c>
      <c r="N32" s="83"/>
      <c r="O32" s="40">
        <v>4</v>
      </c>
      <c r="P32" s="97">
        <f>Table1[[#This Row],[quantity on-hand]]*(Table1[[#This Row],[Cost ]]+Table1[[#This Row],[shipping]]+Table1[[#This Row],[Tax]])</f>
        <v>2.0364202676025438</v>
      </c>
      <c r="Q32" s="40"/>
      <c r="R32" s="95">
        <f>Table1[[#This Row],[Quantity on order]]*(Table1[[#This Row],[Cost ]]+Table1[[#This Row],[shipping]]+Table1[[#This Row],[Tax]])</f>
        <v>0</v>
      </c>
      <c r="S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" s="49">
        <f>Table1[[#This Row],[Quantity  to  purchase]]+Table1[[#This Row],[Quantity purchased]]+Table1[[#This Row],[Quantity on order]]+Table1[[#This Row],[Quantity donated]]-Table1[[#This Row],[extended quantity]]</f>
        <v>0</v>
      </c>
      <c r="U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" s="51">
        <f>IFERROR(Table1[[#This Row],[Quantity  to  purchase]]*(Table1[[#This Row],[Cost ]]+Table1[[#This Row],[shipping]]+Table1[[#This Row],[Tax]]),0)</f>
        <v>0</v>
      </c>
      <c r="W32" s="36">
        <f>IFERROR(Table1[[#This Row],[leftover material]]*(Table1[[#This Row],[Cost ]]+Table1[[#This Row],[shipping]]+Table1[[#This Row],[Tax]]),0)</f>
        <v>0</v>
      </c>
      <c r="X32" s="36">
        <f>Table1[[#This Row],[Quantity purchased]]*(Table1[[#This Row],[Cost ]]+Table1[[#This Row],[shipping]]+Table1[[#This Row],[Tax]])</f>
        <v>2.0364202676025438</v>
      </c>
      <c r="Y32" s="87">
        <v>43875</v>
      </c>
      <c r="Z32" s="87">
        <v>43885</v>
      </c>
      <c r="AA32" s="87">
        <v>43885</v>
      </c>
      <c r="AB32" s="3" t="s">
        <v>988</v>
      </c>
      <c r="AC32" s="59">
        <f>IF(ISNA(VLOOKUP(Table1[[#This Row],[Part Number]],'Multi-level BOM'!V$4:V$449,1,FALSE)),0,Table1[[#This Row],[Remaining Extended cost]])</f>
        <v>0</v>
      </c>
    </row>
    <row r="33" spans="1:29" ht="30" x14ac:dyDescent="0.25">
      <c r="A33" s="1" t="s">
        <v>36</v>
      </c>
      <c r="B33" s="4" t="s">
        <v>949</v>
      </c>
      <c r="C33" s="1" t="s">
        <v>928</v>
      </c>
      <c r="D33" s="3">
        <v>0.44</v>
      </c>
      <c r="E33" s="3">
        <f t="shared" si="0"/>
        <v>0.11542882211011184</v>
      </c>
      <c r="F33" s="3">
        <f t="shared" si="1"/>
        <v>4.9993419609563321E-2</v>
      </c>
      <c r="G33" s="1" t="s">
        <v>950</v>
      </c>
      <c r="H33" s="2">
        <v>1</v>
      </c>
      <c r="J33" s="49">
        <f>SUMIF('Multi-level BOM'!D$4:D$467,Table1[[#This Row],[Part Number]],'Multi-level BOM'!H$4:H$467)</f>
        <v>4</v>
      </c>
      <c r="K33" s="10">
        <f>Table1[[#This Row],[extended quantity]]*(Table1[[#This Row],[Cost ]]+Table1[[#This Row],[shipping]]+Table1[[#This Row],[Tax]])</f>
        <v>2.4216889668787003</v>
      </c>
      <c r="L33" s="83" t="str">
        <f>IF(Table1[[#This Row],[Buy-now costs]]&gt;0,"X","")</f>
        <v/>
      </c>
      <c r="M33" s="83">
        <v>4</v>
      </c>
      <c r="N33" s="83"/>
      <c r="O33" s="40">
        <v>4</v>
      </c>
      <c r="P33" s="97">
        <f>Table1[[#This Row],[quantity on-hand]]*(Table1[[#This Row],[Cost ]]+Table1[[#This Row],[shipping]]+Table1[[#This Row],[Tax]])</f>
        <v>2.4216889668787003</v>
      </c>
      <c r="Q33" s="40"/>
      <c r="R33" s="95">
        <f>Table1[[#This Row],[Quantity on order]]*(Table1[[#This Row],[Cost ]]+Table1[[#This Row],[shipping]]+Table1[[#This Row],[Tax]])</f>
        <v>0</v>
      </c>
      <c r="S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" s="49">
        <f>Table1[[#This Row],[Quantity  to  purchase]]+Table1[[#This Row],[Quantity purchased]]+Table1[[#This Row],[Quantity on order]]+Table1[[#This Row],[Quantity donated]]-Table1[[#This Row],[extended quantity]]</f>
        <v>0</v>
      </c>
      <c r="U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" s="51">
        <f>IFERROR(Table1[[#This Row],[Quantity  to  purchase]]*(Table1[[#This Row],[Cost ]]+Table1[[#This Row],[shipping]]+Table1[[#This Row],[Tax]]),0)</f>
        <v>0</v>
      </c>
      <c r="W33" s="36">
        <f>IFERROR(Table1[[#This Row],[leftover material]]*(Table1[[#This Row],[Cost ]]+Table1[[#This Row],[shipping]]+Table1[[#This Row],[Tax]]),0)</f>
        <v>0</v>
      </c>
      <c r="X33" s="36">
        <f>Table1[[#This Row],[Quantity purchased]]*(Table1[[#This Row],[Cost ]]+Table1[[#This Row],[shipping]]+Table1[[#This Row],[Tax]])</f>
        <v>2.4216889668787003</v>
      </c>
      <c r="Y33" s="87">
        <v>43875</v>
      </c>
      <c r="Z33" s="87">
        <v>43885</v>
      </c>
      <c r="AA33" s="87">
        <v>43885</v>
      </c>
      <c r="AB33" s="3" t="s">
        <v>988</v>
      </c>
      <c r="AC33" s="59">
        <f>IF(ISNA(VLOOKUP(Table1[[#This Row],[Part Number]],'Multi-level BOM'!V$4:V$449,1,FALSE)),0,Table1[[#This Row],[Remaining Extended cost]])</f>
        <v>0</v>
      </c>
    </row>
    <row r="34" spans="1:29" x14ac:dyDescent="0.25">
      <c r="A34" s="1" t="s">
        <v>37</v>
      </c>
      <c r="B34" s="4" t="s">
        <v>951</v>
      </c>
      <c r="C34" s="1" t="s">
        <v>928</v>
      </c>
      <c r="D34" s="3">
        <v>0.18</v>
      </c>
      <c r="E34" s="3">
        <f t="shared" si="0"/>
        <v>4.7220881772318472E-2</v>
      </c>
      <c r="F34" s="3">
        <f t="shared" si="1"/>
        <v>2.0451853476639539E-2</v>
      </c>
      <c r="G34" s="1" t="s">
        <v>952</v>
      </c>
      <c r="H34" s="2">
        <v>1</v>
      </c>
      <c r="J34" s="49">
        <f>SUMIF('Multi-level BOM'!D$4:D$467,Table1[[#This Row],[Part Number]],'Multi-level BOM'!H$4:H$467)</f>
        <v>2</v>
      </c>
      <c r="K34" s="10">
        <f>Table1[[#This Row],[extended quantity]]*(Table1[[#This Row],[Cost ]]+Table1[[#This Row],[shipping]]+Table1[[#This Row],[Tax]])</f>
        <v>0.495345470497916</v>
      </c>
      <c r="L34" s="83" t="str">
        <f>IF(Table1[[#This Row],[Buy-now costs]]&gt;0,"X","")</f>
        <v/>
      </c>
      <c r="M34" s="83">
        <v>2</v>
      </c>
      <c r="N34" s="83"/>
      <c r="O34" s="40">
        <v>2</v>
      </c>
      <c r="P34" s="97">
        <f>Table1[[#This Row],[quantity on-hand]]*(Table1[[#This Row],[Cost ]]+Table1[[#This Row],[shipping]]+Table1[[#This Row],[Tax]])</f>
        <v>0.495345470497916</v>
      </c>
      <c r="Q34" s="40"/>
      <c r="R34" s="95">
        <f>Table1[[#This Row],[Quantity on order]]*(Table1[[#This Row],[Cost ]]+Table1[[#This Row],[shipping]]+Table1[[#This Row],[Tax]])</f>
        <v>0</v>
      </c>
      <c r="S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" s="49">
        <f>Table1[[#This Row],[Quantity  to  purchase]]+Table1[[#This Row],[Quantity purchased]]+Table1[[#This Row],[Quantity on order]]+Table1[[#This Row],[Quantity donated]]-Table1[[#This Row],[extended quantity]]</f>
        <v>0</v>
      </c>
      <c r="U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" s="51">
        <f>IFERROR(Table1[[#This Row],[Quantity  to  purchase]]*(Table1[[#This Row],[Cost ]]+Table1[[#This Row],[shipping]]+Table1[[#This Row],[Tax]]),0)</f>
        <v>0</v>
      </c>
      <c r="W34" s="36">
        <f>IFERROR(Table1[[#This Row],[leftover material]]*(Table1[[#This Row],[Cost ]]+Table1[[#This Row],[shipping]]+Table1[[#This Row],[Tax]]),0)</f>
        <v>0</v>
      </c>
      <c r="X34" s="36">
        <f>Table1[[#This Row],[Quantity purchased]]*(Table1[[#This Row],[Cost ]]+Table1[[#This Row],[shipping]]+Table1[[#This Row],[Tax]])</f>
        <v>0.495345470497916</v>
      </c>
      <c r="Y34" s="87">
        <v>43875</v>
      </c>
      <c r="Z34" s="87">
        <v>43885</v>
      </c>
      <c r="AA34" s="87">
        <v>43885</v>
      </c>
      <c r="AB34" s="3" t="s">
        <v>988</v>
      </c>
      <c r="AC34" s="59">
        <f>IF(ISNA(VLOOKUP(Table1[[#This Row],[Part Number]],'Multi-level BOM'!V$4:V$449,1,FALSE)),0,Table1[[#This Row],[Remaining Extended cost]])</f>
        <v>0</v>
      </c>
    </row>
    <row r="35" spans="1:29" x14ac:dyDescent="0.25">
      <c r="A35" s="1" t="s">
        <v>38</v>
      </c>
      <c r="B35" s="4" t="s">
        <v>961</v>
      </c>
      <c r="C35" s="1" t="s">
        <v>928</v>
      </c>
      <c r="D35" s="3">
        <v>0.2</v>
      </c>
      <c r="E35" s="3">
        <f t="shared" si="0"/>
        <v>5.2467646413687202E-2</v>
      </c>
      <c r="F35" s="3">
        <f t="shared" si="1"/>
        <v>2.2724281640710602E-2</v>
      </c>
      <c r="G35" s="5" t="s">
        <v>953</v>
      </c>
      <c r="H35" s="2">
        <v>1</v>
      </c>
      <c r="J35" s="49">
        <f>SUMIF('Multi-level BOM'!D$4:D$467,Table1[[#This Row],[Part Number]],'Multi-level BOM'!H$4:H$467)</f>
        <v>2</v>
      </c>
      <c r="K35" s="10">
        <f>Table1[[#This Row],[extended quantity]]*(Table1[[#This Row],[Cost ]]+Table1[[#This Row],[shipping]]+Table1[[#This Row],[Tax]])</f>
        <v>0.5503838561087957</v>
      </c>
      <c r="L35" s="83" t="str">
        <f>IF(Table1[[#This Row],[Buy-now costs]]&gt;0,"X","")</f>
        <v/>
      </c>
      <c r="M35" s="83">
        <v>2</v>
      </c>
      <c r="N35" s="83"/>
      <c r="O35" s="40">
        <v>2</v>
      </c>
      <c r="P35" s="97">
        <f>Table1[[#This Row],[quantity on-hand]]*(Table1[[#This Row],[Cost ]]+Table1[[#This Row],[shipping]]+Table1[[#This Row],[Tax]])</f>
        <v>0.5503838561087957</v>
      </c>
      <c r="Q35" s="40"/>
      <c r="R35" s="95">
        <f>Table1[[#This Row],[Quantity on order]]*(Table1[[#This Row],[Cost ]]+Table1[[#This Row],[shipping]]+Table1[[#This Row],[Tax]])</f>
        <v>0</v>
      </c>
      <c r="S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" s="49">
        <f>Table1[[#This Row],[Quantity  to  purchase]]+Table1[[#This Row],[Quantity purchased]]+Table1[[#This Row],[Quantity on order]]+Table1[[#This Row],[Quantity donated]]-Table1[[#This Row],[extended quantity]]</f>
        <v>0</v>
      </c>
      <c r="U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" s="51">
        <f>IFERROR(Table1[[#This Row],[Quantity  to  purchase]]*(Table1[[#This Row],[Cost ]]+Table1[[#This Row],[shipping]]+Table1[[#This Row],[Tax]]),0)</f>
        <v>0</v>
      </c>
      <c r="W35" s="36">
        <f>IFERROR(Table1[[#This Row],[leftover material]]*(Table1[[#This Row],[Cost ]]+Table1[[#This Row],[shipping]]+Table1[[#This Row],[Tax]]),0)</f>
        <v>0</v>
      </c>
      <c r="X35" s="36">
        <f>Table1[[#This Row],[Quantity purchased]]*(Table1[[#This Row],[Cost ]]+Table1[[#This Row],[shipping]]+Table1[[#This Row],[Tax]])</f>
        <v>0.5503838561087957</v>
      </c>
      <c r="Y35" s="87">
        <v>43875</v>
      </c>
      <c r="Z35" s="87">
        <v>43885</v>
      </c>
      <c r="AA35" s="87">
        <v>43885</v>
      </c>
      <c r="AB35" s="3" t="s">
        <v>988</v>
      </c>
      <c r="AC35" s="59">
        <f>IF(ISNA(VLOOKUP(Table1[[#This Row],[Part Number]],'Multi-level BOM'!V$4:V$449,1,FALSE)),0,Table1[[#This Row],[Remaining Extended cost]])</f>
        <v>0</v>
      </c>
    </row>
    <row r="36" spans="1:29" ht="45" x14ac:dyDescent="0.25">
      <c r="A36" s="1" t="s">
        <v>39</v>
      </c>
      <c r="B36" s="4" t="s">
        <v>758</v>
      </c>
      <c r="C36" s="1" t="s">
        <v>928</v>
      </c>
      <c r="D36" s="3">
        <f>5.86/100</f>
        <v>5.8600000000000006E-2</v>
      </c>
      <c r="E36" s="3">
        <f t="shared" si="0"/>
        <v>1.537302039921035E-2</v>
      </c>
      <c r="F36" s="3">
        <f t="shared" si="1"/>
        <v>6.6582145207282062E-3</v>
      </c>
      <c r="G36" s="5" t="s">
        <v>987</v>
      </c>
      <c r="H36" s="2">
        <v>100</v>
      </c>
      <c r="J36" s="49">
        <f>SUMIF('Multi-level BOM'!D$4:D$467,Table1[[#This Row],[Part Number]],'Multi-level BOM'!H$4:H$467)</f>
        <v>20</v>
      </c>
      <c r="K36" s="10">
        <f>Table1[[#This Row],[extended quantity]]*(Table1[[#This Row],[Cost ]]+Table1[[#This Row],[shipping]]+Table1[[#This Row],[Tax]])</f>
        <v>1.6126246983987713</v>
      </c>
      <c r="L36" s="83" t="str">
        <f>IF(Table1[[#This Row],[Buy-now costs]]&gt;0,"X","")</f>
        <v/>
      </c>
      <c r="M36" s="83">
        <v>100</v>
      </c>
      <c r="N36" s="83"/>
      <c r="O36" s="40">
        <v>20</v>
      </c>
      <c r="P36" s="97">
        <f>Table1[[#This Row],[quantity on-hand]]*(Table1[[#This Row],[Cost ]]+Table1[[#This Row],[shipping]]+Table1[[#This Row],[Tax]])</f>
        <v>1.6126246983987713</v>
      </c>
      <c r="Q36" s="40"/>
      <c r="R36" s="95">
        <f>Table1[[#This Row],[Quantity on order]]*(Table1[[#This Row],[Cost ]]+Table1[[#This Row],[shipping]]+Table1[[#This Row],[Tax]])</f>
        <v>0</v>
      </c>
      <c r="S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" s="49">
        <f>Table1[[#This Row],[Quantity  to  purchase]]+Table1[[#This Row],[Quantity purchased]]+Table1[[#This Row],[Quantity on order]]+Table1[[#This Row],[Quantity donated]]-Table1[[#This Row],[extended quantity]]</f>
        <v>80</v>
      </c>
      <c r="U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" s="51">
        <f>IFERROR(Table1[[#This Row],[Quantity  to  purchase]]*(Table1[[#This Row],[Cost ]]+Table1[[#This Row],[shipping]]+Table1[[#This Row],[Tax]]),0)</f>
        <v>0</v>
      </c>
      <c r="W36" s="36">
        <f>IFERROR(Table1[[#This Row],[leftover material]]*(Table1[[#This Row],[Cost ]]+Table1[[#This Row],[shipping]]+Table1[[#This Row],[Tax]]),0)</f>
        <v>6.4504987935950853</v>
      </c>
      <c r="X36" s="36">
        <f>Table1[[#This Row],[Quantity purchased]]*(Table1[[#This Row],[Cost ]]+Table1[[#This Row],[shipping]]+Table1[[#This Row],[Tax]])</f>
        <v>8.0631234919938564</v>
      </c>
      <c r="Y36" s="87">
        <v>43875</v>
      </c>
      <c r="Z36" s="87">
        <v>43885</v>
      </c>
      <c r="AA36" s="87">
        <v>43885</v>
      </c>
      <c r="AB36" s="3" t="s">
        <v>988</v>
      </c>
      <c r="AC36" s="59">
        <f>IF(ISNA(VLOOKUP(Table1[[#This Row],[Part Number]],'Multi-level BOM'!V$4:V$449,1,FALSE)),0,Table1[[#This Row],[Remaining Extended cost]])</f>
        <v>0</v>
      </c>
    </row>
    <row r="37" spans="1:29" ht="30" x14ac:dyDescent="0.25">
      <c r="A37" s="1" t="s">
        <v>40</v>
      </c>
      <c r="B37" s="4" t="s">
        <v>759</v>
      </c>
      <c r="C37" s="1" t="s">
        <v>928</v>
      </c>
      <c r="D37" s="3">
        <f>3.19/100</f>
        <v>3.1899999999999998E-2</v>
      </c>
      <c r="E37" s="3">
        <f t="shared" si="0"/>
        <v>8.3685896029831071E-3</v>
      </c>
      <c r="F37" s="3">
        <f t="shared" si="1"/>
        <v>3.6245229216933404E-3</v>
      </c>
      <c r="G37" s="5" t="s">
        <v>945</v>
      </c>
      <c r="H37" s="2">
        <v>100</v>
      </c>
      <c r="J37" s="49">
        <f>SUMIF('Multi-level BOM'!D$4:D$467,Table1[[#This Row],[Part Number]],'Multi-level BOM'!H$4:H$467)</f>
        <v>46</v>
      </c>
      <c r="K37" s="10">
        <f>Table1[[#This Row],[extended quantity]]*(Table1[[#This Row],[Cost ]]+Table1[[#This Row],[shipping]]+Table1[[#This Row],[Tax]])</f>
        <v>2.019083176135116</v>
      </c>
      <c r="L37" s="83" t="str">
        <f>IF(Table1[[#This Row],[Buy-now costs]]&gt;0,"X","")</f>
        <v/>
      </c>
      <c r="M37" s="83">
        <v>100</v>
      </c>
      <c r="N37" s="83"/>
      <c r="O37" s="40">
        <v>46</v>
      </c>
      <c r="P37" s="97">
        <f>Table1[[#This Row],[quantity on-hand]]*(Table1[[#This Row],[Cost ]]+Table1[[#This Row],[shipping]]+Table1[[#This Row],[Tax]])</f>
        <v>2.019083176135116</v>
      </c>
      <c r="Q37" s="40"/>
      <c r="R37" s="95">
        <f>Table1[[#This Row],[Quantity on order]]*(Table1[[#This Row],[Cost ]]+Table1[[#This Row],[shipping]]+Table1[[#This Row],[Tax]])</f>
        <v>0</v>
      </c>
      <c r="S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" s="49">
        <f>Table1[[#This Row],[Quantity  to  purchase]]+Table1[[#This Row],[Quantity purchased]]+Table1[[#This Row],[Quantity on order]]+Table1[[#This Row],[Quantity donated]]-Table1[[#This Row],[extended quantity]]</f>
        <v>54</v>
      </c>
      <c r="U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" s="51">
        <f>IFERROR(Table1[[#This Row],[Quantity  to  purchase]]*(Table1[[#This Row],[Cost ]]+Table1[[#This Row],[shipping]]+Table1[[#This Row],[Tax]]),0)</f>
        <v>0</v>
      </c>
      <c r="W37" s="36">
        <f>IFERROR(Table1[[#This Row],[leftover material]]*(Table1[[#This Row],[Cost ]]+Table1[[#This Row],[shipping]]+Table1[[#This Row],[Tax]]),0)</f>
        <v>2.3702280763325279</v>
      </c>
      <c r="X37" s="36">
        <f>Table1[[#This Row],[Quantity purchased]]*(Table1[[#This Row],[Cost ]]+Table1[[#This Row],[shipping]]+Table1[[#This Row],[Tax]])</f>
        <v>4.3893112524676443</v>
      </c>
      <c r="Y37" s="87">
        <v>43875</v>
      </c>
      <c r="Z37" s="87">
        <v>43885</v>
      </c>
      <c r="AA37" s="87">
        <v>43885</v>
      </c>
      <c r="AB37" s="3" t="s">
        <v>988</v>
      </c>
      <c r="AC37" s="59">
        <f>IF(ISNA(VLOOKUP(Table1[[#This Row],[Part Number]],'Multi-level BOM'!V$4:V$449,1,FALSE)),0,Table1[[#This Row],[Remaining Extended cost]])</f>
        <v>0</v>
      </c>
    </row>
    <row r="38" spans="1:29" x14ac:dyDescent="0.25">
      <c r="A38" s="1" t="s">
        <v>41</v>
      </c>
      <c r="B38" s="4" t="s">
        <v>760</v>
      </c>
      <c r="C38" s="1" t="s">
        <v>928</v>
      </c>
      <c r="D38" s="3">
        <f>1.1/100</f>
        <v>1.1000000000000001E-2</v>
      </c>
      <c r="E38" s="3">
        <f t="shared" si="0"/>
        <v>2.8857205527527963E-3</v>
      </c>
      <c r="F38" s="3">
        <f t="shared" si="1"/>
        <v>1.2498354902390832E-3</v>
      </c>
      <c r="G38" s="1" t="s">
        <v>955</v>
      </c>
      <c r="H38" s="2">
        <v>100</v>
      </c>
      <c r="J38" s="49">
        <f>SUMIF('Multi-level BOM'!D$4:D$467,Table1[[#This Row],[Part Number]],'Multi-level BOM'!H$4:H$467)</f>
        <v>46</v>
      </c>
      <c r="K38" s="10">
        <f>Table1[[#This Row],[extended quantity]]*(Table1[[#This Row],[Cost ]]+Table1[[#This Row],[shipping]]+Table1[[#This Row],[Tax]])</f>
        <v>0.69623557797762647</v>
      </c>
      <c r="L38" s="83" t="str">
        <f>IF(Table1[[#This Row],[Buy-now costs]]&gt;0,"X","")</f>
        <v/>
      </c>
      <c r="M38" s="83">
        <v>100</v>
      </c>
      <c r="N38" s="83"/>
      <c r="O38" s="40">
        <v>46</v>
      </c>
      <c r="P38" s="97">
        <f>Table1[[#This Row],[quantity on-hand]]*(Table1[[#This Row],[Cost ]]+Table1[[#This Row],[shipping]]+Table1[[#This Row],[Tax]])</f>
        <v>0.69623557797762647</v>
      </c>
      <c r="Q38" s="40"/>
      <c r="R38" s="95">
        <f>Table1[[#This Row],[Quantity on order]]*(Table1[[#This Row],[Cost ]]+Table1[[#This Row],[shipping]]+Table1[[#This Row],[Tax]])</f>
        <v>0</v>
      </c>
      <c r="S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" s="49">
        <f>Table1[[#This Row],[Quantity  to  purchase]]+Table1[[#This Row],[Quantity purchased]]+Table1[[#This Row],[Quantity on order]]+Table1[[#This Row],[Quantity donated]]-Table1[[#This Row],[extended quantity]]</f>
        <v>54</v>
      </c>
      <c r="U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" s="51">
        <f>IFERROR(Table1[[#This Row],[Quantity  to  purchase]]*(Table1[[#This Row],[Cost ]]+Table1[[#This Row],[shipping]]+Table1[[#This Row],[Tax]]),0)</f>
        <v>0</v>
      </c>
      <c r="W38" s="36">
        <f>IFERROR(Table1[[#This Row],[leftover material]]*(Table1[[#This Row],[Cost ]]+Table1[[#This Row],[shipping]]+Table1[[#This Row],[Tax]]),0)</f>
        <v>0.81732002632156153</v>
      </c>
      <c r="X38" s="36">
        <f>Table1[[#This Row],[Quantity purchased]]*(Table1[[#This Row],[Cost ]]+Table1[[#This Row],[shipping]]+Table1[[#This Row],[Tax]])</f>
        <v>1.513555604299188</v>
      </c>
      <c r="Y38" s="87">
        <v>43875</v>
      </c>
      <c r="Z38" s="87">
        <v>43885</v>
      </c>
      <c r="AA38" s="87">
        <v>43885</v>
      </c>
      <c r="AB38" s="3" t="s">
        <v>988</v>
      </c>
      <c r="AC38" s="59">
        <f>IF(ISNA(VLOOKUP(Table1[[#This Row],[Part Number]],'Multi-level BOM'!V$4:V$449,1,FALSE)),0,Table1[[#This Row],[Remaining Extended cost]])</f>
        <v>0</v>
      </c>
    </row>
    <row r="39" spans="1:29" x14ac:dyDescent="0.25">
      <c r="A39" s="1" t="s">
        <v>42</v>
      </c>
      <c r="B39" s="58" t="s">
        <v>766</v>
      </c>
      <c r="C39" s="1" t="s">
        <v>767</v>
      </c>
      <c r="D39" s="3">
        <v>5.69</v>
      </c>
      <c r="E39" s="3">
        <v>1</v>
      </c>
      <c r="F39" s="3">
        <f>9%*Table1[[#This Row],[Cost ]]</f>
        <v>0.5121</v>
      </c>
      <c r="G39" s="1" t="s">
        <v>768</v>
      </c>
      <c r="H39" s="2">
        <v>1</v>
      </c>
      <c r="I39" s="1" t="s">
        <v>777</v>
      </c>
      <c r="J39" s="49">
        <f>SUMIF('Multi-level BOM'!D$4:D$467,Table1[[#This Row],[Part Number]],'Multi-level BOM'!H$4:H$467)</f>
        <v>3</v>
      </c>
      <c r="K39" s="10">
        <f>Table1[[#This Row],[extended quantity]]*(Table1[[#This Row],[Cost ]]+Table1[[#This Row],[shipping]]+Table1[[#This Row],[Tax]])</f>
        <v>21.606300000000001</v>
      </c>
      <c r="L39" s="83" t="str">
        <f>IF(Table1[[#This Row],[Buy-now costs]]&gt;0,"X","")</f>
        <v/>
      </c>
      <c r="M39" s="83"/>
      <c r="N39" s="83"/>
      <c r="O39" s="40">
        <v>0</v>
      </c>
      <c r="P39" s="97">
        <f>Table1[[#This Row],[quantity on-hand]]*(Table1[[#This Row],[Cost ]]+Table1[[#This Row],[shipping]]+Table1[[#This Row],[Tax]])</f>
        <v>0</v>
      </c>
      <c r="Q39" s="40">
        <v>0</v>
      </c>
      <c r="R39" s="95">
        <f>Table1[[#This Row],[Quantity on order]]*(Table1[[#This Row],[Cost ]]+Table1[[#This Row],[shipping]]+Table1[[#This Row],[Tax]])</f>
        <v>0</v>
      </c>
      <c r="S39" s="49">
        <f>IFERROR(CEILING((Table1[[#This Row],[extended quantity]]-Table1[[#This Row],[quantity on-hand]]-Table1[[#This Row],[Quantity on order]])/Table1[[#This Row],[Minimum order quantity]],1)*Table1[[#This Row],[Minimum order quantity]],0)</f>
        <v>3</v>
      </c>
      <c r="T39" s="49">
        <f>Table1[[#This Row],[Quantity  to  purchase]]+Table1[[#This Row],[Quantity purchased]]+Table1[[#This Row],[Quantity on order]]+Table1[[#This Row],[Quantity donated]]-Table1[[#This Row],[extended quantity]]</f>
        <v>0</v>
      </c>
      <c r="U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21.606300000000001</v>
      </c>
      <c r="V39" s="51">
        <f>IFERROR(Table1[[#This Row],[Quantity  to  purchase]]*(Table1[[#This Row],[Cost ]]+Table1[[#This Row],[shipping]]+Table1[[#This Row],[Tax]]),0)</f>
        <v>21.606300000000001</v>
      </c>
      <c r="W39" s="36">
        <f>IFERROR(Table1[[#This Row],[leftover material]]*(Table1[[#This Row],[Cost ]]+Table1[[#This Row],[shipping]]+Table1[[#This Row],[Tax]]),0)</f>
        <v>0</v>
      </c>
      <c r="X39" s="36"/>
      <c r="Y39" s="87"/>
      <c r="Z39" s="87"/>
      <c r="AA39" s="87"/>
      <c r="AB39" s="36"/>
      <c r="AC39" s="36">
        <f>IF(ISNA(VLOOKUP(Table1[[#This Row],[Part Number]],'Multi-level BOM'!V$4:V$449,1,FALSE)),0,Table1[[#This Row],[Remaining Extended cost]])</f>
        <v>0</v>
      </c>
    </row>
    <row r="40" spans="1:29" ht="30" x14ac:dyDescent="0.25">
      <c r="A40" s="1" t="s">
        <v>43</v>
      </c>
      <c r="B40" s="4" t="s">
        <v>963</v>
      </c>
      <c r="C40" s="1" t="s">
        <v>648</v>
      </c>
      <c r="D40" s="3">
        <v>0</v>
      </c>
      <c r="E40" s="3">
        <v>0</v>
      </c>
      <c r="F40" s="3">
        <v>0</v>
      </c>
      <c r="G40" s="5" t="s">
        <v>649</v>
      </c>
      <c r="H40" s="2">
        <v>1</v>
      </c>
      <c r="I40" s="1" t="s">
        <v>777</v>
      </c>
      <c r="J40" s="49">
        <f>SUMIF('Multi-level BOM'!D$4:D$467,Table1[[#This Row],[Part Number]],'Multi-level BOM'!H$4:H$467)</f>
        <v>1</v>
      </c>
      <c r="K40" s="10">
        <f>Table1[[#This Row],[extended quantity]]*(Table1[[#This Row],[Cost ]]+Table1[[#This Row],[shipping]]+Table1[[#This Row],[Tax]])</f>
        <v>0</v>
      </c>
      <c r="L40" s="83" t="str">
        <f>IF(Table1[[#This Row],[Buy-now costs]]&gt;0,"X","")</f>
        <v/>
      </c>
      <c r="M40" s="83"/>
      <c r="N40" s="83"/>
      <c r="O40" s="40">
        <v>0</v>
      </c>
      <c r="P40" s="97">
        <f>Table1[[#This Row],[quantity on-hand]]*(Table1[[#This Row],[Cost ]]+Table1[[#This Row],[shipping]]+Table1[[#This Row],[Tax]])</f>
        <v>0</v>
      </c>
      <c r="Q40" s="40">
        <v>0</v>
      </c>
      <c r="R40" s="95">
        <f>Table1[[#This Row],[Quantity on order]]*(Table1[[#This Row],[Cost ]]+Table1[[#This Row],[shipping]]+Table1[[#This Row],[Tax]])</f>
        <v>0</v>
      </c>
      <c r="S4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40" s="49">
        <f>Table1[[#This Row],[Quantity  to  purchase]]+Table1[[#This Row],[Quantity purchased]]+Table1[[#This Row],[Quantity on order]]+Table1[[#This Row],[Quantity donated]]-Table1[[#This Row],[extended quantity]]</f>
        <v>0</v>
      </c>
      <c r="U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" s="51">
        <f>IFERROR(Table1[[#This Row],[Quantity  to  purchase]]*(Table1[[#This Row],[Cost ]]+Table1[[#This Row],[shipping]]+Table1[[#This Row],[Tax]]),0)</f>
        <v>0</v>
      </c>
      <c r="W40" s="36">
        <f>IFERROR(Table1[[#This Row],[leftover material]]*(Table1[[#This Row],[Cost ]]+Table1[[#This Row],[shipping]]+Table1[[#This Row],[Tax]]),0)</f>
        <v>0</v>
      </c>
      <c r="X40" s="36"/>
      <c r="Y40" s="87"/>
      <c r="Z40" s="87"/>
      <c r="AA40" s="87"/>
      <c r="AB40" s="36"/>
      <c r="AC40" s="36">
        <f>IF(ISNA(VLOOKUP(Table1[[#This Row],[Part Number]],'Multi-level BOM'!V$4:V$449,1,FALSE)),0,Table1[[#This Row],[Remaining Extended cost]])</f>
        <v>0</v>
      </c>
    </row>
    <row r="41" spans="1:29" x14ac:dyDescent="0.25">
      <c r="A41" s="1" t="s">
        <v>44</v>
      </c>
      <c r="B41" s="4" t="s">
        <v>780</v>
      </c>
      <c r="C41" s="1" t="s">
        <v>781</v>
      </c>
      <c r="D41" s="3">
        <v>2.2000000000000002</v>
      </c>
      <c r="E41" s="3">
        <f>24.3/5</f>
        <v>4.8600000000000003</v>
      </c>
      <c r="F41" s="3">
        <f>9%*Table1[[#This Row],[Cost ]]</f>
        <v>0.19800000000000001</v>
      </c>
      <c r="G41" s="1" t="s">
        <v>779</v>
      </c>
      <c r="H41" s="2">
        <v>1</v>
      </c>
      <c r="I41" s="1" t="s">
        <v>798</v>
      </c>
      <c r="J41" s="49">
        <f>SUMIF('Multi-level BOM'!D$4:D$467,Table1[[#This Row],[Part Number]],'Multi-level BOM'!H$4:H$467)</f>
        <v>5</v>
      </c>
      <c r="K41" s="10">
        <f>Table1[[#This Row],[extended quantity]]*(Table1[[#This Row],[Cost ]]+Table1[[#This Row],[shipping]]+Table1[[#This Row],[Tax]])</f>
        <v>36.290000000000006</v>
      </c>
      <c r="L41" s="83" t="str">
        <f>IF(Table1[[#This Row],[Buy-now costs]]&gt;0,"X","")</f>
        <v/>
      </c>
      <c r="M41" s="83"/>
      <c r="N41" s="83"/>
      <c r="O41" s="40">
        <v>0</v>
      </c>
      <c r="P41" s="97">
        <f>Table1[[#This Row],[quantity on-hand]]*(Table1[[#This Row],[Cost ]]+Table1[[#This Row],[shipping]]+Table1[[#This Row],[Tax]])</f>
        <v>0</v>
      </c>
      <c r="Q41" s="40">
        <v>0</v>
      </c>
      <c r="R41" s="95">
        <f>Table1[[#This Row],[Quantity on order]]*(Table1[[#This Row],[Cost ]]+Table1[[#This Row],[shipping]]+Table1[[#This Row],[Tax]])</f>
        <v>0</v>
      </c>
      <c r="S41" s="49">
        <f>IFERROR(CEILING((Table1[[#This Row],[extended quantity]]-Table1[[#This Row],[quantity on-hand]]-Table1[[#This Row],[Quantity on order]])/Table1[[#This Row],[Minimum order quantity]],1)*Table1[[#This Row],[Minimum order quantity]],0)</f>
        <v>5</v>
      </c>
      <c r="T41" s="49">
        <f>Table1[[#This Row],[Quantity  to  purchase]]+Table1[[#This Row],[Quantity purchased]]+Table1[[#This Row],[Quantity on order]]+Table1[[#This Row],[Quantity donated]]-Table1[[#This Row],[extended quantity]]</f>
        <v>0</v>
      </c>
      <c r="U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36.290000000000006</v>
      </c>
      <c r="V41" s="51">
        <f>IFERROR(Table1[[#This Row],[Quantity  to  purchase]]*(Table1[[#This Row],[Cost ]]+Table1[[#This Row],[shipping]]+Table1[[#This Row],[Tax]]),0)</f>
        <v>36.290000000000006</v>
      </c>
      <c r="W41" s="36">
        <f>IFERROR(Table1[[#This Row],[leftover material]]*(Table1[[#This Row],[Cost ]]+Table1[[#This Row],[shipping]]+Table1[[#This Row],[Tax]]),0)</f>
        <v>0</v>
      </c>
      <c r="X41" s="36"/>
      <c r="Y41" s="87"/>
      <c r="Z41" s="87"/>
      <c r="AA41" s="87"/>
      <c r="AB41" s="36"/>
      <c r="AC41" s="36">
        <f>IF(ISNA(VLOOKUP(Table1[[#This Row],[Part Number]],'Multi-level BOM'!V$4:V$449,1,FALSE)),0,Table1[[#This Row],[Remaining Extended cost]])</f>
        <v>0</v>
      </c>
    </row>
    <row r="42" spans="1:29" x14ac:dyDescent="0.25">
      <c r="A42" s="1" t="s">
        <v>45</v>
      </c>
      <c r="B42" t="s">
        <v>801</v>
      </c>
      <c r="C42" s="1" t="s">
        <v>802</v>
      </c>
      <c r="D42" s="3">
        <f>25/2</f>
        <v>12.5</v>
      </c>
      <c r="E42" s="3">
        <f>5</f>
        <v>5</v>
      </c>
      <c r="F42" s="3">
        <f>9%*Table1[[#This Row],[Cost ]]</f>
        <v>1.125</v>
      </c>
      <c r="G42" s="5" t="s">
        <v>803</v>
      </c>
      <c r="H42" s="2">
        <v>2</v>
      </c>
      <c r="I42" s="1" t="s">
        <v>808</v>
      </c>
      <c r="J42" s="49">
        <f>SUMIF('Multi-level BOM'!D$4:D$467,Table1[[#This Row],[Part Number]],'Multi-level BOM'!H$4:H$467)</f>
        <v>5</v>
      </c>
      <c r="K42" s="10">
        <f>Table1[[#This Row],[extended quantity]]*(Table1[[#This Row],[Cost ]]+Table1[[#This Row],[shipping]]+Table1[[#This Row],[Tax]])</f>
        <v>93.125</v>
      </c>
      <c r="L42" s="83" t="str">
        <f>IF(Table1[[#This Row],[Buy-now costs]]&gt;0,"X","")</f>
        <v/>
      </c>
      <c r="M42" s="83"/>
      <c r="N42" s="83"/>
      <c r="O42" s="40">
        <v>0</v>
      </c>
      <c r="P42" s="97">
        <f>Table1[[#This Row],[quantity on-hand]]*(Table1[[#This Row],[Cost ]]+Table1[[#This Row],[shipping]]+Table1[[#This Row],[Tax]])</f>
        <v>0</v>
      </c>
      <c r="Q42" s="40">
        <v>0</v>
      </c>
      <c r="R42" s="95">
        <f>Table1[[#This Row],[Quantity on order]]*(Table1[[#This Row],[Cost ]]+Table1[[#This Row],[shipping]]+Table1[[#This Row],[Tax]])</f>
        <v>0</v>
      </c>
      <c r="S42" s="49">
        <f>IFERROR(CEILING((Table1[[#This Row],[extended quantity]]-Table1[[#This Row],[quantity on-hand]]-Table1[[#This Row],[Quantity on order]])/Table1[[#This Row],[Minimum order quantity]],1)*Table1[[#This Row],[Minimum order quantity]],0)</f>
        <v>6</v>
      </c>
      <c r="T42" s="49">
        <f>Table1[[#This Row],[Quantity  to  purchase]]+Table1[[#This Row],[Quantity purchased]]+Table1[[#This Row],[Quantity on order]]+Table1[[#This Row],[Quantity donated]]-Table1[[#This Row],[extended quantity]]</f>
        <v>1</v>
      </c>
      <c r="U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93.125</v>
      </c>
      <c r="V42" s="51">
        <f>IFERROR(Table1[[#This Row],[Quantity  to  purchase]]*(Table1[[#This Row],[Cost ]]+Table1[[#This Row],[shipping]]+Table1[[#This Row],[Tax]]),0)</f>
        <v>111.75</v>
      </c>
      <c r="W42" s="36">
        <f>IFERROR(Table1[[#This Row],[leftover material]]*(Table1[[#This Row],[Cost ]]+Table1[[#This Row],[shipping]]+Table1[[#This Row],[Tax]]),0)</f>
        <v>18.625</v>
      </c>
      <c r="X42" s="36"/>
      <c r="Y42" s="87"/>
      <c r="Z42" s="87"/>
      <c r="AA42" s="87"/>
      <c r="AB42" s="36"/>
      <c r="AC42" s="36">
        <f>IF(ISNA(VLOOKUP(Table1[[#This Row],[Part Number]],'Multi-level BOM'!V$4:V$449,1,FALSE)),0,Table1[[#This Row],[Remaining Extended cost]])</f>
        <v>0</v>
      </c>
    </row>
    <row r="43" spans="1:29" x14ac:dyDescent="0.25">
      <c r="A43" s="1" t="s">
        <v>46</v>
      </c>
      <c r="B43" s="4" t="s">
        <v>809</v>
      </c>
      <c r="C43" s="1" t="s">
        <v>928</v>
      </c>
      <c r="D43" s="3">
        <f>3.6/100</f>
        <v>3.6000000000000004E-2</v>
      </c>
      <c r="E43" s="3">
        <f t="shared" ref="E43:E44" si="2">0.262338232068436*D43</f>
        <v>9.4441763544636965E-3</v>
      </c>
      <c r="F43" s="3">
        <f t="shared" ref="F43:F44" si="3">0.113621408203553*D43</f>
        <v>4.0903706953279084E-3</v>
      </c>
      <c r="G43" s="5" t="s">
        <v>946</v>
      </c>
      <c r="H43" s="2">
        <v>100</v>
      </c>
      <c r="J43" s="49">
        <f>SUMIF('Multi-level BOM'!D$4:D$467,Table1[[#This Row],[Part Number]],'Multi-level BOM'!H$4:H$467)</f>
        <v>6</v>
      </c>
      <c r="K43" s="10">
        <f>Table1[[#This Row],[extended quantity]]*(Table1[[#This Row],[Cost ]]+Table1[[#This Row],[shipping]]+Table1[[#This Row],[Tax]])</f>
        <v>0.29720728229874965</v>
      </c>
      <c r="L43" s="83" t="str">
        <f>IF(Table1[[#This Row],[Buy-now costs]]&gt;0,"X","")</f>
        <v/>
      </c>
      <c r="M43" s="83">
        <v>100</v>
      </c>
      <c r="N43" s="83"/>
      <c r="O43" s="40">
        <v>6</v>
      </c>
      <c r="P43" s="97">
        <f>Table1[[#This Row],[quantity on-hand]]*(Table1[[#This Row],[Cost ]]+Table1[[#This Row],[shipping]]+Table1[[#This Row],[Tax]])</f>
        <v>0.29720728229874965</v>
      </c>
      <c r="Q43" s="40"/>
      <c r="R43" s="95">
        <f>Table1[[#This Row],[Quantity on order]]*(Table1[[#This Row],[Cost ]]+Table1[[#This Row],[shipping]]+Table1[[#This Row],[Tax]])</f>
        <v>0</v>
      </c>
      <c r="S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" s="49">
        <f>Table1[[#This Row],[Quantity  to  purchase]]+Table1[[#This Row],[Quantity purchased]]+Table1[[#This Row],[Quantity on order]]+Table1[[#This Row],[Quantity donated]]-Table1[[#This Row],[extended quantity]]</f>
        <v>94</v>
      </c>
      <c r="U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" s="51">
        <f>IFERROR(Table1[[#This Row],[Quantity  to  purchase]]*(Table1[[#This Row],[Cost ]]+Table1[[#This Row],[shipping]]+Table1[[#This Row],[Tax]]),0)</f>
        <v>0</v>
      </c>
      <c r="W43" s="36">
        <f>IFERROR(Table1[[#This Row],[leftover material]]*(Table1[[#This Row],[Cost ]]+Table1[[#This Row],[shipping]]+Table1[[#This Row],[Tax]]),0)</f>
        <v>4.6562474226804111</v>
      </c>
      <c r="X43" s="36">
        <f>Table1[[#This Row],[Quantity purchased]]*(Table1[[#This Row],[Cost ]]+Table1[[#This Row],[shipping]]+Table1[[#This Row],[Tax]])</f>
        <v>4.9534547049791611</v>
      </c>
      <c r="Y43" s="87">
        <v>43875</v>
      </c>
      <c r="Z43" s="87">
        <v>43885</v>
      </c>
      <c r="AA43" s="87">
        <v>43885</v>
      </c>
      <c r="AB43" s="3" t="s">
        <v>988</v>
      </c>
      <c r="AC43" s="59">
        <f>IF(ISNA(VLOOKUP(Table1[[#This Row],[Part Number]],'Multi-level BOM'!V$4:V$449,1,FALSE)),0,Table1[[#This Row],[Remaining Extended cost]])</f>
        <v>0</v>
      </c>
    </row>
    <row r="44" spans="1:29" x14ac:dyDescent="0.25">
      <c r="A44" s="1" t="s">
        <v>47</v>
      </c>
      <c r="B44" s="4" t="s">
        <v>935</v>
      </c>
      <c r="C44" s="1" t="s">
        <v>928</v>
      </c>
      <c r="D44" s="3">
        <f>1.25/100</f>
        <v>1.2500000000000001E-2</v>
      </c>
      <c r="E44" s="3">
        <f t="shared" si="2"/>
        <v>3.2792279008554501E-3</v>
      </c>
      <c r="F44" s="3">
        <f t="shared" si="3"/>
        <v>1.4202676025444126E-3</v>
      </c>
      <c r="G44" s="5" t="s">
        <v>956</v>
      </c>
      <c r="H44" s="2">
        <v>100</v>
      </c>
      <c r="J44" s="49">
        <f>SUMIF('Multi-level BOM'!D$4:D$467,Table1[[#This Row],[Part Number]],'Multi-level BOM'!H$4:H$467)</f>
        <v>30</v>
      </c>
      <c r="K44" s="10">
        <f>Table1[[#This Row],[extended quantity]]*(Table1[[#This Row],[Cost ]]+Table1[[#This Row],[shipping]]+Table1[[#This Row],[Tax]])</f>
        <v>0.51598486510199593</v>
      </c>
      <c r="L44" s="83" t="str">
        <f>IF(Table1[[#This Row],[Buy-now costs]]&gt;0,"X","")</f>
        <v/>
      </c>
      <c r="M44" s="83">
        <v>100</v>
      </c>
      <c r="N44" s="83"/>
      <c r="O44" s="40">
        <v>30</v>
      </c>
      <c r="P44" s="97">
        <f>Table1[[#This Row],[quantity on-hand]]*(Table1[[#This Row],[Cost ]]+Table1[[#This Row],[shipping]]+Table1[[#This Row],[Tax]])</f>
        <v>0.51598486510199593</v>
      </c>
      <c r="Q44" s="40"/>
      <c r="R44" s="95">
        <f>Table1[[#This Row],[Quantity on order]]*(Table1[[#This Row],[Cost ]]+Table1[[#This Row],[shipping]]+Table1[[#This Row],[Tax]])</f>
        <v>0</v>
      </c>
      <c r="S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" s="49">
        <f>Table1[[#This Row],[Quantity  to  purchase]]+Table1[[#This Row],[Quantity purchased]]+Table1[[#This Row],[Quantity on order]]+Table1[[#This Row],[Quantity donated]]-Table1[[#This Row],[extended quantity]]</f>
        <v>70</v>
      </c>
      <c r="U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" s="51">
        <f>IFERROR(Table1[[#This Row],[Quantity  to  purchase]]*(Table1[[#This Row],[Cost ]]+Table1[[#This Row],[shipping]]+Table1[[#This Row],[Tax]]),0)</f>
        <v>0</v>
      </c>
      <c r="W44" s="36">
        <f>IFERROR(Table1[[#This Row],[leftover material]]*(Table1[[#This Row],[Cost ]]+Table1[[#This Row],[shipping]]+Table1[[#This Row],[Tax]]),0)</f>
        <v>1.2039646852379906</v>
      </c>
      <c r="X44" s="36">
        <f>Table1[[#This Row],[Quantity purchased]]*(Table1[[#This Row],[Cost ]]+Table1[[#This Row],[shipping]]+Table1[[#This Row],[Tax]])</f>
        <v>1.7199495503399866</v>
      </c>
      <c r="Y44" s="87">
        <v>43875</v>
      </c>
      <c r="Z44" s="87">
        <v>43885</v>
      </c>
      <c r="AA44" s="87">
        <v>43885</v>
      </c>
      <c r="AB44" s="3" t="s">
        <v>988</v>
      </c>
      <c r="AC44" s="59">
        <f>IF(ISNA(VLOOKUP(Table1[[#This Row],[Part Number]],'Multi-level BOM'!V$4:V$449,1,FALSE)),0,Table1[[#This Row],[Remaining Extended cost]])</f>
        <v>0</v>
      </c>
    </row>
    <row r="45" spans="1:29" ht="30" x14ac:dyDescent="0.25">
      <c r="A45" s="1" t="s">
        <v>48</v>
      </c>
      <c r="B45" s="4" t="s">
        <v>817</v>
      </c>
      <c r="C45" s="1" t="s">
        <v>656</v>
      </c>
      <c r="D45" s="3">
        <f>10.99/4</f>
        <v>2.7475000000000001</v>
      </c>
      <c r="E45" s="3">
        <v>0</v>
      </c>
      <c r="F45" s="3">
        <f>9%*Table1[[#This Row],[Cost ]]</f>
        <v>0.24727499999999999</v>
      </c>
      <c r="G45" s="1" t="s">
        <v>818</v>
      </c>
      <c r="H45" s="2">
        <v>4</v>
      </c>
      <c r="J45" s="49">
        <f>SUMIF('Multi-level BOM'!D$4:D$467,Table1[[#This Row],[Part Number]],'Multi-level BOM'!H$4:H$467)</f>
        <v>8</v>
      </c>
      <c r="K45" s="10">
        <f>Table1[[#This Row],[extended quantity]]*(Table1[[#This Row],[Cost ]]+Table1[[#This Row],[shipping]]+Table1[[#This Row],[Tax]])</f>
        <v>23.958200000000001</v>
      </c>
      <c r="L45" s="83" t="str">
        <f>IF(Table1[[#This Row],[Buy-now costs]]&gt;0,"X","")</f>
        <v/>
      </c>
      <c r="M45" s="83"/>
      <c r="N45" s="83"/>
      <c r="O45" s="40">
        <v>0</v>
      </c>
      <c r="P45" s="97">
        <f>Table1[[#This Row],[quantity on-hand]]*(Table1[[#This Row],[Cost ]]+Table1[[#This Row],[shipping]]+Table1[[#This Row],[Tax]])</f>
        <v>0</v>
      </c>
      <c r="Q45" s="40">
        <v>0</v>
      </c>
      <c r="R45" s="95">
        <f>Table1[[#This Row],[Quantity on order]]*(Table1[[#This Row],[Cost ]]+Table1[[#This Row],[shipping]]+Table1[[#This Row],[Tax]])</f>
        <v>0</v>
      </c>
      <c r="S45" s="49">
        <f>IFERROR(CEILING((Table1[[#This Row],[extended quantity]]-Table1[[#This Row],[quantity on-hand]]-Table1[[#This Row],[Quantity on order]])/Table1[[#This Row],[Minimum order quantity]],1)*Table1[[#This Row],[Minimum order quantity]],0)</f>
        <v>8</v>
      </c>
      <c r="T45" s="49">
        <f>Table1[[#This Row],[Quantity  to  purchase]]+Table1[[#This Row],[Quantity purchased]]+Table1[[#This Row],[Quantity on order]]+Table1[[#This Row],[Quantity donated]]-Table1[[#This Row],[extended quantity]]</f>
        <v>0</v>
      </c>
      <c r="U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23.958200000000001</v>
      </c>
      <c r="V45" s="51">
        <f>IFERROR(Table1[[#This Row],[Quantity  to  purchase]]*(Table1[[#This Row],[Cost ]]+Table1[[#This Row],[shipping]]+Table1[[#This Row],[Tax]]),0)</f>
        <v>23.958200000000001</v>
      </c>
      <c r="W45" s="36">
        <f>IFERROR(Table1[[#This Row],[leftover material]]*(Table1[[#This Row],[Cost ]]+Table1[[#This Row],[shipping]]+Table1[[#This Row],[Tax]]),0)</f>
        <v>0</v>
      </c>
      <c r="X45" s="36"/>
      <c r="Y45" s="87"/>
      <c r="Z45" s="87"/>
      <c r="AA45" s="87"/>
      <c r="AB45" s="36"/>
      <c r="AC45" s="36">
        <f>IF(ISNA(VLOOKUP(Table1[[#This Row],[Part Number]],'Multi-level BOM'!V$4:V$449,1,FALSE)),0,Table1[[#This Row],[Remaining Extended cost]])</f>
        <v>0</v>
      </c>
    </row>
    <row r="46" spans="1:29" x14ac:dyDescent="0.25">
      <c r="A46" s="1" t="s">
        <v>49</v>
      </c>
      <c r="B46" s="4" t="s">
        <v>829</v>
      </c>
      <c r="C46" s="1" t="s">
        <v>693</v>
      </c>
      <c r="D46" s="3">
        <v>3.48</v>
      </c>
      <c r="E46" s="3">
        <f>15/12</f>
        <v>1.25</v>
      </c>
      <c r="F46" s="3">
        <f>9%*Table1[[#This Row],[Cost ]]</f>
        <v>0.31319999999999998</v>
      </c>
      <c r="G46" s="1" t="s">
        <v>827</v>
      </c>
      <c r="H46" s="2">
        <v>1</v>
      </c>
      <c r="I46" s="1" t="s">
        <v>777</v>
      </c>
      <c r="J46" s="49">
        <f>SUMIF('Multi-level BOM'!D$4:D$467,Table1[[#This Row],[Part Number]],'Multi-level BOM'!H$4:H$467)</f>
        <v>4</v>
      </c>
      <c r="K46" s="10">
        <f>Table1[[#This Row],[extended quantity]]*(Table1[[#This Row],[Cost ]]+Table1[[#This Row],[shipping]]+Table1[[#This Row],[Tax]])</f>
        <v>20.172800000000002</v>
      </c>
      <c r="L46" s="83" t="str">
        <f>IF(Table1[[#This Row],[Buy-now costs]]&gt;0,"X","")</f>
        <v/>
      </c>
      <c r="M46" s="83"/>
      <c r="N46" s="83"/>
      <c r="O46" s="40">
        <v>0</v>
      </c>
      <c r="P46" s="97">
        <f>Table1[[#This Row],[quantity on-hand]]*(Table1[[#This Row],[Cost ]]+Table1[[#This Row],[shipping]]+Table1[[#This Row],[Tax]])</f>
        <v>0</v>
      </c>
      <c r="Q46" s="40">
        <v>0</v>
      </c>
      <c r="R46" s="95">
        <f>Table1[[#This Row],[Quantity on order]]*(Table1[[#This Row],[Cost ]]+Table1[[#This Row],[shipping]]+Table1[[#This Row],[Tax]])</f>
        <v>0</v>
      </c>
      <c r="S46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T46" s="49">
        <f>Table1[[#This Row],[Quantity  to  purchase]]+Table1[[#This Row],[Quantity purchased]]+Table1[[#This Row],[Quantity on order]]+Table1[[#This Row],[Quantity donated]]-Table1[[#This Row],[extended quantity]]</f>
        <v>0</v>
      </c>
      <c r="U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20.172800000000002</v>
      </c>
      <c r="V46" s="51">
        <f>IFERROR(Table1[[#This Row],[Quantity  to  purchase]]*(Table1[[#This Row],[Cost ]]+Table1[[#This Row],[shipping]]+Table1[[#This Row],[Tax]]),0)</f>
        <v>20.172800000000002</v>
      </c>
      <c r="W46" s="36">
        <f>IFERROR(Table1[[#This Row],[leftover material]]*(Table1[[#This Row],[Cost ]]+Table1[[#This Row],[shipping]]+Table1[[#This Row],[Tax]]),0)</f>
        <v>0</v>
      </c>
      <c r="X46" s="36"/>
      <c r="Y46" s="87"/>
      <c r="Z46" s="87"/>
      <c r="AA46" s="87"/>
      <c r="AB46" s="36"/>
      <c r="AC46" s="36">
        <f>IF(ISNA(VLOOKUP(Table1[[#This Row],[Part Number]],'Multi-level BOM'!V$4:V$449,1,FALSE)),0,Table1[[#This Row],[Remaining Extended cost]])</f>
        <v>0</v>
      </c>
    </row>
    <row r="47" spans="1:29" x14ac:dyDescent="0.25">
      <c r="A47" s="1" t="s">
        <v>50</v>
      </c>
      <c r="B47" s="4" t="s">
        <v>830</v>
      </c>
      <c r="C47" s="1" t="s">
        <v>693</v>
      </c>
      <c r="D47" s="3">
        <v>3.6</v>
      </c>
      <c r="E47" s="3">
        <f>15/12</f>
        <v>1.25</v>
      </c>
      <c r="F47" s="3">
        <f>9%*Table1[[#This Row],[Cost ]]</f>
        <v>0.32400000000000001</v>
      </c>
      <c r="G47" s="1" t="s">
        <v>827</v>
      </c>
      <c r="H47" s="2">
        <v>1</v>
      </c>
      <c r="J47" s="49">
        <f>SUMIF('Multi-level BOM'!D$4:D$467,Table1[[#This Row],[Part Number]],'Multi-level BOM'!H$4:H$467)</f>
        <v>4</v>
      </c>
      <c r="K47" s="10">
        <f>Table1[[#This Row],[extended quantity]]*(Table1[[#This Row],[Cost ]]+Table1[[#This Row],[shipping]]+Table1[[#This Row],[Tax]])</f>
        <v>20.695999999999998</v>
      </c>
      <c r="L47" s="83" t="str">
        <f>IF(Table1[[#This Row],[Buy-now costs]]&gt;0,"X","")</f>
        <v/>
      </c>
      <c r="M47" s="83"/>
      <c r="N47" s="83"/>
      <c r="O47" s="40">
        <v>0</v>
      </c>
      <c r="P47" s="97">
        <f>Table1[[#This Row],[quantity on-hand]]*(Table1[[#This Row],[Cost ]]+Table1[[#This Row],[shipping]]+Table1[[#This Row],[Tax]])</f>
        <v>0</v>
      </c>
      <c r="Q47" s="40">
        <v>0</v>
      </c>
      <c r="R47" s="95">
        <f>Table1[[#This Row],[Quantity on order]]*(Table1[[#This Row],[Cost ]]+Table1[[#This Row],[shipping]]+Table1[[#This Row],[Tax]])</f>
        <v>0</v>
      </c>
      <c r="S47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T47" s="49">
        <f>Table1[[#This Row],[Quantity  to  purchase]]+Table1[[#This Row],[Quantity purchased]]+Table1[[#This Row],[Quantity on order]]+Table1[[#This Row],[Quantity donated]]-Table1[[#This Row],[extended quantity]]</f>
        <v>0</v>
      </c>
      <c r="U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20.695999999999998</v>
      </c>
      <c r="V47" s="51">
        <f>IFERROR(Table1[[#This Row],[Quantity  to  purchase]]*(Table1[[#This Row],[Cost ]]+Table1[[#This Row],[shipping]]+Table1[[#This Row],[Tax]]),0)</f>
        <v>20.695999999999998</v>
      </c>
      <c r="W47" s="36">
        <f>IFERROR(Table1[[#This Row],[leftover material]]*(Table1[[#This Row],[Cost ]]+Table1[[#This Row],[shipping]]+Table1[[#This Row],[Tax]]),0)</f>
        <v>0</v>
      </c>
      <c r="X47" s="36"/>
      <c r="Y47" s="87"/>
      <c r="Z47" s="87"/>
      <c r="AA47" s="87"/>
      <c r="AB47" s="36"/>
      <c r="AC47" s="36">
        <f>IF(ISNA(VLOOKUP(Table1[[#This Row],[Part Number]],'Multi-level BOM'!V$4:V$449,1,FALSE)),0,Table1[[#This Row],[Remaining Extended cost]])</f>
        <v>0</v>
      </c>
    </row>
    <row r="48" spans="1:29" x14ac:dyDescent="0.25">
      <c r="A48" s="1" t="s">
        <v>51</v>
      </c>
      <c r="B48" s="16" t="s">
        <v>911</v>
      </c>
      <c r="C48" s="1" t="s">
        <v>704</v>
      </c>
      <c r="D48" s="3">
        <f>12.25/3</f>
        <v>4.083333333333333</v>
      </c>
      <c r="E48" s="3">
        <v>1</v>
      </c>
      <c r="F48" s="3">
        <f>9%*Table1[[#This Row],[Cost ]]</f>
        <v>0.36749999999999994</v>
      </c>
      <c r="G48" s="1" t="s">
        <v>912</v>
      </c>
      <c r="H48" s="2">
        <v>3</v>
      </c>
      <c r="I48" s="1" t="s">
        <v>777</v>
      </c>
      <c r="J48" s="49">
        <f>SUMIF('Multi-level BOM'!D$4:D$467,Table1[[#This Row],[Part Number]],'Multi-level BOM'!H$4:H$467)</f>
        <v>3</v>
      </c>
      <c r="K48" s="10">
        <f>Table1[[#This Row],[extended quantity]]*(Table1[[#This Row],[Cost ]]+Table1[[#This Row],[shipping]]+Table1[[#This Row],[Tax]])</f>
        <v>16.352499999999999</v>
      </c>
      <c r="L48" s="83" t="str">
        <f>IF(Table1[[#This Row],[Buy-now costs]]&gt;0,"X","")</f>
        <v/>
      </c>
      <c r="M48" s="83">
        <v>0</v>
      </c>
      <c r="N48" s="83">
        <v>3</v>
      </c>
      <c r="O48" s="40">
        <v>3</v>
      </c>
      <c r="P48" s="97">
        <f>Table1[[#This Row],[quantity on-hand]]*(Table1[[#This Row],[Cost ]]+Table1[[#This Row],[shipping]]+Table1[[#This Row],[Tax]])</f>
        <v>16.352499999999999</v>
      </c>
      <c r="Q48" s="40">
        <v>0</v>
      </c>
      <c r="R48" s="95">
        <f>Table1[[#This Row],[Quantity on order]]*(Table1[[#This Row],[Cost ]]+Table1[[#This Row],[shipping]]+Table1[[#This Row],[Tax]])</f>
        <v>0</v>
      </c>
      <c r="S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" s="49">
        <f>Table1[[#This Row],[Quantity  to  purchase]]+Table1[[#This Row],[Quantity purchased]]+Table1[[#This Row],[Quantity on order]]+Table1[[#This Row],[Quantity donated]]-Table1[[#This Row],[extended quantity]]</f>
        <v>0</v>
      </c>
      <c r="U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" s="51">
        <f>IFERROR(Table1[[#This Row],[Quantity  to  purchase]]*(Table1[[#This Row],[Cost ]]+Table1[[#This Row],[shipping]]+Table1[[#This Row],[Tax]]),0)</f>
        <v>0</v>
      </c>
      <c r="W48" s="36">
        <f>IFERROR(Table1[[#This Row],[leftover material]]*(Table1[[#This Row],[Cost ]]+Table1[[#This Row],[shipping]]+Table1[[#This Row],[Tax]]),0)</f>
        <v>0</v>
      </c>
      <c r="X48" s="36">
        <v>0</v>
      </c>
      <c r="Y48" s="87"/>
      <c r="Z48" s="87"/>
      <c r="AA48" s="87"/>
      <c r="AB48" s="36" t="s">
        <v>913</v>
      </c>
      <c r="AC48" s="36">
        <f>IF(ISNA(VLOOKUP(Table1[[#This Row],[Part Number]],'Multi-level BOM'!V$4:V$449,1,FALSE)),0,Table1[[#This Row],[Remaining Extended cost]])</f>
        <v>0</v>
      </c>
    </row>
    <row r="49" spans="1:29" x14ac:dyDescent="0.25">
      <c r="A49" s="1" t="s">
        <v>52</v>
      </c>
      <c r="B49" s="4" t="s">
        <v>828</v>
      </c>
      <c r="C49" s="1" t="s">
        <v>693</v>
      </c>
      <c r="D49" s="3">
        <v>3.03</v>
      </c>
      <c r="E49" s="3">
        <f>15/12</f>
        <v>1.25</v>
      </c>
      <c r="F49" s="3">
        <f>9%*Table1[[#This Row],[Cost ]]</f>
        <v>0.2727</v>
      </c>
      <c r="G49" s="5" t="s">
        <v>827</v>
      </c>
      <c r="H49" s="2">
        <v>1</v>
      </c>
      <c r="I49" s="1" t="s">
        <v>777</v>
      </c>
      <c r="J49" s="49">
        <f>SUMIF('Multi-level BOM'!D$4:D$467,Table1[[#This Row],[Part Number]],'Multi-level BOM'!H$4:H$467)</f>
        <v>4</v>
      </c>
      <c r="K49" s="10">
        <f>Table1[[#This Row],[extended quantity]]*(Table1[[#This Row],[Cost ]]+Table1[[#This Row],[shipping]]+Table1[[#This Row],[Tax]])</f>
        <v>18.210799999999999</v>
      </c>
      <c r="L49" s="83" t="str">
        <f>IF(Table1[[#This Row],[Buy-now costs]]&gt;0,"X","")</f>
        <v/>
      </c>
      <c r="M49" s="83"/>
      <c r="N49" s="83"/>
      <c r="O49" s="40">
        <v>0</v>
      </c>
      <c r="P49" s="97">
        <f>Table1[[#This Row],[quantity on-hand]]*(Table1[[#This Row],[Cost ]]+Table1[[#This Row],[shipping]]+Table1[[#This Row],[Tax]])</f>
        <v>0</v>
      </c>
      <c r="Q49" s="40">
        <v>0</v>
      </c>
      <c r="R49" s="95">
        <f>Table1[[#This Row],[Quantity on order]]*(Table1[[#This Row],[Cost ]]+Table1[[#This Row],[shipping]]+Table1[[#This Row],[Tax]])</f>
        <v>0</v>
      </c>
      <c r="S49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T49" s="49">
        <f>Table1[[#This Row],[Quantity  to  purchase]]+Table1[[#This Row],[Quantity purchased]]+Table1[[#This Row],[Quantity on order]]+Table1[[#This Row],[Quantity donated]]-Table1[[#This Row],[extended quantity]]</f>
        <v>0</v>
      </c>
      <c r="U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18.210799999999999</v>
      </c>
      <c r="V49" s="51">
        <f>IFERROR(Table1[[#This Row],[Quantity  to  purchase]]*(Table1[[#This Row],[Cost ]]+Table1[[#This Row],[shipping]]+Table1[[#This Row],[Tax]]),0)</f>
        <v>18.210799999999999</v>
      </c>
      <c r="W49" s="36">
        <f>IFERROR(Table1[[#This Row],[leftover material]]*(Table1[[#This Row],[Cost ]]+Table1[[#This Row],[shipping]]+Table1[[#This Row],[Tax]]),0)</f>
        <v>0</v>
      </c>
      <c r="X49" s="36"/>
      <c r="Y49" s="87"/>
      <c r="Z49" s="87"/>
      <c r="AA49" s="87"/>
      <c r="AB49" s="36"/>
      <c r="AC49" s="36">
        <f>IF(ISNA(VLOOKUP(Table1[[#This Row],[Part Number]],'Multi-level BOM'!V$4:V$449,1,FALSE)),0,Table1[[#This Row],[Remaining Extended cost]])</f>
        <v>0</v>
      </c>
    </row>
    <row r="50" spans="1:29" x14ac:dyDescent="0.25">
      <c r="A50" s="1" t="s">
        <v>53</v>
      </c>
      <c r="B50" t="s">
        <v>831</v>
      </c>
      <c r="C50" s="1" t="s">
        <v>656</v>
      </c>
      <c r="D50" s="3">
        <v>34.1</v>
      </c>
      <c r="E50" s="3">
        <v>0</v>
      </c>
      <c r="F50" s="3">
        <f>9%*Table1[[#This Row],[Cost ]]</f>
        <v>3.069</v>
      </c>
      <c r="G50" s="1" t="s">
        <v>832</v>
      </c>
      <c r="H50" s="2">
        <v>2</v>
      </c>
      <c r="J50" s="49">
        <f>SUMIF('Multi-level BOM'!D$4:D$467,Table1[[#This Row],[Part Number]],'Multi-level BOM'!H$4:H$467)</f>
        <v>1</v>
      </c>
      <c r="K50" s="10">
        <f>Table1[[#This Row],[extended quantity]]*(Table1[[#This Row],[Cost ]]+Table1[[#This Row],[shipping]]+Table1[[#This Row],[Tax]])</f>
        <v>37.169000000000004</v>
      </c>
      <c r="L50" s="83" t="str">
        <f>IF(Table1[[#This Row],[Buy-now costs]]&gt;0,"X","")</f>
        <v/>
      </c>
      <c r="M50" s="83"/>
      <c r="N50" s="83"/>
      <c r="O50" s="40">
        <v>0</v>
      </c>
      <c r="P50" s="97">
        <f>Table1[[#This Row],[quantity on-hand]]*(Table1[[#This Row],[Cost ]]+Table1[[#This Row],[shipping]]+Table1[[#This Row],[Tax]])</f>
        <v>0</v>
      </c>
      <c r="Q50" s="40">
        <v>0</v>
      </c>
      <c r="R50" s="95">
        <f>Table1[[#This Row],[Quantity on order]]*(Table1[[#This Row],[Cost ]]+Table1[[#This Row],[shipping]]+Table1[[#This Row],[Tax]])</f>
        <v>0</v>
      </c>
      <c r="S50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T50" s="49">
        <f>Table1[[#This Row],[Quantity  to  purchase]]+Table1[[#This Row],[Quantity purchased]]+Table1[[#This Row],[Quantity on order]]+Table1[[#This Row],[Quantity donated]]-Table1[[#This Row],[extended quantity]]</f>
        <v>1</v>
      </c>
      <c r="U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37.169000000000004</v>
      </c>
      <c r="V50" s="51">
        <f>IFERROR(Table1[[#This Row],[Quantity  to  purchase]]*(Table1[[#This Row],[Cost ]]+Table1[[#This Row],[shipping]]+Table1[[#This Row],[Tax]]),0)</f>
        <v>74.338000000000008</v>
      </c>
      <c r="W50" s="36">
        <f>IFERROR(Table1[[#This Row],[leftover material]]*(Table1[[#This Row],[Cost ]]+Table1[[#This Row],[shipping]]+Table1[[#This Row],[Tax]]),0)</f>
        <v>37.169000000000004</v>
      </c>
      <c r="X50" s="36"/>
      <c r="Y50" s="87"/>
      <c r="Z50" s="87"/>
      <c r="AA50" s="87"/>
      <c r="AB50" s="36"/>
      <c r="AC50" s="36">
        <f>IF(ISNA(VLOOKUP(Table1[[#This Row],[Part Number]],'Multi-level BOM'!V$4:V$449,1,FALSE)),0,Table1[[#This Row],[Remaining Extended cost]])</f>
        <v>0</v>
      </c>
    </row>
    <row r="51" spans="1:29" x14ac:dyDescent="0.25">
      <c r="A51" s="1" t="s">
        <v>54</v>
      </c>
      <c r="B51" t="s">
        <v>831</v>
      </c>
      <c r="C51" s="1" t="s">
        <v>656</v>
      </c>
      <c r="D51" s="3">
        <f>34.1/2</f>
        <v>17.05</v>
      </c>
      <c r="E51" s="3">
        <v>0</v>
      </c>
      <c r="F51" s="3">
        <f>9%*Table1[[#This Row],[Cost ]]</f>
        <v>1.5345</v>
      </c>
      <c r="G51" s="1" t="s">
        <v>832</v>
      </c>
      <c r="H51" s="2">
        <v>2</v>
      </c>
      <c r="J51" s="49">
        <f>SUMIF('Multi-level BOM'!D$4:D$467,Table1[[#This Row],[Part Number]],'Multi-level BOM'!H$4:H$467)</f>
        <v>4</v>
      </c>
      <c r="K51" s="10">
        <f>Table1[[#This Row],[extended quantity]]*(Table1[[#This Row],[Cost ]]+Table1[[#This Row],[shipping]]+Table1[[#This Row],[Tax]])</f>
        <v>74.338000000000008</v>
      </c>
      <c r="L51" s="83" t="str">
        <f>IF(Table1[[#This Row],[Buy-now costs]]&gt;0,"X","")</f>
        <v/>
      </c>
      <c r="M51" s="83"/>
      <c r="N51" s="83"/>
      <c r="O51" s="40">
        <v>0</v>
      </c>
      <c r="P51" s="97">
        <f>Table1[[#This Row],[quantity on-hand]]*(Table1[[#This Row],[Cost ]]+Table1[[#This Row],[shipping]]+Table1[[#This Row],[Tax]])</f>
        <v>0</v>
      </c>
      <c r="Q51" s="40">
        <v>0</v>
      </c>
      <c r="R51" s="95">
        <f>Table1[[#This Row],[Quantity on order]]*(Table1[[#This Row],[Cost ]]+Table1[[#This Row],[shipping]]+Table1[[#This Row],[Tax]])</f>
        <v>0</v>
      </c>
      <c r="S51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T51" s="49">
        <f>Table1[[#This Row],[Quantity  to  purchase]]+Table1[[#This Row],[Quantity purchased]]+Table1[[#This Row],[Quantity on order]]+Table1[[#This Row],[Quantity donated]]-Table1[[#This Row],[extended quantity]]</f>
        <v>0</v>
      </c>
      <c r="U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74.338000000000008</v>
      </c>
      <c r="V51" s="51">
        <f>IFERROR(Table1[[#This Row],[Quantity  to  purchase]]*(Table1[[#This Row],[Cost ]]+Table1[[#This Row],[shipping]]+Table1[[#This Row],[Tax]]),0)</f>
        <v>74.338000000000008</v>
      </c>
      <c r="W51" s="36">
        <f>IFERROR(Table1[[#This Row],[leftover material]]*(Table1[[#This Row],[Cost ]]+Table1[[#This Row],[shipping]]+Table1[[#This Row],[Tax]]),0)</f>
        <v>0</v>
      </c>
      <c r="X51" s="36"/>
      <c r="Y51" s="87"/>
      <c r="Z51" s="87"/>
      <c r="AA51" s="87"/>
      <c r="AB51" s="36"/>
      <c r="AC51" s="36">
        <f>IF(ISNA(VLOOKUP(Table1[[#This Row],[Part Number]],'Multi-level BOM'!V$4:V$449,1,FALSE)),0,Table1[[#This Row],[Remaining Extended cost]])</f>
        <v>0</v>
      </c>
    </row>
    <row r="52" spans="1:29" ht="45" x14ac:dyDescent="0.25">
      <c r="A52" s="1" t="s">
        <v>55</v>
      </c>
      <c r="B52" s="4" t="s">
        <v>833</v>
      </c>
      <c r="C52" s="1" t="s">
        <v>656</v>
      </c>
      <c r="D52" s="3">
        <v>39.99</v>
      </c>
      <c r="E52" s="3">
        <v>0</v>
      </c>
      <c r="F52" s="3">
        <f>9%*Table1[[#This Row],[Cost ]]</f>
        <v>3.5991</v>
      </c>
      <c r="G52" s="5" t="s">
        <v>834</v>
      </c>
      <c r="H52" s="2">
        <v>1</v>
      </c>
      <c r="J52" s="49">
        <f>SUMIF('Multi-level BOM'!D$4:D$467,Table1[[#This Row],[Part Number]],'Multi-level BOM'!H$4:H$467)</f>
        <v>1</v>
      </c>
      <c r="K52" s="10">
        <f>Table1[[#This Row],[extended quantity]]*(Table1[[#This Row],[Cost ]]+Table1[[#This Row],[shipping]]+Table1[[#This Row],[Tax]])</f>
        <v>43.589100000000002</v>
      </c>
      <c r="L52" s="83" t="str">
        <f>IF(Table1[[#This Row],[Buy-now costs]]&gt;0,"X","")</f>
        <v/>
      </c>
      <c r="M52" s="83"/>
      <c r="N52" s="83"/>
      <c r="O52" s="40">
        <v>0</v>
      </c>
      <c r="P52" s="97">
        <f>Table1[[#This Row],[quantity on-hand]]*(Table1[[#This Row],[Cost ]]+Table1[[#This Row],[shipping]]+Table1[[#This Row],[Tax]])</f>
        <v>0</v>
      </c>
      <c r="Q52" s="40">
        <v>0</v>
      </c>
      <c r="R52" s="95">
        <f>Table1[[#This Row],[Quantity on order]]*(Table1[[#This Row],[Cost ]]+Table1[[#This Row],[shipping]]+Table1[[#This Row],[Tax]])</f>
        <v>0</v>
      </c>
      <c r="S52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52" s="49">
        <f>Table1[[#This Row],[Quantity  to  purchase]]+Table1[[#This Row],[Quantity purchased]]+Table1[[#This Row],[Quantity on order]]+Table1[[#This Row],[Quantity donated]]-Table1[[#This Row],[extended quantity]]</f>
        <v>0</v>
      </c>
      <c r="U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43.589100000000002</v>
      </c>
      <c r="V52" s="51">
        <f>IFERROR(Table1[[#This Row],[Quantity  to  purchase]]*(Table1[[#This Row],[Cost ]]+Table1[[#This Row],[shipping]]+Table1[[#This Row],[Tax]]),0)</f>
        <v>43.589100000000002</v>
      </c>
      <c r="W52" s="36">
        <f>IFERROR(Table1[[#This Row],[leftover material]]*(Table1[[#This Row],[Cost ]]+Table1[[#This Row],[shipping]]+Table1[[#This Row],[Tax]]),0)</f>
        <v>0</v>
      </c>
      <c r="X52" s="36"/>
      <c r="Y52" s="87"/>
      <c r="Z52" s="87"/>
      <c r="AA52" s="87"/>
      <c r="AB52" s="36"/>
      <c r="AC52" s="36">
        <f>IF(ISNA(VLOOKUP(Table1[[#This Row],[Part Number]],'Multi-level BOM'!V$4:V$449,1,FALSE)),0,Table1[[#This Row],[Remaining Extended cost]])</f>
        <v>0</v>
      </c>
    </row>
    <row r="53" spans="1:29" ht="45" x14ac:dyDescent="0.25">
      <c r="A53" s="1" t="s">
        <v>56</v>
      </c>
      <c r="B53" s="4" t="s">
        <v>836</v>
      </c>
      <c r="C53" s="1" t="s">
        <v>656</v>
      </c>
      <c r="D53" s="3">
        <v>10.99</v>
      </c>
      <c r="E53" s="3">
        <v>0</v>
      </c>
      <c r="F53" s="3">
        <f>9%*Table1[[#This Row],[Cost ]]</f>
        <v>0.98909999999999998</v>
      </c>
      <c r="G53" s="1" t="s">
        <v>840</v>
      </c>
      <c r="H53" s="2">
        <v>2</v>
      </c>
      <c r="J53" s="49">
        <f>SUMIF('Multi-level BOM'!D$4:D$467,Table1[[#This Row],[Part Number]],'Multi-level BOM'!H$4:H$467)</f>
        <v>1</v>
      </c>
      <c r="K53" s="10">
        <f>Table1[[#This Row],[extended quantity]]*(Table1[[#This Row],[Cost ]]+Table1[[#This Row],[shipping]]+Table1[[#This Row],[Tax]])</f>
        <v>11.979100000000001</v>
      </c>
      <c r="L53" s="83" t="str">
        <f>IF(Table1[[#This Row],[Buy-now costs]]&gt;0,"X","")</f>
        <v/>
      </c>
      <c r="M53" s="83"/>
      <c r="N53" s="83"/>
      <c r="O53" s="40">
        <v>0</v>
      </c>
      <c r="P53" s="97">
        <f>Table1[[#This Row],[quantity on-hand]]*(Table1[[#This Row],[Cost ]]+Table1[[#This Row],[shipping]]+Table1[[#This Row],[Tax]])</f>
        <v>0</v>
      </c>
      <c r="Q53" s="40">
        <v>0</v>
      </c>
      <c r="R53" s="95">
        <f>Table1[[#This Row],[Quantity on order]]*(Table1[[#This Row],[Cost ]]+Table1[[#This Row],[shipping]]+Table1[[#This Row],[Tax]])</f>
        <v>0</v>
      </c>
      <c r="S53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T53" s="49">
        <f>Table1[[#This Row],[Quantity  to  purchase]]+Table1[[#This Row],[Quantity purchased]]+Table1[[#This Row],[Quantity on order]]+Table1[[#This Row],[Quantity donated]]-Table1[[#This Row],[extended quantity]]</f>
        <v>1</v>
      </c>
      <c r="U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11.979100000000001</v>
      </c>
      <c r="V53" s="51">
        <f>IFERROR(Table1[[#This Row],[Quantity  to  purchase]]*(Table1[[#This Row],[Cost ]]+Table1[[#This Row],[shipping]]+Table1[[#This Row],[Tax]]),0)</f>
        <v>23.958200000000001</v>
      </c>
      <c r="W53" s="36">
        <f>IFERROR(Table1[[#This Row],[leftover material]]*(Table1[[#This Row],[Cost ]]+Table1[[#This Row],[shipping]]+Table1[[#This Row],[Tax]]),0)</f>
        <v>11.979100000000001</v>
      </c>
      <c r="X53" s="36"/>
      <c r="Y53" s="87"/>
      <c r="Z53" s="87"/>
      <c r="AA53" s="87"/>
      <c r="AB53" s="36"/>
      <c r="AC53" s="36">
        <f>IF(ISNA(VLOOKUP(Table1[[#This Row],[Part Number]],'Multi-level BOM'!V$4:V$449,1,FALSE)),0,Table1[[#This Row],[Remaining Extended cost]])</f>
        <v>0</v>
      </c>
    </row>
    <row r="54" spans="1:29" x14ac:dyDescent="0.25">
      <c r="A54" s="1" t="s">
        <v>57</v>
      </c>
      <c r="B54" s="16" t="s">
        <v>902</v>
      </c>
      <c r="C54" s="1" t="s">
        <v>847</v>
      </c>
      <c r="D54" s="3">
        <v>46.71</v>
      </c>
      <c r="E54" s="3">
        <v>6</v>
      </c>
      <c r="F54" s="3">
        <f>9%*Table1[[#This Row],[Cost ]]</f>
        <v>4.2039</v>
      </c>
      <c r="G54" s="1" t="s">
        <v>903</v>
      </c>
      <c r="H54" s="2">
        <v>1</v>
      </c>
      <c r="I54" s="1" t="s">
        <v>849</v>
      </c>
      <c r="J54" s="49">
        <f>SUMIF('Multi-level BOM'!D$4:D$467,Table1[[#This Row],[Part Number]],'Multi-level BOM'!H$4:H$467)</f>
        <v>1</v>
      </c>
      <c r="K54" s="10">
        <f>Table1[[#This Row],[extended quantity]]*(Table1[[#This Row],[Cost ]]+Table1[[#This Row],[shipping]]+Table1[[#This Row],[Tax]])</f>
        <v>56.913899999999998</v>
      </c>
      <c r="L54" s="83" t="str">
        <f>IF(Table1[[#This Row],[Buy-now costs]]&gt;0,"X","")</f>
        <v/>
      </c>
      <c r="M54" s="83"/>
      <c r="N54" s="83"/>
      <c r="O54" s="40">
        <v>0</v>
      </c>
      <c r="P54" s="97">
        <f>Table1[[#This Row],[quantity on-hand]]*(Table1[[#This Row],[Cost ]]+Table1[[#This Row],[shipping]]+Table1[[#This Row],[Tax]])</f>
        <v>0</v>
      </c>
      <c r="Q54" s="40">
        <v>0</v>
      </c>
      <c r="R54" s="95">
        <f>Table1[[#This Row],[Quantity on order]]*(Table1[[#This Row],[Cost ]]+Table1[[#This Row],[shipping]]+Table1[[#This Row],[Tax]])</f>
        <v>0</v>
      </c>
      <c r="S54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54" s="49">
        <f>Table1[[#This Row],[Quantity  to  purchase]]+Table1[[#This Row],[Quantity purchased]]+Table1[[#This Row],[Quantity on order]]+Table1[[#This Row],[Quantity donated]]-Table1[[#This Row],[extended quantity]]</f>
        <v>0</v>
      </c>
      <c r="U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56.913899999999998</v>
      </c>
      <c r="V54" s="51">
        <f>IFERROR(Table1[[#This Row],[Quantity  to  purchase]]*(Table1[[#This Row],[Cost ]]+Table1[[#This Row],[shipping]]+Table1[[#This Row],[Tax]]),0)</f>
        <v>56.913899999999998</v>
      </c>
      <c r="W54" s="36">
        <f>IFERROR(Table1[[#This Row],[leftover material]]*(Table1[[#This Row],[Cost ]]+Table1[[#This Row],[shipping]]+Table1[[#This Row],[Tax]]),0)</f>
        <v>0</v>
      </c>
      <c r="X54" s="36"/>
      <c r="Y54" s="87"/>
      <c r="Z54" s="87"/>
      <c r="AA54" s="87"/>
      <c r="AB54" s="36"/>
      <c r="AC54" s="36">
        <f>IF(ISNA(VLOOKUP(Table1[[#This Row],[Part Number]],'Multi-level BOM'!V$4:V$449,1,FALSE)),0,Table1[[#This Row],[Remaining Extended cost]])</f>
        <v>0</v>
      </c>
    </row>
    <row r="55" spans="1:29" ht="30" x14ac:dyDescent="0.25">
      <c r="A55" s="1" t="s">
        <v>58</v>
      </c>
      <c r="B55" s="4" t="s">
        <v>838</v>
      </c>
      <c r="C55" s="1" t="s">
        <v>656</v>
      </c>
      <c r="D55" s="3">
        <v>22.99</v>
      </c>
      <c r="E55" s="3">
        <v>0</v>
      </c>
      <c r="F55" s="3">
        <f>9%*Table1[[#This Row],[Cost ]]</f>
        <v>2.0690999999999997</v>
      </c>
      <c r="G55" s="1" t="s">
        <v>839</v>
      </c>
      <c r="H55" s="2">
        <v>1</v>
      </c>
      <c r="J55" s="49">
        <f>SUMIF('Multi-level BOM'!D$4:D$467,Table1[[#This Row],[Part Number]],'Multi-level BOM'!H$4:H$467)</f>
        <v>1</v>
      </c>
      <c r="K55" s="10">
        <f>Table1[[#This Row],[extended quantity]]*(Table1[[#This Row],[Cost ]]+Table1[[#This Row],[shipping]]+Table1[[#This Row],[Tax]])</f>
        <v>25.059099999999997</v>
      </c>
      <c r="L55" s="83" t="str">
        <f>IF(Table1[[#This Row],[Buy-now costs]]&gt;0,"X","")</f>
        <v/>
      </c>
      <c r="M55" s="83"/>
      <c r="N55" s="83"/>
      <c r="O55" s="40">
        <v>0</v>
      </c>
      <c r="P55" s="97">
        <f>Table1[[#This Row],[quantity on-hand]]*(Table1[[#This Row],[Cost ]]+Table1[[#This Row],[shipping]]+Table1[[#This Row],[Tax]])</f>
        <v>0</v>
      </c>
      <c r="Q55" s="40">
        <v>0</v>
      </c>
      <c r="R55" s="95">
        <f>Table1[[#This Row],[Quantity on order]]*(Table1[[#This Row],[Cost ]]+Table1[[#This Row],[shipping]]+Table1[[#This Row],[Tax]])</f>
        <v>0</v>
      </c>
      <c r="S5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55" s="49">
        <f>Table1[[#This Row],[Quantity  to  purchase]]+Table1[[#This Row],[Quantity purchased]]+Table1[[#This Row],[Quantity on order]]+Table1[[#This Row],[Quantity donated]]-Table1[[#This Row],[extended quantity]]</f>
        <v>0</v>
      </c>
      <c r="U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25.059099999999997</v>
      </c>
      <c r="V55" s="51">
        <f>IFERROR(Table1[[#This Row],[Quantity  to  purchase]]*(Table1[[#This Row],[Cost ]]+Table1[[#This Row],[shipping]]+Table1[[#This Row],[Tax]]),0)</f>
        <v>25.059099999999997</v>
      </c>
      <c r="W55" s="36">
        <f>IFERROR(Table1[[#This Row],[leftover material]]*(Table1[[#This Row],[Cost ]]+Table1[[#This Row],[shipping]]+Table1[[#This Row],[Tax]]),0)</f>
        <v>0</v>
      </c>
      <c r="X55" s="36"/>
      <c r="Y55" s="87"/>
      <c r="Z55" s="87"/>
      <c r="AA55" s="87"/>
      <c r="AB55" s="36"/>
      <c r="AC55" s="36">
        <f>IF(ISNA(VLOOKUP(Table1[[#This Row],[Part Number]],'Multi-level BOM'!V$4:V$449,1,FALSE)),0,Table1[[#This Row],[Remaining Extended cost]])</f>
        <v>0</v>
      </c>
    </row>
    <row r="56" spans="1:29" ht="30" x14ac:dyDescent="0.25">
      <c r="A56" s="1" t="s">
        <v>59</v>
      </c>
      <c r="B56" s="4" t="s">
        <v>841</v>
      </c>
      <c r="C56" s="1" t="s">
        <v>656</v>
      </c>
      <c r="D56" s="3">
        <v>8.85</v>
      </c>
      <c r="E56" s="3">
        <v>0</v>
      </c>
      <c r="F56" s="3">
        <f>9%*Table1[[#This Row],[Cost ]]</f>
        <v>0.79649999999999999</v>
      </c>
      <c r="G56" s="5" t="s">
        <v>842</v>
      </c>
      <c r="H56" s="2">
        <v>1</v>
      </c>
      <c r="J56" s="49">
        <f>SUMIF('Multi-level BOM'!D$4:D$467,Table1[[#This Row],[Part Number]],'Multi-level BOM'!H$4:H$467)</f>
        <v>1</v>
      </c>
      <c r="K56" s="10">
        <f>Table1[[#This Row],[extended quantity]]*(Table1[[#This Row],[Cost ]]+Table1[[#This Row],[shipping]]+Table1[[#This Row],[Tax]])</f>
        <v>9.6464999999999996</v>
      </c>
      <c r="L56" s="83" t="str">
        <f>IF(Table1[[#This Row],[Buy-now costs]]&gt;0,"X","")</f>
        <v/>
      </c>
      <c r="M56" s="83"/>
      <c r="N56" s="83"/>
      <c r="O56" s="40">
        <v>0</v>
      </c>
      <c r="P56" s="97">
        <f>Table1[[#This Row],[quantity on-hand]]*(Table1[[#This Row],[Cost ]]+Table1[[#This Row],[shipping]]+Table1[[#This Row],[Tax]])</f>
        <v>0</v>
      </c>
      <c r="Q56" s="40">
        <v>0</v>
      </c>
      <c r="R56" s="95">
        <f>Table1[[#This Row],[Quantity on order]]*(Table1[[#This Row],[Cost ]]+Table1[[#This Row],[shipping]]+Table1[[#This Row],[Tax]])</f>
        <v>0</v>
      </c>
      <c r="S56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56" s="49">
        <f>Table1[[#This Row],[Quantity  to  purchase]]+Table1[[#This Row],[Quantity purchased]]+Table1[[#This Row],[Quantity on order]]+Table1[[#This Row],[Quantity donated]]-Table1[[#This Row],[extended quantity]]</f>
        <v>0</v>
      </c>
      <c r="U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9.6464999999999996</v>
      </c>
      <c r="V56" s="51">
        <f>IFERROR(Table1[[#This Row],[Quantity  to  purchase]]*(Table1[[#This Row],[Cost ]]+Table1[[#This Row],[shipping]]+Table1[[#This Row],[Tax]]),0)</f>
        <v>9.6464999999999996</v>
      </c>
      <c r="W56" s="36">
        <f>IFERROR(Table1[[#This Row],[leftover material]]*(Table1[[#This Row],[Cost ]]+Table1[[#This Row],[shipping]]+Table1[[#This Row],[Tax]]),0)</f>
        <v>0</v>
      </c>
      <c r="X56" s="36"/>
      <c r="Y56" s="87"/>
      <c r="Z56" s="87"/>
      <c r="AA56" s="87"/>
      <c r="AB56" s="36"/>
      <c r="AC56" s="36">
        <f>IF(ISNA(VLOOKUP(Table1[[#This Row],[Part Number]],'Multi-level BOM'!V$4:V$449,1,FALSE)),0,Table1[[#This Row],[Remaining Extended cost]])</f>
        <v>0</v>
      </c>
    </row>
    <row r="57" spans="1:29" ht="45" x14ac:dyDescent="0.25">
      <c r="A57" s="1" t="s">
        <v>60</v>
      </c>
      <c r="B57" s="4" t="s">
        <v>846</v>
      </c>
      <c r="C57" s="1" t="s">
        <v>847</v>
      </c>
      <c r="D57" s="3">
        <v>48.96</v>
      </c>
      <c r="E57" s="3">
        <v>10</v>
      </c>
      <c r="F57" s="3">
        <v>0</v>
      </c>
      <c r="G57" s="5" t="s">
        <v>848</v>
      </c>
      <c r="H57" s="2">
        <v>1</v>
      </c>
      <c r="I57" s="1" t="s">
        <v>849</v>
      </c>
      <c r="J57" s="49">
        <f>SUMIF('Multi-level BOM'!D$4:D$467,Table1[[#This Row],[Part Number]],'Multi-level BOM'!H$4:H$467)</f>
        <v>1</v>
      </c>
      <c r="K57" s="10">
        <f>Table1[[#This Row],[extended quantity]]*(Table1[[#This Row],[Cost ]]+Table1[[#This Row],[shipping]]+Table1[[#This Row],[Tax]])</f>
        <v>58.96</v>
      </c>
      <c r="L57" s="83" t="str">
        <f>IF(Table1[[#This Row],[Buy-now costs]]&gt;0,"X","")</f>
        <v>X</v>
      </c>
      <c r="M57" s="83"/>
      <c r="N57" s="83"/>
      <c r="O57" s="40">
        <v>0</v>
      </c>
      <c r="P57" s="97">
        <f>Table1[[#This Row],[quantity on-hand]]*(Table1[[#This Row],[Cost ]]+Table1[[#This Row],[shipping]]+Table1[[#This Row],[Tax]])</f>
        <v>0</v>
      </c>
      <c r="Q57" s="40">
        <v>0</v>
      </c>
      <c r="R57" s="95">
        <f>Table1[[#This Row],[Quantity on order]]*(Table1[[#This Row],[Cost ]]+Table1[[#This Row],[shipping]]+Table1[[#This Row],[Tax]])</f>
        <v>0</v>
      </c>
      <c r="S57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57" s="49">
        <f>Table1[[#This Row],[Quantity  to  purchase]]+Table1[[#This Row],[Quantity purchased]]+Table1[[#This Row],[Quantity on order]]+Table1[[#This Row],[Quantity donated]]-Table1[[#This Row],[extended quantity]]</f>
        <v>0</v>
      </c>
      <c r="U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58.96</v>
      </c>
      <c r="V57" s="51">
        <f>IFERROR(Table1[[#This Row],[Quantity  to  purchase]]*(Table1[[#This Row],[Cost ]]+Table1[[#This Row],[shipping]]+Table1[[#This Row],[Tax]]),0)</f>
        <v>58.96</v>
      </c>
      <c r="W57" s="36">
        <f>IFERROR(Table1[[#This Row],[leftover material]]*(Table1[[#This Row],[Cost ]]+Table1[[#This Row],[shipping]]+Table1[[#This Row],[Tax]]),0)</f>
        <v>0</v>
      </c>
      <c r="X57" s="36"/>
      <c r="Y57" s="87"/>
      <c r="Z57" s="87"/>
      <c r="AA57" s="87"/>
      <c r="AB57" s="36"/>
      <c r="AC57" s="36">
        <f>IF(ISNA(VLOOKUP(Table1[[#This Row],[Part Number]],'Multi-level BOM'!V$4:V$449,1,FALSE)),0,Table1[[#This Row],[Remaining Extended cost]])</f>
        <v>58.96</v>
      </c>
    </row>
    <row r="58" spans="1:29" ht="30" x14ac:dyDescent="0.25">
      <c r="A58" s="1" t="s">
        <v>61</v>
      </c>
      <c r="B58" s="58" t="s">
        <v>1077</v>
      </c>
      <c r="C58" s="1" t="s">
        <v>847</v>
      </c>
      <c r="D58" s="3">
        <v>73.959999999999994</v>
      </c>
      <c r="E58" s="3">
        <v>15</v>
      </c>
      <c r="F58" s="3">
        <v>0</v>
      </c>
      <c r="G58" s="1" t="s">
        <v>852</v>
      </c>
      <c r="H58" s="2">
        <v>1</v>
      </c>
      <c r="I58" s="1" t="s">
        <v>777</v>
      </c>
      <c r="J58" s="49">
        <f>SUMIF('Multi-level BOM'!D$4:D$467,Table1[[#This Row],[Part Number]],'Multi-level BOM'!H$4:H$467)</f>
        <v>1</v>
      </c>
      <c r="K58" s="10">
        <f>Table1[[#This Row],[extended quantity]]*(Table1[[#This Row],[Cost ]]+Table1[[#This Row],[shipping]]+Table1[[#This Row],[Tax]])</f>
        <v>88.96</v>
      </c>
      <c r="L58" s="83" t="str">
        <f>IF(Table1[[#This Row],[Buy-now costs]]&gt;0,"X","")</f>
        <v/>
      </c>
      <c r="M58" s="83">
        <v>0</v>
      </c>
      <c r="N58" s="83">
        <v>1</v>
      </c>
      <c r="O58" s="40">
        <v>1</v>
      </c>
      <c r="P58" s="97">
        <f>Table1[[#This Row],[quantity on-hand]]*(Table1[[#This Row],[Cost ]]+Table1[[#This Row],[shipping]]+Table1[[#This Row],[Tax]])</f>
        <v>88.96</v>
      </c>
      <c r="Q58" s="40">
        <v>0</v>
      </c>
      <c r="R58" s="95">
        <f>Table1[[#This Row],[Quantity on order]]*(Table1[[#This Row],[Cost ]]+Table1[[#This Row],[shipping]]+Table1[[#This Row],[Tax]])</f>
        <v>0</v>
      </c>
      <c r="S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" s="49">
        <f>Table1[[#This Row],[Quantity  to  purchase]]+Table1[[#This Row],[Quantity purchased]]+Table1[[#This Row],[Quantity on order]]+Table1[[#This Row],[Quantity donated]]-Table1[[#This Row],[extended quantity]]</f>
        <v>0</v>
      </c>
      <c r="U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" s="51">
        <f>IFERROR(Table1[[#This Row],[Quantity  to  purchase]]*(Table1[[#This Row],[Cost ]]+Table1[[#This Row],[shipping]]+Table1[[#This Row],[Tax]]),0)</f>
        <v>0</v>
      </c>
      <c r="W58" s="36">
        <f>IFERROR(Table1[[#This Row],[leftover material]]*(Table1[[#This Row],[Cost ]]+Table1[[#This Row],[shipping]]+Table1[[#This Row],[Tax]]),0)</f>
        <v>0</v>
      </c>
      <c r="X58" s="36">
        <v>0</v>
      </c>
      <c r="Y58" s="87"/>
      <c r="Z58" s="87"/>
      <c r="AA58" s="87"/>
      <c r="AB58" s="36" t="s">
        <v>872</v>
      </c>
      <c r="AC58" s="36">
        <f>IF(ISNA(VLOOKUP(Table1[[#This Row],[Part Number]],'Multi-level BOM'!V$4:V$449,1,FALSE)),0,Table1[[#This Row],[Remaining Extended cost]])</f>
        <v>0</v>
      </c>
    </row>
    <row r="59" spans="1:29" ht="45" x14ac:dyDescent="0.25">
      <c r="A59" s="1" t="s">
        <v>62</v>
      </c>
      <c r="B59" s="4" t="s">
        <v>853</v>
      </c>
      <c r="C59" s="1" t="s">
        <v>847</v>
      </c>
      <c r="D59" s="3">
        <v>69.08</v>
      </c>
      <c r="E59" s="3">
        <v>10</v>
      </c>
      <c r="F59" s="3">
        <v>0</v>
      </c>
      <c r="G59" s="1" t="s">
        <v>850</v>
      </c>
      <c r="H59" s="2">
        <v>1</v>
      </c>
      <c r="I59" s="1" t="s">
        <v>777</v>
      </c>
      <c r="J59" s="49">
        <f>SUMIF('Multi-level BOM'!D$4:D$467,Table1[[#This Row],[Part Number]],'Multi-level BOM'!H$4:H$467)</f>
        <v>1</v>
      </c>
      <c r="K59" s="10">
        <f>Table1[[#This Row],[extended quantity]]*(Table1[[#This Row],[Cost ]]+Table1[[#This Row],[shipping]]+Table1[[#This Row],[Tax]])</f>
        <v>79.08</v>
      </c>
      <c r="L59" s="83" t="str">
        <f>IF(Table1[[#This Row],[Buy-now costs]]&gt;0,"X","")</f>
        <v>X</v>
      </c>
      <c r="M59" s="83"/>
      <c r="N59" s="83"/>
      <c r="O59" s="40">
        <v>0</v>
      </c>
      <c r="P59" s="97">
        <f>Table1[[#This Row],[quantity on-hand]]*(Table1[[#This Row],[Cost ]]+Table1[[#This Row],[shipping]]+Table1[[#This Row],[Tax]])</f>
        <v>0</v>
      </c>
      <c r="Q59" s="40">
        <v>0</v>
      </c>
      <c r="R59" s="95">
        <f>Table1[[#This Row],[Quantity on order]]*(Table1[[#This Row],[Cost ]]+Table1[[#This Row],[shipping]]+Table1[[#This Row],[Tax]])</f>
        <v>0</v>
      </c>
      <c r="S59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59" s="49">
        <f>Table1[[#This Row],[Quantity  to  purchase]]+Table1[[#This Row],[Quantity purchased]]+Table1[[#This Row],[Quantity on order]]+Table1[[#This Row],[Quantity donated]]-Table1[[#This Row],[extended quantity]]</f>
        <v>0</v>
      </c>
      <c r="U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79.08</v>
      </c>
      <c r="V59" s="51">
        <f>IFERROR(Table1[[#This Row],[Quantity  to  purchase]]*(Table1[[#This Row],[Cost ]]+Table1[[#This Row],[shipping]]+Table1[[#This Row],[Tax]]),0)</f>
        <v>79.08</v>
      </c>
      <c r="W59" s="36">
        <f>IFERROR(Table1[[#This Row],[leftover material]]*(Table1[[#This Row],[Cost ]]+Table1[[#This Row],[shipping]]+Table1[[#This Row],[Tax]]),0)</f>
        <v>0</v>
      </c>
      <c r="X59" s="36"/>
      <c r="Y59" s="87"/>
      <c r="Z59" s="87"/>
      <c r="AA59" s="87"/>
      <c r="AB59" s="36"/>
      <c r="AC59" s="36">
        <f>IF(ISNA(VLOOKUP(Table1[[#This Row],[Part Number]],'Multi-level BOM'!V$4:V$449,1,FALSE)),0,Table1[[#This Row],[Remaining Extended cost]])</f>
        <v>79.08</v>
      </c>
    </row>
    <row r="60" spans="1:29" ht="30" x14ac:dyDescent="0.25">
      <c r="A60" s="1" t="s">
        <v>63</v>
      </c>
      <c r="B60" s="4" t="s">
        <v>856</v>
      </c>
      <c r="C60" s="1" t="s">
        <v>656</v>
      </c>
      <c r="D60" s="3">
        <v>28.68</v>
      </c>
      <c r="E60" s="3">
        <v>0</v>
      </c>
      <c r="F60" s="3">
        <f>9%*Table1[[#This Row],[Cost ]]</f>
        <v>2.5811999999999999</v>
      </c>
      <c r="G60" s="5" t="s">
        <v>857</v>
      </c>
      <c r="H60" s="2">
        <v>1</v>
      </c>
      <c r="J60" s="49">
        <f>SUMIF('Multi-level BOM'!D$4:D$467,Table1[[#This Row],[Part Number]],'Multi-level BOM'!H$4:H$467)</f>
        <v>1</v>
      </c>
      <c r="K60" s="10">
        <f>Table1[[#This Row],[extended quantity]]*(Table1[[#This Row],[Cost ]]+Table1[[#This Row],[shipping]]+Table1[[#This Row],[Tax]])</f>
        <v>31.261199999999999</v>
      </c>
      <c r="L60" s="83" t="str">
        <f>IF(Table1[[#This Row],[Buy-now costs]]&gt;0,"X","")</f>
        <v/>
      </c>
      <c r="M60" s="83">
        <v>1</v>
      </c>
      <c r="N60" s="83"/>
      <c r="O60" s="40">
        <v>1</v>
      </c>
      <c r="P60" s="97">
        <f>Table1[[#This Row],[quantity on-hand]]*(Table1[[#This Row],[Cost ]]+Table1[[#This Row],[shipping]]+Table1[[#This Row],[Tax]])</f>
        <v>31.261199999999999</v>
      </c>
      <c r="Q60" s="40">
        <v>0</v>
      </c>
      <c r="R60" s="95">
        <f>Table1[[#This Row],[Quantity on order]]*(Table1[[#This Row],[Cost ]]+Table1[[#This Row],[shipping]]+Table1[[#This Row],[Tax]])</f>
        <v>0</v>
      </c>
      <c r="S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" s="49">
        <f>Table1[[#This Row],[Quantity  to  purchase]]+Table1[[#This Row],[Quantity purchased]]+Table1[[#This Row],[Quantity on order]]+Table1[[#This Row],[Quantity donated]]-Table1[[#This Row],[extended quantity]]</f>
        <v>0</v>
      </c>
      <c r="U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" s="51">
        <f>IFERROR(Table1[[#This Row],[Quantity  to  purchase]]*(Table1[[#This Row],[Cost ]]+Table1[[#This Row],[shipping]]+Table1[[#This Row],[Tax]]),0)</f>
        <v>0</v>
      </c>
      <c r="W60" s="36">
        <f>IFERROR(Table1[[#This Row],[leftover material]]*(Table1[[#This Row],[Cost ]]+Table1[[#This Row],[shipping]]+Table1[[#This Row],[Tax]]),0)</f>
        <v>0</v>
      </c>
      <c r="X60" s="36">
        <v>31.26</v>
      </c>
      <c r="Y60" s="87"/>
      <c r="Z60" s="87"/>
      <c r="AA60" s="87"/>
      <c r="AB60" s="3" t="s">
        <v>993</v>
      </c>
      <c r="AC60" s="36">
        <f>IF(ISNA(VLOOKUP(Table1[[#This Row],[Part Number]],'Multi-level BOM'!V$4:V$449,1,FALSE)),0,Table1[[#This Row],[Remaining Extended cost]])</f>
        <v>0</v>
      </c>
    </row>
    <row r="61" spans="1:29" ht="30" x14ac:dyDescent="0.25">
      <c r="A61" s="1" t="s">
        <v>64</v>
      </c>
      <c r="B61" s="4" t="s">
        <v>975</v>
      </c>
      <c r="C61" s="1" t="s">
        <v>656</v>
      </c>
      <c r="D61" s="3">
        <v>13.99</v>
      </c>
      <c r="E61" s="3">
        <v>0</v>
      </c>
      <c r="F61" s="3">
        <f>9%*Table1[[#This Row],[Cost ]]</f>
        <v>1.2590999999999999</v>
      </c>
      <c r="G61" s="5" t="s">
        <v>962</v>
      </c>
      <c r="H61" s="2">
        <v>1</v>
      </c>
      <c r="J61" s="49">
        <f>SUMIF('Multi-level BOM'!D$4:D$467,Table1[[#This Row],[Part Number]],'Multi-level BOM'!H$4:H$467)</f>
        <v>1</v>
      </c>
      <c r="K61" s="10">
        <f>Table1[[#This Row],[extended quantity]]*(Table1[[#This Row],[Cost ]]+Table1[[#This Row],[shipping]]+Table1[[#This Row],[Tax]])</f>
        <v>15.2491</v>
      </c>
      <c r="L61" s="83" t="str">
        <f>IF(Table1[[#This Row],[Buy-now costs]]&gt;0,"X","")</f>
        <v/>
      </c>
      <c r="M61" s="83"/>
      <c r="N61" s="83"/>
      <c r="O61" s="40">
        <v>0</v>
      </c>
      <c r="P61" s="97">
        <f>Table1[[#This Row],[quantity on-hand]]*(Table1[[#This Row],[Cost ]]+Table1[[#This Row],[shipping]]+Table1[[#This Row],[Tax]])</f>
        <v>0</v>
      </c>
      <c r="Q61" s="40">
        <v>0</v>
      </c>
      <c r="R61" s="95">
        <f>Table1[[#This Row],[Quantity on order]]*(Table1[[#This Row],[Cost ]]+Table1[[#This Row],[shipping]]+Table1[[#This Row],[Tax]])</f>
        <v>0</v>
      </c>
      <c r="S6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61" s="49">
        <f>Table1[[#This Row],[Quantity  to  purchase]]+Table1[[#This Row],[Quantity purchased]]+Table1[[#This Row],[Quantity on order]]+Table1[[#This Row],[Quantity donated]]-Table1[[#This Row],[extended quantity]]</f>
        <v>0</v>
      </c>
      <c r="U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15.2491</v>
      </c>
      <c r="V61" s="51">
        <f>IFERROR(Table1[[#This Row],[Quantity  to  purchase]]*(Table1[[#This Row],[Cost ]]+Table1[[#This Row],[shipping]]+Table1[[#This Row],[Tax]]),0)</f>
        <v>15.2491</v>
      </c>
      <c r="W61" s="36">
        <f>IFERROR(Table1[[#This Row],[leftover material]]*(Table1[[#This Row],[Cost ]]+Table1[[#This Row],[shipping]]+Table1[[#This Row],[Tax]]),0)</f>
        <v>0</v>
      </c>
      <c r="X61" s="36"/>
      <c r="Y61" s="87"/>
      <c r="Z61" s="87"/>
      <c r="AA61" s="87"/>
      <c r="AB61" s="36"/>
      <c r="AC61" s="36">
        <f>IF(ISNA(VLOOKUP(Table1[[#This Row],[Part Number]],'Multi-level BOM'!V$4:V$449,1,FALSE)),0,Table1[[#This Row],[Remaining Extended cost]])</f>
        <v>0</v>
      </c>
    </row>
    <row r="62" spans="1:29" ht="30" x14ac:dyDescent="0.25">
      <c r="A62" s="1" t="s">
        <v>65</v>
      </c>
      <c r="B62" s="4" t="s">
        <v>859</v>
      </c>
      <c r="C62" s="1" t="s">
        <v>656</v>
      </c>
      <c r="D62" s="3">
        <v>20.99</v>
      </c>
      <c r="E62" s="3">
        <v>0</v>
      </c>
      <c r="F62" s="3">
        <f>9%*Table1[[#This Row],[Cost ]]</f>
        <v>1.8890999999999998</v>
      </c>
      <c r="G62" s="1" t="s">
        <v>858</v>
      </c>
      <c r="H62" s="2">
        <v>1</v>
      </c>
      <c r="J62" s="49">
        <f>SUMIF('Multi-level BOM'!D$4:D$467,Table1[[#This Row],[Part Number]],'Multi-level BOM'!H$4:H$467)</f>
        <v>0</v>
      </c>
      <c r="K62" s="10">
        <f>Table1[[#This Row],[extended quantity]]*(Table1[[#This Row],[Cost ]]+Table1[[#This Row],[shipping]]+Table1[[#This Row],[Tax]])</f>
        <v>0</v>
      </c>
      <c r="L62" s="83" t="str">
        <f>IF(Table1[[#This Row],[Buy-now costs]]&gt;0,"X","")</f>
        <v/>
      </c>
      <c r="M62" s="83"/>
      <c r="N62" s="83"/>
      <c r="O62" s="40">
        <v>0</v>
      </c>
      <c r="P62" s="97">
        <f>Table1[[#This Row],[quantity on-hand]]*(Table1[[#This Row],[Cost ]]+Table1[[#This Row],[shipping]]+Table1[[#This Row],[Tax]])</f>
        <v>0</v>
      </c>
      <c r="Q62" s="40">
        <v>0</v>
      </c>
      <c r="R62" s="95">
        <f>Table1[[#This Row],[Quantity on order]]*(Table1[[#This Row],[Cost ]]+Table1[[#This Row],[shipping]]+Table1[[#This Row],[Tax]])</f>
        <v>0</v>
      </c>
      <c r="S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" s="49">
        <f>Table1[[#This Row],[Quantity  to  purchase]]+Table1[[#This Row],[Quantity purchased]]+Table1[[#This Row],[Quantity on order]]+Table1[[#This Row],[Quantity donated]]-Table1[[#This Row],[extended quantity]]</f>
        <v>0</v>
      </c>
      <c r="U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" s="51">
        <f>IFERROR(Table1[[#This Row],[Quantity  to  purchase]]*(Table1[[#This Row],[Cost ]]+Table1[[#This Row],[shipping]]+Table1[[#This Row],[Tax]]),0)</f>
        <v>0</v>
      </c>
      <c r="W62" s="36">
        <f>IFERROR(Table1[[#This Row],[leftover material]]*(Table1[[#This Row],[Cost ]]+Table1[[#This Row],[shipping]]+Table1[[#This Row],[Tax]]),0)</f>
        <v>0</v>
      </c>
      <c r="X62" s="36"/>
      <c r="Y62" s="87"/>
      <c r="Z62" s="87"/>
      <c r="AA62" s="87"/>
      <c r="AB62" s="36"/>
      <c r="AC62" s="36">
        <f>IF(ISNA(VLOOKUP(Table1[[#This Row],[Part Number]],'Multi-level BOM'!V$4:V$449,1,FALSE)),0,Table1[[#This Row],[Remaining Extended cost]])</f>
        <v>0</v>
      </c>
    </row>
    <row r="63" spans="1:29" ht="30" x14ac:dyDescent="0.25">
      <c r="A63" s="1" t="s">
        <v>66</v>
      </c>
      <c r="B63" s="16" t="s">
        <v>860</v>
      </c>
      <c r="C63" s="1" t="s">
        <v>964</v>
      </c>
      <c r="D63" s="3">
        <v>3.95</v>
      </c>
      <c r="E63" s="3">
        <f>0.595*Table1[[#This Row],[Cost ]]/3</f>
        <v>0.78341666666666665</v>
      </c>
      <c r="F63" s="3">
        <f>9%*Table1[[#This Row],[Cost ]]</f>
        <v>0.35549999999999998</v>
      </c>
      <c r="G63" s="5" t="s">
        <v>965</v>
      </c>
      <c r="H63" s="2">
        <v>1</v>
      </c>
      <c r="J63" s="49">
        <f>SUMIF('Multi-level BOM'!D$4:D$467,Table1[[#This Row],[Part Number]],'Multi-level BOM'!H$4:H$467)</f>
        <v>3</v>
      </c>
      <c r="K63" s="10">
        <f>Table1[[#This Row],[extended quantity]]*(Table1[[#This Row],[Cost ]]+Table1[[#This Row],[shipping]]+Table1[[#This Row],[Tax]])</f>
        <v>15.266750000000002</v>
      </c>
      <c r="L63" s="83" t="str">
        <f>IF(Table1[[#This Row],[Buy-now costs]]&gt;0,"X","")</f>
        <v/>
      </c>
      <c r="M63" s="83">
        <v>3</v>
      </c>
      <c r="N63" s="83"/>
      <c r="O63" s="40">
        <v>3</v>
      </c>
      <c r="P63" s="97">
        <f>Table1[[#This Row],[quantity on-hand]]*(Table1[[#This Row],[Cost ]]+Table1[[#This Row],[shipping]]+Table1[[#This Row],[Tax]])</f>
        <v>15.266750000000002</v>
      </c>
      <c r="Q63" s="40">
        <v>0</v>
      </c>
      <c r="R63" s="95">
        <f>Table1[[#This Row],[Quantity on order]]*(Table1[[#This Row],[Cost ]]+Table1[[#This Row],[shipping]]+Table1[[#This Row],[Tax]])</f>
        <v>0</v>
      </c>
      <c r="S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" s="49">
        <f>Table1[[#This Row],[Quantity  to  purchase]]+Table1[[#This Row],[Quantity purchased]]+Table1[[#This Row],[Quantity on order]]+Table1[[#This Row],[Quantity donated]]-Table1[[#This Row],[extended quantity]]</f>
        <v>0</v>
      </c>
      <c r="U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" s="51">
        <f>IFERROR(Table1[[#This Row],[Quantity  to  purchase]]*(Table1[[#This Row],[Cost ]]+Table1[[#This Row],[shipping]]+Table1[[#This Row],[Tax]]),0)</f>
        <v>0</v>
      </c>
      <c r="W63" s="36">
        <f>IFERROR(Table1[[#This Row],[leftover material]]*(Table1[[#This Row],[Cost ]]+Table1[[#This Row],[shipping]]+Table1[[#This Row],[Tax]]),0)</f>
        <v>0</v>
      </c>
      <c r="X63" s="36">
        <v>15.27</v>
      </c>
      <c r="Y63" s="87"/>
      <c r="Z63" s="87"/>
      <c r="AA63" s="87"/>
      <c r="AB63" s="3" t="s">
        <v>1073</v>
      </c>
      <c r="AC63" s="36">
        <f>IF(ISNA(VLOOKUP(Table1[[#This Row],[Part Number]],'Multi-level BOM'!V$4:V$449,1,FALSE)),0,Table1[[#This Row],[Remaining Extended cost]])</f>
        <v>0</v>
      </c>
    </row>
    <row r="64" spans="1:29" ht="30" x14ac:dyDescent="0.25">
      <c r="A64" s="1" t="s">
        <v>67</v>
      </c>
      <c r="B64" s="4" t="s">
        <v>865</v>
      </c>
      <c r="C64" s="1" t="s">
        <v>928</v>
      </c>
      <c r="D64" s="3">
        <v>0.1</v>
      </c>
      <c r="E64" s="3">
        <f t="shared" ref="E64:E66" si="4">0.262338232068436*D64</f>
        <v>2.6233823206843601E-2</v>
      </c>
      <c r="F64" s="3">
        <f t="shared" ref="F64:F66" si="5">0.113621408203553*D64</f>
        <v>1.1362140820355301E-2</v>
      </c>
      <c r="G64" s="1" t="s">
        <v>954</v>
      </c>
      <c r="H64" s="2">
        <v>1</v>
      </c>
      <c r="J64" s="49">
        <f>SUMIF('Multi-level BOM'!D$4:D$467,Table1[[#This Row],[Part Number]],'Multi-level BOM'!H$4:H$467)</f>
        <v>12</v>
      </c>
      <c r="K64" s="10">
        <f>Table1[[#This Row],[extended quantity]]*(Table1[[#This Row],[Cost ]]+Table1[[#This Row],[shipping]]+Table1[[#This Row],[Tax]])</f>
        <v>1.6511515683263871</v>
      </c>
      <c r="L64" s="83" t="str">
        <f>IF(Table1[[#This Row],[Buy-now costs]]&gt;0,"X","")</f>
        <v/>
      </c>
      <c r="M64" s="83">
        <v>12</v>
      </c>
      <c r="N64" s="83"/>
      <c r="O64" s="40">
        <v>12</v>
      </c>
      <c r="P64" s="97">
        <f>Table1[[#This Row],[quantity on-hand]]*(Table1[[#This Row],[Cost ]]+Table1[[#This Row],[shipping]]+Table1[[#This Row],[Tax]])</f>
        <v>1.6511515683263871</v>
      </c>
      <c r="Q64" s="40"/>
      <c r="R64" s="95">
        <f>Table1[[#This Row],[Quantity on order]]*(Table1[[#This Row],[Cost ]]+Table1[[#This Row],[shipping]]+Table1[[#This Row],[Tax]])</f>
        <v>0</v>
      </c>
      <c r="S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4" s="49">
        <f>Table1[[#This Row],[Quantity  to  purchase]]+Table1[[#This Row],[Quantity purchased]]+Table1[[#This Row],[Quantity on order]]+Table1[[#This Row],[Quantity donated]]-Table1[[#This Row],[extended quantity]]</f>
        <v>0</v>
      </c>
      <c r="U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4" s="51">
        <f>IFERROR(Table1[[#This Row],[Quantity  to  purchase]]*(Table1[[#This Row],[Cost ]]+Table1[[#This Row],[shipping]]+Table1[[#This Row],[Tax]]),0)</f>
        <v>0</v>
      </c>
      <c r="W64" s="36">
        <f>IFERROR(Table1[[#This Row],[leftover material]]*(Table1[[#This Row],[Cost ]]+Table1[[#This Row],[shipping]]+Table1[[#This Row],[Tax]]),0)</f>
        <v>0</v>
      </c>
      <c r="X64" s="36">
        <f>Table1[[#This Row],[Quantity purchased]]*(Table1[[#This Row],[Cost ]]+Table1[[#This Row],[shipping]]+Table1[[#This Row],[Tax]])</f>
        <v>1.6511515683263871</v>
      </c>
      <c r="Y64" s="87">
        <v>43875</v>
      </c>
      <c r="Z64" s="87">
        <v>43885</v>
      </c>
      <c r="AA64" s="87">
        <v>43885</v>
      </c>
      <c r="AB64" s="3" t="s">
        <v>988</v>
      </c>
      <c r="AC64" s="59">
        <f>IF(ISNA(VLOOKUP(Table1[[#This Row],[Part Number]],'Multi-level BOM'!V$4:V$449,1,FALSE)),0,Table1[[#This Row],[Remaining Extended cost]])</f>
        <v>0</v>
      </c>
    </row>
    <row r="65" spans="1:29" ht="30" x14ac:dyDescent="0.25">
      <c r="A65" s="1" t="s">
        <v>68</v>
      </c>
      <c r="B65" s="4" t="s">
        <v>868</v>
      </c>
      <c r="C65" s="1" t="s">
        <v>928</v>
      </c>
      <c r="D65" s="3">
        <f>1.77/100</f>
        <v>1.77E-2</v>
      </c>
      <c r="E65" s="3">
        <f t="shared" si="4"/>
        <v>4.643386707611317E-3</v>
      </c>
      <c r="F65" s="3">
        <f t="shared" si="5"/>
        <v>2.0110989252028881E-3</v>
      </c>
      <c r="G65" s="5" t="s">
        <v>958</v>
      </c>
      <c r="H65" s="2">
        <v>100</v>
      </c>
      <c r="J65" s="49">
        <f>SUMIF('Multi-level BOM'!D$4:D$467,Table1[[#This Row],[Part Number]],'Multi-level BOM'!H$4:H$467)</f>
        <v>9</v>
      </c>
      <c r="K65" s="10">
        <f>Table1[[#This Row],[extended quantity]]*(Table1[[#This Row],[Cost ]]+Table1[[#This Row],[shipping]]+Table1[[#This Row],[Tax]])</f>
        <v>0.21919037069532785</v>
      </c>
      <c r="L65" s="83" t="str">
        <f>IF(Table1[[#This Row],[Buy-now costs]]&gt;0,"X","")</f>
        <v/>
      </c>
      <c r="M65" s="83">
        <v>100</v>
      </c>
      <c r="N65" s="83"/>
      <c r="O65" s="40">
        <v>9</v>
      </c>
      <c r="P65" s="97">
        <f>Table1[[#This Row],[quantity on-hand]]*(Table1[[#This Row],[Cost ]]+Table1[[#This Row],[shipping]]+Table1[[#This Row],[Tax]])</f>
        <v>0.21919037069532785</v>
      </c>
      <c r="Q65" s="40"/>
      <c r="R65" s="95">
        <f>Table1[[#This Row],[Quantity on order]]*(Table1[[#This Row],[Cost ]]+Table1[[#This Row],[shipping]]+Table1[[#This Row],[Tax]])</f>
        <v>0</v>
      </c>
      <c r="S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5" s="49">
        <f>Table1[[#This Row],[Quantity  to  purchase]]+Table1[[#This Row],[Quantity purchased]]+Table1[[#This Row],[Quantity on order]]+Table1[[#This Row],[Quantity donated]]-Table1[[#This Row],[extended quantity]]</f>
        <v>91</v>
      </c>
      <c r="U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5" s="51">
        <f>IFERROR(Table1[[#This Row],[Quantity  to  purchase]]*(Table1[[#This Row],[Cost ]]+Table1[[#This Row],[shipping]]+Table1[[#This Row],[Tax]]),0)</f>
        <v>0</v>
      </c>
      <c r="W65" s="36">
        <f>IFERROR(Table1[[#This Row],[leftover material]]*(Table1[[#This Row],[Cost ]]+Table1[[#This Row],[shipping]]+Table1[[#This Row],[Tax]]),0)</f>
        <v>2.2162581925860927</v>
      </c>
      <c r="X65" s="36">
        <f>Table1[[#This Row],[Quantity purchased]]*(Table1[[#This Row],[Cost ]]+Table1[[#This Row],[shipping]]+Table1[[#This Row],[Tax]])</f>
        <v>2.4354485632814207</v>
      </c>
      <c r="Y65" s="87">
        <v>43875</v>
      </c>
      <c r="Z65" s="87">
        <v>43885</v>
      </c>
      <c r="AA65" s="87">
        <v>43885</v>
      </c>
      <c r="AB65" s="3" t="s">
        <v>988</v>
      </c>
      <c r="AC65" s="59">
        <f>IF(ISNA(VLOOKUP(Table1[[#This Row],[Part Number]],'Multi-level BOM'!V$4:V$449,1,FALSE)),0,Table1[[#This Row],[Remaining Extended cost]])</f>
        <v>0</v>
      </c>
    </row>
    <row r="66" spans="1:29" x14ac:dyDescent="0.25">
      <c r="A66" s="1" t="s">
        <v>69</v>
      </c>
      <c r="B66" s="4" t="s">
        <v>879</v>
      </c>
      <c r="C66" s="1" t="s">
        <v>928</v>
      </c>
      <c r="D66" s="3">
        <v>0.16</v>
      </c>
      <c r="E66" s="3">
        <f t="shared" si="4"/>
        <v>4.1974117130949756E-2</v>
      </c>
      <c r="F66" s="3">
        <f t="shared" si="5"/>
        <v>1.8179425312568481E-2</v>
      </c>
      <c r="G66" s="1" t="s">
        <v>948</v>
      </c>
      <c r="H66" s="2">
        <v>1</v>
      </c>
      <c r="J66" s="49">
        <f>SUMIF('Multi-level BOM'!D$4:D$467,Table1[[#This Row],[Part Number]],'Multi-level BOM'!H$4:H$467)</f>
        <v>8</v>
      </c>
      <c r="K66" s="10">
        <f>Table1[[#This Row],[extended quantity]]*(Table1[[#This Row],[Cost ]]+Table1[[#This Row],[shipping]]+Table1[[#This Row],[Tax]])</f>
        <v>1.7612283395481458</v>
      </c>
      <c r="L66" s="83" t="str">
        <f>IF(Table1[[#This Row],[Buy-now costs]]&gt;0,"X","")</f>
        <v/>
      </c>
      <c r="M66" s="83">
        <v>8</v>
      </c>
      <c r="N66" s="83"/>
      <c r="O66" s="40">
        <v>8</v>
      </c>
      <c r="P66" s="97">
        <f>Table1[[#This Row],[quantity on-hand]]*(Table1[[#This Row],[Cost ]]+Table1[[#This Row],[shipping]]+Table1[[#This Row],[Tax]])</f>
        <v>1.7612283395481458</v>
      </c>
      <c r="Q66" s="40"/>
      <c r="R66" s="95">
        <f>Table1[[#This Row],[Quantity on order]]*(Table1[[#This Row],[Cost ]]+Table1[[#This Row],[shipping]]+Table1[[#This Row],[Tax]])</f>
        <v>0</v>
      </c>
      <c r="S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6" s="49">
        <f>Table1[[#This Row],[Quantity  to  purchase]]+Table1[[#This Row],[Quantity purchased]]+Table1[[#This Row],[Quantity on order]]+Table1[[#This Row],[Quantity donated]]-Table1[[#This Row],[extended quantity]]</f>
        <v>0</v>
      </c>
      <c r="U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6" s="51">
        <f>IFERROR(Table1[[#This Row],[Quantity  to  purchase]]*(Table1[[#This Row],[Cost ]]+Table1[[#This Row],[shipping]]+Table1[[#This Row],[Tax]]),0)</f>
        <v>0</v>
      </c>
      <c r="W66" s="36">
        <f>IFERROR(Table1[[#This Row],[leftover material]]*(Table1[[#This Row],[Cost ]]+Table1[[#This Row],[shipping]]+Table1[[#This Row],[Tax]]),0)</f>
        <v>0</v>
      </c>
      <c r="X66" s="36">
        <f>Table1[[#This Row],[Quantity purchased]]*(Table1[[#This Row],[Cost ]]+Table1[[#This Row],[shipping]]+Table1[[#This Row],[Tax]])</f>
        <v>1.7612283395481458</v>
      </c>
      <c r="Y66" s="87">
        <v>43875</v>
      </c>
      <c r="Z66" s="87">
        <v>43885</v>
      </c>
      <c r="AA66" s="87">
        <v>43885</v>
      </c>
      <c r="AB66" s="3" t="s">
        <v>988</v>
      </c>
      <c r="AC66" s="59">
        <f>IF(ISNA(VLOOKUP(Table1[[#This Row],[Part Number]],'Multi-level BOM'!V$4:V$449,1,FALSE)),0,Table1[[#This Row],[Remaining Extended cost]])</f>
        <v>0</v>
      </c>
    </row>
    <row r="67" spans="1:29" x14ac:dyDescent="0.25">
      <c r="A67" s="1" t="s">
        <v>70</v>
      </c>
      <c r="B67" s="16" t="s">
        <v>882</v>
      </c>
      <c r="C67" s="1" t="s">
        <v>704</v>
      </c>
      <c r="D67" s="3">
        <f>4.69/13</f>
        <v>0.36076923076923079</v>
      </c>
      <c r="E67" s="3">
        <v>0</v>
      </c>
      <c r="F67" s="3">
        <f>9%*Table1[[#This Row],[Cost ]]</f>
        <v>3.2469230769230771E-2</v>
      </c>
      <c r="G67" s="1" t="s">
        <v>899</v>
      </c>
      <c r="H67" s="2">
        <v>12</v>
      </c>
      <c r="I67" s="1" t="s">
        <v>900</v>
      </c>
      <c r="J67" s="49">
        <f>SUMIF('Multi-level BOM'!D$4:D$467,Table1[[#This Row],[Part Number]],'Multi-level BOM'!H$4:H$467)</f>
        <v>8</v>
      </c>
      <c r="K67" s="10">
        <f>Table1[[#This Row],[extended quantity]]*(Table1[[#This Row],[Cost ]]+Table1[[#This Row],[shipping]]+Table1[[#This Row],[Tax]])</f>
        <v>3.1459076923076923</v>
      </c>
      <c r="L67" s="83" t="str">
        <f>IF(Table1[[#This Row],[Buy-now costs]]&gt;0,"X","")</f>
        <v/>
      </c>
      <c r="M67" s="83">
        <v>0</v>
      </c>
      <c r="N67" s="83">
        <v>12</v>
      </c>
      <c r="O67" s="40">
        <v>12</v>
      </c>
      <c r="P67" s="97">
        <f>Table1[[#This Row],[quantity on-hand]]*(Table1[[#This Row],[Cost ]]+Table1[[#This Row],[shipping]]+Table1[[#This Row],[Tax]])</f>
        <v>4.7188615384615389</v>
      </c>
      <c r="Q67" s="40">
        <v>0</v>
      </c>
      <c r="R67" s="95">
        <f>Table1[[#This Row],[Quantity on order]]*(Table1[[#This Row],[Cost ]]+Table1[[#This Row],[shipping]]+Table1[[#This Row],[Tax]])</f>
        <v>0</v>
      </c>
      <c r="S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7" s="49">
        <f>Table1[[#This Row],[Quantity  to  purchase]]+Table1[[#This Row],[Quantity purchased]]+Table1[[#This Row],[Quantity on order]]+Table1[[#This Row],[Quantity donated]]-Table1[[#This Row],[extended quantity]]</f>
        <v>4</v>
      </c>
      <c r="U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7" s="51">
        <f>IFERROR(Table1[[#This Row],[Quantity  to  purchase]]*(Table1[[#This Row],[Cost ]]+Table1[[#This Row],[shipping]]+Table1[[#This Row],[Tax]]),0)</f>
        <v>0</v>
      </c>
      <c r="W67" s="36">
        <f>IFERROR(Table1[[#This Row],[leftover material]]*(Table1[[#This Row],[Cost ]]+Table1[[#This Row],[shipping]]+Table1[[#This Row],[Tax]]),0)</f>
        <v>1.5729538461538461</v>
      </c>
      <c r="X67" s="36"/>
      <c r="Y67" s="87"/>
      <c r="Z67" s="87"/>
      <c r="AA67" s="87"/>
      <c r="AB67" s="3" t="s">
        <v>913</v>
      </c>
      <c r="AC67" s="36">
        <f>IF(ISNA(VLOOKUP(Table1[[#This Row],[Part Number]],'Multi-level BOM'!V$4:V$449,1,FALSE)),0,Table1[[#This Row],[Remaining Extended cost]])</f>
        <v>0</v>
      </c>
    </row>
    <row r="68" spans="1:29" x14ac:dyDescent="0.25">
      <c r="A68" s="1" t="s">
        <v>71</v>
      </c>
      <c r="B68" s="4" t="s">
        <v>901</v>
      </c>
      <c r="C68" s="1" t="s">
        <v>704</v>
      </c>
      <c r="D68" s="3">
        <v>14.78</v>
      </c>
      <c r="E68" s="3">
        <v>3</v>
      </c>
      <c r="F68" s="3">
        <f>9%*Table1[[#This Row],[Cost ]]</f>
        <v>1.3301999999999998</v>
      </c>
      <c r="H68" s="2">
        <v>1</v>
      </c>
      <c r="I68" s="1" t="s">
        <v>777</v>
      </c>
      <c r="J68" s="49">
        <f>SUMIF('Multi-level BOM'!D$4:D$467,Table1[[#This Row],[Part Number]],'Multi-level BOM'!H$4:H$467)</f>
        <v>0</v>
      </c>
      <c r="K68" s="10">
        <f>Table1[[#This Row],[extended quantity]]*(Table1[[#This Row],[Cost ]]+Table1[[#This Row],[shipping]]+Table1[[#This Row],[Tax]])</f>
        <v>0</v>
      </c>
      <c r="L68" s="83" t="str">
        <f>IF(Table1[[#This Row],[Buy-now costs]]&gt;0,"X","")</f>
        <v/>
      </c>
      <c r="M68" s="83"/>
      <c r="N68" s="83"/>
      <c r="O68" s="40">
        <v>0</v>
      </c>
      <c r="P68" s="97">
        <f>Table1[[#This Row],[quantity on-hand]]*(Table1[[#This Row],[Cost ]]+Table1[[#This Row],[shipping]]+Table1[[#This Row],[Tax]])</f>
        <v>0</v>
      </c>
      <c r="Q68" s="40">
        <v>0</v>
      </c>
      <c r="R68" s="95">
        <f>Table1[[#This Row],[Quantity on order]]*(Table1[[#This Row],[Cost ]]+Table1[[#This Row],[shipping]]+Table1[[#This Row],[Tax]])</f>
        <v>0</v>
      </c>
      <c r="S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8" s="49">
        <f>Table1[[#This Row],[Quantity  to  purchase]]+Table1[[#This Row],[Quantity purchased]]+Table1[[#This Row],[Quantity on order]]+Table1[[#This Row],[Quantity donated]]-Table1[[#This Row],[extended quantity]]</f>
        <v>0</v>
      </c>
      <c r="U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8" s="51">
        <f>IFERROR(Table1[[#This Row],[Quantity  to  purchase]]*(Table1[[#This Row],[Cost ]]+Table1[[#This Row],[shipping]]+Table1[[#This Row],[Tax]]),0)</f>
        <v>0</v>
      </c>
      <c r="W68" s="36">
        <f>IFERROR(Table1[[#This Row],[leftover material]]*(Table1[[#This Row],[Cost ]]+Table1[[#This Row],[shipping]]+Table1[[#This Row],[Tax]]),0)</f>
        <v>0</v>
      </c>
      <c r="X68" s="36"/>
      <c r="Y68" s="87"/>
      <c r="Z68" s="87"/>
      <c r="AA68" s="87"/>
      <c r="AB68" s="36"/>
      <c r="AC68" s="36">
        <f>IF(ISNA(VLOOKUP(Table1[[#This Row],[Part Number]],'Multi-level BOM'!V$4:V$449,1,FALSE)),0,Table1[[#This Row],[Remaining Extended cost]])</f>
        <v>0</v>
      </c>
    </row>
    <row r="69" spans="1:29" ht="30" x14ac:dyDescent="0.25">
      <c r="A69" s="1" t="s">
        <v>72</v>
      </c>
      <c r="B69" s="4" t="s">
        <v>887</v>
      </c>
      <c r="C69" s="1" t="s">
        <v>656</v>
      </c>
      <c r="D69" s="3">
        <f>5.99/50</f>
        <v>0.1198</v>
      </c>
      <c r="E69" s="3">
        <v>0</v>
      </c>
      <c r="F69" s="3">
        <f>9%*Table1[[#This Row],[Cost ]]</f>
        <v>1.0782E-2</v>
      </c>
      <c r="G69" s="1" t="s">
        <v>888</v>
      </c>
      <c r="H69" s="2">
        <v>50</v>
      </c>
      <c r="J69" s="49">
        <f>SUMIF('Multi-level BOM'!D$4:D$467,Table1[[#This Row],[Part Number]],'Multi-level BOM'!H$4:H$467)</f>
        <v>0</v>
      </c>
      <c r="K69" s="10">
        <f>Table1[[#This Row],[extended quantity]]*(Table1[[#This Row],[Cost ]]+Table1[[#This Row],[shipping]]+Table1[[#This Row],[Tax]])</f>
        <v>0</v>
      </c>
      <c r="L69" s="83" t="str">
        <f>IF(Table1[[#This Row],[Buy-now costs]]&gt;0,"X","")</f>
        <v/>
      </c>
      <c r="M69" s="83"/>
      <c r="N69" s="83"/>
      <c r="O69" s="40">
        <v>0</v>
      </c>
      <c r="P69" s="97">
        <f>Table1[[#This Row],[quantity on-hand]]*(Table1[[#This Row],[Cost ]]+Table1[[#This Row],[shipping]]+Table1[[#This Row],[Tax]])</f>
        <v>0</v>
      </c>
      <c r="Q69" s="40">
        <v>0</v>
      </c>
      <c r="R69" s="95">
        <f>Table1[[#This Row],[Quantity on order]]*(Table1[[#This Row],[Cost ]]+Table1[[#This Row],[shipping]]+Table1[[#This Row],[Tax]])</f>
        <v>0</v>
      </c>
      <c r="S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9" s="49">
        <f>Table1[[#This Row],[Quantity  to  purchase]]+Table1[[#This Row],[Quantity purchased]]+Table1[[#This Row],[Quantity on order]]+Table1[[#This Row],[Quantity donated]]-Table1[[#This Row],[extended quantity]]</f>
        <v>0</v>
      </c>
      <c r="U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9" s="51">
        <f>IFERROR(Table1[[#This Row],[Quantity  to  purchase]]*(Table1[[#This Row],[Cost ]]+Table1[[#This Row],[shipping]]+Table1[[#This Row],[Tax]]),0)</f>
        <v>0</v>
      </c>
      <c r="W69" s="36">
        <f>IFERROR(Table1[[#This Row],[leftover material]]*(Table1[[#This Row],[Cost ]]+Table1[[#This Row],[shipping]]+Table1[[#This Row],[Tax]]),0)</f>
        <v>0</v>
      </c>
      <c r="X69" s="36"/>
      <c r="Y69" s="87"/>
      <c r="Z69" s="87"/>
      <c r="AA69" s="87"/>
      <c r="AB69" s="36"/>
      <c r="AC69" s="36">
        <f>IF(ISNA(VLOOKUP(Table1[[#This Row],[Part Number]],'Multi-level BOM'!V$4:V$449,1,FALSE)),0,Table1[[#This Row],[Remaining Extended cost]])</f>
        <v>0</v>
      </c>
    </row>
    <row r="70" spans="1:29" x14ac:dyDescent="0.25">
      <c r="A70" s="1" t="s">
        <v>73</v>
      </c>
      <c r="B70" s="16" t="s">
        <v>898</v>
      </c>
      <c r="C70" s="1" t="s">
        <v>704</v>
      </c>
      <c r="D70" s="3">
        <v>11.94</v>
      </c>
      <c r="E70" s="3">
        <v>2</v>
      </c>
      <c r="F70" s="3">
        <f>9%*Table1[[#This Row],[Cost ]]</f>
        <v>1.0746</v>
      </c>
      <c r="H70" s="2">
        <v>3</v>
      </c>
      <c r="I70" s="1" t="s">
        <v>777</v>
      </c>
      <c r="J70" s="49">
        <f>SUMIF('Multi-level BOM'!D$4:D$467,Table1[[#This Row],[Part Number]],'Multi-level BOM'!H$4:H$467)</f>
        <v>0</v>
      </c>
      <c r="K70" s="10">
        <f>Table1[[#This Row],[extended quantity]]*(Table1[[#This Row],[Cost ]]+Table1[[#This Row],[shipping]]+Table1[[#This Row],[Tax]])</f>
        <v>0</v>
      </c>
      <c r="L70" s="83" t="str">
        <f>IF(Table1[[#This Row],[Buy-now costs]]&gt;0,"X","")</f>
        <v/>
      </c>
      <c r="M70" s="83"/>
      <c r="N70" s="83"/>
      <c r="O70" s="40">
        <v>0</v>
      </c>
      <c r="P70" s="97">
        <f>Table1[[#This Row],[quantity on-hand]]*(Table1[[#This Row],[Cost ]]+Table1[[#This Row],[shipping]]+Table1[[#This Row],[Tax]])</f>
        <v>0</v>
      </c>
      <c r="Q70" s="40">
        <v>0</v>
      </c>
      <c r="R70" s="95">
        <f>Table1[[#This Row],[Quantity on order]]*(Table1[[#This Row],[Cost ]]+Table1[[#This Row],[shipping]]+Table1[[#This Row],[Tax]])</f>
        <v>0</v>
      </c>
      <c r="S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0" s="49">
        <f>Table1[[#This Row],[Quantity  to  purchase]]+Table1[[#This Row],[Quantity purchased]]+Table1[[#This Row],[Quantity on order]]+Table1[[#This Row],[Quantity donated]]-Table1[[#This Row],[extended quantity]]</f>
        <v>0</v>
      </c>
      <c r="U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0" s="51">
        <f>IFERROR(Table1[[#This Row],[Quantity  to  purchase]]*(Table1[[#This Row],[Cost ]]+Table1[[#This Row],[shipping]]+Table1[[#This Row],[Tax]]),0)</f>
        <v>0</v>
      </c>
      <c r="W70" s="36">
        <f>IFERROR(Table1[[#This Row],[leftover material]]*(Table1[[#This Row],[Cost ]]+Table1[[#This Row],[shipping]]+Table1[[#This Row],[Tax]]),0)</f>
        <v>0</v>
      </c>
      <c r="X70" s="36"/>
      <c r="Y70" s="87"/>
      <c r="Z70" s="87"/>
      <c r="AA70" s="87"/>
      <c r="AB70" s="36"/>
      <c r="AC70" s="36">
        <f>IF(ISNA(VLOOKUP(Table1[[#This Row],[Part Number]],'Multi-level BOM'!V$4:V$449,1,FALSE)),0,Table1[[#This Row],[Remaining Extended cost]])</f>
        <v>0</v>
      </c>
    </row>
    <row r="71" spans="1:29" x14ac:dyDescent="0.25">
      <c r="A71" s="1" t="s">
        <v>74</v>
      </c>
      <c r="B71" s="4" t="s">
        <v>917</v>
      </c>
      <c r="C71" s="1" t="s">
        <v>704</v>
      </c>
      <c r="E71" s="3">
        <v>0</v>
      </c>
      <c r="F71" s="3">
        <f>9%*Table1[[#This Row],[Cost ]]</f>
        <v>0</v>
      </c>
      <c r="H71" s="2">
        <v>12</v>
      </c>
      <c r="J71" s="49">
        <f>SUMIF('Multi-level BOM'!D$4:D$467,Table1[[#This Row],[Part Number]],'Multi-level BOM'!H$4:H$467)</f>
        <v>3</v>
      </c>
      <c r="K71" s="10">
        <f>Table1[[#This Row],[extended quantity]]*(Table1[[#This Row],[Cost ]]+Table1[[#This Row],[shipping]]+Table1[[#This Row],[Tax]])</f>
        <v>0</v>
      </c>
      <c r="L71" s="83" t="str">
        <f>IF(Table1[[#This Row],[Buy-now costs]]&gt;0,"X","")</f>
        <v/>
      </c>
      <c r="M71" s="83">
        <v>0</v>
      </c>
      <c r="N71" s="83">
        <v>12</v>
      </c>
      <c r="O71" s="40">
        <v>12</v>
      </c>
      <c r="P71" s="97">
        <f>Table1[[#This Row],[quantity on-hand]]*(Table1[[#This Row],[Cost ]]+Table1[[#This Row],[shipping]]+Table1[[#This Row],[Tax]])</f>
        <v>0</v>
      </c>
      <c r="Q71" s="40">
        <v>0</v>
      </c>
      <c r="R71" s="95">
        <f>Table1[[#This Row],[Quantity on order]]*(Table1[[#This Row],[Cost ]]+Table1[[#This Row],[shipping]]+Table1[[#This Row],[Tax]])</f>
        <v>0</v>
      </c>
      <c r="S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1" s="49">
        <f>Table1[[#This Row],[Quantity  to  purchase]]+Table1[[#This Row],[Quantity purchased]]+Table1[[#This Row],[Quantity on order]]+Table1[[#This Row],[Quantity donated]]-Table1[[#This Row],[extended quantity]]</f>
        <v>9</v>
      </c>
      <c r="U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1" s="51">
        <f>IFERROR(Table1[[#This Row],[Quantity  to  purchase]]*(Table1[[#This Row],[Cost ]]+Table1[[#This Row],[shipping]]+Table1[[#This Row],[Tax]]),0)</f>
        <v>0</v>
      </c>
      <c r="W71" s="36">
        <f>IFERROR(Table1[[#This Row],[leftover material]]*(Table1[[#This Row],[Cost ]]+Table1[[#This Row],[shipping]]+Table1[[#This Row],[Tax]]),0)</f>
        <v>0</v>
      </c>
      <c r="X71" s="36">
        <v>0</v>
      </c>
      <c r="Y71" s="87"/>
      <c r="Z71" s="87"/>
      <c r="AA71" s="87"/>
      <c r="AB71" s="3" t="s">
        <v>913</v>
      </c>
      <c r="AC71" s="36">
        <f>IF(ISNA(VLOOKUP(Table1[[#This Row],[Part Number]],'Multi-level BOM'!V$4:V$449,1,FALSE)),0,Table1[[#This Row],[Remaining Extended cost]])</f>
        <v>0</v>
      </c>
    </row>
    <row r="72" spans="1:29" x14ac:dyDescent="0.25">
      <c r="A72" s="1" t="s">
        <v>75</v>
      </c>
      <c r="B72" t="s">
        <v>925</v>
      </c>
      <c r="C72" s="1" t="s">
        <v>847</v>
      </c>
      <c r="D72" s="3">
        <v>1.49</v>
      </c>
      <c r="E72" s="3">
        <v>5</v>
      </c>
      <c r="F72" s="3">
        <f>9%*Table1[[#This Row],[Cost ]]</f>
        <v>0.1341</v>
      </c>
      <c r="G72" s="1" t="s">
        <v>926</v>
      </c>
      <c r="H72" s="2">
        <v>1</v>
      </c>
      <c r="I72" s="1" t="s">
        <v>927</v>
      </c>
      <c r="J72" s="49">
        <f>SUMIF('Multi-level BOM'!D$4:D$467,Table1[[#This Row],[Part Number]],'Multi-level BOM'!H$4:H$467)</f>
        <v>0</v>
      </c>
      <c r="K72" s="10">
        <f>Table1[[#This Row],[extended quantity]]*(Table1[[#This Row],[Cost ]]+Table1[[#This Row],[shipping]]+Table1[[#This Row],[Tax]])</f>
        <v>0</v>
      </c>
      <c r="L72" s="83" t="str">
        <f>IF(Table1[[#This Row],[Buy-now costs]]&gt;0,"X","")</f>
        <v/>
      </c>
      <c r="M72" s="83"/>
      <c r="N72" s="83"/>
      <c r="O72" s="40">
        <v>0</v>
      </c>
      <c r="P72" s="97">
        <f>Table1[[#This Row],[quantity on-hand]]*(Table1[[#This Row],[Cost ]]+Table1[[#This Row],[shipping]]+Table1[[#This Row],[Tax]])</f>
        <v>0</v>
      </c>
      <c r="Q72" s="40">
        <v>0</v>
      </c>
      <c r="R72" s="95">
        <f>Table1[[#This Row],[Quantity on order]]*(Table1[[#This Row],[Cost ]]+Table1[[#This Row],[shipping]]+Table1[[#This Row],[Tax]])</f>
        <v>0</v>
      </c>
      <c r="S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2" s="49">
        <f>Table1[[#This Row],[Quantity  to  purchase]]+Table1[[#This Row],[Quantity purchased]]+Table1[[#This Row],[Quantity on order]]+Table1[[#This Row],[Quantity donated]]-Table1[[#This Row],[extended quantity]]</f>
        <v>0</v>
      </c>
      <c r="U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2" s="51">
        <f>IFERROR(Table1[[#This Row],[Quantity  to  purchase]]*(Table1[[#This Row],[Cost ]]+Table1[[#This Row],[shipping]]+Table1[[#This Row],[Tax]]),0)</f>
        <v>0</v>
      </c>
      <c r="W72" s="36">
        <f>IFERROR(Table1[[#This Row],[leftover material]]*(Table1[[#This Row],[Cost ]]+Table1[[#This Row],[shipping]]+Table1[[#This Row],[Tax]]),0)</f>
        <v>0</v>
      </c>
      <c r="X72" s="36"/>
      <c r="Y72" s="87"/>
      <c r="Z72" s="87"/>
      <c r="AA72" s="87"/>
      <c r="AB72" s="36"/>
      <c r="AC72" s="36">
        <f>IF(ISNA(VLOOKUP(Table1[[#This Row],[Part Number]],'Multi-level BOM'!V$4:V$449,1,FALSE)),0,Table1[[#This Row],[Remaining Extended cost]])</f>
        <v>0</v>
      </c>
    </row>
    <row r="73" spans="1:29" ht="30" x14ac:dyDescent="0.25">
      <c r="A73" s="1" t="s">
        <v>76</v>
      </c>
      <c r="B73" s="4" t="s">
        <v>932</v>
      </c>
      <c r="C73" s="1" t="s">
        <v>933</v>
      </c>
      <c r="D73" s="3">
        <f>10.97/10</f>
        <v>1.097</v>
      </c>
      <c r="E73" s="3">
        <f>2.5/10</f>
        <v>0.25</v>
      </c>
      <c r="F73" s="3">
        <v>0</v>
      </c>
      <c r="G73" s="1" t="s">
        <v>931</v>
      </c>
      <c r="H73" s="2">
        <v>10</v>
      </c>
      <c r="I73" s="1" t="s">
        <v>777</v>
      </c>
      <c r="J73" s="49">
        <f>SUMIF('Multi-level BOM'!D$4:D$467,Table1[[#This Row],[Part Number]],'Multi-level BOM'!H$4:H$467)</f>
        <v>36</v>
      </c>
      <c r="K73" s="10">
        <f>Table1[[#This Row],[extended quantity]]*(Table1[[#This Row],[Cost ]]+Table1[[#This Row],[shipping]]+Table1[[#This Row],[Tax]])</f>
        <v>48.491999999999997</v>
      </c>
      <c r="L73" s="83" t="str">
        <f>IF(Table1[[#This Row],[Buy-now costs]]&gt;0,"X","")</f>
        <v/>
      </c>
      <c r="M73" s="83"/>
      <c r="N73" s="83"/>
      <c r="O73" s="40">
        <v>0</v>
      </c>
      <c r="P73" s="97">
        <f>Table1[[#This Row],[quantity on-hand]]*(Table1[[#This Row],[Cost ]]+Table1[[#This Row],[shipping]]+Table1[[#This Row],[Tax]])</f>
        <v>0</v>
      </c>
      <c r="Q73" s="40">
        <v>0</v>
      </c>
      <c r="R73" s="95">
        <f>Table1[[#This Row],[Quantity on order]]*(Table1[[#This Row],[Cost ]]+Table1[[#This Row],[shipping]]+Table1[[#This Row],[Tax]])</f>
        <v>0</v>
      </c>
      <c r="S73" s="49">
        <f>IFERROR(CEILING((Table1[[#This Row],[extended quantity]]-Table1[[#This Row],[quantity on-hand]]-Table1[[#This Row],[Quantity on order]])/Table1[[#This Row],[Minimum order quantity]],1)*Table1[[#This Row],[Minimum order quantity]],0)</f>
        <v>40</v>
      </c>
      <c r="T73" s="49">
        <f>Table1[[#This Row],[Quantity  to  purchase]]+Table1[[#This Row],[Quantity purchased]]+Table1[[#This Row],[Quantity on order]]+Table1[[#This Row],[Quantity donated]]-Table1[[#This Row],[extended quantity]]</f>
        <v>4</v>
      </c>
      <c r="U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48.491999999999997</v>
      </c>
      <c r="V73" s="51">
        <f>IFERROR(Table1[[#This Row],[Quantity  to  purchase]]*(Table1[[#This Row],[Cost ]]+Table1[[#This Row],[shipping]]+Table1[[#This Row],[Tax]]),0)</f>
        <v>53.879999999999995</v>
      </c>
      <c r="W73" s="36">
        <f>IFERROR(Table1[[#This Row],[leftover material]]*(Table1[[#This Row],[Cost ]]+Table1[[#This Row],[shipping]]+Table1[[#This Row],[Tax]]),0)</f>
        <v>5.3879999999999999</v>
      </c>
      <c r="X73" s="36"/>
      <c r="Y73" s="87"/>
      <c r="Z73" s="87"/>
      <c r="AA73" s="87"/>
      <c r="AB73" s="36"/>
      <c r="AC73" s="36">
        <f>IF(ISNA(VLOOKUP(Table1[[#This Row],[Part Number]],'Multi-level BOM'!V$4:V$449,1,FALSE)),0,Table1[[#This Row],[Remaining Extended cost]])</f>
        <v>0</v>
      </c>
    </row>
    <row r="74" spans="1:29" x14ac:dyDescent="0.25">
      <c r="A74" s="1" t="s">
        <v>77</v>
      </c>
      <c r="B74" s="4" t="s">
        <v>974</v>
      </c>
      <c r="C74" s="1" t="s">
        <v>928</v>
      </c>
      <c r="D74" s="3">
        <v>0.08</v>
      </c>
      <c r="E74" s="3">
        <f>0.262338232068436*D74</f>
        <v>2.0987058565474878E-2</v>
      </c>
      <c r="F74" s="3">
        <f>0.113621408203553*D74</f>
        <v>9.0897126562842403E-3</v>
      </c>
      <c r="G74" s="1" t="s">
        <v>973</v>
      </c>
      <c r="H74" s="2">
        <v>1</v>
      </c>
      <c r="J74" s="49">
        <f>SUMIF('Multi-level BOM'!D$4:D$467,Table1[[#This Row],[Part Number]],'Multi-level BOM'!H$4:H$467)</f>
        <v>12</v>
      </c>
      <c r="K74" s="10">
        <f>Table1[[#This Row],[extended quantity]]*(Table1[[#This Row],[Cost ]]+Table1[[#This Row],[shipping]]+Table1[[#This Row],[Tax]])</f>
        <v>1.3209212546611093</v>
      </c>
      <c r="L74" s="83" t="str">
        <f>IF(Table1[[#This Row],[Buy-now costs]]&gt;0,"X","")</f>
        <v/>
      </c>
      <c r="M74" s="83">
        <v>12</v>
      </c>
      <c r="N74" s="83"/>
      <c r="O74" s="40">
        <v>12</v>
      </c>
      <c r="P74" s="97">
        <f>Table1[[#This Row],[quantity on-hand]]*(Table1[[#This Row],[Cost ]]+Table1[[#This Row],[shipping]]+Table1[[#This Row],[Tax]])</f>
        <v>1.3209212546611093</v>
      </c>
      <c r="Q74" s="40"/>
      <c r="R74" s="95">
        <f>Table1[[#This Row],[Quantity on order]]*(Table1[[#This Row],[Cost ]]+Table1[[#This Row],[shipping]]+Table1[[#This Row],[Tax]])</f>
        <v>0</v>
      </c>
      <c r="S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4" s="49">
        <f>Table1[[#This Row],[Quantity  to  purchase]]+Table1[[#This Row],[Quantity purchased]]+Table1[[#This Row],[Quantity on order]]+Table1[[#This Row],[Quantity donated]]-Table1[[#This Row],[extended quantity]]</f>
        <v>0</v>
      </c>
      <c r="U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4" s="51">
        <f>IFERROR(Table1[[#This Row],[Quantity  to  purchase]]*(Table1[[#This Row],[Cost ]]+Table1[[#This Row],[shipping]]+Table1[[#This Row],[Tax]]),0)</f>
        <v>0</v>
      </c>
      <c r="W74" s="36">
        <f>IFERROR(Table1[[#This Row],[leftover material]]*(Table1[[#This Row],[Cost ]]+Table1[[#This Row],[shipping]]+Table1[[#This Row],[Tax]]),0)</f>
        <v>0</v>
      </c>
      <c r="X74" s="36">
        <f>Table1[[#This Row],[Quantity purchased]]*(Table1[[#This Row],[Cost ]]+Table1[[#This Row],[shipping]]+Table1[[#This Row],[Tax]])</f>
        <v>1.3209212546611093</v>
      </c>
      <c r="Y74" s="87">
        <v>43875</v>
      </c>
      <c r="Z74" s="87">
        <v>43885</v>
      </c>
      <c r="AA74" s="87">
        <v>43885</v>
      </c>
      <c r="AB74" s="3" t="s">
        <v>988</v>
      </c>
      <c r="AC74" s="59">
        <f>IF(ISNA(VLOOKUP(Table1[[#This Row],[Part Number]],'Multi-level BOM'!V$4:V$449,1,FALSE)),0,Table1[[#This Row],[Remaining Extended cost]])</f>
        <v>0</v>
      </c>
    </row>
    <row r="75" spans="1:29" x14ac:dyDescent="0.25">
      <c r="A75" s="1" t="s">
        <v>78</v>
      </c>
      <c r="B75" s="4" t="s">
        <v>1002</v>
      </c>
      <c r="C75" s="1" t="s">
        <v>1000</v>
      </c>
      <c r="D75" s="3">
        <v>1.33</v>
      </c>
      <c r="E75" s="3">
        <v>0</v>
      </c>
      <c r="F75" s="3">
        <f>9%*Table1[[#This Row],[Cost ]]</f>
        <v>0.1197</v>
      </c>
      <c r="G75" s="1" t="s">
        <v>1001</v>
      </c>
      <c r="H75" s="2">
        <v>1</v>
      </c>
      <c r="J75" s="49">
        <f>SUMIF('Multi-level BOM'!D$4:D$467,Table1[[#This Row],[Part Number]],'Multi-level BOM'!H$4:H$467)</f>
        <v>1</v>
      </c>
      <c r="K75" s="10">
        <f>Table1[[#This Row],[extended quantity]]*(Table1[[#This Row],[Cost ]]+Table1[[#This Row],[shipping]]+Table1[[#This Row],[Tax]])</f>
        <v>1.4497</v>
      </c>
      <c r="L75" s="83" t="str">
        <f>IF(Table1[[#This Row],[Buy-now costs]]&gt;0,"X","")</f>
        <v/>
      </c>
      <c r="M75" s="83"/>
      <c r="N75" s="83"/>
      <c r="O75" s="40">
        <v>0</v>
      </c>
      <c r="P75" s="97">
        <f>Table1[[#This Row],[quantity on-hand]]*(Table1[[#This Row],[Cost ]]+Table1[[#This Row],[shipping]]+Table1[[#This Row],[Tax]])</f>
        <v>0</v>
      </c>
      <c r="Q75" s="40">
        <v>0</v>
      </c>
      <c r="R75" s="95">
        <f>Table1[[#This Row],[Quantity on order]]*(Table1[[#This Row],[Cost ]]+Table1[[#This Row],[shipping]]+Table1[[#This Row],[Tax]])</f>
        <v>0</v>
      </c>
      <c r="S7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5" s="49">
        <f>Table1[[#This Row],[Quantity  to  purchase]]+Table1[[#This Row],[Quantity purchased]]+Table1[[#This Row],[Quantity on order]]+Table1[[#This Row],[Quantity donated]]-Table1[[#This Row],[extended quantity]]</f>
        <v>0</v>
      </c>
      <c r="U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1.4497</v>
      </c>
      <c r="V75" s="51">
        <f>IFERROR(Table1[[#This Row],[Quantity  to  purchase]]*(Table1[[#This Row],[Cost ]]+Table1[[#This Row],[shipping]]+Table1[[#This Row],[Tax]]),0)</f>
        <v>1.4497</v>
      </c>
      <c r="W75" s="36">
        <f>IFERROR(Table1[[#This Row],[leftover material]]*(Table1[[#This Row],[Cost ]]+Table1[[#This Row],[shipping]]+Table1[[#This Row],[Tax]]),0)</f>
        <v>0</v>
      </c>
      <c r="X75" s="36"/>
      <c r="Y75" s="87"/>
      <c r="Z75" s="87"/>
      <c r="AA75" s="87"/>
      <c r="AB75" s="36"/>
      <c r="AC75" s="36">
        <f>IF(ISNA(VLOOKUP(Table1[[#This Row],[Part Number]],'Multi-level BOM'!V$4:V$449,1,FALSE)),0,Table1[[#This Row],[Remaining Extended cost]])</f>
        <v>0</v>
      </c>
    </row>
    <row r="76" spans="1:29" x14ac:dyDescent="0.25">
      <c r="A76" s="1" t="s">
        <v>79</v>
      </c>
      <c r="B76" s="62" t="s">
        <v>996</v>
      </c>
      <c r="C76" s="1" t="s">
        <v>847</v>
      </c>
      <c r="D76" s="3">
        <v>63.64</v>
      </c>
      <c r="E76" s="3">
        <v>0</v>
      </c>
      <c r="F76" s="3">
        <v>0</v>
      </c>
      <c r="G76" s="1" t="s">
        <v>997</v>
      </c>
      <c r="H76" s="2">
        <v>1</v>
      </c>
      <c r="J76" s="49">
        <f>SUMIF('Multi-level BOM'!D$4:D$467,Table1[[#This Row],[Part Number]],'Multi-level BOM'!H$4:H$467)</f>
        <v>1</v>
      </c>
      <c r="K76" s="10">
        <f>Table1[[#This Row],[extended quantity]]*(Table1[[#This Row],[Cost ]]+Table1[[#This Row],[shipping]]+Table1[[#This Row],[Tax]])</f>
        <v>63.64</v>
      </c>
      <c r="L76" s="83" t="str">
        <f>IF(Table1[[#This Row],[Buy-now costs]]&gt;0,"X","")</f>
        <v/>
      </c>
      <c r="M76" s="83"/>
      <c r="N76" s="83"/>
      <c r="O76" s="40">
        <v>0</v>
      </c>
      <c r="P76" s="97">
        <f>Table1[[#This Row],[quantity on-hand]]*(Table1[[#This Row],[Cost ]]+Table1[[#This Row],[shipping]]+Table1[[#This Row],[Tax]])</f>
        <v>0</v>
      </c>
      <c r="Q76" s="40">
        <v>0</v>
      </c>
      <c r="R76" s="95">
        <f>Table1[[#This Row],[Quantity on order]]*(Table1[[#This Row],[Cost ]]+Table1[[#This Row],[shipping]]+Table1[[#This Row],[Tax]])</f>
        <v>0</v>
      </c>
      <c r="S76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6" s="49">
        <f>Table1[[#This Row],[Quantity  to  purchase]]+Table1[[#This Row],[Quantity purchased]]+Table1[[#This Row],[Quantity on order]]+Table1[[#This Row],[Quantity donated]]-Table1[[#This Row],[extended quantity]]</f>
        <v>0</v>
      </c>
      <c r="U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63.64</v>
      </c>
      <c r="V76" s="51">
        <f>IFERROR(Table1[[#This Row],[Quantity  to  purchase]]*(Table1[[#This Row],[Cost ]]+Table1[[#This Row],[shipping]]+Table1[[#This Row],[Tax]]),0)</f>
        <v>63.64</v>
      </c>
      <c r="W76" s="36">
        <f>IFERROR(Table1[[#This Row],[leftover material]]*(Table1[[#This Row],[Cost ]]+Table1[[#This Row],[shipping]]+Table1[[#This Row],[Tax]]),0)</f>
        <v>0</v>
      </c>
      <c r="X76" s="36"/>
      <c r="Y76" s="87"/>
      <c r="Z76" s="87"/>
      <c r="AA76" s="87"/>
      <c r="AB76" s="36"/>
      <c r="AC76" s="36">
        <f>IF(ISNA(VLOOKUP(Table1[[#This Row],[Part Number]],'Multi-level BOM'!V$4:V$449,1,FALSE)),0,Table1[[#This Row],[Remaining Extended cost]])</f>
        <v>0</v>
      </c>
    </row>
    <row r="77" spans="1:29" ht="30" x14ac:dyDescent="0.25">
      <c r="A77" s="1" t="s">
        <v>80</v>
      </c>
      <c r="B77" s="4" t="s">
        <v>998</v>
      </c>
      <c r="C77" s="1" t="s">
        <v>1000</v>
      </c>
      <c r="D77" s="3">
        <v>3.01</v>
      </c>
      <c r="E77" s="3">
        <v>0</v>
      </c>
      <c r="F77" s="3">
        <f>9%*Table1[[#This Row],[Cost ]]</f>
        <v>0.27089999999999997</v>
      </c>
      <c r="G77" s="1" t="s">
        <v>999</v>
      </c>
      <c r="H77" s="2">
        <v>1</v>
      </c>
      <c r="J77" s="49">
        <f>SUMIF('Multi-level BOM'!D$4:D$467,Table1[[#This Row],[Part Number]],'Multi-level BOM'!H$4:H$467)</f>
        <v>1</v>
      </c>
      <c r="K77" s="10">
        <f>Table1[[#This Row],[extended quantity]]*(Table1[[#This Row],[Cost ]]+Table1[[#This Row],[shipping]]+Table1[[#This Row],[Tax]])</f>
        <v>3.2808999999999999</v>
      </c>
      <c r="L77" s="83" t="str">
        <f>IF(Table1[[#This Row],[Buy-now costs]]&gt;0,"X","")</f>
        <v/>
      </c>
      <c r="M77" s="83"/>
      <c r="N77" s="83"/>
      <c r="O77" s="40">
        <v>0</v>
      </c>
      <c r="P77" s="97">
        <f>Table1[[#This Row],[quantity on-hand]]*(Table1[[#This Row],[Cost ]]+Table1[[#This Row],[shipping]]+Table1[[#This Row],[Tax]])</f>
        <v>0</v>
      </c>
      <c r="Q77" s="40">
        <v>0</v>
      </c>
      <c r="R77" s="95">
        <f>Table1[[#This Row],[Quantity on order]]*(Table1[[#This Row],[Cost ]]+Table1[[#This Row],[shipping]]+Table1[[#This Row],[Tax]])</f>
        <v>0</v>
      </c>
      <c r="S77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7" s="49">
        <f>Table1[[#This Row],[Quantity  to  purchase]]+Table1[[#This Row],[Quantity purchased]]+Table1[[#This Row],[Quantity on order]]+Table1[[#This Row],[Quantity donated]]-Table1[[#This Row],[extended quantity]]</f>
        <v>0</v>
      </c>
      <c r="U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3.2808999999999999</v>
      </c>
      <c r="V77" s="51">
        <f>IFERROR(Table1[[#This Row],[Quantity  to  purchase]]*(Table1[[#This Row],[Cost ]]+Table1[[#This Row],[shipping]]+Table1[[#This Row],[Tax]]),0)</f>
        <v>3.2808999999999999</v>
      </c>
      <c r="W77" s="36">
        <f>IFERROR(Table1[[#This Row],[leftover material]]*(Table1[[#This Row],[Cost ]]+Table1[[#This Row],[shipping]]+Table1[[#This Row],[Tax]]),0)</f>
        <v>0</v>
      </c>
      <c r="X77" s="36"/>
      <c r="Y77" s="87"/>
      <c r="Z77" s="87"/>
      <c r="AA77" s="87"/>
      <c r="AB77" s="36"/>
      <c r="AC77" s="36">
        <f>IF(ISNA(VLOOKUP(Table1[[#This Row],[Part Number]],'Multi-level BOM'!V$4:V$449,1,FALSE)),0,Table1[[#This Row],[Remaining Extended cost]])</f>
        <v>0</v>
      </c>
    </row>
    <row r="78" spans="1:29" x14ac:dyDescent="0.25">
      <c r="A78" s="1" t="s">
        <v>81</v>
      </c>
      <c r="B78" s="4" t="s">
        <v>1003</v>
      </c>
      <c r="C78" s="1" t="s">
        <v>1000</v>
      </c>
      <c r="D78" s="3">
        <v>5.0999999999999996</v>
      </c>
      <c r="E78" s="3">
        <v>0</v>
      </c>
      <c r="F78" s="3">
        <f>9%*Table1[[#This Row],[Cost ]]</f>
        <v>0.45899999999999996</v>
      </c>
      <c r="G78" s="1" t="s">
        <v>1004</v>
      </c>
      <c r="H78" s="2">
        <v>1</v>
      </c>
      <c r="J78" s="49">
        <f>SUMIF('Multi-level BOM'!D$4:D$467,Table1[[#This Row],[Part Number]],'Multi-level BOM'!H$4:H$467)</f>
        <v>1</v>
      </c>
      <c r="K78" s="10">
        <f>Table1[[#This Row],[extended quantity]]*(Table1[[#This Row],[Cost ]]+Table1[[#This Row],[shipping]]+Table1[[#This Row],[Tax]])</f>
        <v>5.5589999999999993</v>
      </c>
      <c r="L78" s="83" t="str">
        <f>IF(Table1[[#This Row],[Buy-now costs]]&gt;0,"X","")</f>
        <v/>
      </c>
      <c r="M78" s="83"/>
      <c r="N78" s="83"/>
      <c r="O78" s="40">
        <v>0</v>
      </c>
      <c r="P78" s="97">
        <f>Table1[[#This Row],[quantity on-hand]]*(Table1[[#This Row],[Cost ]]+Table1[[#This Row],[shipping]]+Table1[[#This Row],[Tax]])</f>
        <v>0</v>
      </c>
      <c r="Q78" s="40">
        <v>0</v>
      </c>
      <c r="R78" s="95">
        <f>Table1[[#This Row],[Quantity on order]]*(Table1[[#This Row],[Cost ]]+Table1[[#This Row],[shipping]]+Table1[[#This Row],[Tax]])</f>
        <v>0</v>
      </c>
      <c r="S78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8" s="49">
        <f>Table1[[#This Row],[Quantity  to  purchase]]+Table1[[#This Row],[Quantity purchased]]+Table1[[#This Row],[Quantity on order]]+Table1[[#This Row],[Quantity donated]]-Table1[[#This Row],[extended quantity]]</f>
        <v>0</v>
      </c>
      <c r="U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5.5589999999999993</v>
      </c>
      <c r="V78" s="51">
        <f>IFERROR(Table1[[#This Row],[Quantity  to  purchase]]*(Table1[[#This Row],[Cost ]]+Table1[[#This Row],[shipping]]+Table1[[#This Row],[Tax]]),0)</f>
        <v>5.5589999999999993</v>
      </c>
      <c r="W78" s="36">
        <f>IFERROR(Table1[[#This Row],[leftover material]]*(Table1[[#This Row],[Cost ]]+Table1[[#This Row],[shipping]]+Table1[[#This Row],[Tax]]),0)</f>
        <v>0</v>
      </c>
      <c r="X78" s="36"/>
      <c r="Y78" s="87"/>
      <c r="Z78" s="87"/>
      <c r="AA78" s="87"/>
      <c r="AB78" s="36"/>
      <c r="AC78" s="36">
        <f>IF(ISNA(VLOOKUP(Table1[[#This Row],[Part Number]],'Multi-level BOM'!V$4:V$449,1,FALSE)),0,Table1[[#This Row],[Remaining Extended cost]])</f>
        <v>0</v>
      </c>
    </row>
    <row r="79" spans="1:29" x14ac:dyDescent="0.25">
      <c r="A79" s="1" t="s">
        <v>82</v>
      </c>
      <c r="B79" s="58" t="s">
        <v>1054</v>
      </c>
      <c r="E79" s="3">
        <v>0</v>
      </c>
      <c r="F79" s="3">
        <f>9%*Table1[[#This Row],[Cost ]]</f>
        <v>0</v>
      </c>
      <c r="H79" s="2">
        <v>1</v>
      </c>
      <c r="J79" s="49">
        <f>SUMIF('Multi-level BOM'!D$4:D$467,Table1[[#This Row],[Part Number]],'Multi-level BOM'!H$4:H$467)</f>
        <v>1</v>
      </c>
      <c r="K79" s="10">
        <f>Table1[[#This Row],[extended quantity]]*(Table1[[#This Row],[Cost ]]+Table1[[#This Row],[shipping]]+Table1[[#This Row],[Tax]])</f>
        <v>0</v>
      </c>
      <c r="L79" s="83" t="str">
        <f>IF(Table1[[#This Row],[Buy-now costs]]&gt;0,"X","")</f>
        <v/>
      </c>
      <c r="M79" s="83"/>
      <c r="N79" s="83"/>
      <c r="O79" s="40">
        <v>0</v>
      </c>
      <c r="P79" s="97">
        <f>Table1[[#This Row],[quantity on-hand]]*(Table1[[#This Row],[Cost ]]+Table1[[#This Row],[shipping]]+Table1[[#This Row],[Tax]])</f>
        <v>0</v>
      </c>
      <c r="Q79" s="40">
        <v>0</v>
      </c>
      <c r="R79" s="95">
        <f>Table1[[#This Row],[Quantity on order]]*(Table1[[#This Row],[Cost ]]+Table1[[#This Row],[shipping]]+Table1[[#This Row],[Tax]])</f>
        <v>0</v>
      </c>
      <c r="S79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9" s="49">
        <f>Table1[[#This Row],[Quantity  to  purchase]]+Table1[[#This Row],[Quantity purchased]]+Table1[[#This Row],[Quantity on order]]+Table1[[#This Row],[Quantity donated]]-Table1[[#This Row],[extended quantity]]</f>
        <v>0</v>
      </c>
      <c r="U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9" s="51">
        <f>IFERROR(Table1[[#This Row],[Quantity  to  purchase]]*(Table1[[#This Row],[Cost ]]+Table1[[#This Row],[shipping]]+Table1[[#This Row],[Tax]]),0)</f>
        <v>0</v>
      </c>
      <c r="W79" s="36">
        <f>IFERROR(Table1[[#This Row],[leftover material]]*(Table1[[#This Row],[Cost ]]+Table1[[#This Row],[shipping]]+Table1[[#This Row],[Tax]]),0)</f>
        <v>0</v>
      </c>
      <c r="X79" s="36"/>
      <c r="Y79" s="87"/>
      <c r="Z79" s="87"/>
      <c r="AA79" s="87"/>
      <c r="AB79" s="36"/>
      <c r="AC79" s="36">
        <f>IF(ISNA(VLOOKUP(Table1[[#This Row],[Part Number]],'Multi-level BOM'!V$4:V$449,1,FALSE)),0,Table1[[#This Row],[Remaining Extended cost]])</f>
        <v>0</v>
      </c>
    </row>
    <row r="80" spans="1:29" x14ac:dyDescent="0.25">
      <c r="A80" s="1" t="s">
        <v>83</v>
      </c>
      <c r="B80" s="4" t="s">
        <v>1007</v>
      </c>
      <c r="C80" s="1" t="s">
        <v>1000</v>
      </c>
      <c r="D80" s="3">
        <v>1.1000000000000001</v>
      </c>
      <c r="E80" s="3">
        <v>0</v>
      </c>
      <c r="F80" s="3">
        <f>9%*Table1[[#This Row],[Cost ]]</f>
        <v>9.9000000000000005E-2</v>
      </c>
      <c r="G80" s="1" t="s">
        <v>1006</v>
      </c>
      <c r="H80" s="2">
        <v>1</v>
      </c>
      <c r="J80" s="49">
        <f>SUMIF('Multi-level BOM'!D$4:D$467,Table1[[#This Row],[Part Number]],'Multi-level BOM'!H$4:H$467)</f>
        <v>1</v>
      </c>
      <c r="K80" s="10">
        <f>Table1[[#This Row],[extended quantity]]*(Table1[[#This Row],[Cost ]]+Table1[[#This Row],[shipping]]+Table1[[#This Row],[Tax]])</f>
        <v>1.1990000000000001</v>
      </c>
      <c r="L80" s="83" t="str">
        <f>IF(Table1[[#This Row],[Buy-now costs]]&gt;0,"X","")</f>
        <v/>
      </c>
      <c r="M80" s="83"/>
      <c r="N80" s="83"/>
      <c r="O80" s="40">
        <v>0</v>
      </c>
      <c r="P80" s="97">
        <f>Table1[[#This Row],[quantity on-hand]]*(Table1[[#This Row],[Cost ]]+Table1[[#This Row],[shipping]]+Table1[[#This Row],[Tax]])</f>
        <v>0</v>
      </c>
      <c r="Q80" s="40">
        <v>0</v>
      </c>
      <c r="R80" s="95">
        <f>Table1[[#This Row],[Quantity on order]]*(Table1[[#This Row],[Cost ]]+Table1[[#This Row],[shipping]]+Table1[[#This Row],[Tax]])</f>
        <v>0</v>
      </c>
      <c r="S8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0" s="49">
        <f>Table1[[#This Row],[Quantity  to  purchase]]+Table1[[#This Row],[Quantity purchased]]+Table1[[#This Row],[Quantity on order]]+Table1[[#This Row],[Quantity donated]]-Table1[[#This Row],[extended quantity]]</f>
        <v>0</v>
      </c>
      <c r="U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1.1990000000000001</v>
      </c>
      <c r="V80" s="51">
        <f>IFERROR(Table1[[#This Row],[Quantity  to  purchase]]*(Table1[[#This Row],[Cost ]]+Table1[[#This Row],[shipping]]+Table1[[#This Row],[Tax]]),0)</f>
        <v>1.1990000000000001</v>
      </c>
      <c r="W80" s="36">
        <f>IFERROR(Table1[[#This Row],[leftover material]]*(Table1[[#This Row],[Cost ]]+Table1[[#This Row],[shipping]]+Table1[[#This Row],[Tax]]),0)</f>
        <v>0</v>
      </c>
      <c r="X80" s="36"/>
      <c r="Y80" s="87"/>
      <c r="Z80" s="87"/>
      <c r="AA80" s="87"/>
      <c r="AB80" s="36"/>
      <c r="AC80" s="36">
        <f>IF(ISNA(VLOOKUP(Table1[[#This Row],[Part Number]],'Multi-level BOM'!V$4:V$449,1,FALSE)),0,Table1[[#This Row],[Remaining Extended cost]])</f>
        <v>0</v>
      </c>
    </row>
    <row r="81" spans="1:29" x14ac:dyDescent="0.25">
      <c r="A81" s="1" t="s">
        <v>84</v>
      </c>
      <c r="B81" s="58" t="s">
        <v>1008</v>
      </c>
      <c r="D81" s="3">
        <v>17.98</v>
      </c>
      <c r="E81" s="3">
        <v>0</v>
      </c>
      <c r="F81" s="3">
        <f>9%*Table1[[#This Row],[Cost ]]</f>
        <v>1.6182000000000001</v>
      </c>
      <c r="G81" s="1" t="s">
        <v>1009</v>
      </c>
      <c r="H81" s="2">
        <v>1</v>
      </c>
      <c r="J81" s="49">
        <f>SUMIF('Multi-level BOM'!D$4:D$467,Table1[[#This Row],[Part Number]],'Multi-level BOM'!H$4:H$467)</f>
        <v>1</v>
      </c>
      <c r="K81" s="10">
        <f>Table1[[#This Row],[extended quantity]]*(Table1[[#This Row],[Cost ]]+Table1[[#This Row],[shipping]]+Table1[[#This Row],[Tax]])</f>
        <v>19.598200000000002</v>
      </c>
      <c r="L81" s="83" t="str">
        <f>IF(Table1[[#This Row],[Buy-now costs]]&gt;0,"X","")</f>
        <v/>
      </c>
      <c r="M81" s="83"/>
      <c r="N81" s="83"/>
      <c r="O81" s="40">
        <v>0</v>
      </c>
      <c r="P81" s="97">
        <f>Table1[[#This Row],[quantity on-hand]]*(Table1[[#This Row],[Cost ]]+Table1[[#This Row],[shipping]]+Table1[[#This Row],[Tax]])</f>
        <v>0</v>
      </c>
      <c r="Q81" s="40">
        <v>0</v>
      </c>
      <c r="R81" s="95">
        <f>Table1[[#This Row],[Quantity on order]]*(Table1[[#This Row],[Cost ]]+Table1[[#This Row],[shipping]]+Table1[[#This Row],[Tax]])</f>
        <v>0</v>
      </c>
      <c r="S8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1" s="49">
        <f>Table1[[#This Row],[Quantity  to  purchase]]+Table1[[#This Row],[Quantity purchased]]+Table1[[#This Row],[Quantity on order]]+Table1[[#This Row],[Quantity donated]]-Table1[[#This Row],[extended quantity]]</f>
        <v>0</v>
      </c>
      <c r="U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19.598200000000002</v>
      </c>
      <c r="V81" s="51">
        <f>IFERROR(Table1[[#This Row],[Quantity  to  purchase]]*(Table1[[#This Row],[Cost ]]+Table1[[#This Row],[shipping]]+Table1[[#This Row],[Tax]]),0)</f>
        <v>19.598200000000002</v>
      </c>
      <c r="W81" s="36">
        <f>IFERROR(Table1[[#This Row],[leftover material]]*(Table1[[#This Row],[Cost ]]+Table1[[#This Row],[shipping]]+Table1[[#This Row],[Tax]]),0)</f>
        <v>0</v>
      </c>
      <c r="X81" s="36"/>
      <c r="Y81" s="87"/>
      <c r="Z81" s="87"/>
      <c r="AA81" s="87"/>
      <c r="AB81" s="36"/>
      <c r="AC81" s="36">
        <f>IF(ISNA(VLOOKUP(Table1[[#This Row],[Part Number]],'Multi-level BOM'!V$4:V$449,1,FALSE)),0,Table1[[#This Row],[Remaining Extended cost]])</f>
        <v>0</v>
      </c>
    </row>
    <row r="82" spans="1:29" ht="30" x14ac:dyDescent="0.25">
      <c r="A82" s="1" t="s">
        <v>85</v>
      </c>
      <c r="B82" s="58" t="s">
        <v>1011</v>
      </c>
      <c r="C82" s="1" t="s">
        <v>656</v>
      </c>
      <c r="D82" s="3">
        <f>10.99/2</f>
        <v>5.4950000000000001</v>
      </c>
      <c r="E82" s="3">
        <v>0</v>
      </c>
      <c r="F82" s="3">
        <f>9%*Table1[[#This Row],[Cost ]]</f>
        <v>0.49454999999999999</v>
      </c>
      <c r="G82" s="1" t="s">
        <v>1010</v>
      </c>
      <c r="H82" s="2">
        <v>2</v>
      </c>
      <c r="J82" s="49">
        <f>SUMIF('Multi-level BOM'!D$4:D$467,Table1[[#This Row],[Part Number]],'Multi-level BOM'!H$4:H$467)</f>
        <v>1</v>
      </c>
      <c r="K82" s="10">
        <f>Table1[[#This Row],[extended quantity]]*(Table1[[#This Row],[Cost ]]+Table1[[#This Row],[shipping]]+Table1[[#This Row],[Tax]])</f>
        <v>5.9895500000000004</v>
      </c>
      <c r="L82" s="83" t="str">
        <f>IF(Table1[[#This Row],[Buy-now costs]]&gt;0,"X","")</f>
        <v/>
      </c>
      <c r="M82" s="83"/>
      <c r="N82" s="83"/>
      <c r="O82" s="40">
        <v>0</v>
      </c>
      <c r="P82" s="97">
        <f>Table1[[#This Row],[quantity on-hand]]*(Table1[[#This Row],[Cost ]]+Table1[[#This Row],[shipping]]+Table1[[#This Row],[Tax]])</f>
        <v>0</v>
      </c>
      <c r="Q82" s="40">
        <v>0</v>
      </c>
      <c r="R82" s="95">
        <f>Table1[[#This Row],[Quantity on order]]*(Table1[[#This Row],[Cost ]]+Table1[[#This Row],[shipping]]+Table1[[#This Row],[Tax]])</f>
        <v>0</v>
      </c>
      <c r="S82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T82" s="49">
        <f>Table1[[#This Row],[Quantity  to  purchase]]+Table1[[#This Row],[Quantity purchased]]+Table1[[#This Row],[Quantity on order]]+Table1[[#This Row],[Quantity donated]]-Table1[[#This Row],[extended quantity]]</f>
        <v>1</v>
      </c>
      <c r="U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5.9895500000000004</v>
      </c>
      <c r="V82" s="51">
        <f>IFERROR(Table1[[#This Row],[Quantity  to  purchase]]*(Table1[[#This Row],[Cost ]]+Table1[[#This Row],[shipping]]+Table1[[#This Row],[Tax]]),0)</f>
        <v>11.979100000000001</v>
      </c>
      <c r="W82" s="36">
        <f>IFERROR(Table1[[#This Row],[leftover material]]*(Table1[[#This Row],[Cost ]]+Table1[[#This Row],[shipping]]+Table1[[#This Row],[Tax]]),0)</f>
        <v>5.9895500000000004</v>
      </c>
      <c r="X82" s="36"/>
      <c r="Y82" s="87"/>
      <c r="Z82" s="87"/>
      <c r="AA82" s="87"/>
      <c r="AB82" s="36"/>
      <c r="AC82" s="36">
        <f>IF(ISNA(VLOOKUP(Table1[[#This Row],[Part Number]],'Multi-level BOM'!V$4:V$449,1,FALSE)),0,Table1[[#This Row],[Remaining Extended cost]])</f>
        <v>0</v>
      </c>
    </row>
    <row r="83" spans="1:29" ht="30" x14ac:dyDescent="0.25">
      <c r="A83" s="1" t="s">
        <v>86</v>
      </c>
      <c r="B83" s="58" t="s">
        <v>1012</v>
      </c>
      <c r="C83" s="1" t="s">
        <v>656</v>
      </c>
      <c r="D83" s="3">
        <f>9.39/2</f>
        <v>4.6950000000000003</v>
      </c>
      <c r="E83" s="3">
        <v>0</v>
      </c>
      <c r="F83" s="3">
        <f>9%*Table1[[#This Row],[Cost ]]</f>
        <v>0.42255000000000004</v>
      </c>
      <c r="G83" s="1" t="s">
        <v>1013</v>
      </c>
      <c r="H83" s="2">
        <v>2</v>
      </c>
      <c r="J83" s="49">
        <f>SUMIF('Multi-level BOM'!D$4:D$467,Table1[[#This Row],[Part Number]],'Multi-level BOM'!H$4:H$467)</f>
        <v>1</v>
      </c>
      <c r="K83" s="10">
        <f>Table1[[#This Row],[extended quantity]]*(Table1[[#This Row],[Cost ]]+Table1[[#This Row],[shipping]]+Table1[[#This Row],[Tax]])</f>
        <v>5.1175500000000005</v>
      </c>
      <c r="L83" s="83" t="str">
        <f>IF(Table1[[#This Row],[Buy-now costs]]&gt;0,"X","")</f>
        <v/>
      </c>
      <c r="M83" s="83"/>
      <c r="N83" s="83"/>
      <c r="O83" s="40">
        <v>0</v>
      </c>
      <c r="P83" s="97">
        <f>Table1[[#This Row],[quantity on-hand]]*(Table1[[#This Row],[Cost ]]+Table1[[#This Row],[shipping]]+Table1[[#This Row],[Tax]])</f>
        <v>0</v>
      </c>
      <c r="Q83" s="40">
        <v>0</v>
      </c>
      <c r="R83" s="95">
        <f>Table1[[#This Row],[Quantity on order]]*(Table1[[#This Row],[Cost ]]+Table1[[#This Row],[shipping]]+Table1[[#This Row],[Tax]])</f>
        <v>0</v>
      </c>
      <c r="S83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T83" s="49">
        <f>Table1[[#This Row],[Quantity  to  purchase]]+Table1[[#This Row],[Quantity purchased]]+Table1[[#This Row],[Quantity on order]]+Table1[[#This Row],[Quantity donated]]-Table1[[#This Row],[extended quantity]]</f>
        <v>1</v>
      </c>
      <c r="U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5.1175500000000005</v>
      </c>
      <c r="V83" s="51">
        <f>IFERROR(Table1[[#This Row],[Quantity  to  purchase]]*(Table1[[#This Row],[Cost ]]+Table1[[#This Row],[shipping]]+Table1[[#This Row],[Tax]]),0)</f>
        <v>10.235100000000001</v>
      </c>
      <c r="W83" s="36">
        <f>IFERROR(Table1[[#This Row],[leftover material]]*(Table1[[#This Row],[Cost ]]+Table1[[#This Row],[shipping]]+Table1[[#This Row],[Tax]]),0)</f>
        <v>5.1175500000000005</v>
      </c>
      <c r="X83" s="36"/>
      <c r="Y83" s="87"/>
      <c r="Z83" s="87"/>
      <c r="AA83" s="87"/>
      <c r="AB83" s="36"/>
      <c r="AC83" s="36">
        <f>IF(ISNA(VLOOKUP(Table1[[#This Row],[Part Number]],'Multi-level BOM'!V$4:V$449,1,FALSE)),0,Table1[[#This Row],[Remaining Extended cost]])</f>
        <v>0</v>
      </c>
    </row>
    <row r="84" spans="1:29" x14ac:dyDescent="0.25">
      <c r="A84" s="1" t="s">
        <v>87</v>
      </c>
      <c r="B84" s="4" t="s">
        <v>1014</v>
      </c>
      <c r="E84" s="3">
        <v>0</v>
      </c>
      <c r="F84" s="3">
        <f>9%*Table1[[#This Row],[Cost ]]</f>
        <v>0</v>
      </c>
      <c r="H84" s="2">
        <v>1</v>
      </c>
      <c r="J84" s="49">
        <f>SUMIF('Multi-level BOM'!D$4:D$467,Table1[[#This Row],[Part Number]],'Multi-level BOM'!H$4:H$467)</f>
        <v>1</v>
      </c>
      <c r="K84" s="10">
        <f>Table1[[#This Row],[extended quantity]]*(Table1[[#This Row],[Cost ]]+Table1[[#This Row],[shipping]]+Table1[[#This Row],[Tax]])</f>
        <v>0</v>
      </c>
      <c r="L84" s="83" t="str">
        <f>IF(Table1[[#This Row],[Buy-now costs]]&gt;0,"X","")</f>
        <v/>
      </c>
      <c r="M84" s="83"/>
      <c r="N84" s="83"/>
      <c r="O84" s="40">
        <v>0</v>
      </c>
      <c r="P84" s="97">
        <f>Table1[[#This Row],[quantity on-hand]]*(Table1[[#This Row],[Cost ]]+Table1[[#This Row],[shipping]]+Table1[[#This Row],[Tax]])</f>
        <v>0</v>
      </c>
      <c r="Q84" s="40">
        <v>0</v>
      </c>
      <c r="R84" s="95">
        <f>Table1[[#This Row],[Quantity on order]]*(Table1[[#This Row],[Cost ]]+Table1[[#This Row],[shipping]]+Table1[[#This Row],[Tax]])</f>
        <v>0</v>
      </c>
      <c r="S84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4" s="49">
        <f>Table1[[#This Row],[Quantity  to  purchase]]+Table1[[#This Row],[Quantity purchased]]+Table1[[#This Row],[Quantity on order]]+Table1[[#This Row],[Quantity donated]]-Table1[[#This Row],[extended quantity]]</f>
        <v>0</v>
      </c>
      <c r="U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4" s="51">
        <f>IFERROR(Table1[[#This Row],[Quantity  to  purchase]]*(Table1[[#This Row],[Cost ]]+Table1[[#This Row],[shipping]]+Table1[[#This Row],[Tax]]),0)</f>
        <v>0</v>
      </c>
      <c r="W84" s="36">
        <f>IFERROR(Table1[[#This Row],[leftover material]]*(Table1[[#This Row],[Cost ]]+Table1[[#This Row],[shipping]]+Table1[[#This Row],[Tax]]),0)</f>
        <v>0</v>
      </c>
      <c r="X84" s="36"/>
      <c r="Y84" s="87"/>
      <c r="Z84" s="87"/>
      <c r="AA84" s="87"/>
      <c r="AB84" s="36"/>
      <c r="AC84" s="36">
        <f>IF(ISNA(VLOOKUP(Table1[[#This Row],[Part Number]],'Multi-level BOM'!V$4:V$449,1,FALSE)),0,Table1[[#This Row],[Remaining Extended cost]])</f>
        <v>0</v>
      </c>
    </row>
    <row r="85" spans="1:29" x14ac:dyDescent="0.25">
      <c r="A85" s="1" t="s">
        <v>88</v>
      </c>
      <c r="B85" s="4" t="s">
        <v>1015</v>
      </c>
      <c r="E85" s="3">
        <v>0</v>
      </c>
      <c r="F85" s="3">
        <f>9%*Table1[[#This Row],[Cost ]]</f>
        <v>0</v>
      </c>
      <c r="H85" s="2">
        <v>1</v>
      </c>
      <c r="J85" s="49">
        <f>SUMIF('Multi-level BOM'!D$4:D$467,Table1[[#This Row],[Part Number]],'Multi-level BOM'!H$4:H$467)</f>
        <v>1</v>
      </c>
      <c r="K85" s="10">
        <f>Table1[[#This Row],[extended quantity]]*(Table1[[#This Row],[Cost ]]+Table1[[#This Row],[shipping]]+Table1[[#This Row],[Tax]])</f>
        <v>0</v>
      </c>
      <c r="L85" s="83" t="str">
        <f>IF(Table1[[#This Row],[Buy-now costs]]&gt;0,"X","")</f>
        <v/>
      </c>
      <c r="M85" s="83"/>
      <c r="N85" s="83"/>
      <c r="O85" s="40">
        <v>0</v>
      </c>
      <c r="P85" s="97">
        <f>Table1[[#This Row],[quantity on-hand]]*(Table1[[#This Row],[Cost ]]+Table1[[#This Row],[shipping]]+Table1[[#This Row],[Tax]])</f>
        <v>0</v>
      </c>
      <c r="Q85" s="40">
        <v>0</v>
      </c>
      <c r="R85" s="95">
        <f>Table1[[#This Row],[Quantity on order]]*(Table1[[#This Row],[Cost ]]+Table1[[#This Row],[shipping]]+Table1[[#This Row],[Tax]])</f>
        <v>0</v>
      </c>
      <c r="S8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5" s="49">
        <f>Table1[[#This Row],[Quantity  to  purchase]]+Table1[[#This Row],[Quantity purchased]]+Table1[[#This Row],[Quantity on order]]+Table1[[#This Row],[Quantity donated]]-Table1[[#This Row],[extended quantity]]</f>
        <v>0</v>
      </c>
      <c r="U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5" s="51">
        <f>IFERROR(Table1[[#This Row],[Quantity  to  purchase]]*(Table1[[#This Row],[Cost ]]+Table1[[#This Row],[shipping]]+Table1[[#This Row],[Tax]]),0)</f>
        <v>0</v>
      </c>
      <c r="W85" s="36">
        <f>IFERROR(Table1[[#This Row],[leftover material]]*(Table1[[#This Row],[Cost ]]+Table1[[#This Row],[shipping]]+Table1[[#This Row],[Tax]]),0)</f>
        <v>0</v>
      </c>
      <c r="X85" s="36"/>
      <c r="Y85" s="87"/>
      <c r="Z85" s="87"/>
      <c r="AA85" s="87"/>
      <c r="AB85" s="36"/>
      <c r="AC85" s="36">
        <f>IF(ISNA(VLOOKUP(Table1[[#This Row],[Part Number]],'Multi-level BOM'!V$4:V$449,1,FALSE)),0,Table1[[#This Row],[Remaining Extended cost]])</f>
        <v>0</v>
      </c>
    </row>
    <row r="86" spans="1:29" x14ac:dyDescent="0.25">
      <c r="A86" s="1" t="s">
        <v>89</v>
      </c>
      <c r="B86" s="61" t="s">
        <v>1016</v>
      </c>
      <c r="C86" s="1" t="s">
        <v>1017</v>
      </c>
      <c r="D86" s="3">
        <v>14.99</v>
      </c>
      <c r="E86" s="3">
        <v>0</v>
      </c>
      <c r="F86" s="3">
        <f>9%*Table1[[#This Row],[Cost ]]</f>
        <v>1.3491</v>
      </c>
      <c r="G86" s="1" t="s">
        <v>1018</v>
      </c>
      <c r="H86" s="2">
        <v>1</v>
      </c>
      <c r="J86" s="49">
        <f>SUMIF('Multi-level BOM'!D$4:D$467,Table1[[#This Row],[Part Number]],'Multi-level BOM'!H$4:H$467)</f>
        <v>1</v>
      </c>
      <c r="K86" s="10">
        <f>Table1[[#This Row],[extended quantity]]*(Table1[[#This Row],[Cost ]]+Table1[[#This Row],[shipping]]+Table1[[#This Row],[Tax]])</f>
        <v>16.339100000000002</v>
      </c>
      <c r="L86" s="83" t="str">
        <f>IF(Table1[[#This Row],[Buy-now costs]]&gt;0,"X","")</f>
        <v/>
      </c>
      <c r="M86" s="83">
        <v>1</v>
      </c>
      <c r="N86" s="83"/>
      <c r="O86" s="40">
        <v>1</v>
      </c>
      <c r="P86" s="97">
        <f>Table1[[#This Row],[quantity on-hand]]*(Table1[[#This Row],[Cost ]]+Table1[[#This Row],[shipping]]+Table1[[#This Row],[Tax]])</f>
        <v>16.339100000000002</v>
      </c>
      <c r="Q86" s="40"/>
      <c r="R86" s="95">
        <f>Table1[[#This Row],[Quantity on order]]*(Table1[[#This Row],[Cost ]]+Table1[[#This Row],[shipping]]+Table1[[#This Row],[Tax]])</f>
        <v>0</v>
      </c>
      <c r="S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6" s="49">
        <f>Table1[[#This Row],[Quantity  to  purchase]]+Table1[[#This Row],[Quantity purchased]]+Table1[[#This Row],[Quantity on order]]+Table1[[#This Row],[Quantity donated]]-Table1[[#This Row],[extended quantity]]</f>
        <v>0</v>
      </c>
      <c r="U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6" s="51">
        <f>IFERROR(Table1[[#This Row],[Quantity  to  purchase]]*(Table1[[#This Row],[Cost ]]+Table1[[#This Row],[shipping]]+Table1[[#This Row],[Tax]]),0)</f>
        <v>0</v>
      </c>
      <c r="W86" s="36">
        <f>IFERROR(Table1[[#This Row],[leftover material]]*(Table1[[#This Row],[Cost ]]+Table1[[#This Row],[shipping]]+Table1[[#This Row],[Tax]]),0)</f>
        <v>0</v>
      </c>
      <c r="X86" s="36">
        <f>Table1[[#This Row],[Quantity purchased]]*(Table1[[#This Row],[Cost ]]+Table1[[#This Row],[shipping]]+Table1[[#This Row],[Tax]])</f>
        <v>16.339100000000002</v>
      </c>
      <c r="Y86" s="87">
        <v>43882</v>
      </c>
      <c r="Z86" s="87">
        <v>43913</v>
      </c>
      <c r="AA86" s="87"/>
      <c r="AB86" s="36"/>
      <c r="AC86" s="36">
        <f>IF(ISNA(VLOOKUP(Table1[[#This Row],[Part Number]],'Multi-level BOM'!V$4:V$449,1,FALSE)),0,Table1[[#This Row],[Remaining Extended cost]])</f>
        <v>0</v>
      </c>
    </row>
    <row r="87" spans="1:29" x14ac:dyDescent="0.25">
      <c r="A87" s="1" t="s">
        <v>90</v>
      </c>
      <c r="B87" s="4" t="s">
        <v>1019</v>
      </c>
      <c r="C87" s="1" t="s">
        <v>1017</v>
      </c>
      <c r="D87" s="3">
        <v>6.15</v>
      </c>
      <c r="E87" s="3">
        <v>0</v>
      </c>
      <c r="F87" s="3">
        <f>9%*Table1[[#This Row],[Cost ]]</f>
        <v>0.55349999999999999</v>
      </c>
      <c r="G87" s="1" t="s">
        <v>1020</v>
      </c>
      <c r="H87" s="2">
        <v>1</v>
      </c>
      <c r="J87" s="49">
        <f>SUMIF('Multi-level BOM'!D$4:D$467,Table1[[#This Row],[Part Number]],'Multi-level BOM'!H$4:H$467)</f>
        <v>1</v>
      </c>
      <c r="K87" s="10">
        <f>Table1[[#This Row],[extended quantity]]*(Table1[[#This Row],[Cost ]]+Table1[[#This Row],[shipping]]+Table1[[#This Row],[Tax]])</f>
        <v>6.7035</v>
      </c>
      <c r="L87" s="83" t="str">
        <f>IF(Table1[[#This Row],[Buy-now costs]]&gt;0,"X","")</f>
        <v/>
      </c>
      <c r="M87" s="83">
        <v>1</v>
      </c>
      <c r="N87" s="83"/>
      <c r="O87" s="40">
        <v>1</v>
      </c>
      <c r="P87" s="97">
        <f>Table1[[#This Row],[quantity on-hand]]*(Table1[[#This Row],[Cost ]]+Table1[[#This Row],[shipping]]+Table1[[#This Row],[Tax]])</f>
        <v>6.7035</v>
      </c>
      <c r="Q87" s="40">
        <v>0</v>
      </c>
      <c r="R87" s="95">
        <f>Table1[[#This Row],[Quantity on order]]*(Table1[[#This Row],[Cost ]]+Table1[[#This Row],[shipping]]+Table1[[#This Row],[Tax]])</f>
        <v>0</v>
      </c>
      <c r="S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7" s="49">
        <f>Table1[[#This Row],[Quantity  to  purchase]]+Table1[[#This Row],[Quantity purchased]]+Table1[[#This Row],[Quantity on order]]+Table1[[#This Row],[Quantity donated]]-Table1[[#This Row],[extended quantity]]</f>
        <v>0</v>
      </c>
      <c r="U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7" s="51">
        <f>IFERROR(Table1[[#This Row],[Quantity  to  purchase]]*(Table1[[#This Row],[Cost ]]+Table1[[#This Row],[shipping]]+Table1[[#This Row],[Tax]]),0)</f>
        <v>0</v>
      </c>
      <c r="W87" s="36">
        <f>IFERROR(Table1[[#This Row],[leftover material]]*(Table1[[#This Row],[Cost ]]+Table1[[#This Row],[shipping]]+Table1[[#This Row],[Tax]]),0)</f>
        <v>0</v>
      </c>
      <c r="X87" s="36">
        <f>Table1[[#This Row],[Quantity purchased]]*(Table1[[#This Row],[Cost ]]+Table1[[#This Row],[shipping]]+Table1[[#This Row],[Tax]])</f>
        <v>6.7035</v>
      </c>
      <c r="Y87" s="87">
        <v>43882</v>
      </c>
      <c r="Z87" s="87">
        <v>43913</v>
      </c>
      <c r="AA87" s="87"/>
      <c r="AB87" s="36"/>
      <c r="AC87" s="36">
        <f>IF(ISNA(VLOOKUP(Table1[[#This Row],[Part Number]],'Multi-level BOM'!V$4:V$449,1,FALSE)),0,Table1[[#This Row],[Remaining Extended cost]])</f>
        <v>0</v>
      </c>
    </row>
    <row r="88" spans="1:29" ht="30" x14ac:dyDescent="0.25">
      <c r="A88" s="1" t="s">
        <v>91</v>
      </c>
      <c r="B88" s="16" t="s">
        <v>1021</v>
      </c>
      <c r="C88" s="1" t="s">
        <v>1000</v>
      </c>
      <c r="D88" s="3">
        <v>2.4700000000000002</v>
      </c>
      <c r="E88" s="3">
        <f>0.72*Table1[[#This Row],[Cost ]]</f>
        <v>1.7784</v>
      </c>
      <c r="F88" s="3">
        <f>15.4%*Table1[[#This Row],[Cost ]]</f>
        <v>0.38038000000000005</v>
      </c>
      <c r="G88" s="1" t="s">
        <v>1078</v>
      </c>
      <c r="H88" s="41">
        <v>1</v>
      </c>
      <c r="J88" s="49">
        <f>SUMIF('Multi-level BOM'!D$4:D$467,Table1[[#This Row],[Part Number]],'Multi-level BOM'!H$4:H$467)</f>
        <v>1</v>
      </c>
      <c r="K88" s="10">
        <f>Table1[[#This Row],[extended quantity]]*(Table1[[#This Row],[Cost ]]+Table1[[#This Row],[shipping]]+Table1[[#This Row],[Tax]])</f>
        <v>4.6287799999999999</v>
      </c>
      <c r="L88" s="83" t="str">
        <f>IF(Table1[[#This Row],[Buy-now costs]]&gt;0,"X","")</f>
        <v/>
      </c>
      <c r="M88" s="83">
        <v>1</v>
      </c>
      <c r="N88" s="83"/>
      <c r="O88" s="40">
        <v>1</v>
      </c>
      <c r="P88" s="97">
        <f>Table1[[#This Row],[quantity on-hand]]*(Table1[[#This Row],[Cost ]]+Table1[[#This Row],[shipping]]+Table1[[#This Row],[Tax]])</f>
        <v>4.6287799999999999</v>
      </c>
      <c r="Q88" s="40">
        <v>0</v>
      </c>
      <c r="R88" s="95">
        <f>Table1[[#This Row],[Quantity on order]]*(Table1[[#This Row],[Cost ]]+Table1[[#This Row],[shipping]]+Table1[[#This Row],[Tax]])</f>
        <v>0</v>
      </c>
      <c r="S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8" s="49">
        <f>Table1[[#This Row],[Quantity  to  purchase]]+Table1[[#This Row],[Quantity purchased]]+Table1[[#This Row],[Quantity on order]]+Table1[[#This Row],[Quantity donated]]-Table1[[#This Row],[extended quantity]]</f>
        <v>0</v>
      </c>
      <c r="U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8" s="51">
        <f>IFERROR(Table1[[#This Row],[Quantity  to  purchase]]*(Table1[[#This Row],[Cost ]]+Table1[[#This Row],[shipping]]+Table1[[#This Row],[Tax]]),0)</f>
        <v>0</v>
      </c>
      <c r="W88" s="36">
        <f>IFERROR(Table1[[#This Row],[leftover material]]*(Table1[[#This Row],[Cost ]]+Table1[[#This Row],[shipping]]+Table1[[#This Row],[Tax]]),0)</f>
        <v>0</v>
      </c>
      <c r="X88" s="36">
        <f>Table1[[#This Row],[Quantity purchased]]*(Table1[[#This Row],[Cost ]]+Table1[[#This Row],[shipping]]+Table1[[#This Row],[Tax]])</f>
        <v>4.6287799999999999</v>
      </c>
      <c r="Y88" s="87">
        <v>43882</v>
      </c>
      <c r="Z88" s="87"/>
      <c r="AA88" s="87">
        <v>43887</v>
      </c>
      <c r="AB88" s="36"/>
      <c r="AC88" s="36">
        <f>IF(ISNA(VLOOKUP(Table1[[#This Row],[Part Number]],'Multi-level BOM'!V$4:V$449,1,FALSE)),0,Table1[[#This Row],[Remaining Extended cost]])</f>
        <v>0</v>
      </c>
    </row>
    <row r="89" spans="1:29" x14ac:dyDescent="0.25">
      <c r="A89" s="1" t="s">
        <v>92</v>
      </c>
      <c r="B89" s="4" t="s">
        <v>1023</v>
      </c>
      <c r="C89" s="1" t="s">
        <v>1000</v>
      </c>
      <c r="D89" s="3">
        <v>2.84</v>
      </c>
      <c r="E89" s="3">
        <v>0</v>
      </c>
      <c r="F89" s="3">
        <f>9%*Table1[[#This Row],[Cost ]]</f>
        <v>0.25559999999999999</v>
      </c>
      <c r="G89" s="5" t="s">
        <v>1022</v>
      </c>
      <c r="H89" s="2">
        <v>1</v>
      </c>
      <c r="J89" s="49">
        <f>SUMIF('Multi-level BOM'!D$4:D$467,Table1[[#This Row],[Part Number]],'Multi-level BOM'!H$4:H$467)</f>
        <v>4</v>
      </c>
      <c r="K89" s="10">
        <f>Table1[[#This Row],[extended quantity]]*(Table1[[#This Row],[Cost ]]+Table1[[#This Row],[shipping]]+Table1[[#This Row],[Tax]])</f>
        <v>12.382399999999999</v>
      </c>
      <c r="L89" s="83" t="str">
        <f>IF(Table1[[#This Row],[Buy-now costs]]&gt;0,"X","")</f>
        <v>X</v>
      </c>
      <c r="M89" s="83"/>
      <c r="N89" s="83"/>
      <c r="O89" s="40">
        <v>0</v>
      </c>
      <c r="P89" s="97">
        <f>Table1[[#This Row],[quantity on-hand]]*(Table1[[#This Row],[Cost ]]+Table1[[#This Row],[shipping]]+Table1[[#This Row],[Tax]])</f>
        <v>0</v>
      </c>
      <c r="Q89" s="40">
        <v>0</v>
      </c>
      <c r="R89" s="95">
        <f>Table1[[#This Row],[Quantity on order]]*(Table1[[#This Row],[Cost ]]+Table1[[#This Row],[shipping]]+Table1[[#This Row],[Tax]])</f>
        <v>0</v>
      </c>
      <c r="S89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T89" s="49">
        <f>Table1[[#This Row],[Quantity  to  purchase]]+Table1[[#This Row],[Quantity purchased]]+Table1[[#This Row],[Quantity on order]]+Table1[[#This Row],[Quantity donated]]-Table1[[#This Row],[extended quantity]]</f>
        <v>0</v>
      </c>
      <c r="U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12.382399999999999</v>
      </c>
      <c r="V89" s="51">
        <f>IFERROR(Table1[[#This Row],[Quantity  to  purchase]]*(Table1[[#This Row],[Cost ]]+Table1[[#This Row],[shipping]]+Table1[[#This Row],[Tax]]),0)</f>
        <v>12.382399999999999</v>
      </c>
      <c r="W89" s="36">
        <f>IFERROR(Table1[[#This Row],[leftover material]]*(Table1[[#This Row],[Cost ]]+Table1[[#This Row],[shipping]]+Table1[[#This Row],[Tax]]),0)</f>
        <v>0</v>
      </c>
      <c r="X89" s="36"/>
      <c r="Y89" s="87"/>
      <c r="Z89" s="87"/>
      <c r="AA89" s="87"/>
      <c r="AB89" s="3" t="s">
        <v>1081</v>
      </c>
      <c r="AC89" s="36">
        <f>IF(ISNA(VLOOKUP(Table1[[#This Row],[Part Number]],'Multi-level BOM'!V$4:V$449,1,FALSE)),0,Table1[[#This Row],[Remaining Extended cost]])</f>
        <v>12.382399999999999</v>
      </c>
    </row>
    <row r="90" spans="1:29" ht="30" x14ac:dyDescent="0.25">
      <c r="A90" s="1" t="s">
        <v>93</v>
      </c>
      <c r="B90" s="4" t="s">
        <v>1024</v>
      </c>
      <c r="C90" s="1" t="s">
        <v>1000</v>
      </c>
      <c r="D90" s="3">
        <f>2.76/10</f>
        <v>0.27599999999999997</v>
      </c>
      <c r="E90" s="3">
        <f>0.72*Table1[[#This Row],[Cost ]]</f>
        <v>0.19871999999999998</v>
      </c>
      <c r="F90" s="3">
        <f>15.4%*Table1[[#This Row],[Cost ]]</f>
        <v>4.2503999999999993E-2</v>
      </c>
      <c r="G90" s="5" t="s">
        <v>1025</v>
      </c>
      <c r="H90" s="2">
        <v>10</v>
      </c>
      <c r="J90" s="49">
        <f>SUMIF('Multi-level BOM'!D$4:D$467,Table1[[#This Row],[Part Number]],'Multi-level BOM'!H$4:H$467)</f>
        <v>10</v>
      </c>
      <c r="K90" s="10">
        <f>Table1[[#This Row],[extended quantity]]*(Table1[[#This Row],[Cost ]]+Table1[[#This Row],[shipping]]+Table1[[#This Row],[Tax]])</f>
        <v>5.1722399999999986</v>
      </c>
      <c r="L90" s="83" t="str">
        <f>IF(Table1[[#This Row],[Buy-now costs]]&gt;0,"X","")</f>
        <v/>
      </c>
      <c r="M90" s="83">
        <v>10</v>
      </c>
      <c r="N90" s="83"/>
      <c r="O90" s="40">
        <v>10</v>
      </c>
      <c r="P90" s="97">
        <f>Table1[[#This Row],[quantity on-hand]]*(Table1[[#This Row],[Cost ]]+Table1[[#This Row],[shipping]]+Table1[[#This Row],[Tax]])</f>
        <v>5.1722399999999986</v>
      </c>
      <c r="Q90" s="40">
        <v>0</v>
      </c>
      <c r="R90" s="95">
        <f>Table1[[#This Row],[Quantity on order]]*(Table1[[#This Row],[Cost ]]+Table1[[#This Row],[shipping]]+Table1[[#This Row],[Tax]])</f>
        <v>0</v>
      </c>
      <c r="S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0" s="49">
        <f>Table1[[#This Row],[Quantity  to  purchase]]+Table1[[#This Row],[Quantity purchased]]+Table1[[#This Row],[Quantity on order]]+Table1[[#This Row],[Quantity donated]]-Table1[[#This Row],[extended quantity]]</f>
        <v>0</v>
      </c>
      <c r="U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0" s="51">
        <f>IFERROR(Table1[[#This Row],[Quantity  to  purchase]]*(Table1[[#This Row],[Cost ]]+Table1[[#This Row],[shipping]]+Table1[[#This Row],[Tax]]),0)</f>
        <v>0</v>
      </c>
      <c r="W90" s="36">
        <f>IFERROR(Table1[[#This Row],[leftover material]]*(Table1[[#This Row],[Cost ]]+Table1[[#This Row],[shipping]]+Table1[[#This Row],[Tax]]),0)</f>
        <v>0</v>
      </c>
      <c r="X90" s="36">
        <f>Table1[[#This Row],[Quantity purchased]]*(Table1[[#This Row],[Cost ]]+Table1[[#This Row],[shipping]]+Table1[[#This Row],[Tax]])</f>
        <v>5.1722399999999986</v>
      </c>
      <c r="Y90" s="87">
        <v>43882</v>
      </c>
      <c r="Z90" s="87"/>
      <c r="AA90" s="87">
        <v>43887</v>
      </c>
      <c r="AB90" s="36"/>
      <c r="AC90" s="36">
        <f>IF(ISNA(VLOOKUP(Table1[[#This Row],[Part Number]],'Multi-level BOM'!V$4:V$449,1,FALSE)),0,Table1[[#This Row],[Remaining Extended cost]])</f>
        <v>0</v>
      </c>
    </row>
    <row r="91" spans="1:29" x14ac:dyDescent="0.25">
      <c r="A91" s="1" t="s">
        <v>94</v>
      </c>
      <c r="B91" s="4" t="s">
        <v>1026</v>
      </c>
      <c r="C91" s="1" t="s">
        <v>1000</v>
      </c>
      <c r="D91" s="3">
        <f>1.7/10</f>
        <v>0.16999999999999998</v>
      </c>
      <c r="E91" s="3">
        <f>0.72*Table1[[#This Row],[Cost ]]</f>
        <v>0.12239999999999998</v>
      </c>
      <c r="F91" s="3">
        <f>15.4%*Table1[[#This Row],[Cost ]]</f>
        <v>2.6179999999999998E-2</v>
      </c>
      <c r="G91" s="5" t="s">
        <v>1027</v>
      </c>
      <c r="H91" s="2">
        <v>10</v>
      </c>
      <c r="J91" s="49">
        <f>SUMIF('Multi-level BOM'!D$4:D$467,Table1[[#This Row],[Part Number]],'Multi-level BOM'!H$4:H$467)</f>
        <v>10</v>
      </c>
      <c r="K91" s="10">
        <f>Table1[[#This Row],[extended quantity]]*(Table1[[#This Row],[Cost ]]+Table1[[#This Row],[shipping]]+Table1[[#This Row],[Tax]])</f>
        <v>3.1857999999999995</v>
      </c>
      <c r="L91" s="83" t="str">
        <f>IF(Table1[[#This Row],[Buy-now costs]]&gt;0,"X","")</f>
        <v/>
      </c>
      <c r="M91" s="83">
        <v>10</v>
      </c>
      <c r="N91" s="83"/>
      <c r="O91" s="40">
        <v>10</v>
      </c>
      <c r="P91" s="97">
        <f>Table1[[#This Row],[quantity on-hand]]*(Table1[[#This Row],[Cost ]]+Table1[[#This Row],[shipping]]+Table1[[#This Row],[Tax]])</f>
        <v>3.1857999999999995</v>
      </c>
      <c r="Q91" s="40">
        <v>0</v>
      </c>
      <c r="R91" s="95">
        <f>Table1[[#This Row],[Quantity on order]]*(Table1[[#This Row],[Cost ]]+Table1[[#This Row],[shipping]]+Table1[[#This Row],[Tax]])</f>
        <v>0</v>
      </c>
      <c r="S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1" s="49">
        <f>Table1[[#This Row],[Quantity  to  purchase]]+Table1[[#This Row],[Quantity purchased]]+Table1[[#This Row],[Quantity on order]]+Table1[[#This Row],[Quantity donated]]-Table1[[#This Row],[extended quantity]]</f>
        <v>0</v>
      </c>
      <c r="U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1" s="51">
        <f>IFERROR(Table1[[#This Row],[Quantity  to  purchase]]*(Table1[[#This Row],[Cost ]]+Table1[[#This Row],[shipping]]+Table1[[#This Row],[Tax]]),0)</f>
        <v>0</v>
      </c>
      <c r="W91" s="36">
        <f>IFERROR(Table1[[#This Row],[leftover material]]*(Table1[[#This Row],[Cost ]]+Table1[[#This Row],[shipping]]+Table1[[#This Row],[Tax]]),0)</f>
        <v>0</v>
      </c>
      <c r="X91" s="36">
        <f>Table1[[#This Row],[Quantity purchased]]*(Table1[[#This Row],[Cost ]]+Table1[[#This Row],[shipping]]+Table1[[#This Row],[Tax]])</f>
        <v>3.1857999999999995</v>
      </c>
      <c r="Y91" s="87">
        <v>43882</v>
      </c>
      <c r="Z91" s="87"/>
      <c r="AA91" s="87">
        <v>43887</v>
      </c>
      <c r="AB91" s="36"/>
      <c r="AC91" s="36">
        <f>IF(ISNA(VLOOKUP(Table1[[#This Row],[Part Number]],'Multi-level BOM'!V$4:V$449,1,FALSE)),0,Table1[[#This Row],[Remaining Extended cost]])</f>
        <v>0</v>
      </c>
    </row>
    <row r="92" spans="1:29" ht="30" x14ac:dyDescent="0.25">
      <c r="A92" s="1" t="s">
        <v>95</v>
      </c>
      <c r="B92" s="4" t="s">
        <v>1028</v>
      </c>
      <c r="C92" s="1" t="s">
        <v>1017</v>
      </c>
      <c r="D92" s="3">
        <f>27.55/4</f>
        <v>6.8875000000000002</v>
      </c>
      <c r="E92" s="3">
        <v>0</v>
      </c>
      <c r="F92" s="3">
        <f>9%*Table1[[#This Row],[Cost ]]</f>
        <v>0.61987499999999995</v>
      </c>
      <c r="G92" s="1" t="s">
        <v>1032</v>
      </c>
      <c r="H92" s="2">
        <v>1</v>
      </c>
      <c r="J92" s="49">
        <f>SUMIF('Multi-level BOM'!D$4:D$467,Table1[[#This Row],[Part Number]],'Multi-level BOM'!H$4:H$467)</f>
        <v>1</v>
      </c>
      <c r="K92" s="10">
        <f>Table1[[#This Row],[extended quantity]]*(Table1[[#This Row],[Cost ]]+Table1[[#This Row],[shipping]]+Table1[[#This Row],[Tax]])</f>
        <v>7.5073749999999997</v>
      </c>
      <c r="L92" s="83" t="str">
        <f>IF(Table1[[#This Row],[Buy-now costs]]&gt;0,"X","")</f>
        <v/>
      </c>
      <c r="M92" s="83">
        <v>1</v>
      </c>
      <c r="N92" s="83"/>
      <c r="O92" s="40">
        <v>1</v>
      </c>
      <c r="P92" s="97">
        <f>Table1[[#This Row],[quantity on-hand]]*(Table1[[#This Row],[Cost ]]+Table1[[#This Row],[shipping]]+Table1[[#This Row],[Tax]])</f>
        <v>7.5073749999999997</v>
      </c>
      <c r="Q92" s="40">
        <v>0</v>
      </c>
      <c r="R92" s="95">
        <f>Table1[[#This Row],[Quantity on order]]*(Table1[[#This Row],[Cost ]]+Table1[[#This Row],[shipping]]+Table1[[#This Row],[Tax]])</f>
        <v>0</v>
      </c>
      <c r="S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2" s="49">
        <f>Table1[[#This Row],[Quantity  to  purchase]]+Table1[[#This Row],[Quantity purchased]]+Table1[[#This Row],[Quantity on order]]+Table1[[#This Row],[Quantity donated]]-Table1[[#This Row],[extended quantity]]</f>
        <v>0</v>
      </c>
      <c r="U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2" s="51">
        <f>IFERROR(Table1[[#This Row],[Quantity  to  purchase]]*(Table1[[#This Row],[Cost ]]+Table1[[#This Row],[shipping]]+Table1[[#This Row],[Tax]]),0)</f>
        <v>0</v>
      </c>
      <c r="W92" s="36">
        <f>IFERROR(Table1[[#This Row],[leftover material]]*(Table1[[#This Row],[Cost ]]+Table1[[#This Row],[shipping]]+Table1[[#This Row],[Tax]]),0)</f>
        <v>0</v>
      </c>
      <c r="X92" s="36">
        <f>Table1[[#This Row],[Quantity purchased]]*(Table1[[#This Row],[Cost ]]+Table1[[#This Row],[shipping]]+Table1[[#This Row],[Tax]])</f>
        <v>7.5073749999999997</v>
      </c>
      <c r="Y92" s="87">
        <v>43882</v>
      </c>
      <c r="Z92" s="89"/>
      <c r="AA92" s="87">
        <v>43887</v>
      </c>
      <c r="AB92" s="36"/>
      <c r="AC92" s="36">
        <f>IF(ISNA(VLOOKUP(Table1[[#This Row],[Part Number]],'Multi-level BOM'!V$4:V$449,1,FALSE)),0,Table1[[#This Row],[Remaining Extended cost]])</f>
        <v>0</v>
      </c>
    </row>
    <row r="93" spans="1:29" ht="30" x14ac:dyDescent="0.25">
      <c r="A93" s="1" t="s">
        <v>96</v>
      </c>
      <c r="B93" s="4" t="s">
        <v>1029</v>
      </c>
      <c r="C93" s="1" t="s">
        <v>1017</v>
      </c>
      <c r="D93" s="3">
        <f t="shared" ref="D93:D95" si="6">27.55/4</f>
        <v>6.8875000000000002</v>
      </c>
      <c r="E93" s="3">
        <v>0</v>
      </c>
      <c r="F93" s="3">
        <f>9%*Table1[[#This Row],[Cost ]]</f>
        <v>0.61987499999999995</v>
      </c>
      <c r="G93" s="1" t="s">
        <v>1032</v>
      </c>
      <c r="H93" s="2">
        <v>1</v>
      </c>
      <c r="J93" s="49">
        <f>SUMIF('Multi-level BOM'!D$4:D$467,Table1[[#This Row],[Part Number]],'Multi-level BOM'!H$4:H$467)</f>
        <v>1</v>
      </c>
      <c r="K93" s="10">
        <f>Table1[[#This Row],[extended quantity]]*(Table1[[#This Row],[Cost ]]+Table1[[#This Row],[shipping]]+Table1[[#This Row],[Tax]])</f>
        <v>7.5073749999999997</v>
      </c>
      <c r="L93" s="83" t="str">
        <f>IF(Table1[[#This Row],[Buy-now costs]]&gt;0,"X","")</f>
        <v/>
      </c>
      <c r="M93" s="83">
        <v>1</v>
      </c>
      <c r="N93" s="83"/>
      <c r="O93" s="40">
        <v>1</v>
      </c>
      <c r="P93" s="97">
        <f>Table1[[#This Row],[quantity on-hand]]*(Table1[[#This Row],[Cost ]]+Table1[[#This Row],[shipping]]+Table1[[#This Row],[Tax]])</f>
        <v>7.5073749999999997</v>
      </c>
      <c r="Q93" s="40">
        <v>0</v>
      </c>
      <c r="R93" s="95">
        <f>Table1[[#This Row],[Quantity on order]]*(Table1[[#This Row],[Cost ]]+Table1[[#This Row],[shipping]]+Table1[[#This Row],[Tax]])</f>
        <v>0</v>
      </c>
      <c r="S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3" s="49">
        <f>Table1[[#This Row],[Quantity  to  purchase]]+Table1[[#This Row],[Quantity purchased]]+Table1[[#This Row],[Quantity on order]]+Table1[[#This Row],[Quantity donated]]-Table1[[#This Row],[extended quantity]]</f>
        <v>0</v>
      </c>
      <c r="U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3" s="51">
        <f>IFERROR(Table1[[#This Row],[Quantity  to  purchase]]*(Table1[[#This Row],[Cost ]]+Table1[[#This Row],[shipping]]+Table1[[#This Row],[Tax]]),0)</f>
        <v>0</v>
      </c>
      <c r="W93" s="36">
        <f>IFERROR(Table1[[#This Row],[leftover material]]*(Table1[[#This Row],[Cost ]]+Table1[[#This Row],[shipping]]+Table1[[#This Row],[Tax]]),0)</f>
        <v>0</v>
      </c>
      <c r="X93" s="36">
        <f>Table1[[#This Row],[Quantity purchased]]*(Table1[[#This Row],[Cost ]]+Table1[[#This Row],[shipping]]+Table1[[#This Row],[Tax]])</f>
        <v>7.5073749999999997</v>
      </c>
      <c r="Y93" s="87">
        <v>43882</v>
      </c>
      <c r="Z93" s="89"/>
      <c r="AA93" s="87">
        <v>43887</v>
      </c>
      <c r="AB93" s="36"/>
      <c r="AC93" s="36">
        <f>IF(ISNA(VLOOKUP(Table1[[#This Row],[Part Number]],'Multi-level BOM'!V$4:V$449,1,FALSE)),0,Table1[[#This Row],[Remaining Extended cost]])</f>
        <v>0</v>
      </c>
    </row>
    <row r="94" spans="1:29" ht="30" x14ac:dyDescent="0.25">
      <c r="A94" s="1" t="s">
        <v>97</v>
      </c>
      <c r="B94" s="4" t="s">
        <v>1030</v>
      </c>
      <c r="C94" s="1" t="s">
        <v>1017</v>
      </c>
      <c r="D94" s="3">
        <f t="shared" si="6"/>
        <v>6.8875000000000002</v>
      </c>
      <c r="E94" s="3">
        <v>0</v>
      </c>
      <c r="F94" s="3">
        <f>9%*Table1[[#This Row],[Cost ]]</f>
        <v>0.61987499999999995</v>
      </c>
      <c r="G94" s="1" t="s">
        <v>1032</v>
      </c>
      <c r="H94" s="2">
        <v>1</v>
      </c>
      <c r="J94" s="49">
        <f>SUMIF('Multi-level BOM'!D$4:D$467,Table1[[#This Row],[Part Number]],'Multi-level BOM'!H$4:H$467)</f>
        <v>1</v>
      </c>
      <c r="K94" s="10">
        <f>Table1[[#This Row],[extended quantity]]*(Table1[[#This Row],[Cost ]]+Table1[[#This Row],[shipping]]+Table1[[#This Row],[Tax]])</f>
        <v>7.5073749999999997</v>
      </c>
      <c r="L94" s="83" t="str">
        <f>IF(Table1[[#This Row],[Buy-now costs]]&gt;0,"X","")</f>
        <v/>
      </c>
      <c r="M94" s="83">
        <v>1</v>
      </c>
      <c r="N94" s="83"/>
      <c r="O94" s="40">
        <v>1</v>
      </c>
      <c r="P94" s="97">
        <f>Table1[[#This Row],[quantity on-hand]]*(Table1[[#This Row],[Cost ]]+Table1[[#This Row],[shipping]]+Table1[[#This Row],[Tax]])</f>
        <v>7.5073749999999997</v>
      </c>
      <c r="Q94" s="40">
        <v>0</v>
      </c>
      <c r="R94" s="95">
        <f>Table1[[#This Row],[Quantity on order]]*(Table1[[#This Row],[Cost ]]+Table1[[#This Row],[shipping]]+Table1[[#This Row],[Tax]])</f>
        <v>0</v>
      </c>
      <c r="S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4" s="49">
        <f>Table1[[#This Row],[Quantity  to  purchase]]+Table1[[#This Row],[Quantity purchased]]+Table1[[#This Row],[Quantity on order]]+Table1[[#This Row],[Quantity donated]]-Table1[[#This Row],[extended quantity]]</f>
        <v>0</v>
      </c>
      <c r="U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4" s="51">
        <f>IFERROR(Table1[[#This Row],[Quantity  to  purchase]]*(Table1[[#This Row],[Cost ]]+Table1[[#This Row],[shipping]]+Table1[[#This Row],[Tax]]),0)</f>
        <v>0</v>
      </c>
      <c r="W94" s="36">
        <f>IFERROR(Table1[[#This Row],[leftover material]]*(Table1[[#This Row],[Cost ]]+Table1[[#This Row],[shipping]]+Table1[[#This Row],[Tax]]),0)</f>
        <v>0</v>
      </c>
      <c r="X94" s="36">
        <f>Table1[[#This Row],[Quantity purchased]]*(Table1[[#This Row],[Cost ]]+Table1[[#This Row],[shipping]]+Table1[[#This Row],[Tax]])</f>
        <v>7.5073749999999997</v>
      </c>
      <c r="Y94" s="87">
        <v>43882</v>
      </c>
      <c r="Z94" s="89"/>
      <c r="AA94" s="87">
        <v>43887</v>
      </c>
      <c r="AB94" s="36"/>
      <c r="AC94" s="36">
        <f>IF(ISNA(VLOOKUP(Table1[[#This Row],[Part Number]],'Multi-level BOM'!V$4:V$449,1,FALSE)),0,Table1[[#This Row],[Remaining Extended cost]])</f>
        <v>0</v>
      </c>
    </row>
    <row r="95" spans="1:29" ht="30" x14ac:dyDescent="0.25">
      <c r="A95" s="1" t="s">
        <v>98</v>
      </c>
      <c r="B95" s="4" t="s">
        <v>1031</v>
      </c>
      <c r="C95" s="1" t="s">
        <v>1017</v>
      </c>
      <c r="D95" s="3">
        <f t="shared" si="6"/>
        <v>6.8875000000000002</v>
      </c>
      <c r="E95" s="3">
        <v>0</v>
      </c>
      <c r="F95" s="3">
        <f>9%*Table1[[#This Row],[Cost ]]</f>
        <v>0.61987499999999995</v>
      </c>
      <c r="G95" s="1" t="s">
        <v>1032</v>
      </c>
      <c r="H95" s="2">
        <v>1</v>
      </c>
      <c r="J95" s="49">
        <f>SUMIF('Multi-level BOM'!D$4:D$467,Table1[[#This Row],[Part Number]],'Multi-level BOM'!H$4:H$467)</f>
        <v>1</v>
      </c>
      <c r="K95" s="10">
        <f>Table1[[#This Row],[extended quantity]]*(Table1[[#This Row],[Cost ]]+Table1[[#This Row],[shipping]]+Table1[[#This Row],[Tax]])</f>
        <v>7.5073749999999997</v>
      </c>
      <c r="L95" s="83" t="str">
        <f>IF(Table1[[#This Row],[Buy-now costs]]&gt;0,"X","")</f>
        <v/>
      </c>
      <c r="M95" s="83">
        <v>1</v>
      </c>
      <c r="N95" s="83"/>
      <c r="O95" s="40">
        <v>1</v>
      </c>
      <c r="P95" s="97">
        <f>Table1[[#This Row],[quantity on-hand]]*(Table1[[#This Row],[Cost ]]+Table1[[#This Row],[shipping]]+Table1[[#This Row],[Tax]])</f>
        <v>7.5073749999999997</v>
      </c>
      <c r="Q95" s="40">
        <v>0</v>
      </c>
      <c r="R95" s="95">
        <f>Table1[[#This Row],[Quantity on order]]*(Table1[[#This Row],[Cost ]]+Table1[[#This Row],[shipping]]+Table1[[#This Row],[Tax]])</f>
        <v>0</v>
      </c>
      <c r="S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5" s="49">
        <f>Table1[[#This Row],[Quantity  to  purchase]]+Table1[[#This Row],[Quantity purchased]]+Table1[[#This Row],[Quantity on order]]+Table1[[#This Row],[Quantity donated]]-Table1[[#This Row],[extended quantity]]</f>
        <v>0</v>
      </c>
      <c r="U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5" s="51">
        <f>IFERROR(Table1[[#This Row],[Quantity  to  purchase]]*(Table1[[#This Row],[Cost ]]+Table1[[#This Row],[shipping]]+Table1[[#This Row],[Tax]]),0)</f>
        <v>0</v>
      </c>
      <c r="W95" s="36">
        <f>IFERROR(Table1[[#This Row],[leftover material]]*(Table1[[#This Row],[Cost ]]+Table1[[#This Row],[shipping]]+Table1[[#This Row],[Tax]]),0)</f>
        <v>0</v>
      </c>
      <c r="X95" s="36">
        <f>Table1[[#This Row],[Quantity purchased]]*(Table1[[#This Row],[Cost ]]+Table1[[#This Row],[shipping]]+Table1[[#This Row],[Tax]])</f>
        <v>7.5073749999999997</v>
      </c>
      <c r="Y95" s="87">
        <v>43882</v>
      </c>
      <c r="Z95" s="89"/>
      <c r="AA95" s="87">
        <v>43887</v>
      </c>
      <c r="AB95" s="36"/>
      <c r="AC95" s="36">
        <f>IF(ISNA(VLOOKUP(Table1[[#This Row],[Part Number]],'Multi-level BOM'!V$4:V$449,1,FALSE)),0,Table1[[#This Row],[Remaining Extended cost]])</f>
        <v>0</v>
      </c>
    </row>
    <row r="96" spans="1:29" x14ac:dyDescent="0.25">
      <c r="A96" s="1" t="s">
        <v>99</v>
      </c>
      <c r="B96" s="101" t="s">
        <v>1033</v>
      </c>
      <c r="C96" s="42" t="s">
        <v>1034</v>
      </c>
      <c r="D96" s="3">
        <v>9.02</v>
      </c>
      <c r="E96" s="100">
        <v>1.48</v>
      </c>
      <c r="F96" s="100">
        <v>7.47</v>
      </c>
      <c r="G96" s="5" t="s">
        <v>1035</v>
      </c>
      <c r="H96" s="2">
        <v>1</v>
      </c>
      <c r="J96" s="49">
        <f>SUMIF('Multi-level BOM'!D$4:D$467,Table1[[#This Row],[Part Number]],'Multi-level BOM'!H$4:H$467)</f>
        <v>1</v>
      </c>
      <c r="K96" s="10">
        <f>Table1[[#This Row],[extended quantity]]*(Table1[[#This Row],[Cost ]]+Table1[[#This Row],[shipping]]+Table1[[#This Row],[Tax]])</f>
        <v>17.97</v>
      </c>
      <c r="L96" s="83" t="str">
        <f>IF(Table1[[#This Row],[Buy-now costs]]&gt;0,"X","")</f>
        <v/>
      </c>
      <c r="M96" s="83">
        <v>1</v>
      </c>
      <c r="N96" s="83"/>
      <c r="O96" s="40">
        <v>1</v>
      </c>
      <c r="P96" s="97">
        <f>Table1[[#This Row],[quantity on-hand]]*(Table1[[#This Row],[Cost ]]+Table1[[#This Row],[shipping]]+Table1[[#This Row],[Tax]])</f>
        <v>17.97</v>
      </c>
      <c r="Q96" s="40">
        <v>0</v>
      </c>
      <c r="R96" s="95">
        <f>Table1[[#This Row],[Quantity on order]]*(Table1[[#This Row],[Cost ]]+Table1[[#This Row],[shipping]]+Table1[[#This Row],[Tax]])</f>
        <v>0</v>
      </c>
      <c r="S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6" s="49">
        <f>Table1[[#This Row],[Quantity  to  purchase]]+Table1[[#This Row],[Quantity purchased]]+Table1[[#This Row],[Quantity on order]]+Table1[[#This Row],[Quantity donated]]-Table1[[#This Row],[extended quantity]]</f>
        <v>0</v>
      </c>
      <c r="U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6" s="51">
        <f>IFERROR(Table1[[#This Row],[Quantity  to  purchase]]*(Table1[[#This Row],[Cost ]]+Table1[[#This Row],[shipping]]+Table1[[#This Row],[Tax]]),0)</f>
        <v>0</v>
      </c>
      <c r="W96" s="36">
        <f>IFERROR(Table1[[#This Row],[leftover material]]*(Table1[[#This Row],[Cost ]]+Table1[[#This Row],[shipping]]+Table1[[#This Row],[Tax]]),0)</f>
        <v>0</v>
      </c>
      <c r="X96" s="36">
        <f>Table1[[#This Row],[Quantity purchased]]*(Table1[[#This Row],[Cost ]]+Table1[[#This Row],[shipping]]+Table1[[#This Row],[Tax]])</f>
        <v>17.97</v>
      </c>
      <c r="Y96" s="87">
        <v>43882</v>
      </c>
      <c r="Z96" s="87"/>
      <c r="AA96" s="87">
        <v>43886</v>
      </c>
      <c r="AB96" s="36"/>
      <c r="AC96" s="36">
        <f>IF(ISNA(VLOOKUP(Table1[[#This Row],[Part Number]],'Multi-level BOM'!V$4:V$449,1,FALSE)),0,Table1[[#This Row],[Remaining Extended cost]])</f>
        <v>0</v>
      </c>
    </row>
    <row r="97" spans="1:29" x14ac:dyDescent="0.25">
      <c r="A97" s="1" t="s">
        <v>100</v>
      </c>
      <c r="B97" s="4" t="s">
        <v>1036</v>
      </c>
      <c r="C97" s="1" t="s">
        <v>1017</v>
      </c>
      <c r="D97" s="3">
        <f>5.99/200</f>
        <v>2.9950000000000001E-2</v>
      </c>
      <c r="E97" s="3">
        <v>0</v>
      </c>
      <c r="F97" s="3">
        <f>9%*Table1[[#This Row],[Cost ]]</f>
        <v>2.6955E-3</v>
      </c>
      <c r="G97" s="1" t="s">
        <v>1037</v>
      </c>
      <c r="H97" s="2">
        <v>200</v>
      </c>
      <c r="J97" s="49">
        <f>SUMIF('Multi-level BOM'!D$4:D$467,Table1[[#This Row],[Part Number]],'Multi-level BOM'!H$4:H$467)</f>
        <v>1</v>
      </c>
      <c r="K97" s="10">
        <f>Table1[[#This Row],[extended quantity]]*(Table1[[#This Row],[Cost ]]+Table1[[#This Row],[shipping]]+Table1[[#This Row],[Tax]])</f>
        <v>3.2645500000000001E-2</v>
      </c>
      <c r="L97" s="83" t="str">
        <f>IF(Table1[[#This Row],[Buy-now costs]]&gt;0,"X","")</f>
        <v/>
      </c>
      <c r="M97" s="83"/>
      <c r="N97" s="83"/>
      <c r="O97" s="40">
        <v>0</v>
      </c>
      <c r="P97" s="97">
        <f>Table1[[#This Row],[quantity on-hand]]*(Table1[[#This Row],[Cost ]]+Table1[[#This Row],[shipping]]+Table1[[#This Row],[Tax]])</f>
        <v>0</v>
      </c>
      <c r="Q97" s="40">
        <v>0</v>
      </c>
      <c r="R97" s="95">
        <f>Table1[[#This Row],[Quantity on order]]*(Table1[[#This Row],[Cost ]]+Table1[[#This Row],[shipping]]+Table1[[#This Row],[Tax]])</f>
        <v>0</v>
      </c>
      <c r="S97" s="49">
        <f>IFERROR(CEILING((Table1[[#This Row],[extended quantity]]-Table1[[#This Row],[quantity on-hand]]-Table1[[#This Row],[Quantity on order]])/Table1[[#This Row],[Minimum order quantity]],1)*Table1[[#This Row],[Minimum order quantity]],0)</f>
        <v>200</v>
      </c>
      <c r="T97" s="49">
        <f>Table1[[#This Row],[Quantity  to  purchase]]+Table1[[#This Row],[Quantity purchased]]+Table1[[#This Row],[Quantity on order]]+Table1[[#This Row],[Quantity donated]]-Table1[[#This Row],[extended quantity]]</f>
        <v>199</v>
      </c>
      <c r="U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3.2645500000000001E-2</v>
      </c>
      <c r="V97" s="51">
        <f>IFERROR(Table1[[#This Row],[Quantity  to  purchase]]*(Table1[[#This Row],[Cost ]]+Table1[[#This Row],[shipping]]+Table1[[#This Row],[Tax]]),0)</f>
        <v>6.5291000000000006</v>
      </c>
      <c r="W97" s="36">
        <f>IFERROR(Table1[[#This Row],[leftover material]]*(Table1[[#This Row],[Cost ]]+Table1[[#This Row],[shipping]]+Table1[[#This Row],[Tax]]),0)</f>
        <v>6.4964545000000005</v>
      </c>
      <c r="X97" s="36"/>
      <c r="Y97" s="87"/>
      <c r="Z97" s="87"/>
      <c r="AA97" s="87"/>
      <c r="AB97" s="36"/>
      <c r="AC97" s="36">
        <f>IF(ISNA(VLOOKUP(Table1[[#This Row],[Part Number]],'Multi-level BOM'!V$4:V$449,1,FALSE)),0,Table1[[#This Row],[Remaining Extended cost]])</f>
        <v>0</v>
      </c>
    </row>
    <row r="98" spans="1:29" ht="30" x14ac:dyDescent="0.25">
      <c r="A98" s="1" t="s">
        <v>101</v>
      </c>
      <c r="B98" s="4" t="s">
        <v>1038</v>
      </c>
      <c r="C98" s="1" t="s">
        <v>1017</v>
      </c>
      <c r="D98" s="3">
        <f>8.99/100</f>
        <v>8.9900000000000008E-2</v>
      </c>
      <c r="E98" s="3">
        <v>0</v>
      </c>
      <c r="F98" s="3">
        <f>9%*Table1[[#This Row],[Cost ]]</f>
        <v>8.091000000000001E-3</v>
      </c>
      <c r="G98" s="1" t="s">
        <v>1039</v>
      </c>
      <c r="H98" s="2">
        <v>100</v>
      </c>
      <c r="J98" s="49">
        <f>SUMIF('Multi-level BOM'!D$4:D$467,Table1[[#This Row],[Part Number]],'Multi-level BOM'!H$4:H$467)</f>
        <v>1</v>
      </c>
      <c r="K98" s="10">
        <f>Table1[[#This Row],[extended quantity]]*(Table1[[#This Row],[Cost ]]+Table1[[#This Row],[shipping]]+Table1[[#This Row],[Tax]])</f>
        <v>9.7991000000000009E-2</v>
      </c>
      <c r="L98" s="83" t="str">
        <f>IF(Table1[[#This Row],[Buy-now costs]]&gt;0,"X","")</f>
        <v/>
      </c>
      <c r="M98" s="83"/>
      <c r="N98" s="83"/>
      <c r="O98" s="40">
        <v>0</v>
      </c>
      <c r="P98" s="97">
        <f>Table1[[#This Row],[quantity on-hand]]*(Table1[[#This Row],[Cost ]]+Table1[[#This Row],[shipping]]+Table1[[#This Row],[Tax]])</f>
        <v>0</v>
      </c>
      <c r="Q98" s="40">
        <v>0</v>
      </c>
      <c r="R98" s="95">
        <f>Table1[[#This Row],[Quantity on order]]*(Table1[[#This Row],[Cost ]]+Table1[[#This Row],[shipping]]+Table1[[#This Row],[Tax]])</f>
        <v>0</v>
      </c>
      <c r="S98" s="49">
        <f>IFERROR(CEILING((Table1[[#This Row],[extended quantity]]-Table1[[#This Row],[quantity on-hand]]-Table1[[#This Row],[Quantity on order]])/Table1[[#This Row],[Minimum order quantity]],1)*Table1[[#This Row],[Minimum order quantity]],0)</f>
        <v>100</v>
      </c>
      <c r="T98" s="49">
        <f>Table1[[#This Row],[Quantity  to  purchase]]+Table1[[#This Row],[Quantity purchased]]+Table1[[#This Row],[Quantity on order]]+Table1[[#This Row],[Quantity donated]]-Table1[[#This Row],[extended quantity]]</f>
        <v>99</v>
      </c>
      <c r="U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9.7991000000000009E-2</v>
      </c>
      <c r="V98" s="51">
        <f>IFERROR(Table1[[#This Row],[Quantity  to  purchase]]*(Table1[[#This Row],[Cost ]]+Table1[[#This Row],[shipping]]+Table1[[#This Row],[Tax]]),0)</f>
        <v>9.799100000000001</v>
      </c>
      <c r="W98" s="36">
        <f>IFERROR(Table1[[#This Row],[leftover material]]*(Table1[[#This Row],[Cost ]]+Table1[[#This Row],[shipping]]+Table1[[#This Row],[Tax]]),0)</f>
        <v>9.7011090000000006</v>
      </c>
      <c r="X98" s="36"/>
      <c r="Y98" s="87"/>
      <c r="Z98" s="87"/>
      <c r="AA98" s="87"/>
      <c r="AB98" s="36"/>
      <c r="AC98" s="36">
        <f>IF(ISNA(VLOOKUP(Table1[[#This Row],[Part Number]],'Multi-level BOM'!V$4:V$449,1,FALSE)),0,Table1[[#This Row],[Remaining Extended cost]])</f>
        <v>0</v>
      </c>
    </row>
    <row r="99" spans="1:29" x14ac:dyDescent="0.25">
      <c r="A99" s="1" t="s">
        <v>102</v>
      </c>
      <c r="B99" s="4" t="s">
        <v>1043</v>
      </c>
      <c r="C99" s="1" t="s">
        <v>1017</v>
      </c>
      <c r="D99" s="3">
        <v>6.81</v>
      </c>
      <c r="E99" s="3">
        <v>0</v>
      </c>
      <c r="F99" s="3">
        <f>9%*Table1[[#This Row],[Cost ]]</f>
        <v>0.61289999999999989</v>
      </c>
      <c r="G99" s="1" t="s">
        <v>1040</v>
      </c>
      <c r="H99" s="2">
        <v>1</v>
      </c>
      <c r="J99" s="49">
        <f>SUMIF('Multi-level BOM'!D$4:D$467,Table1[[#This Row],[Part Number]],'Multi-level BOM'!H$4:H$467)</f>
        <v>1</v>
      </c>
      <c r="K99" s="10">
        <f>Table1[[#This Row],[extended quantity]]*(Table1[[#This Row],[Cost ]]+Table1[[#This Row],[shipping]]+Table1[[#This Row],[Tax]])</f>
        <v>7.4228999999999994</v>
      </c>
      <c r="L99" s="83" t="str">
        <f>IF(Table1[[#This Row],[Buy-now costs]]&gt;0,"X","")</f>
        <v/>
      </c>
      <c r="M99" s="83"/>
      <c r="N99" s="83"/>
      <c r="O99" s="40">
        <v>0</v>
      </c>
      <c r="P99" s="97">
        <f>Table1[[#This Row],[quantity on-hand]]*(Table1[[#This Row],[Cost ]]+Table1[[#This Row],[shipping]]+Table1[[#This Row],[Tax]])</f>
        <v>0</v>
      </c>
      <c r="Q99" s="40">
        <v>0</v>
      </c>
      <c r="R99" s="95">
        <f>Table1[[#This Row],[Quantity on order]]*(Table1[[#This Row],[Cost ]]+Table1[[#This Row],[shipping]]+Table1[[#This Row],[Tax]])</f>
        <v>0</v>
      </c>
      <c r="S99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99" s="49">
        <f>Table1[[#This Row],[Quantity  to  purchase]]+Table1[[#This Row],[Quantity purchased]]+Table1[[#This Row],[Quantity on order]]+Table1[[#This Row],[Quantity donated]]-Table1[[#This Row],[extended quantity]]</f>
        <v>0</v>
      </c>
      <c r="U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7.4228999999999994</v>
      </c>
      <c r="V99" s="51">
        <f>IFERROR(Table1[[#This Row],[Quantity  to  purchase]]*(Table1[[#This Row],[Cost ]]+Table1[[#This Row],[shipping]]+Table1[[#This Row],[Tax]]),0)</f>
        <v>7.4228999999999994</v>
      </c>
      <c r="W99" s="36">
        <f>IFERROR(Table1[[#This Row],[leftover material]]*(Table1[[#This Row],[Cost ]]+Table1[[#This Row],[shipping]]+Table1[[#This Row],[Tax]]),0)</f>
        <v>0</v>
      </c>
      <c r="X99" s="36"/>
      <c r="Y99" s="87"/>
      <c r="Z99" s="87"/>
      <c r="AA99" s="87"/>
      <c r="AB99" s="36"/>
      <c r="AC99" s="36">
        <f>IF(ISNA(VLOOKUP(Table1[[#This Row],[Part Number]],'Multi-level BOM'!V$4:V$449,1,FALSE)),0,Table1[[#This Row],[Remaining Extended cost]])</f>
        <v>0</v>
      </c>
    </row>
    <row r="100" spans="1:29" x14ac:dyDescent="0.25">
      <c r="A100" s="1" t="s">
        <v>103</v>
      </c>
      <c r="B100" s="4" t="s">
        <v>1044</v>
      </c>
      <c r="C100" s="1" t="s">
        <v>1017</v>
      </c>
      <c r="D100" s="3">
        <v>6.93</v>
      </c>
      <c r="E100" s="3">
        <v>0</v>
      </c>
      <c r="F100" s="3">
        <f>9%*Table1[[#This Row],[Cost ]]</f>
        <v>0.62369999999999992</v>
      </c>
      <c r="G100" s="1" t="s">
        <v>1052</v>
      </c>
      <c r="H100" s="2">
        <v>1</v>
      </c>
      <c r="J100" s="49">
        <f>SUMIF('Multi-level BOM'!D$4:D$467,Table1[[#This Row],[Part Number]],'Multi-level BOM'!H$4:H$467)</f>
        <v>1</v>
      </c>
      <c r="K100" s="10">
        <f>Table1[[#This Row],[extended quantity]]*(Table1[[#This Row],[Cost ]]+Table1[[#This Row],[shipping]]+Table1[[#This Row],[Tax]])</f>
        <v>7.5536999999999992</v>
      </c>
      <c r="L100" s="83" t="str">
        <f>IF(Table1[[#This Row],[Buy-now costs]]&gt;0,"X","")</f>
        <v/>
      </c>
      <c r="M100" s="83"/>
      <c r="N100" s="83"/>
      <c r="O100" s="40">
        <v>0</v>
      </c>
      <c r="P100" s="97">
        <f>Table1[[#This Row],[quantity on-hand]]*(Table1[[#This Row],[Cost ]]+Table1[[#This Row],[shipping]]+Table1[[#This Row],[Tax]])</f>
        <v>0</v>
      </c>
      <c r="Q100" s="40">
        <v>0</v>
      </c>
      <c r="R100" s="95">
        <f>Table1[[#This Row],[Quantity on order]]*(Table1[[#This Row],[Cost ]]+Table1[[#This Row],[shipping]]+Table1[[#This Row],[Tax]])</f>
        <v>0</v>
      </c>
      <c r="S10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100" s="49">
        <f>Table1[[#This Row],[Quantity  to  purchase]]+Table1[[#This Row],[Quantity purchased]]+Table1[[#This Row],[Quantity on order]]+Table1[[#This Row],[Quantity donated]]-Table1[[#This Row],[extended quantity]]</f>
        <v>0</v>
      </c>
      <c r="U1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7.5536999999999992</v>
      </c>
      <c r="V100" s="51">
        <f>IFERROR(Table1[[#This Row],[Quantity  to  purchase]]*(Table1[[#This Row],[Cost ]]+Table1[[#This Row],[shipping]]+Table1[[#This Row],[Tax]]),0)</f>
        <v>7.5536999999999992</v>
      </c>
      <c r="W100" s="36">
        <f>IFERROR(Table1[[#This Row],[leftover material]]*(Table1[[#This Row],[Cost ]]+Table1[[#This Row],[shipping]]+Table1[[#This Row],[Tax]]),0)</f>
        <v>0</v>
      </c>
      <c r="X100" s="36"/>
      <c r="Y100" s="87"/>
      <c r="Z100" s="87"/>
      <c r="AA100" s="87"/>
      <c r="AB100" s="36"/>
      <c r="AC100" s="36">
        <f>IF(ISNA(VLOOKUP(Table1[[#This Row],[Part Number]],'Multi-level BOM'!V$4:V$449,1,FALSE)),0,Table1[[#This Row],[Remaining Extended cost]])</f>
        <v>0</v>
      </c>
    </row>
    <row r="101" spans="1:29" x14ac:dyDescent="0.25">
      <c r="A101" s="1" t="s">
        <v>104</v>
      </c>
      <c r="B101" s="58" t="s">
        <v>1041</v>
      </c>
      <c r="C101" s="1" t="s">
        <v>1017</v>
      </c>
      <c r="D101" s="3">
        <v>8.6999999999999993</v>
      </c>
      <c r="E101" s="3">
        <v>0</v>
      </c>
      <c r="F101" s="3">
        <f>9%*Table1[[#This Row],[Cost ]]</f>
        <v>0.78299999999999992</v>
      </c>
      <c r="G101" s="1" t="s">
        <v>1042</v>
      </c>
      <c r="H101" s="2">
        <v>1</v>
      </c>
      <c r="J101" s="49">
        <f>SUMIF('Multi-level BOM'!D$4:D$467,Table1[[#This Row],[Part Number]],'Multi-level BOM'!H$4:H$467)</f>
        <v>1</v>
      </c>
      <c r="K101" s="10">
        <f>Table1[[#This Row],[extended quantity]]*(Table1[[#This Row],[Cost ]]+Table1[[#This Row],[shipping]]+Table1[[#This Row],[Tax]])</f>
        <v>9.4829999999999988</v>
      </c>
      <c r="L101" s="83" t="str">
        <f>IF(Table1[[#This Row],[Buy-now costs]]&gt;0,"X","")</f>
        <v/>
      </c>
      <c r="M101" s="83"/>
      <c r="N101" s="83"/>
      <c r="O101" s="40">
        <v>0</v>
      </c>
      <c r="P101" s="97">
        <f>Table1[[#This Row],[quantity on-hand]]*(Table1[[#This Row],[Cost ]]+Table1[[#This Row],[shipping]]+Table1[[#This Row],[Tax]])</f>
        <v>0</v>
      </c>
      <c r="Q101" s="40">
        <v>0</v>
      </c>
      <c r="R101" s="95">
        <f>Table1[[#This Row],[Quantity on order]]*(Table1[[#This Row],[Cost ]]+Table1[[#This Row],[shipping]]+Table1[[#This Row],[Tax]])</f>
        <v>0</v>
      </c>
      <c r="S10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101" s="49">
        <f>Table1[[#This Row],[Quantity  to  purchase]]+Table1[[#This Row],[Quantity purchased]]+Table1[[#This Row],[Quantity on order]]+Table1[[#This Row],[Quantity donated]]-Table1[[#This Row],[extended quantity]]</f>
        <v>0</v>
      </c>
      <c r="U1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9.4829999999999988</v>
      </c>
      <c r="V101" s="51">
        <f>IFERROR(Table1[[#This Row],[Quantity  to  purchase]]*(Table1[[#This Row],[Cost ]]+Table1[[#This Row],[shipping]]+Table1[[#This Row],[Tax]]),0)</f>
        <v>9.4829999999999988</v>
      </c>
      <c r="W101" s="36">
        <f>IFERROR(Table1[[#This Row],[leftover material]]*(Table1[[#This Row],[Cost ]]+Table1[[#This Row],[shipping]]+Table1[[#This Row],[Tax]]),0)</f>
        <v>0</v>
      </c>
      <c r="X101" s="36"/>
      <c r="Y101" s="87"/>
      <c r="Z101" s="87"/>
      <c r="AA101" s="87"/>
      <c r="AB101" s="36"/>
      <c r="AC101" s="36">
        <f>IF(ISNA(VLOOKUP(Table1[[#This Row],[Part Number]],'Multi-level BOM'!V$4:V$449,1,FALSE)),0,Table1[[#This Row],[Remaining Extended cost]])</f>
        <v>0</v>
      </c>
    </row>
    <row r="102" spans="1:29" x14ac:dyDescent="0.25">
      <c r="A102" s="1" t="s">
        <v>105</v>
      </c>
      <c r="B102" s="4"/>
      <c r="F102" s="3">
        <f>9%*Table1[[#This Row],[Cost ]]</f>
        <v>0</v>
      </c>
      <c r="J102" s="49">
        <f>SUMIF('Multi-level BOM'!D$4:D$467,Table1[[#This Row],[Part Number]],'Multi-level BOM'!H$4:H$467)</f>
        <v>0</v>
      </c>
      <c r="K102" s="10">
        <f>Table1[[#This Row],[extended quantity]]*(Table1[[#This Row],[Cost ]]+Table1[[#This Row],[shipping]]+Table1[[#This Row],[Tax]])</f>
        <v>0</v>
      </c>
      <c r="L102" s="83" t="str">
        <f>IF(Table1[[#This Row],[Buy-now costs]]&gt;0,"X","")</f>
        <v/>
      </c>
      <c r="M102" s="83"/>
      <c r="N102" s="83"/>
      <c r="O102" s="40">
        <v>0</v>
      </c>
      <c r="P102" s="97">
        <f>Table1[[#This Row],[quantity on-hand]]*(Table1[[#This Row],[Cost ]]+Table1[[#This Row],[shipping]]+Table1[[#This Row],[Tax]])</f>
        <v>0</v>
      </c>
      <c r="Q102" s="40">
        <v>0</v>
      </c>
      <c r="R102" s="95">
        <f>Table1[[#This Row],[Quantity on order]]*(Table1[[#This Row],[Cost ]]+Table1[[#This Row],[shipping]]+Table1[[#This Row],[Tax]])</f>
        <v>0</v>
      </c>
      <c r="S1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2" s="49">
        <f>Table1[[#This Row],[Quantity  to  purchase]]+Table1[[#This Row],[Quantity purchased]]+Table1[[#This Row],[Quantity on order]]+Table1[[#This Row],[Quantity donated]]-Table1[[#This Row],[extended quantity]]</f>
        <v>0</v>
      </c>
      <c r="U1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2" s="51">
        <f>IFERROR(Table1[[#This Row],[Quantity  to  purchase]]*(Table1[[#This Row],[Cost ]]+Table1[[#This Row],[shipping]]+Table1[[#This Row],[Tax]]),0)</f>
        <v>0</v>
      </c>
      <c r="W102" s="36">
        <f>IFERROR(Table1[[#This Row],[leftover material]]*(Table1[[#This Row],[Cost ]]+Table1[[#This Row],[shipping]]+Table1[[#This Row],[Tax]]),0)</f>
        <v>0</v>
      </c>
      <c r="X102" s="36"/>
      <c r="Y102" s="87"/>
      <c r="Z102" s="87"/>
      <c r="AA102" s="87"/>
      <c r="AB102" s="36"/>
      <c r="AC102" s="36">
        <f>IF(ISNA(VLOOKUP(Table1[[#This Row],[Part Number]],'Multi-level BOM'!V$4:V$449,1,FALSE)),0,Table1[[#This Row],[Remaining Extended cost]])</f>
        <v>0</v>
      </c>
    </row>
    <row r="103" spans="1:29" x14ac:dyDescent="0.25">
      <c r="A103" s="1" t="s">
        <v>106</v>
      </c>
      <c r="B103" s="4"/>
      <c r="F103" s="3">
        <f>9%*Table1[[#This Row],[Cost ]]</f>
        <v>0</v>
      </c>
      <c r="J103" s="49">
        <f>SUMIF('Multi-level BOM'!D$4:D$467,Table1[[#This Row],[Part Number]],'Multi-level BOM'!H$4:H$467)</f>
        <v>0</v>
      </c>
      <c r="K103" s="10">
        <f>Table1[[#This Row],[extended quantity]]*(Table1[[#This Row],[Cost ]]+Table1[[#This Row],[shipping]]+Table1[[#This Row],[Tax]])</f>
        <v>0</v>
      </c>
      <c r="L103" s="83" t="str">
        <f>IF(Table1[[#This Row],[Buy-now costs]]&gt;0,"X","")</f>
        <v/>
      </c>
      <c r="M103" s="83"/>
      <c r="N103" s="83"/>
      <c r="O103" s="40">
        <v>0</v>
      </c>
      <c r="P103" s="97">
        <f>Table1[[#This Row],[quantity on-hand]]*(Table1[[#This Row],[Cost ]]+Table1[[#This Row],[shipping]]+Table1[[#This Row],[Tax]])</f>
        <v>0</v>
      </c>
      <c r="Q103" s="40">
        <v>0</v>
      </c>
      <c r="R103" s="95">
        <f>Table1[[#This Row],[Quantity on order]]*(Table1[[#This Row],[Cost ]]+Table1[[#This Row],[shipping]]+Table1[[#This Row],[Tax]])</f>
        <v>0</v>
      </c>
      <c r="S1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3" s="49">
        <f>Table1[[#This Row],[Quantity  to  purchase]]+Table1[[#This Row],[Quantity purchased]]+Table1[[#This Row],[Quantity on order]]+Table1[[#This Row],[Quantity donated]]-Table1[[#This Row],[extended quantity]]</f>
        <v>0</v>
      </c>
      <c r="U1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3" s="51">
        <f>IFERROR(Table1[[#This Row],[Quantity  to  purchase]]*(Table1[[#This Row],[Cost ]]+Table1[[#This Row],[shipping]]+Table1[[#This Row],[Tax]]),0)</f>
        <v>0</v>
      </c>
      <c r="W103" s="36">
        <f>IFERROR(Table1[[#This Row],[leftover material]]*(Table1[[#This Row],[Cost ]]+Table1[[#This Row],[shipping]]+Table1[[#This Row],[Tax]]),0)</f>
        <v>0</v>
      </c>
      <c r="X103" s="36"/>
      <c r="Y103" s="87"/>
      <c r="Z103" s="87"/>
      <c r="AA103" s="87"/>
      <c r="AB103" s="36"/>
      <c r="AC103" s="36">
        <f>IF(ISNA(VLOOKUP(Table1[[#This Row],[Part Number]],'Multi-level BOM'!V$4:V$449,1,FALSE)),0,Table1[[#This Row],[Remaining Extended cost]])</f>
        <v>0</v>
      </c>
    </row>
    <row r="104" spans="1:29" x14ac:dyDescent="0.25">
      <c r="A104" s="1" t="s">
        <v>107</v>
      </c>
      <c r="B104" s="4"/>
      <c r="F104" s="3">
        <f>9%*Table1[[#This Row],[Cost ]]</f>
        <v>0</v>
      </c>
      <c r="J104" s="49">
        <f>SUMIF('Multi-level BOM'!D$4:D$467,Table1[[#This Row],[Part Number]],'Multi-level BOM'!H$4:H$467)</f>
        <v>0</v>
      </c>
      <c r="K104" s="10">
        <f>Table1[[#This Row],[extended quantity]]*(Table1[[#This Row],[Cost ]]+Table1[[#This Row],[shipping]]+Table1[[#This Row],[Tax]])</f>
        <v>0</v>
      </c>
      <c r="L104" s="83" t="str">
        <f>IF(Table1[[#This Row],[Buy-now costs]]&gt;0,"X","")</f>
        <v/>
      </c>
      <c r="M104" s="83"/>
      <c r="N104" s="83"/>
      <c r="O104" s="40">
        <v>0</v>
      </c>
      <c r="P104" s="97">
        <f>Table1[[#This Row],[quantity on-hand]]*(Table1[[#This Row],[Cost ]]+Table1[[#This Row],[shipping]]+Table1[[#This Row],[Tax]])</f>
        <v>0</v>
      </c>
      <c r="Q104" s="40">
        <v>0</v>
      </c>
      <c r="R104" s="95">
        <f>Table1[[#This Row],[Quantity on order]]*(Table1[[#This Row],[Cost ]]+Table1[[#This Row],[shipping]]+Table1[[#This Row],[Tax]])</f>
        <v>0</v>
      </c>
      <c r="S1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4" s="49">
        <f>Table1[[#This Row],[Quantity  to  purchase]]+Table1[[#This Row],[Quantity purchased]]+Table1[[#This Row],[Quantity on order]]+Table1[[#This Row],[Quantity donated]]-Table1[[#This Row],[extended quantity]]</f>
        <v>0</v>
      </c>
      <c r="U1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4" s="51">
        <f>IFERROR(Table1[[#This Row],[Quantity  to  purchase]]*(Table1[[#This Row],[Cost ]]+Table1[[#This Row],[shipping]]+Table1[[#This Row],[Tax]]),0)</f>
        <v>0</v>
      </c>
      <c r="W104" s="36">
        <f>IFERROR(Table1[[#This Row],[leftover material]]*(Table1[[#This Row],[Cost ]]+Table1[[#This Row],[shipping]]+Table1[[#This Row],[Tax]]),0)</f>
        <v>0</v>
      </c>
      <c r="X104" s="36"/>
      <c r="Y104" s="87"/>
      <c r="Z104" s="87"/>
      <c r="AA104" s="87"/>
      <c r="AB104" s="36"/>
      <c r="AC104" s="36">
        <f>IF(ISNA(VLOOKUP(Table1[[#This Row],[Part Number]],'Multi-level BOM'!V$4:V$449,1,FALSE)),0,Table1[[#This Row],[Remaining Extended cost]])</f>
        <v>0</v>
      </c>
    </row>
    <row r="105" spans="1:29" x14ac:dyDescent="0.25">
      <c r="A105" s="1" t="s">
        <v>108</v>
      </c>
      <c r="B105" s="4"/>
      <c r="F105" s="3">
        <f>9%*Table1[[#This Row],[Cost ]]</f>
        <v>0</v>
      </c>
      <c r="J105" s="49">
        <f>SUMIF('Multi-level BOM'!D$4:D$467,Table1[[#This Row],[Part Number]],'Multi-level BOM'!H$4:H$467)</f>
        <v>0</v>
      </c>
      <c r="K105" s="10">
        <f>Table1[[#This Row],[extended quantity]]*(Table1[[#This Row],[Cost ]]+Table1[[#This Row],[shipping]]+Table1[[#This Row],[Tax]])</f>
        <v>0</v>
      </c>
      <c r="L105" s="83" t="str">
        <f>IF(Table1[[#This Row],[Buy-now costs]]&gt;0,"X","")</f>
        <v/>
      </c>
      <c r="M105" s="83"/>
      <c r="N105" s="83"/>
      <c r="O105" s="40">
        <v>0</v>
      </c>
      <c r="P105" s="97">
        <f>Table1[[#This Row],[quantity on-hand]]*(Table1[[#This Row],[Cost ]]+Table1[[#This Row],[shipping]]+Table1[[#This Row],[Tax]])</f>
        <v>0</v>
      </c>
      <c r="Q105" s="40">
        <v>0</v>
      </c>
      <c r="R105" s="95">
        <f>Table1[[#This Row],[Quantity on order]]*(Table1[[#This Row],[Cost ]]+Table1[[#This Row],[shipping]]+Table1[[#This Row],[Tax]])</f>
        <v>0</v>
      </c>
      <c r="S1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5" s="49">
        <f>Table1[[#This Row],[Quantity  to  purchase]]+Table1[[#This Row],[Quantity purchased]]+Table1[[#This Row],[Quantity on order]]+Table1[[#This Row],[Quantity donated]]-Table1[[#This Row],[extended quantity]]</f>
        <v>0</v>
      </c>
      <c r="U1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5" s="51">
        <f>IFERROR(Table1[[#This Row],[Quantity  to  purchase]]*(Table1[[#This Row],[Cost ]]+Table1[[#This Row],[shipping]]+Table1[[#This Row],[Tax]]),0)</f>
        <v>0</v>
      </c>
      <c r="W105" s="36">
        <f>IFERROR(Table1[[#This Row],[leftover material]]*(Table1[[#This Row],[Cost ]]+Table1[[#This Row],[shipping]]+Table1[[#This Row],[Tax]]),0)</f>
        <v>0</v>
      </c>
      <c r="X105" s="36"/>
      <c r="Y105" s="87"/>
      <c r="Z105" s="87"/>
      <c r="AA105" s="87"/>
      <c r="AB105" s="36"/>
      <c r="AC105" s="36">
        <f>IF(ISNA(VLOOKUP(Table1[[#This Row],[Part Number]],'Multi-level BOM'!V$4:V$449,1,FALSE)),0,Table1[[#This Row],[Remaining Extended cost]])</f>
        <v>0</v>
      </c>
    </row>
    <row r="106" spans="1:29" x14ac:dyDescent="0.25">
      <c r="A106" s="1" t="s">
        <v>109</v>
      </c>
      <c r="B106" s="4"/>
      <c r="F106" s="3">
        <f>9%*Table1[[#This Row],[Cost ]]</f>
        <v>0</v>
      </c>
      <c r="J106" s="49">
        <f>SUMIF('Multi-level BOM'!D$4:D$467,Table1[[#This Row],[Part Number]],'Multi-level BOM'!H$4:H$467)</f>
        <v>0</v>
      </c>
      <c r="K106" s="10">
        <f>Table1[[#This Row],[extended quantity]]*(Table1[[#This Row],[Cost ]]+Table1[[#This Row],[shipping]]+Table1[[#This Row],[Tax]])</f>
        <v>0</v>
      </c>
      <c r="L106" s="83" t="str">
        <f>IF(Table1[[#This Row],[Buy-now costs]]&gt;0,"X","")</f>
        <v/>
      </c>
      <c r="M106" s="83"/>
      <c r="N106" s="83"/>
      <c r="O106" s="40">
        <v>0</v>
      </c>
      <c r="P106" s="97">
        <f>Table1[[#This Row],[quantity on-hand]]*(Table1[[#This Row],[Cost ]]+Table1[[#This Row],[shipping]]+Table1[[#This Row],[Tax]])</f>
        <v>0</v>
      </c>
      <c r="Q106" s="40">
        <v>0</v>
      </c>
      <c r="R106" s="95">
        <f>Table1[[#This Row],[Quantity on order]]*(Table1[[#This Row],[Cost ]]+Table1[[#This Row],[shipping]]+Table1[[#This Row],[Tax]])</f>
        <v>0</v>
      </c>
      <c r="S1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6" s="49">
        <f>Table1[[#This Row],[Quantity  to  purchase]]+Table1[[#This Row],[Quantity purchased]]+Table1[[#This Row],[Quantity on order]]+Table1[[#This Row],[Quantity donated]]-Table1[[#This Row],[extended quantity]]</f>
        <v>0</v>
      </c>
      <c r="U1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6" s="51">
        <f>IFERROR(Table1[[#This Row],[Quantity  to  purchase]]*(Table1[[#This Row],[Cost ]]+Table1[[#This Row],[shipping]]+Table1[[#This Row],[Tax]]),0)</f>
        <v>0</v>
      </c>
      <c r="W106" s="36">
        <f>IFERROR(Table1[[#This Row],[leftover material]]*(Table1[[#This Row],[Cost ]]+Table1[[#This Row],[shipping]]+Table1[[#This Row],[Tax]]),0)</f>
        <v>0</v>
      </c>
      <c r="X106" s="36"/>
      <c r="Y106" s="87"/>
      <c r="Z106" s="87"/>
      <c r="AA106" s="87"/>
      <c r="AB106" s="36"/>
      <c r="AC106" s="36">
        <f>IF(ISNA(VLOOKUP(Table1[[#This Row],[Part Number]],'Multi-level BOM'!V$4:V$449,1,FALSE)),0,Table1[[#This Row],[Remaining Extended cost]])</f>
        <v>0</v>
      </c>
    </row>
    <row r="107" spans="1:29" x14ac:dyDescent="0.25">
      <c r="A107" s="1" t="s">
        <v>110</v>
      </c>
      <c r="B107" s="4"/>
      <c r="F107" s="3">
        <f>9%*Table1[[#This Row],[Cost ]]</f>
        <v>0</v>
      </c>
      <c r="J107" s="49">
        <f>SUMIF('Multi-level BOM'!D$4:D$467,Table1[[#This Row],[Part Number]],'Multi-level BOM'!H$4:H$467)</f>
        <v>0</v>
      </c>
      <c r="K107" s="10">
        <f>Table1[[#This Row],[extended quantity]]*(Table1[[#This Row],[Cost ]]+Table1[[#This Row],[shipping]]+Table1[[#This Row],[Tax]])</f>
        <v>0</v>
      </c>
      <c r="L107" s="83" t="str">
        <f>IF(Table1[[#This Row],[Buy-now costs]]&gt;0,"X","")</f>
        <v/>
      </c>
      <c r="M107" s="83"/>
      <c r="N107" s="83"/>
      <c r="O107" s="40">
        <v>0</v>
      </c>
      <c r="P107" s="97">
        <f>Table1[[#This Row],[quantity on-hand]]*(Table1[[#This Row],[Cost ]]+Table1[[#This Row],[shipping]]+Table1[[#This Row],[Tax]])</f>
        <v>0</v>
      </c>
      <c r="Q107" s="40">
        <v>0</v>
      </c>
      <c r="R107" s="95">
        <f>Table1[[#This Row],[Quantity on order]]*(Table1[[#This Row],[Cost ]]+Table1[[#This Row],[shipping]]+Table1[[#This Row],[Tax]])</f>
        <v>0</v>
      </c>
      <c r="S1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7" s="49">
        <f>Table1[[#This Row],[Quantity  to  purchase]]+Table1[[#This Row],[Quantity purchased]]+Table1[[#This Row],[Quantity on order]]+Table1[[#This Row],[Quantity donated]]-Table1[[#This Row],[extended quantity]]</f>
        <v>0</v>
      </c>
      <c r="U1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7" s="51">
        <f>IFERROR(Table1[[#This Row],[Quantity  to  purchase]]*(Table1[[#This Row],[Cost ]]+Table1[[#This Row],[shipping]]+Table1[[#This Row],[Tax]]),0)</f>
        <v>0</v>
      </c>
      <c r="W107" s="36">
        <f>IFERROR(Table1[[#This Row],[leftover material]]*(Table1[[#This Row],[Cost ]]+Table1[[#This Row],[shipping]]+Table1[[#This Row],[Tax]]),0)</f>
        <v>0</v>
      </c>
      <c r="X107" s="36"/>
      <c r="Y107" s="87"/>
      <c r="Z107" s="87"/>
      <c r="AA107" s="87"/>
      <c r="AB107" s="36"/>
      <c r="AC107" s="36">
        <f>IF(ISNA(VLOOKUP(Table1[[#This Row],[Part Number]],'Multi-level BOM'!V$4:V$449,1,FALSE)),0,Table1[[#This Row],[Remaining Extended cost]])</f>
        <v>0</v>
      </c>
    </row>
    <row r="108" spans="1:29" x14ac:dyDescent="0.25">
      <c r="A108" s="1" t="s">
        <v>111</v>
      </c>
      <c r="B108" s="4"/>
      <c r="F108" s="3">
        <f>9%*Table1[[#This Row],[Cost ]]</f>
        <v>0</v>
      </c>
      <c r="J108" s="49">
        <f>SUMIF('Multi-level BOM'!D$4:D$467,Table1[[#This Row],[Part Number]],'Multi-level BOM'!H$4:H$467)</f>
        <v>0</v>
      </c>
      <c r="K108" s="10">
        <f>Table1[[#This Row],[extended quantity]]*(Table1[[#This Row],[Cost ]]+Table1[[#This Row],[shipping]]+Table1[[#This Row],[Tax]])</f>
        <v>0</v>
      </c>
      <c r="L108" s="83" t="str">
        <f>IF(Table1[[#This Row],[Buy-now costs]]&gt;0,"X","")</f>
        <v/>
      </c>
      <c r="M108" s="83"/>
      <c r="N108" s="83"/>
      <c r="O108" s="40">
        <v>0</v>
      </c>
      <c r="P108" s="97">
        <f>Table1[[#This Row],[quantity on-hand]]*(Table1[[#This Row],[Cost ]]+Table1[[#This Row],[shipping]]+Table1[[#This Row],[Tax]])</f>
        <v>0</v>
      </c>
      <c r="Q108" s="40">
        <v>0</v>
      </c>
      <c r="R108" s="95">
        <f>Table1[[#This Row],[Quantity on order]]*(Table1[[#This Row],[Cost ]]+Table1[[#This Row],[shipping]]+Table1[[#This Row],[Tax]])</f>
        <v>0</v>
      </c>
      <c r="S1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8" s="49">
        <f>Table1[[#This Row],[Quantity  to  purchase]]+Table1[[#This Row],[Quantity purchased]]+Table1[[#This Row],[Quantity on order]]+Table1[[#This Row],[Quantity donated]]-Table1[[#This Row],[extended quantity]]</f>
        <v>0</v>
      </c>
      <c r="U1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8" s="51">
        <f>IFERROR(Table1[[#This Row],[Quantity  to  purchase]]*(Table1[[#This Row],[Cost ]]+Table1[[#This Row],[shipping]]+Table1[[#This Row],[Tax]]),0)</f>
        <v>0</v>
      </c>
      <c r="W108" s="36">
        <f>IFERROR(Table1[[#This Row],[leftover material]]*(Table1[[#This Row],[Cost ]]+Table1[[#This Row],[shipping]]+Table1[[#This Row],[Tax]]),0)</f>
        <v>0</v>
      </c>
      <c r="X108" s="36"/>
      <c r="Y108" s="87"/>
      <c r="Z108" s="87"/>
      <c r="AA108" s="87"/>
      <c r="AB108" s="36"/>
      <c r="AC108" s="36">
        <f>IF(ISNA(VLOOKUP(Table1[[#This Row],[Part Number]],'Multi-level BOM'!V$4:V$449,1,FALSE)),0,Table1[[#This Row],[Remaining Extended cost]])</f>
        <v>0</v>
      </c>
    </row>
    <row r="109" spans="1:29" x14ac:dyDescent="0.25">
      <c r="A109" s="1" t="s">
        <v>112</v>
      </c>
      <c r="B109" s="4"/>
      <c r="F109" s="3">
        <f>9%*Table1[[#This Row],[Cost ]]</f>
        <v>0</v>
      </c>
      <c r="J109" s="49">
        <f>SUMIF('Multi-level BOM'!D$4:D$467,Table1[[#This Row],[Part Number]],'Multi-level BOM'!H$4:H$467)</f>
        <v>0</v>
      </c>
      <c r="K109" s="10">
        <f>Table1[[#This Row],[extended quantity]]*(Table1[[#This Row],[Cost ]]+Table1[[#This Row],[shipping]]+Table1[[#This Row],[Tax]])</f>
        <v>0</v>
      </c>
      <c r="L109" s="83" t="str">
        <f>IF(Table1[[#This Row],[Buy-now costs]]&gt;0,"X","")</f>
        <v/>
      </c>
      <c r="M109" s="83"/>
      <c r="N109" s="83"/>
      <c r="O109" s="40">
        <v>0</v>
      </c>
      <c r="P109" s="97">
        <f>Table1[[#This Row],[quantity on-hand]]*(Table1[[#This Row],[Cost ]]+Table1[[#This Row],[shipping]]+Table1[[#This Row],[Tax]])</f>
        <v>0</v>
      </c>
      <c r="Q109" s="40">
        <v>0</v>
      </c>
      <c r="R109" s="95">
        <f>Table1[[#This Row],[Quantity on order]]*(Table1[[#This Row],[Cost ]]+Table1[[#This Row],[shipping]]+Table1[[#This Row],[Tax]])</f>
        <v>0</v>
      </c>
      <c r="S1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9" s="49">
        <f>Table1[[#This Row],[Quantity  to  purchase]]+Table1[[#This Row],[Quantity purchased]]+Table1[[#This Row],[Quantity on order]]+Table1[[#This Row],[Quantity donated]]-Table1[[#This Row],[extended quantity]]</f>
        <v>0</v>
      </c>
      <c r="U1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9" s="51">
        <f>IFERROR(Table1[[#This Row],[Quantity  to  purchase]]*(Table1[[#This Row],[Cost ]]+Table1[[#This Row],[shipping]]+Table1[[#This Row],[Tax]]),0)</f>
        <v>0</v>
      </c>
      <c r="W109" s="36">
        <f>IFERROR(Table1[[#This Row],[leftover material]]*(Table1[[#This Row],[Cost ]]+Table1[[#This Row],[shipping]]+Table1[[#This Row],[Tax]]),0)</f>
        <v>0</v>
      </c>
      <c r="X109" s="36"/>
      <c r="Y109" s="87"/>
      <c r="Z109" s="87"/>
      <c r="AA109" s="87"/>
      <c r="AB109" s="36"/>
      <c r="AC109" s="36">
        <f>IF(ISNA(VLOOKUP(Table1[[#This Row],[Part Number]],'Multi-level BOM'!V$4:V$449,1,FALSE)),0,Table1[[#This Row],[Remaining Extended cost]])</f>
        <v>0</v>
      </c>
    </row>
    <row r="110" spans="1:29" x14ac:dyDescent="0.25">
      <c r="A110" s="1" t="s">
        <v>113</v>
      </c>
      <c r="B110" s="4"/>
      <c r="F110" s="3">
        <f>9%*Table1[[#This Row],[Cost ]]</f>
        <v>0</v>
      </c>
      <c r="J110" s="49">
        <f>SUMIF('Multi-level BOM'!D$4:D$467,Table1[[#This Row],[Part Number]],'Multi-level BOM'!H$4:H$467)</f>
        <v>0</v>
      </c>
      <c r="K110" s="10">
        <f>Table1[[#This Row],[extended quantity]]*(Table1[[#This Row],[Cost ]]+Table1[[#This Row],[shipping]]+Table1[[#This Row],[Tax]])</f>
        <v>0</v>
      </c>
      <c r="L110" s="83" t="str">
        <f>IF(Table1[[#This Row],[Buy-now costs]]&gt;0,"X","")</f>
        <v/>
      </c>
      <c r="M110" s="83"/>
      <c r="N110" s="83"/>
      <c r="O110" s="40">
        <v>0</v>
      </c>
      <c r="P110" s="97">
        <f>Table1[[#This Row],[quantity on-hand]]*(Table1[[#This Row],[Cost ]]+Table1[[#This Row],[shipping]]+Table1[[#This Row],[Tax]])</f>
        <v>0</v>
      </c>
      <c r="Q110" s="40">
        <v>0</v>
      </c>
      <c r="R110" s="95">
        <f>Table1[[#This Row],[Quantity on order]]*(Table1[[#This Row],[Cost ]]+Table1[[#This Row],[shipping]]+Table1[[#This Row],[Tax]])</f>
        <v>0</v>
      </c>
      <c r="S1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0" s="49">
        <f>Table1[[#This Row],[Quantity  to  purchase]]+Table1[[#This Row],[Quantity purchased]]+Table1[[#This Row],[Quantity on order]]+Table1[[#This Row],[Quantity donated]]-Table1[[#This Row],[extended quantity]]</f>
        <v>0</v>
      </c>
      <c r="U1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0" s="51">
        <f>IFERROR(Table1[[#This Row],[Quantity  to  purchase]]*(Table1[[#This Row],[Cost ]]+Table1[[#This Row],[shipping]]+Table1[[#This Row],[Tax]]),0)</f>
        <v>0</v>
      </c>
      <c r="W110" s="36">
        <f>IFERROR(Table1[[#This Row],[leftover material]]*(Table1[[#This Row],[Cost ]]+Table1[[#This Row],[shipping]]+Table1[[#This Row],[Tax]]),0)</f>
        <v>0</v>
      </c>
      <c r="X110" s="36"/>
      <c r="Y110" s="87"/>
      <c r="Z110" s="87"/>
      <c r="AA110" s="87"/>
      <c r="AB110" s="36"/>
      <c r="AC110" s="36">
        <f>IF(ISNA(VLOOKUP(Table1[[#This Row],[Part Number]],'Multi-level BOM'!V$4:V$449,1,FALSE)),0,Table1[[#This Row],[Remaining Extended cost]])</f>
        <v>0</v>
      </c>
    </row>
    <row r="111" spans="1:29" x14ac:dyDescent="0.25">
      <c r="A111" s="1" t="s">
        <v>114</v>
      </c>
      <c r="B111" s="4"/>
      <c r="F111" s="3">
        <f>9%*Table1[[#This Row],[Cost ]]</f>
        <v>0</v>
      </c>
      <c r="J111" s="49">
        <f>SUMIF('Multi-level BOM'!D$4:D$467,Table1[[#This Row],[Part Number]],'Multi-level BOM'!H$4:H$467)</f>
        <v>0</v>
      </c>
      <c r="K111" s="10">
        <f>Table1[[#This Row],[extended quantity]]*(Table1[[#This Row],[Cost ]]+Table1[[#This Row],[shipping]]+Table1[[#This Row],[Tax]])</f>
        <v>0</v>
      </c>
      <c r="L111" s="83" t="str">
        <f>IF(Table1[[#This Row],[Buy-now costs]]&gt;0,"X","")</f>
        <v/>
      </c>
      <c r="M111" s="83"/>
      <c r="N111" s="83"/>
      <c r="O111" s="40">
        <v>0</v>
      </c>
      <c r="P111" s="97">
        <f>Table1[[#This Row],[quantity on-hand]]*(Table1[[#This Row],[Cost ]]+Table1[[#This Row],[shipping]]+Table1[[#This Row],[Tax]])</f>
        <v>0</v>
      </c>
      <c r="Q111" s="40">
        <v>0</v>
      </c>
      <c r="R111" s="95">
        <f>Table1[[#This Row],[Quantity on order]]*(Table1[[#This Row],[Cost ]]+Table1[[#This Row],[shipping]]+Table1[[#This Row],[Tax]])</f>
        <v>0</v>
      </c>
      <c r="S1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1" s="49">
        <f>Table1[[#This Row],[Quantity  to  purchase]]+Table1[[#This Row],[Quantity purchased]]+Table1[[#This Row],[Quantity on order]]+Table1[[#This Row],[Quantity donated]]-Table1[[#This Row],[extended quantity]]</f>
        <v>0</v>
      </c>
      <c r="U1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1" s="51">
        <f>IFERROR(Table1[[#This Row],[Quantity  to  purchase]]*(Table1[[#This Row],[Cost ]]+Table1[[#This Row],[shipping]]+Table1[[#This Row],[Tax]]),0)</f>
        <v>0</v>
      </c>
      <c r="W111" s="36">
        <f>IFERROR(Table1[[#This Row],[leftover material]]*(Table1[[#This Row],[Cost ]]+Table1[[#This Row],[shipping]]+Table1[[#This Row],[Tax]]),0)</f>
        <v>0</v>
      </c>
      <c r="X111" s="36"/>
      <c r="Y111" s="87"/>
      <c r="Z111" s="87"/>
      <c r="AA111" s="87"/>
      <c r="AB111" s="36"/>
      <c r="AC111" s="36">
        <f>IF(ISNA(VLOOKUP(Table1[[#This Row],[Part Number]],'Multi-level BOM'!V$4:V$449,1,FALSE)),0,Table1[[#This Row],[Remaining Extended cost]])</f>
        <v>0</v>
      </c>
    </row>
    <row r="112" spans="1:29" x14ac:dyDescent="0.25">
      <c r="A112" s="1" t="s">
        <v>115</v>
      </c>
      <c r="B112" s="4"/>
      <c r="F112" s="3">
        <f>9%*Table1[[#This Row],[Cost ]]</f>
        <v>0</v>
      </c>
      <c r="J112" s="49">
        <f>SUMIF('Multi-level BOM'!D$4:D$467,Table1[[#This Row],[Part Number]],'Multi-level BOM'!H$4:H$467)</f>
        <v>0</v>
      </c>
      <c r="K112" s="10">
        <f>Table1[[#This Row],[extended quantity]]*(Table1[[#This Row],[Cost ]]+Table1[[#This Row],[shipping]]+Table1[[#This Row],[Tax]])</f>
        <v>0</v>
      </c>
      <c r="L112" s="83" t="str">
        <f>IF(Table1[[#This Row],[Buy-now costs]]&gt;0,"X","")</f>
        <v/>
      </c>
      <c r="M112" s="83"/>
      <c r="N112" s="83"/>
      <c r="O112" s="40">
        <v>0</v>
      </c>
      <c r="P112" s="97">
        <f>Table1[[#This Row],[quantity on-hand]]*(Table1[[#This Row],[Cost ]]+Table1[[#This Row],[shipping]]+Table1[[#This Row],[Tax]])</f>
        <v>0</v>
      </c>
      <c r="Q112" s="40">
        <v>0</v>
      </c>
      <c r="R112" s="95">
        <f>Table1[[#This Row],[Quantity on order]]*(Table1[[#This Row],[Cost ]]+Table1[[#This Row],[shipping]]+Table1[[#This Row],[Tax]])</f>
        <v>0</v>
      </c>
      <c r="S1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2" s="49">
        <f>Table1[[#This Row],[Quantity  to  purchase]]+Table1[[#This Row],[Quantity purchased]]+Table1[[#This Row],[Quantity on order]]+Table1[[#This Row],[Quantity donated]]-Table1[[#This Row],[extended quantity]]</f>
        <v>0</v>
      </c>
      <c r="U1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2" s="51">
        <f>IFERROR(Table1[[#This Row],[Quantity  to  purchase]]*(Table1[[#This Row],[Cost ]]+Table1[[#This Row],[shipping]]+Table1[[#This Row],[Tax]]),0)</f>
        <v>0</v>
      </c>
      <c r="W112" s="36">
        <f>IFERROR(Table1[[#This Row],[leftover material]]*(Table1[[#This Row],[Cost ]]+Table1[[#This Row],[shipping]]+Table1[[#This Row],[Tax]]),0)</f>
        <v>0</v>
      </c>
      <c r="X112" s="36"/>
      <c r="Y112" s="87"/>
      <c r="Z112" s="87"/>
      <c r="AA112" s="87"/>
      <c r="AB112" s="36"/>
      <c r="AC112" s="36">
        <f>IF(ISNA(VLOOKUP(Table1[[#This Row],[Part Number]],'Multi-level BOM'!V$4:V$449,1,FALSE)),0,Table1[[#This Row],[Remaining Extended cost]])</f>
        <v>0</v>
      </c>
    </row>
    <row r="113" spans="1:29" x14ac:dyDescent="0.25">
      <c r="A113" s="1" t="s">
        <v>116</v>
      </c>
      <c r="B113" s="4"/>
      <c r="F113" s="3">
        <f>9%*Table1[[#This Row],[Cost ]]</f>
        <v>0</v>
      </c>
      <c r="J113" s="49">
        <f>SUMIF('Multi-level BOM'!D$4:D$467,Table1[[#This Row],[Part Number]],'Multi-level BOM'!H$4:H$467)</f>
        <v>0</v>
      </c>
      <c r="K113" s="10">
        <f>Table1[[#This Row],[extended quantity]]*(Table1[[#This Row],[Cost ]]+Table1[[#This Row],[shipping]]+Table1[[#This Row],[Tax]])</f>
        <v>0</v>
      </c>
      <c r="L113" s="83" t="str">
        <f>IF(Table1[[#This Row],[Buy-now costs]]&gt;0,"X","")</f>
        <v/>
      </c>
      <c r="M113" s="83"/>
      <c r="N113" s="83"/>
      <c r="O113" s="40">
        <v>0</v>
      </c>
      <c r="P113" s="97">
        <f>Table1[[#This Row],[quantity on-hand]]*(Table1[[#This Row],[Cost ]]+Table1[[#This Row],[shipping]]+Table1[[#This Row],[Tax]])</f>
        <v>0</v>
      </c>
      <c r="Q113" s="40">
        <v>0</v>
      </c>
      <c r="R113" s="95">
        <f>Table1[[#This Row],[Quantity on order]]*(Table1[[#This Row],[Cost ]]+Table1[[#This Row],[shipping]]+Table1[[#This Row],[Tax]])</f>
        <v>0</v>
      </c>
      <c r="S1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3" s="49">
        <f>Table1[[#This Row],[Quantity  to  purchase]]+Table1[[#This Row],[Quantity purchased]]+Table1[[#This Row],[Quantity on order]]+Table1[[#This Row],[Quantity donated]]-Table1[[#This Row],[extended quantity]]</f>
        <v>0</v>
      </c>
      <c r="U1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3" s="51">
        <f>IFERROR(Table1[[#This Row],[Quantity  to  purchase]]*(Table1[[#This Row],[Cost ]]+Table1[[#This Row],[shipping]]+Table1[[#This Row],[Tax]]),0)</f>
        <v>0</v>
      </c>
      <c r="W113" s="36">
        <f>IFERROR(Table1[[#This Row],[leftover material]]*(Table1[[#This Row],[Cost ]]+Table1[[#This Row],[shipping]]+Table1[[#This Row],[Tax]]),0)</f>
        <v>0</v>
      </c>
      <c r="X113" s="36"/>
      <c r="Y113" s="87"/>
      <c r="Z113" s="87"/>
      <c r="AA113" s="87"/>
      <c r="AB113" s="36"/>
      <c r="AC113" s="36">
        <f>IF(ISNA(VLOOKUP(Table1[[#This Row],[Part Number]],'Multi-level BOM'!V$4:V$449,1,FALSE)),0,Table1[[#This Row],[Remaining Extended cost]])</f>
        <v>0</v>
      </c>
    </row>
    <row r="114" spans="1:29" x14ac:dyDescent="0.25">
      <c r="A114" s="1" t="s">
        <v>117</v>
      </c>
      <c r="B114" s="4"/>
      <c r="F114" s="3">
        <f>9%*Table1[[#This Row],[Cost ]]</f>
        <v>0</v>
      </c>
      <c r="J114" s="49">
        <f>SUMIF('Multi-level BOM'!D$4:D$467,Table1[[#This Row],[Part Number]],'Multi-level BOM'!H$4:H$467)</f>
        <v>0</v>
      </c>
      <c r="K114" s="10">
        <f>Table1[[#This Row],[extended quantity]]*(Table1[[#This Row],[Cost ]]+Table1[[#This Row],[shipping]]+Table1[[#This Row],[Tax]])</f>
        <v>0</v>
      </c>
      <c r="L114" s="83" t="str">
        <f>IF(Table1[[#This Row],[Buy-now costs]]&gt;0,"X","")</f>
        <v/>
      </c>
      <c r="M114" s="83"/>
      <c r="N114" s="83"/>
      <c r="O114" s="40">
        <v>0</v>
      </c>
      <c r="P114" s="97">
        <f>Table1[[#This Row],[quantity on-hand]]*(Table1[[#This Row],[Cost ]]+Table1[[#This Row],[shipping]]+Table1[[#This Row],[Tax]])</f>
        <v>0</v>
      </c>
      <c r="Q114" s="40">
        <v>0</v>
      </c>
      <c r="R114" s="95">
        <f>Table1[[#This Row],[Quantity on order]]*(Table1[[#This Row],[Cost ]]+Table1[[#This Row],[shipping]]+Table1[[#This Row],[Tax]])</f>
        <v>0</v>
      </c>
      <c r="S1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4" s="49">
        <f>Table1[[#This Row],[Quantity  to  purchase]]+Table1[[#This Row],[Quantity purchased]]+Table1[[#This Row],[Quantity on order]]+Table1[[#This Row],[Quantity donated]]-Table1[[#This Row],[extended quantity]]</f>
        <v>0</v>
      </c>
      <c r="U1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4" s="51">
        <f>IFERROR(Table1[[#This Row],[Quantity  to  purchase]]*(Table1[[#This Row],[Cost ]]+Table1[[#This Row],[shipping]]+Table1[[#This Row],[Tax]]),0)</f>
        <v>0</v>
      </c>
      <c r="W114" s="36">
        <f>IFERROR(Table1[[#This Row],[leftover material]]*(Table1[[#This Row],[Cost ]]+Table1[[#This Row],[shipping]]+Table1[[#This Row],[Tax]]),0)</f>
        <v>0</v>
      </c>
      <c r="X114" s="36"/>
      <c r="Y114" s="87"/>
      <c r="Z114" s="87"/>
      <c r="AA114" s="87"/>
      <c r="AB114" s="36"/>
      <c r="AC114" s="36">
        <f>IF(ISNA(VLOOKUP(Table1[[#This Row],[Part Number]],'Multi-level BOM'!V$4:V$449,1,FALSE)),0,Table1[[#This Row],[Remaining Extended cost]])</f>
        <v>0</v>
      </c>
    </row>
    <row r="115" spans="1:29" x14ac:dyDescent="0.25">
      <c r="A115" s="1" t="s">
        <v>118</v>
      </c>
      <c r="B115" s="4"/>
      <c r="F115" s="3">
        <f>9%*Table1[[#This Row],[Cost ]]</f>
        <v>0</v>
      </c>
      <c r="J115" s="49">
        <f>SUMIF('Multi-level BOM'!D$4:D$467,Table1[[#This Row],[Part Number]],'Multi-level BOM'!H$4:H$467)</f>
        <v>0</v>
      </c>
      <c r="K115" s="10">
        <f>Table1[[#This Row],[extended quantity]]*(Table1[[#This Row],[Cost ]]+Table1[[#This Row],[shipping]]+Table1[[#This Row],[Tax]])</f>
        <v>0</v>
      </c>
      <c r="L115" s="83" t="str">
        <f>IF(Table1[[#This Row],[Buy-now costs]]&gt;0,"X","")</f>
        <v/>
      </c>
      <c r="M115" s="83"/>
      <c r="N115" s="83"/>
      <c r="O115" s="40">
        <v>0</v>
      </c>
      <c r="P115" s="97">
        <f>Table1[[#This Row],[quantity on-hand]]*(Table1[[#This Row],[Cost ]]+Table1[[#This Row],[shipping]]+Table1[[#This Row],[Tax]])</f>
        <v>0</v>
      </c>
      <c r="Q115" s="40">
        <v>0</v>
      </c>
      <c r="R115" s="95">
        <f>Table1[[#This Row],[Quantity on order]]*(Table1[[#This Row],[Cost ]]+Table1[[#This Row],[shipping]]+Table1[[#This Row],[Tax]])</f>
        <v>0</v>
      </c>
      <c r="S1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5" s="49">
        <f>Table1[[#This Row],[Quantity  to  purchase]]+Table1[[#This Row],[Quantity purchased]]+Table1[[#This Row],[Quantity on order]]+Table1[[#This Row],[Quantity donated]]-Table1[[#This Row],[extended quantity]]</f>
        <v>0</v>
      </c>
      <c r="U1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5" s="51">
        <f>IFERROR(Table1[[#This Row],[Quantity  to  purchase]]*(Table1[[#This Row],[Cost ]]+Table1[[#This Row],[shipping]]+Table1[[#This Row],[Tax]]),0)</f>
        <v>0</v>
      </c>
      <c r="W115" s="36">
        <f>IFERROR(Table1[[#This Row],[leftover material]]*(Table1[[#This Row],[Cost ]]+Table1[[#This Row],[shipping]]+Table1[[#This Row],[Tax]]),0)</f>
        <v>0</v>
      </c>
      <c r="X115" s="36"/>
      <c r="Y115" s="87"/>
      <c r="Z115" s="87"/>
      <c r="AA115" s="87"/>
      <c r="AB115" s="36"/>
      <c r="AC115" s="36">
        <f>IF(ISNA(VLOOKUP(Table1[[#This Row],[Part Number]],'Multi-level BOM'!V$4:V$449,1,FALSE)),0,Table1[[#This Row],[Remaining Extended cost]])</f>
        <v>0</v>
      </c>
    </row>
    <row r="116" spans="1:29" x14ac:dyDescent="0.25">
      <c r="A116" s="1" t="s">
        <v>119</v>
      </c>
      <c r="B116" s="4"/>
      <c r="F116" s="3">
        <f>9%*Table1[[#This Row],[Cost ]]</f>
        <v>0</v>
      </c>
      <c r="J116" s="49">
        <f>SUMIF('Multi-level BOM'!D$4:D$467,Table1[[#This Row],[Part Number]],'Multi-level BOM'!H$4:H$467)</f>
        <v>0</v>
      </c>
      <c r="K116" s="10">
        <f>Table1[[#This Row],[extended quantity]]*(Table1[[#This Row],[Cost ]]+Table1[[#This Row],[shipping]]+Table1[[#This Row],[Tax]])</f>
        <v>0</v>
      </c>
      <c r="L116" s="83" t="str">
        <f>IF(Table1[[#This Row],[Buy-now costs]]&gt;0,"X","")</f>
        <v/>
      </c>
      <c r="M116" s="83"/>
      <c r="N116" s="83"/>
      <c r="O116" s="40">
        <v>0</v>
      </c>
      <c r="P116" s="97">
        <f>Table1[[#This Row],[quantity on-hand]]*(Table1[[#This Row],[Cost ]]+Table1[[#This Row],[shipping]]+Table1[[#This Row],[Tax]])</f>
        <v>0</v>
      </c>
      <c r="Q116" s="40">
        <v>0</v>
      </c>
      <c r="R116" s="95">
        <f>Table1[[#This Row],[Quantity on order]]*(Table1[[#This Row],[Cost ]]+Table1[[#This Row],[shipping]]+Table1[[#This Row],[Tax]])</f>
        <v>0</v>
      </c>
      <c r="S1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6" s="49">
        <f>Table1[[#This Row],[Quantity  to  purchase]]+Table1[[#This Row],[Quantity purchased]]+Table1[[#This Row],[Quantity on order]]+Table1[[#This Row],[Quantity donated]]-Table1[[#This Row],[extended quantity]]</f>
        <v>0</v>
      </c>
      <c r="U1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6" s="51">
        <f>IFERROR(Table1[[#This Row],[Quantity  to  purchase]]*(Table1[[#This Row],[Cost ]]+Table1[[#This Row],[shipping]]+Table1[[#This Row],[Tax]]),0)</f>
        <v>0</v>
      </c>
      <c r="W116" s="36">
        <f>IFERROR(Table1[[#This Row],[leftover material]]*(Table1[[#This Row],[Cost ]]+Table1[[#This Row],[shipping]]+Table1[[#This Row],[Tax]]),0)</f>
        <v>0</v>
      </c>
      <c r="X116" s="36"/>
      <c r="Y116" s="87"/>
      <c r="Z116" s="87"/>
      <c r="AA116" s="87"/>
      <c r="AB116" s="36"/>
      <c r="AC116" s="36">
        <f>IF(ISNA(VLOOKUP(Table1[[#This Row],[Part Number]],'Multi-level BOM'!V$4:V$449,1,FALSE)),0,Table1[[#This Row],[Remaining Extended cost]])</f>
        <v>0</v>
      </c>
    </row>
    <row r="117" spans="1:29" x14ac:dyDescent="0.25">
      <c r="A117" s="1" t="s">
        <v>120</v>
      </c>
      <c r="B117" s="4"/>
      <c r="F117" s="3">
        <f>9%*Table1[[#This Row],[Cost ]]</f>
        <v>0</v>
      </c>
      <c r="J117" s="49">
        <f>SUMIF('Multi-level BOM'!D$4:D$467,Table1[[#This Row],[Part Number]],'Multi-level BOM'!H$4:H$467)</f>
        <v>0</v>
      </c>
      <c r="K117" s="10">
        <f>Table1[[#This Row],[extended quantity]]*(Table1[[#This Row],[Cost ]]+Table1[[#This Row],[shipping]]+Table1[[#This Row],[Tax]])</f>
        <v>0</v>
      </c>
      <c r="L117" s="83" t="str">
        <f>IF(Table1[[#This Row],[Buy-now costs]]&gt;0,"X","")</f>
        <v/>
      </c>
      <c r="M117" s="83"/>
      <c r="N117" s="83"/>
      <c r="O117" s="40">
        <v>0</v>
      </c>
      <c r="P117" s="97">
        <f>Table1[[#This Row],[quantity on-hand]]*(Table1[[#This Row],[Cost ]]+Table1[[#This Row],[shipping]]+Table1[[#This Row],[Tax]])</f>
        <v>0</v>
      </c>
      <c r="Q117" s="40">
        <v>0</v>
      </c>
      <c r="R117" s="95">
        <f>Table1[[#This Row],[Quantity on order]]*(Table1[[#This Row],[Cost ]]+Table1[[#This Row],[shipping]]+Table1[[#This Row],[Tax]])</f>
        <v>0</v>
      </c>
      <c r="S1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7" s="49">
        <f>Table1[[#This Row],[Quantity  to  purchase]]+Table1[[#This Row],[Quantity purchased]]+Table1[[#This Row],[Quantity on order]]+Table1[[#This Row],[Quantity donated]]-Table1[[#This Row],[extended quantity]]</f>
        <v>0</v>
      </c>
      <c r="U1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7" s="51">
        <f>IFERROR(Table1[[#This Row],[Quantity  to  purchase]]*(Table1[[#This Row],[Cost ]]+Table1[[#This Row],[shipping]]+Table1[[#This Row],[Tax]]),0)</f>
        <v>0</v>
      </c>
      <c r="W117" s="36">
        <f>IFERROR(Table1[[#This Row],[leftover material]]*(Table1[[#This Row],[Cost ]]+Table1[[#This Row],[shipping]]+Table1[[#This Row],[Tax]]),0)</f>
        <v>0</v>
      </c>
      <c r="X117" s="36"/>
      <c r="Y117" s="87"/>
      <c r="Z117" s="87"/>
      <c r="AA117" s="87"/>
      <c r="AB117" s="36"/>
      <c r="AC117" s="36">
        <f>IF(ISNA(VLOOKUP(Table1[[#This Row],[Part Number]],'Multi-level BOM'!V$4:V$449,1,FALSE)),0,Table1[[#This Row],[Remaining Extended cost]])</f>
        <v>0</v>
      </c>
    </row>
    <row r="118" spans="1:29" x14ac:dyDescent="0.25">
      <c r="A118" s="1" t="s">
        <v>121</v>
      </c>
      <c r="B118" s="4"/>
      <c r="F118" s="3">
        <f>9%*Table1[[#This Row],[Cost ]]</f>
        <v>0</v>
      </c>
      <c r="J118" s="49">
        <f>SUMIF('Multi-level BOM'!D$4:D$467,Table1[[#This Row],[Part Number]],'Multi-level BOM'!H$4:H$467)</f>
        <v>0</v>
      </c>
      <c r="K118" s="10">
        <f>Table1[[#This Row],[extended quantity]]*(Table1[[#This Row],[Cost ]]+Table1[[#This Row],[shipping]]+Table1[[#This Row],[Tax]])</f>
        <v>0</v>
      </c>
      <c r="L118" s="83" t="str">
        <f>IF(Table1[[#This Row],[Buy-now costs]]&gt;0,"X","")</f>
        <v/>
      </c>
      <c r="M118" s="83"/>
      <c r="N118" s="83"/>
      <c r="O118" s="40">
        <v>0</v>
      </c>
      <c r="P118" s="97">
        <f>Table1[[#This Row],[quantity on-hand]]*(Table1[[#This Row],[Cost ]]+Table1[[#This Row],[shipping]]+Table1[[#This Row],[Tax]])</f>
        <v>0</v>
      </c>
      <c r="Q118" s="40">
        <v>0</v>
      </c>
      <c r="R118" s="95">
        <f>Table1[[#This Row],[Quantity on order]]*(Table1[[#This Row],[Cost ]]+Table1[[#This Row],[shipping]]+Table1[[#This Row],[Tax]])</f>
        <v>0</v>
      </c>
      <c r="S1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8" s="49">
        <f>Table1[[#This Row],[Quantity  to  purchase]]+Table1[[#This Row],[Quantity purchased]]+Table1[[#This Row],[Quantity on order]]+Table1[[#This Row],[Quantity donated]]-Table1[[#This Row],[extended quantity]]</f>
        <v>0</v>
      </c>
      <c r="U1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8" s="51">
        <f>IFERROR(Table1[[#This Row],[Quantity  to  purchase]]*(Table1[[#This Row],[Cost ]]+Table1[[#This Row],[shipping]]+Table1[[#This Row],[Tax]]),0)</f>
        <v>0</v>
      </c>
      <c r="W118" s="36">
        <f>IFERROR(Table1[[#This Row],[leftover material]]*(Table1[[#This Row],[Cost ]]+Table1[[#This Row],[shipping]]+Table1[[#This Row],[Tax]]),0)</f>
        <v>0</v>
      </c>
      <c r="X118" s="36"/>
      <c r="Y118" s="87"/>
      <c r="Z118" s="87"/>
      <c r="AA118" s="87"/>
      <c r="AB118" s="36"/>
      <c r="AC118" s="36">
        <f>IF(ISNA(VLOOKUP(Table1[[#This Row],[Part Number]],'Multi-level BOM'!V$4:V$449,1,FALSE)),0,Table1[[#This Row],[Remaining Extended cost]])</f>
        <v>0</v>
      </c>
    </row>
    <row r="119" spans="1:29" x14ac:dyDescent="0.25">
      <c r="A119" s="1" t="s">
        <v>122</v>
      </c>
      <c r="B119" s="4"/>
      <c r="F119" s="3">
        <f>9%*Table1[[#This Row],[Cost ]]</f>
        <v>0</v>
      </c>
      <c r="J119" s="49">
        <f>SUMIF('Multi-level BOM'!D$4:D$467,Table1[[#This Row],[Part Number]],'Multi-level BOM'!H$4:H$467)</f>
        <v>0</v>
      </c>
      <c r="K119" s="10">
        <f>Table1[[#This Row],[extended quantity]]*(Table1[[#This Row],[Cost ]]+Table1[[#This Row],[shipping]]+Table1[[#This Row],[Tax]])</f>
        <v>0</v>
      </c>
      <c r="L119" s="83" t="str">
        <f>IF(Table1[[#This Row],[Buy-now costs]]&gt;0,"X","")</f>
        <v/>
      </c>
      <c r="M119" s="83"/>
      <c r="N119" s="83"/>
      <c r="O119" s="40">
        <v>0</v>
      </c>
      <c r="P119" s="97">
        <f>Table1[[#This Row],[quantity on-hand]]*(Table1[[#This Row],[Cost ]]+Table1[[#This Row],[shipping]]+Table1[[#This Row],[Tax]])</f>
        <v>0</v>
      </c>
      <c r="Q119" s="40">
        <v>0</v>
      </c>
      <c r="R119" s="95">
        <f>Table1[[#This Row],[Quantity on order]]*(Table1[[#This Row],[Cost ]]+Table1[[#This Row],[shipping]]+Table1[[#This Row],[Tax]])</f>
        <v>0</v>
      </c>
      <c r="S1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9" s="49">
        <f>Table1[[#This Row],[Quantity  to  purchase]]+Table1[[#This Row],[Quantity purchased]]+Table1[[#This Row],[Quantity on order]]+Table1[[#This Row],[Quantity donated]]-Table1[[#This Row],[extended quantity]]</f>
        <v>0</v>
      </c>
      <c r="U1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9" s="51">
        <f>IFERROR(Table1[[#This Row],[Quantity  to  purchase]]*(Table1[[#This Row],[Cost ]]+Table1[[#This Row],[shipping]]+Table1[[#This Row],[Tax]]),0)</f>
        <v>0</v>
      </c>
      <c r="W119" s="36">
        <f>IFERROR(Table1[[#This Row],[leftover material]]*(Table1[[#This Row],[Cost ]]+Table1[[#This Row],[shipping]]+Table1[[#This Row],[Tax]]),0)</f>
        <v>0</v>
      </c>
      <c r="X119" s="36"/>
      <c r="Y119" s="87"/>
      <c r="Z119" s="87"/>
      <c r="AA119" s="87"/>
      <c r="AB119" s="36"/>
      <c r="AC119" s="36">
        <f>IF(ISNA(VLOOKUP(Table1[[#This Row],[Part Number]],'Multi-level BOM'!V$4:V$449,1,FALSE)),0,Table1[[#This Row],[Remaining Extended cost]])</f>
        <v>0</v>
      </c>
    </row>
    <row r="120" spans="1:29" x14ac:dyDescent="0.25">
      <c r="A120" s="1" t="s">
        <v>123</v>
      </c>
      <c r="B120" s="4"/>
      <c r="F120" s="3">
        <f>9%*Table1[[#This Row],[Cost ]]</f>
        <v>0</v>
      </c>
      <c r="J120" s="49">
        <f>SUMIF('Multi-level BOM'!D$4:D$467,Table1[[#This Row],[Part Number]],'Multi-level BOM'!H$4:H$467)</f>
        <v>0</v>
      </c>
      <c r="K120" s="10">
        <f>Table1[[#This Row],[extended quantity]]*(Table1[[#This Row],[Cost ]]+Table1[[#This Row],[shipping]]+Table1[[#This Row],[Tax]])</f>
        <v>0</v>
      </c>
      <c r="L120" s="83" t="str">
        <f>IF(Table1[[#This Row],[Buy-now costs]]&gt;0,"X","")</f>
        <v/>
      </c>
      <c r="M120" s="83"/>
      <c r="N120" s="83"/>
      <c r="O120" s="40">
        <v>0</v>
      </c>
      <c r="P120" s="97">
        <f>Table1[[#This Row],[quantity on-hand]]*(Table1[[#This Row],[Cost ]]+Table1[[#This Row],[shipping]]+Table1[[#This Row],[Tax]])</f>
        <v>0</v>
      </c>
      <c r="Q120" s="40">
        <v>0</v>
      </c>
      <c r="R120" s="95">
        <f>Table1[[#This Row],[Quantity on order]]*(Table1[[#This Row],[Cost ]]+Table1[[#This Row],[shipping]]+Table1[[#This Row],[Tax]])</f>
        <v>0</v>
      </c>
      <c r="S1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0" s="49">
        <f>Table1[[#This Row],[Quantity  to  purchase]]+Table1[[#This Row],[Quantity purchased]]+Table1[[#This Row],[Quantity on order]]+Table1[[#This Row],[Quantity donated]]-Table1[[#This Row],[extended quantity]]</f>
        <v>0</v>
      </c>
      <c r="U1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0" s="51">
        <f>IFERROR(Table1[[#This Row],[Quantity  to  purchase]]*(Table1[[#This Row],[Cost ]]+Table1[[#This Row],[shipping]]+Table1[[#This Row],[Tax]]),0)</f>
        <v>0</v>
      </c>
      <c r="W120" s="36">
        <f>IFERROR(Table1[[#This Row],[leftover material]]*(Table1[[#This Row],[Cost ]]+Table1[[#This Row],[shipping]]+Table1[[#This Row],[Tax]]),0)</f>
        <v>0</v>
      </c>
      <c r="X120" s="36"/>
      <c r="Y120" s="87"/>
      <c r="Z120" s="87"/>
      <c r="AA120" s="87"/>
      <c r="AB120" s="36"/>
      <c r="AC120" s="36">
        <f>IF(ISNA(VLOOKUP(Table1[[#This Row],[Part Number]],'Multi-level BOM'!V$4:V$449,1,FALSE)),0,Table1[[#This Row],[Remaining Extended cost]])</f>
        <v>0</v>
      </c>
    </row>
    <row r="121" spans="1:29" x14ac:dyDescent="0.25">
      <c r="A121" s="1" t="s">
        <v>124</v>
      </c>
      <c r="B121" s="4"/>
      <c r="F121" s="3">
        <f>9%*Table1[[#This Row],[Cost ]]</f>
        <v>0</v>
      </c>
      <c r="J121" s="49">
        <f>SUMIF('Multi-level BOM'!D$4:D$467,Table1[[#This Row],[Part Number]],'Multi-level BOM'!H$4:H$467)</f>
        <v>0</v>
      </c>
      <c r="K121" s="10">
        <f>Table1[[#This Row],[extended quantity]]*(Table1[[#This Row],[Cost ]]+Table1[[#This Row],[shipping]]+Table1[[#This Row],[Tax]])</f>
        <v>0</v>
      </c>
      <c r="L121" s="83" t="str">
        <f>IF(Table1[[#This Row],[Buy-now costs]]&gt;0,"X","")</f>
        <v/>
      </c>
      <c r="M121" s="83"/>
      <c r="N121" s="83"/>
      <c r="O121" s="40">
        <v>0</v>
      </c>
      <c r="P121" s="97">
        <f>Table1[[#This Row],[quantity on-hand]]*(Table1[[#This Row],[Cost ]]+Table1[[#This Row],[shipping]]+Table1[[#This Row],[Tax]])</f>
        <v>0</v>
      </c>
      <c r="Q121" s="40">
        <v>0</v>
      </c>
      <c r="R121" s="95">
        <f>Table1[[#This Row],[Quantity on order]]*(Table1[[#This Row],[Cost ]]+Table1[[#This Row],[shipping]]+Table1[[#This Row],[Tax]])</f>
        <v>0</v>
      </c>
      <c r="S1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1" s="49">
        <f>Table1[[#This Row],[Quantity  to  purchase]]+Table1[[#This Row],[Quantity purchased]]+Table1[[#This Row],[Quantity on order]]+Table1[[#This Row],[Quantity donated]]-Table1[[#This Row],[extended quantity]]</f>
        <v>0</v>
      </c>
      <c r="U1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1" s="51">
        <f>IFERROR(Table1[[#This Row],[Quantity  to  purchase]]*(Table1[[#This Row],[Cost ]]+Table1[[#This Row],[shipping]]+Table1[[#This Row],[Tax]]),0)</f>
        <v>0</v>
      </c>
      <c r="W121" s="36">
        <f>IFERROR(Table1[[#This Row],[leftover material]]*(Table1[[#This Row],[Cost ]]+Table1[[#This Row],[shipping]]+Table1[[#This Row],[Tax]]),0)</f>
        <v>0</v>
      </c>
      <c r="X121" s="36"/>
      <c r="Y121" s="87"/>
      <c r="Z121" s="87"/>
      <c r="AA121" s="87"/>
      <c r="AB121" s="36"/>
      <c r="AC121" s="36">
        <f>IF(ISNA(VLOOKUP(Table1[[#This Row],[Part Number]],'Multi-level BOM'!V$4:V$449,1,FALSE)),0,Table1[[#This Row],[Remaining Extended cost]])</f>
        <v>0</v>
      </c>
    </row>
    <row r="122" spans="1:29" x14ac:dyDescent="0.25">
      <c r="A122" s="1" t="s">
        <v>125</v>
      </c>
      <c r="B122" s="4"/>
      <c r="F122" s="3">
        <f>9%*Table1[[#This Row],[Cost ]]</f>
        <v>0</v>
      </c>
      <c r="J122" s="49">
        <f>SUMIF('Multi-level BOM'!D$4:D$467,Table1[[#This Row],[Part Number]],'Multi-level BOM'!H$4:H$467)</f>
        <v>0</v>
      </c>
      <c r="K122" s="10">
        <f>Table1[[#This Row],[extended quantity]]*(Table1[[#This Row],[Cost ]]+Table1[[#This Row],[shipping]]+Table1[[#This Row],[Tax]])</f>
        <v>0</v>
      </c>
      <c r="L122" s="83" t="str">
        <f>IF(Table1[[#This Row],[Buy-now costs]]&gt;0,"X","")</f>
        <v/>
      </c>
      <c r="M122" s="83"/>
      <c r="N122" s="83"/>
      <c r="O122" s="40">
        <v>0</v>
      </c>
      <c r="P122" s="97">
        <f>Table1[[#This Row],[quantity on-hand]]*(Table1[[#This Row],[Cost ]]+Table1[[#This Row],[shipping]]+Table1[[#This Row],[Tax]])</f>
        <v>0</v>
      </c>
      <c r="Q122" s="40">
        <v>0</v>
      </c>
      <c r="R122" s="95">
        <f>Table1[[#This Row],[Quantity on order]]*(Table1[[#This Row],[Cost ]]+Table1[[#This Row],[shipping]]+Table1[[#This Row],[Tax]])</f>
        <v>0</v>
      </c>
      <c r="S1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2" s="49">
        <f>Table1[[#This Row],[Quantity  to  purchase]]+Table1[[#This Row],[Quantity purchased]]+Table1[[#This Row],[Quantity on order]]+Table1[[#This Row],[Quantity donated]]-Table1[[#This Row],[extended quantity]]</f>
        <v>0</v>
      </c>
      <c r="U1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2" s="51">
        <f>IFERROR(Table1[[#This Row],[Quantity  to  purchase]]*(Table1[[#This Row],[Cost ]]+Table1[[#This Row],[shipping]]+Table1[[#This Row],[Tax]]),0)</f>
        <v>0</v>
      </c>
      <c r="W122" s="36">
        <f>IFERROR(Table1[[#This Row],[leftover material]]*(Table1[[#This Row],[Cost ]]+Table1[[#This Row],[shipping]]+Table1[[#This Row],[Tax]]),0)</f>
        <v>0</v>
      </c>
      <c r="X122" s="36"/>
      <c r="Y122" s="87"/>
      <c r="Z122" s="87"/>
      <c r="AA122" s="87"/>
      <c r="AB122" s="36"/>
      <c r="AC122" s="36">
        <f>IF(ISNA(VLOOKUP(Table1[[#This Row],[Part Number]],'Multi-level BOM'!V$4:V$449,1,FALSE)),0,Table1[[#This Row],[Remaining Extended cost]])</f>
        <v>0</v>
      </c>
    </row>
    <row r="123" spans="1:29" x14ac:dyDescent="0.25">
      <c r="A123" s="1" t="s">
        <v>126</v>
      </c>
      <c r="B123" s="4"/>
      <c r="F123" s="3">
        <f>9%*Table1[[#This Row],[Cost ]]</f>
        <v>0</v>
      </c>
      <c r="J123" s="49">
        <f>SUMIF('Multi-level BOM'!D$4:D$467,Table1[[#This Row],[Part Number]],'Multi-level BOM'!H$4:H$467)</f>
        <v>0</v>
      </c>
      <c r="K123" s="10">
        <f>Table1[[#This Row],[extended quantity]]*(Table1[[#This Row],[Cost ]]+Table1[[#This Row],[shipping]]+Table1[[#This Row],[Tax]])</f>
        <v>0</v>
      </c>
      <c r="L123" s="83" t="str">
        <f>IF(Table1[[#This Row],[Buy-now costs]]&gt;0,"X","")</f>
        <v/>
      </c>
      <c r="M123" s="83"/>
      <c r="N123" s="83"/>
      <c r="O123" s="40">
        <v>0</v>
      </c>
      <c r="P123" s="97">
        <f>Table1[[#This Row],[quantity on-hand]]*(Table1[[#This Row],[Cost ]]+Table1[[#This Row],[shipping]]+Table1[[#This Row],[Tax]])</f>
        <v>0</v>
      </c>
      <c r="Q123" s="40">
        <v>0</v>
      </c>
      <c r="R123" s="95">
        <f>Table1[[#This Row],[Quantity on order]]*(Table1[[#This Row],[Cost ]]+Table1[[#This Row],[shipping]]+Table1[[#This Row],[Tax]])</f>
        <v>0</v>
      </c>
      <c r="S1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3" s="49">
        <f>Table1[[#This Row],[Quantity  to  purchase]]+Table1[[#This Row],[Quantity purchased]]+Table1[[#This Row],[Quantity on order]]+Table1[[#This Row],[Quantity donated]]-Table1[[#This Row],[extended quantity]]</f>
        <v>0</v>
      </c>
      <c r="U1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3" s="51">
        <f>IFERROR(Table1[[#This Row],[Quantity  to  purchase]]*(Table1[[#This Row],[Cost ]]+Table1[[#This Row],[shipping]]+Table1[[#This Row],[Tax]]),0)</f>
        <v>0</v>
      </c>
      <c r="W123" s="36">
        <f>IFERROR(Table1[[#This Row],[leftover material]]*(Table1[[#This Row],[Cost ]]+Table1[[#This Row],[shipping]]+Table1[[#This Row],[Tax]]),0)</f>
        <v>0</v>
      </c>
      <c r="X123" s="36"/>
      <c r="Y123" s="87"/>
      <c r="Z123" s="87"/>
      <c r="AA123" s="87"/>
      <c r="AB123" s="36"/>
      <c r="AC123" s="36">
        <f>IF(ISNA(VLOOKUP(Table1[[#This Row],[Part Number]],'Multi-level BOM'!V$4:V$449,1,FALSE)),0,Table1[[#This Row],[Remaining Extended cost]])</f>
        <v>0</v>
      </c>
    </row>
    <row r="124" spans="1:29" x14ac:dyDescent="0.25">
      <c r="A124" s="1" t="s">
        <v>127</v>
      </c>
      <c r="B124" s="4"/>
      <c r="F124" s="3">
        <f>9%*Table1[[#This Row],[Cost ]]</f>
        <v>0</v>
      </c>
      <c r="J124" s="49">
        <f>SUMIF('Multi-level BOM'!D$4:D$467,Table1[[#This Row],[Part Number]],'Multi-level BOM'!H$4:H$467)</f>
        <v>0</v>
      </c>
      <c r="K124" s="10">
        <f>Table1[[#This Row],[extended quantity]]*(Table1[[#This Row],[Cost ]]+Table1[[#This Row],[shipping]]+Table1[[#This Row],[Tax]])</f>
        <v>0</v>
      </c>
      <c r="L124" s="83" t="str">
        <f>IF(Table1[[#This Row],[Buy-now costs]]&gt;0,"X","")</f>
        <v/>
      </c>
      <c r="M124" s="83"/>
      <c r="N124" s="83"/>
      <c r="O124" s="40">
        <v>0</v>
      </c>
      <c r="P124" s="97">
        <f>Table1[[#This Row],[quantity on-hand]]*(Table1[[#This Row],[Cost ]]+Table1[[#This Row],[shipping]]+Table1[[#This Row],[Tax]])</f>
        <v>0</v>
      </c>
      <c r="Q124" s="40">
        <v>0</v>
      </c>
      <c r="R124" s="95">
        <f>Table1[[#This Row],[Quantity on order]]*(Table1[[#This Row],[Cost ]]+Table1[[#This Row],[shipping]]+Table1[[#This Row],[Tax]])</f>
        <v>0</v>
      </c>
      <c r="S1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4" s="49">
        <f>Table1[[#This Row],[Quantity  to  purchase]]+Table1[[#This Row],[Quantity purchased]]+Table1[[#This Row],[Quantity on order]]+Table1[[#This Row],[Quantity donated]]-Table1[[#This Row],[extended quantity]]</f>
        <v>0</v>
      </c>
      <c r="U1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4" s="51">
        <f>IFERROR(Table1[[#This Row],[Quantity  to  purchase]]*(Table1[[#This Row],[Cost ]]+Table1[[#This Row],[shipping]]+Table1[[#This Row],[Tax]]),0)</f>
        <v>0</v>
      </c>
      <c r="W124" s="36">
        <f>IFERROR(Table1[[#This Row],[leftover material]]*(Table1[[#This Row],[Cost ]]+Table1[[#This Row],[shipping]]+Table1[[#This Row],[Tax]]),0)</f>
        <v>0</v>
      </c>
      <c r="X124" s="36"/>
      <c r="Y124" s="87"/>
      <c r="Z124" s="87"/>
      <c r="AA124" s="87"/>
      <c r="AB124" s="36"/>
      <c r="AC124" s="36">
        <f>IF(ISNA(VLOOKUP(Table1[[#This Row],[Part Number]],'Multi-level BOM'!V$4:V$449,1,FALSE)),0,Table1[[#This Row],[Remaining Extended cost]])</f>
        <v>0</v>
      </c>
    </row>
    <row r="125" spans="1:29" x14ac:dyDescent="0.25">
      <c r="A125" s="1" t="s">
        <v>128</v>
      </c>
      <c r="B125" s="4"/>
      <c r="F125" s="3">
        <f>9%*Table1[[#This Row],[Cost ]]</f>
        <v>0</v>
      </c>
      <c r="J125" s="49">
        <f>SUMIF('Multi-level BOM'!D$4:D$467,Table1[[#This Row],[Part Number]],'Multi-level BOM'!H$4:H$467)</f>
        <v>0</v>
      </c>
      <c r="K125" s="10">
        <f>Table1[[#This Row],[extended quantity]]*(Table1[[#This Row],[Cost ]]+Table1[[#This Row],[shipping]]+Table1[[#This Row],[Tax]])</f>
        <v>0</v>
      </c>
      <c r="L125" s="83" t="str">
        <f>IF(Table1[[#This Row],[Buy-now costs]]&gt;0,"X","")</f>
        <v/>
      </c>
      <c r="M125" s="83"/>
      <c r="N125" s="83"/>
      <c r="O125" s="40">
        <v>0</v>
      </c>
      <c r="P125" s="97">
        <f>Table1[[#This Row],[quantity on-hand]]*(Table1[[#This Row],[Cost ]]+Table1[[#This Row],[shipping]]+Table1[[#This Row],[Tax]])</f>
        <v>0</v>
      </c>
      <c r="Q125" s="40">
        <v>0</v>
      </c>
      <c r="R125" s="95">
        <f>Table1[[#This Row],[Quantity on order]]*(Table1[[#This Row],[Cost ]]+Table1[[#This Row],[shipping]]+Table1[[#This Row],[Tax]])</f>
        <v>0</v>
      </c>
      <c r="S1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5" s="49">
        <f>Table1[[#This Row],[Quantity  to  purchase]]+Table1[[#This Row],[Quantity purchased]]+Table1[[#This Row],[Quantity on order]]+Table1[[#This Row],[Quantity donated]]-Table1[[#This Row],[extended quantity]]</f>
        <v>0</v>
      </c>
      <c r="U1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5" s="51">
        <f>IFERROR(Table1[[#This Row],[Quantity  to  purchase]]*(Table1[[#This Row],[Cost ]]+Table1[[#This Row],[shipping]]+Table1[[#This Row],[Tax]]),0)</f>
        <v>0</v>
      </c>
      <c r="W125" s="36">
        <f>IFERROR(Table1[[#This Row],[leftover material]]*(Table1[[#This Row],[Cost ]]+Table1[[#This Row],[shipping]]+Table1[[#This Row],[Tax]]),0)</f>
        <v>0</v>
      </c>
      <c r="X125" s="36"/>
      <c r="Y125" s="87"/>
      <c r="Z125" s="87"/>
      <c r="AA125" s="87"/>
      <c r="AB125" s="36"/>
      <c r="AC125" s="36">
        <f>IF(ISNA(VLOOKUP(Table1[[#This Row],[Part Number]],'Multi-level BOM'!V$4:V$449,1,FALSE)),0,Table1[[#This Row],[Remaining Extended cost]])</f>
        <v>0</v>
      </c>
    </row>
    <row r="126" spans="1:29" x14ac:dyDescent="0.25">
      <c r="A126" s="1" t="s">
        <v>129</v>
      </c>
      <c r="B126" s="4"/>
      <c r="F126" s="3">
        <f>9%*Table1[[#This Row],[Cost ]]</f>
        <v>0</v>
      </c>
      <c r="J126" s="49">
        <f>SUMIF('Multi-level BOM'!D$4:D$467,Table1[[#This Row],[Part Number]],'Multi-level BOM'!H$4:H$467)</f>
        <v>0</v>
      </c>
      <c r="K126" s="10">
        <f>Table1[[#This Row],[extended quantity]]*(Table1[[#This Row],[Cost ]]+Table1[[#This Row],[shipping]]+Table1[[#This Row],[Tax]])</f>
        <v>0</v>
      </c>
      <c r="L126" s="83" t="str">
        <f>IF(Table1[[#This Row],[Buy-now costs]]&gt;0,"X","")</f>
        <v/>
      </c>
      <c r="M126" s="83"/>
      <c r="N126" s="83"/>
      <c r="O126" s="40">
        <v>0</v>
      </c>
      <c r="P126" s="97">
        <f>Table1[[#This Row],[quantity on-hand]]*(Table1[[#This Row],[Cost ]]+Table1[[#This Row],[shipping]]+Table1[[#This Row],[Tax]])</f>
        <v>0</v>
      </c>
      <c r="Q126" s="40">
        <v>0</v>
      </c>
      <c r="R126" s="95">
        <f>Table1[[#This Row],[Quantity on order]]*(Table1[[#This Row],[Cost ]]+Table1[[#This Row],[shipping]]+Table1[[#This Row],[Tax]])</f>
        <v>0</v>
      </c>
      <c r="S1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6" s="49">
        <f>Table1[[#This Row],[Quantity  to  purchase]]+Table1[[#This Row],[Quantity purchased]]+Table1[[#This Row],[Quantity on order]]+Table1[[#This Row],[Quantity donated]]-Table1[[#This Row],[extended quantity]]</f>
        <v>0</v>
      </c>
      <c r="U1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6" s="51">
        <f>IFERROR(Table1[[#This Row],[Quantity  to  purchase]]*(Table1[[#This Row],[Cost ]]+Table1[[#This Row],[shipping]]+Table1[[#This Row],[Tax]]),0)</f>
        <v>0</v>
      </c>
      <c r="W126" s="36">
        <f>IFERROR(Table1[[#This Row],[leftover material]]*(Table1[[#This Row],[Cost ]]+Table1[[#This Row],[shipping]]+Table1[[#This Row],[Tax]]),0)</f>
        <v>0</v>
      </c>
      <c r="X126" s="36"/>
      <c r="Y126" s="87"/>
      <c r="Z126" s="87"/>
      <c r="AA126" s="87"/>
      <c r="AB126" s="36"/>
      <c r="AC126" s="36">
        <f>IF(ISNA(VLOOKUP(Table1[[#This Row],[Part Number]],'Multi-level BOM'!V$4:V$449,1,FALSE)),0,Table1[[#This Row],[Remaining Extended cost]])</f>
        <v>0</v>
      </c>
    </row>
    <row r="127" spans="1:29" x14ac:dyDescent="0.25">
      <c r="A127" s="1" t="s">
        <v>130</v>
      </c>
      <c r="B127" s="4"/>
      <c r="F127" s="3">
        <f>9%*Table1[[#This Row],[Cost ]]</f>
        <v>0</v>
      </c>
      <c r="J127" s="49">
        <f>SUMIF('Multi-level BOM'!D$4:D$467,Table1[[#This Row],[Part Number]],'Multi-level BOM'!H$4:H$467)</f>
        <v>0</v>
      </c>
      <c r="K127" s="10">
        <f>Table1[[#This Row],[extended quantity]]*(Table1[[#This Row],[Cost ]]+Table1[[#This Row],[shipping]]+Table1[[#This Row],[Tax]])</f>
        <v>0</v>
      </c>
      <c r="L127" s="83" t="str">
        <f>IF(Table1[[#This Row],[Buy-now costs]]&gt;0,"X","")</f>
        <v/>
      </c>
      <c r="M127" s="83"/>
      <c r="N127" s="83"/>
      <c r="O127" s="40">
        <v>0</v>
      </c>
      <c r="P127" s="97">
        <f>Table1[[#This Row],[quantity on-hand]]*(Table1[[#This Row],[Cost ]]+Table1[[#This Row],[shipping]]+Table1[[#This Row],[Tax]])</f>
        <v>0</v>
      </c>
      <c r="Q127" s="40">
        <v>0</v>
      </c>
      <c r="R127" s="95">
        <f>Table1[[#This Row],[Quantity on order]]*(Table1[[#This Row],[Cost ]]+Table1[[#This Row],[shipping]]+Table1[[#This Row],[Tax]])</f>
        <v>0</v>
      </c>
      <c r="S1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7" s="49">
        <f>Table1[[#This Row],[Quantity  to  purchase]]+Table1[[#This Row],[Quantity purchased]]+Table1[[#This Row],[Quantity on order]]+Table1[[#This Row],[Quantity donated]]-Table1[[#This Row],[extended quantity]]</f>
        <v>0</v>
      </c>
      <c r="U1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7" s="51">
        <f>IFERROR(Table1[[#This Row],[Quantity  to  purchase]]*(Table1[[#This Row],[Cost ]]+Table1[[#This Row],[shipping]]+Table1[[#This Row],[Tax]]),0)</f>
        <v>0</v>
      </c>
      <c r="W127" s="36">
        <f>IFERROR(Table1[[#This Row],[leftover material]]*(Table1[[#This Row],[Cost ]]+Table1[[#This Row],[shipping]]+Table1[[#This Row],[Tax]]),0)</f>
        <v>0</v>
      </c>
      <c r="X127" s="36"/>
      <c r="Y127" s="87"/>
      <c r="Z127" s="87"/>
      <c r="AA127" s="87"/>
      <c r="AB127" s="36"/>
      <c r="AC127" s="36">
        <f>IF(ISNA(VLOOKUP(Table1[[#This Row],[Part Number]],'Multi-level BOM'!V$4:V$449,1,FALSE)),0,Table1[[#This Row],[Remaining Extended cost]])</f>
        <v>0</v>
      </c>
    </row>
    <row r="128" spans="1:29" x14ac:dyDescent="0.25">
      <c r="A128" s="1" t="s">
        <v>131</v>
      </c>
      <c r="B128" s="4"/>
      <c r="F128" s="3">
        <f>9%*Table1[[#This Row],[Cost ]]</f>
        <v>0</v>
      </c>
      <c r="J128" s="49">
        <f>SUMIF('Multi-level BOM'!D$4:D$467,Table1[[#This Row],[Part Number]],'Multi-level BOM'!H$4:H$467)</f>
        <v>0</v>
      </c>
      <c r="K128" s="10">
        <f>Table1[[#This Row],[extended quantity]]*(Table1[[#This Row],[Cost ]]+Table1[[#This Row],[shipping]]+Table1[[#This Row],[Tax]])</f>
        <v>0</v>
      </c>
      <c r="L128" s="83" t="str">
        <f>IF(Table1[[#This Row],[Buy-now costs]]&gt;0,"X","")</f>
        <v/>
      </c>
      <c r="M128" s="83"/>
      <c r="N128" s="83"/>
      <c r="O128" s="40">
        <v>0</v>
      </c>
      <c r="P128" s="97">
        <f>Table1[[#This Row],[quantity on-hand]]*(Table1[[#This Row],[Cost ]]+Table1[[#This Row],[shipping]]+Table1[[#This Row],[Tax]])</f>
        <v>0</v>
      </c>
      <c r="Q128" s="40">
        <v>0</v>
      </c>
      <c r="R128" s="95">
        <f>Table1[[#This Row],[Quantity on order]]*(Table1[[#This Row],[Cost ]]+Table1[[#This Row],[shipping]]+Table1[[#This Row],[Tax]])</f>
        <v>0</v>
      </c>
      <c r="S1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8" s="49">
        <f>Table1[[#This Row],[Quantity  to  purchase]]+Table1[[#This Row],[Quantity purchased]]+Table1[[#This Row],[Quantity on order]]+Table1[[#This Row],[Quantity donated]]-Table1[[#This Row],[extended quantity]]</f>
        <v>0</v>
      </c>
      <c r="U1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8" s="51">
        <f>IFERROR(Table1[[#This Row],[Quantity  to  purchase]]*(Table1[[#This Row],[Cost ]]+Table1[[#This Row],[shipping]]+Table1[[#This Row],[Tax]]),0)</f>
        <v>0</v>
      </c>
      <c r="W128" s="36">
        <f>IFERROR(Table1[[#This Row],[leftover material]]*(Table1[[#This Row],[Cost ]]+Table1[[#This Row],[shipping]]+Table1[[#This Row],[Tax]]),0)</f>
        <v>0</v>
      </c>
      <c r="X128" s="36"/>
      <c r="Y128" s="87"/>
      <c r="Z128" s="87"/>
      <c r="AA128" s="87"/>
      <c r="AB128" s="36"/>
      <c r="AC128" s="36">
        <f>IF(ISNA(VLOOKUP(Table1[[#This Row],[Part Number]],'Multi-level BOM'!V$4:V$449,1,FALSE)),0,Table1[[#This Row],[Remaining Extended cost]])</f>
        <v>0</v>
      </c>
    </row>
    <row r="129" spans="1:29" x14ac:dyDescent="0.25">
      <c r="A129" s="1" t="s">
        <v>132</v>
      </c>
      <c r="B129" s="4"/>
      <c r="F129" s="3">
        <f>9%*Table1[[#This Row],[Cost ]]</f>
        <v>0</v>
      </c>
      <c r="J129" s="49">
        <f>SUMIF('Multi-level BOM'!D$4:D$467,Table1[[#This Row],[Part Number]],'Multi-level BOM'!H$4:H$467)</f>
        <v>0</v>
      </c>
      <c r="K129" s="10">
        <f>Table1[[#This Row],[extended quantity]]*(Table1[[#This Row],[Cost ]]+Table1[[#This Row],[shipping]]+Table1[[#This Row],[Tax]])</f>
        <v>0</v>
      </c>
      <c r="L129" s="83" t="str">
        <f>IF(Table1[[#This Row],[Buy-now costs]]&gt;0,"X","")</f>
        <v/>
      </c>
      <c r="M129" s="83"/>
      <c r="N129" s="83"/>
      <c r="O129" s="40">
        <v>0</v>
      </c>
      <c r="P129" s="97">
        <f>Table1[[#This Row],[quantity on-hand]]*(Table1[[#This Row],[Cost ]]+Table1[[#This Row],[shipping]]+Table1[[#This Row],[Tax]])</f>
        <v>0</v>
      </c>
      <c r="Q129" s="40">
        <v>0</v>
      </c>
      <c r="R129" s="95">
        <f>Table1[[#This Row],[Quantity on order]]*(Table1[[#This Row],[Cost ]]+Table1[[#This Row],[shipping]]+Table1[[#This Row],[Tax]])</f>
        <v>0</v>
      </c>
      <c r="S1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9" s="49">
        <f>Table1[[#This Row],[Quantity  to  purchase]]+Table1[[#This Row],[Quantity purchased]]+Table1[[#This Row],[Quantity on order]]+Table1[[#This Row],[Quantity donated]]-Table1[[#This Row],[extended quantity]]</f>
        <v>0</v>
      </c>
      <c r="U1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9" s="51">
        <f>IFERROR(Table1[[#This Row],[Quantity  to  purchase]]*(Table1[[#This Row],[Cost ]]+Table1[[#This Row],[shipping]]+Table1[[#This Row],[Tax]]),0)</f>
        <v>0</v>
      </c>
      <c r="W129" s="36">
        <f>IFERROR(Table1[[#This Row],[leftover material]]*(Table1[[#This Row],[Cost ]]+Table1[[#This Row],[shipping]]+Table1[[#This Row],[Tax]]),0)</f>
        <v>0</v>
      </c>
      <c r="X129" s="36"/>
      <c r="Y129" s="87"/>
      <c r="Z129" s="87"/>
      <c r="AA129" s="87"/>
      <c r="AB129" s="36"/>
      <c r="AC129" s="36">
        <f>IF(ISNA(VLOOKUP(Table1[[#This Row],[Part Number]],'Multi-level BOM'!V$4:V$449,1,FALSE)),0,Table1[[#This Row],[Remaining Extended cost]])</f>
        <v>0</v>
      </c>
    </row>
    <row r="130" spans="1:29" x14ac:dyDescent="0.25">
      <c r="A130" s="1" t="s">
        <v>133</v>
      </c>
      <c r="B130" s="4"/>
      <c r="F130" s="3">
        <f>9%*Table1[[#This Row],[Cost ]]</f>
        <v>0</v>
      </c>
      <c r="J130" s="49">
        <f>SUMIF('Multi-level BOM'!D$4:D$467,Table1[[#This Row],[Part Number]],'Multi-level BOM'!H$4:H$467)</f>
        <v>0</v>
      </c>
      <c r="K130" s="10">
        <f>Table1[[#This Row],[extended quantity]]*(Table1[[#This Row],[Cost ]]+Table1[[#This Row],[shipping]]+Table1[[#This Row],[Tax]])</f>
        <v>0</v>
      </c>
      <c r="L130" s="83" t="str">
        <f>IF(Table1[[#This Row],[Buy-now costs]]&gt;0,"X","")</f>
        <v/>
      </c>
      <c r="M130" s="83"/>
      <c r="N130" s="83"/>
      <c r="O130" s="40">
        <v>0</v>
      </c>
      <c r="P130" s="97">
        <f>Table1[[#This Row],[quantity on-hand]]*(Table1[[#This Row],[Cost ]]+Table1[[#This Row],[shipping]]+Table1[[#This Row],[Tax]])</f>
        <v>0</v>
      </c>
      <c r="Q130" s="40">
        <v>0</v>
      </c>
      <c r="R130" s="95">
        <f>Table1[[#This Row],[Quantity on order]]*(Table1[[#This Row],[Cost ]]+Table1[[#This Row],[shipping]]+Table1[[#This Row],[Tax]])</f>
        <v>0</v>
      </c>
      <c r="S1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0" s="49">
        <f>Table1[[#This Row],[Quantity  to  purchase]]+Table1[[#This Row],[Quantity purchased]]+Table1[[#This Row],[Quantity on order]]+Table1[[#This Row],[Quantity donated]]-Table1[[#This Row],[extended quantity]]</f>
        <v>0</v>
      </c>
      <c r="U1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0" s="51">
        <f>IFERROR(Table1[[#This Row],[Quantity  to  purchase]]*(Table1[[#This Row],[Cost ]]+Table1[[#This Row],[shipping]]+Table1[[#This Row],[Tax]]),0)</f>
        <v>0</v>
      </c>
      <c r="W130" s="36">
        <f>IFERROR(Table1[[#This Row],[leftover material]]*(Table1[[#This Row],[Cost ]]+Table1[[#This Row],[shipping]]+Table1[[#This Row],[Tax]]),0)</f>
        <v>0</v>
      </c>
      <c r="X130" s="36"/>
      <c r="Y130" s="87"/>
      <c r="Z130" s="87"/>
      <c r="AA130" s="87"/>
      <c r="AB130" s="36"/>
      <c r="AC130" s="36">
        <f>IF(ISNA(VLOOKUP(Table1[[#This Row],[Part Number]],'Multi-level BOM'!V$4:V$449,1,FALSE)),0,Table1[[#This Row],[Remaining Extended cost]])</f>
        <v>0</v>
      </c>
    </row>
    <row r="131" spans="1:29" x14ac:dyDescent="0.25">
      <c r="A131" s="1" t="s">
        <v>134</v>
      </c>
      <c r="B131" s="4"/>
      <c r="F131" s="3">
        <f>9%*Table1[[#This Row],[Cost ]]</f>
        <v>0</v>
      </c>
      <c r="J131" s="49">
        <f>SUMIF('Multi-level BOM'!D$4:D$467,Table1[[#This Row],[Part Number]],'Multi-level BOM'!H$4:H$467)</f>
        <v>0</v>
      </c>
      <c r="K131" s="10">
        <f>Table1[[#This Row],[extended quantity]]*(Table1[[#This Row],[Cost ]]+Table1[[#This Row],[shipping]]+Table1[[#This Row],[Tax]])</f>
        <v>0</v>
      </c>
      <c r="L131" s="83" t="str">
        <f>IF(Table1[[#This Row],[Buy-now costs]]&gt;0,"X","")</f>
        <v/>
      </c>
      <c r="M131" s="83"/>
      <c r="N131" s="83"/>
      <c r="O131" s="40">
        <v>0</v>
      </c>
      <c r="P131" s="97">
        <f>Table1[[#This Row],[quantity on-hand]]*(Table1[[#This Row],[Cost ]]+Table1[[#This Row],[shipping]]+Table1[[#This Row],[Tax]])</f>
        <v>0</v>
      </c>
      <c r="Q131" s="40">
        <v>0</v>
      </c>
      <c r="R131" s="95">
        <f>Table1[[#This Row],[Quantity on order]]*(Table1[[#This Row],[Cost ]]+Table1[[#This Row],[shipping]]+Table1[[#This Row],[Tax]])</f>
        <v>0</v>
      </c>
      <c r="S1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1" s="49">
        <f>Table1[[#This Row],[Quantity  to  purchase]]+Table1[[#This Row],[Quantity purchased]]+Table1[[#This Row],[Quantity on order]]+Table1[[#This Row],[Quantity donated]]-Table1[[#This Row],[extended quantity]]</f>
        <v>0</v>
      </c>
      <c r="U1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1" s="51">
        <f>IFERROR(Table1[[#This Row],[Quantity  to  purchase]]*(Table1[[#This Row],[Cost ]]+Table1[[#This Row],[shipping]]+Table1[[#This Row],[Tax]]),0)</f>
        <v>0</v>
      </c>
      <c r="W131" s="36">
        <f>IFERROR(Table1[[#This Row],[leftover material]]*(Table1[[#This Row],[Cost ]]+Table1[[#This Row],[shipping]]+Table1[[#This Row],[Tax]]),0)</f>
        <v>0</v>
      </c>
      <c r="X131" s="36"/>
      <c r="Y131" s="87"/>
      <c r="Z131" s="87"/>
      <c r="AA131" s="87"/>
      <c r="AB131" s="36"/>
      <c r="AC131" s="36">
        <f>IF(ISNA(VLOOKUP(Table1[[#This Row],[Part Number]],'Multi-level BOM'!V$4:V$449,1,FALSE)),0,Table1[[#This Row],[Remaining Extended cost]])</f>
        <v>0</v>
      </c>
    </row>
    <row r="132" spans="1:29" x14ac:dyDescent="0.25">
      <c r="A132" s="1" t="s">
        <v>135</v>
      </c>
      <c r="B132" s="4"/>
      <c r="F132" s="3">
        <f>9%*Table1[[#This Row],[Cost ]]</f>
        <v>0</v>
      </c>
      <c r="J132" s="49">
        <f>SUMIF('Multi-level BOM'!D$4:D$467,Table1[[#This Row],[Part Number]],'Multi-level BOM'!H$4:H$467)</f>
        <v>0</v>
      </c>
      <c r="K132" s="10">
        <f>Table1[[#This Row],[extended quantity]]*(Table1[[#This Row],[Cost ]]+Table1[[#This Row],[shipping]]+Table1[[#This Row],[Tax]])</f>
        <v>0</v>
      </c>
      <c r="L132" s="83" t="str">
        <f>IF(Table1[[#This Row],[Buy-now costs]]&gt;0,"X","")</f>
        <v/>
      </c>
      <c r="M132" s="83"/>
      <c r="N132" s="83"/>
      <c r="O132" s="40">
        <v>0</v>
      </c>
      <c r="P132" s="97">
        <f>Table1[[#This Row],[quantity on-hand]]*(Table1[[#This Row],[Cost ]]+Table1[[#This Row],[shipping]]+Table1[[#This Row],[Tax]])</f>
        <v>0</v>
      </c>
      <c r="Q132" s="40">
        <v>0</v>
      </c>
      <c r="R132" s="95">
        <f>Table1[[#This Row],[Quantity on order]]*(Table1[[#This Row],[Cost ]]+Table1[[#This Row],[shipping]]+Table1[[#This Row],[Tax]])</f>
        <v>0</v>
      </c>
      <c r="S1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2" s="49">
        <f>Table1[[#This Row],[Quantity  to  purchase]]+Table1[[#This Row],[Quantity purchased]]+Table1[[#This Row],[Quantity on order]]+Table1[[#This Row],[Quantity donated]]-Table1[[#This Row],[extended quantity]]</f>
        <v>0</v>
      </c>
      <c r="U1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2" s="51">
        <f>IFERROR(Table1[[#This Row],[Quantity  to  purchase]]*(Table1[[#This Row],[Cost ]]+Table1[[#This Row],[shipping]]+Table1[[#This Row],[Tax]]),0)</f>
        <v>0</v>
      </c>
      <c r="W132" s="36">
        <f>IFERROR(Table1[[#This Row],[leftover material]]*(Table1[[#This Row],[Cost ]]+Table1[[#This Row],[shipping]]+Table1[[#This Row],[Tax]]),0)</f>
        <v>0</v>
      </c>
      <c r="X132" s="36"/>
      <c r="Y132" s="87"/>
      <c r="Z132" s="87"/>
      <c r="AA132" s="87"/>
      <c r="AB132" s="36"/>
      <c r="AC132" s="36">
        <f>IF(ISNA(VLOOKUP(Table1[[#This Row],[Part Number]],'Multi-level BOM'!V$4:V$449,1,FALSE)),0,Table1[[#This Row],[Remaining Extended cost]])</f>
        <v>0</v>
      </c>
    </row>
    <row r="133" spans="1:29" x14ac:dyDescent="0.25">
      <c r="A133" s="1" t="s">
        <v>136</v>
      </c>
      <c r="B133" s="4"/>
      <c r="F133" s="3">
        <f>9%*Table1[[#This Row],[Cost ]]</f>
        <v>0</v>
      </c>
      <c r="J133" s="49">
        <f>SUMIF('Multi-level BOM'!D$4:D$467,Table1[[#This Row],[Part Number]],'Multi-level BOM'!H$4:H$467)</f>
        <v>0</v>
      </c>
      <c r="K133" s="10">
        <f>Table1[[#This Row],[extended quantity]]*(Table1[[#This Row],[Cost ]]+Table1[[#This Row],[shipping]]+Table1[[#This Row],[Tax]])</f>
        <v>0</v>
      </c>
      <c r="L133" s="83" t="str">
        <f>IF(Table1[[#This Row],[Buy-now costs]]&gt;0,"X","")</f>
        <v/>
      </c>
      <c r="M133" s="83"/>
      <c r="N133" s="83"/>
      <c r="O133" s="40">
        <v>0</v>
      </c>
      <c r="P133" s="97">
        <f>Table1[[#This Row],[quantity on-hand]]*(Table1[[#This Row],[Cost ]]+Table1[[#This Row],[shipping]]+Table1[[#This Row],[Tax]])</f>
        <v>0</v>
      </c>
      <c r="Q133" s="40">
        <v>0</v>
      </c>
      <c r="R133" s="95">
        <f>Table1[[#This Row],[Quantity on order]]*(Table1[[#This Row],[Cost ]]+Table1[[#This Row],[shipping]]+Table1[[#This Row],[Tax]])</f>
        <v>0</v>
      </c>
      <c r="S1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3" s="49">
        <f>Table1[[#This Row],[Quantity  to  purchase]]+Table1[[#This Row],[Quantity purchased]]+Table1[[#This Row],[Quantity on order]]+Table1[[#This Row],[Quantity donated]]-Table1[[#This Row],[extended quantity]]</f>
        <v>0</v>
      </c>
      <c r="U1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3" s="51">
        <f>IFERROR(Table1[[#This Row],[Quantity  to  purchase]]*(Table1[[#This Row],[Cost ]]+Table1[[#This Row],[shipping]]+Table1[[#This Row],[Tax]]),0)</f>
        <v>0</v>
      </c>
      <c r="W133" s="36">
        <f>IFERROR(Table1[[#This Row],[leftover material]]*(Table1[[#This Row],[Cost ]]+Table1[[#This Row],[shipping]]+Table1[[#This Row],[Tax]]),0)</f>
        <v>0</v>
      </c>
      <c r="X133" s="36"/>
      <c r="Y133" s="87"/>
      <c r="Z133" s="87"/>
      <c r="AA133" s="87"/>
      <c r="AB133" s="36"/>
      <c r="AC133" s="36">
        <f>IF(ISNA(VLOOKUP(Table1[[#This Row],[Part Number]],'Multi-level BOM'!V$4:V$449,1,FALSE)),0,Table1[[#This Row],[Remaining Extended cost]])</f>
        <v>0</v>
      </c>
    </row>
    <row r="134" spans="1:29" x14ac:dyDescent="0.25">
      <c r="A134" s="1" t="s">
        <v>137</v>
      </c>
      <c r="B134" s="4"/>
      <c r="F134" s="3">
        <f>9%*Table1[[#This Row],[Cost ]]</f>
        <v>0</v>
      </c>
      <c r="J134" s="49">
        <f>SUMIF('Multi-level BOM'!D$4:D$467,Table1[[#This Row],[Part Number]],'Multi-level BOM'!H$4:H$467)</f>
        <v>0</v>
      </c>
      <c r="K134" s="10">
        <f>Table1[[#This Row],[extended quantity]]*(Table1[[#This Row],[Cost ]]+Table1[[#This Row],[shipping]]+Table1[[#This Row],[Tax]])</f>
        <v>0</v>
      </c>
      <c r="L134" s="83" t="str">
        <f>IF(Table1[[#This Row],[Buy-now costs]]&gt;0,"X","")</f>
        <v/>
      </c>
      <c r="M134" s="83"/>
      <c r="N134" s="83"/>
      <c r="O134" s="40">
        <v>0</v>
      </c>
      <c r="P134" s="97">
        <f>Table1[[#This Row],[quantity on-hand]]*(Table1[[#This Row],[Cost ]]+Table1[[#This Row],[shipping]]+Table1[[#This Row],[Tax]])</f>
        <v>0</v>
      </c>
      <c r="Q134" s="40">
        <v>0</v>
      </c>
      <c r="R134" s="95">
        <f>Table1[[#This Row],[Quantity on order]]*(Table1[[#This Row],[Cost ]]+Table1[[#This Row],[shipping]]+Table1[[#This Row],[Tax]])</f>
        <v>0</v>
      </c>
      <c r="S1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4" s="49">
        <f>Table1[[#This Row],[Quantity  to  purchase]]+Table1[[#This Row],[Quantity purchased]]+Table1[[#This Row],[Quantity on order]]+Table1[[#This Row],[Quantity donated]]-Table1[[#This Row],[extended quantity]]</f>
        <v>0</v>
      </c>
      <c r="U1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4" s="51">
        <f>IFERROR(Table1[[#This Row],[Quantity  to  purchase]]*(Table1[[#This Row],[Cost ]]+Table1[[#This Row],[shipping]]+Table1[[#This Row],[Tax]]),0)</f>
        <v>0</v>
      </c>
      <c r="W134" s="36">
        <f>IFERROR(Table1[[#This Row],[leftover material]]*(Table1[[#This Row],[Cost ]]+Table1[[#This Row],[shipping]]+Table1[[#This Row],[Tax]]),0)</f>
        <v>0</v>
      </c>
      <c r="X134" s="36"/>
      <c r="Y134" s="87"/>
      <c r="Z134" s="87"/>
      <c r="AA134" s="87"/>
      <c r="AB134" s="36"/>
      <c r="AC134" s="36">
        <f>IF(ISNA(VLOOKUP(Table1[[#This Row],[Part Number]],'Multi-level BOM'!V$4:V$449,1,FALSE)),0,Table1[[#This Row],[Remaining Extended cost]])</f>
        <v>0</v>
      </c>
    </row>
    <row r="135" spans="1:29" x14ac:dyDescent="0.25">
      <c r="A135" s="1" t="s">
        <v>138</v>
      </c>
      <c r="B135" s="4"/>
      <c r="F135" s="3">
        <f>9%*Table1[[#This Row],[Cost ]]</f>
        <v>0</v>
      </c>
      <c r="J135" s="49">
        <f>SUMIF('Multi-level BOM'!D$4:D$467,Table1[[#This Row],[Part Number]],'Multi-level BOM'!H$4:H$467)</f>
        <v>0</v>
      </c>
      <c r="K135" s="10">
        <f>Table1[[#This Row],[extended quantity]]*(Table1[[#This Row],[Cost ]]+Table1[[#This Row],[shipping]]+Table1[[#This Row],[Tax]])</f>
        <v>0</v>
      </c>
      <c r="L135" s="83" t="str">
        <f>IF(Table1[[#This Row],[Buy-now costs]]&gt;0,"X","")</f>
        <v/>
      </c>
      <c r="M135" s="83"/>
      <c r="N135" s="83"/>
      <c r="O135" s="40">
        <v>0</v>
      </c>
      <c r="P135" s="97">
        <f>Table1[[#This Row],[quantity on-hand]]*(Table1[[#This Row],[Cost ]]+Table1[[#This Row],[shipping]]+Table1[[#This Row],[Tax]])</f>
        <v>0</v>
      </c>
      <c r="Q135" s="40">
        <v>0</v>
      </c>
      <c r="R135" s="95">
        <f>Table1[[#This Row],[Quantity on order]]*(Table1[[#This Row],[Cost ]]+Table1[[#This Row],[shipping]]+Table1[[#This Row],[Tax]])</f>
        <v>0</v>
      </c>
      <c r="S1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5" s="49">
        <f>Table1[[#This Row],[Quantity  to  purchase]]+Table1[[#This Row],[Quantity purchased]]+Table1[[#This Row],[Quantity on order]]+Table1[[#This Row],[Quantity donated]]-Table1[[#This Row],[extended quantity]]</f>
        <v>0</v>
      </c>
      <c r="U1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5" s="51">
        <f>IFERROR(Table1[[#This Row],[Quantity  to  purchase]]*(Table1[[#This Row],[Cost ]]+Table1[[#This Row],[shipping]]+Table1[[#This Row],[Tax]]),0)</f>
        <v>0</v>
      </c>
      <c r="W135" s="36">
        <f>IFERROR(Table1[[#This Row],[leftover material]]*(Table1[[#This Row],[Cost ]]+Table1[[#This Row],[shipping]]+Table1[[#This Row],[Tax]]),0)</f>
        <v>0</v>
      </c>
      <c r="X135" s="36"/>
      <c r="Y135" s="87"/>
      <c r="Z135" s="87"/>
      <c r="AA135" s="87"/>
      <c r="AB135" s="36"/>
      <c r="AC135" s="36">
        <f>IF(ISNA(VLOOKUP(Table1[[#This Row],[Part Number]],'Multi-level BOM'!V$4:V$449,1,FALSE)),0,Table1[[#This Row],[Remaining Extended cost]])</f>
        <v>0</v>
      </c>
    </row>
    <row r="136" spans="1:29" x14ac:dyDescent="0.25">
      <c r="A136" s="1" t="s">
        <v>139</v>
      </c>
      <c r="B136" s="4"/>
      <c r="F136" s="3">
        <f>9%*Table1[[#This Row],[Cost ]]</f>
        <v>0</v>
      </c>
      <c r="J136" s="49">
        <f>SUMIF('Multi-level BOM'!D$4:D$467,Table1[[#This Row],[Part Number]],'Multi-level BOM'!H$4:H$467)</f>
        <v>0</v>
      </c>
      <c r="K136" s="10">
        <f>Table1[[#This Row],[extended quantity]]*(Table1[[#This Row],[Cost ]]+Table1[[#This Row],[shipping]]+Table1[[#This Row],[Tax]])</f>
        <v>0</v>
      </c>
      <c r="L136" s="83" t="str">
        <f>IF(Table1[[#This Row],[Buy-now costs]]&gt;0,"X","")</f>
        <v/>
      </c>
      <c r="M136" s="83"/>
      <c r="N136" s="83"/>
      <c r="O136" s="40">
        <v>0</v>
      </c>
      <c r="P136" s="97">
        <f>Table1[[#This Row],[quantity on-hand]]*(Table1[[#This Row],[Cost ]]+Table1[[#This Row],[shipping]]+Table1[[#This Row],[Tax]])</f>
        <v>0</v>
      </c>
      <c r="Q136" s="40">
        <v>0</v>
      </c>
      <c r="R136" s="95">
        <f>Table1[[#This Row],[Quantity on order]]*(Table1[[#This Row],[Cost ]]+Table1[[#This Row],[shipping]]+Table1[[#This Row],[Tax]])</f>
        <v>0</v>
      </c>
      <c r="S1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6" s="49">
        <f>Table1[[#This Row],[Quantity  to  purchase]]+Table1[[#This Row],[Quantity purchased]]+Table1[[#This Row],[Quantity on order]]+Table1[[#This Row],[Quantity donated]]-Table1[[#This Row],[extended quantity]]</f>
        <v>0</v>
      </c>
      <c r="U1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6" s="51">
        <f>IFERROR(Table1[[#This Row],[Quantity  to  purchase]]*(Table1[[#This Row],[Cost ]]+Table1[[#This Row],[shipping]]+Table1[[#This Row],[Tax]]),0)</f>
        <v>0</v>
      </c>
      <c r="W136" s="36">
        <f>IFERROR(Table1[[#This Row],[leftover material]]*(Table1[[#This Row],[Cost ]]+Table1[[#This Row],[shipping]]+Table1[[#This Row],[Tax]]),0)</f>
        <v>0</v>
      </c>
      <c r="X136" s="36"/>
      <c r="Y136" s="87"/>
      <c r="Z136" s="87"/>
      <c r="AA136" s="87"/>
      <c r="AB136" s="36"/>
      <c r="AC136" s="36">
        <f>IF(ISNA(VLOOKUP(Table1[[#This Row],[Part Number]],'Multi-level BOM'!V$4:V$449,1,FALSE)),0,Table1[[#This Row],[Remaining Extended cost]])</f>
        <v>0</v>
      </c>
    </row>
    <row r="137" spans="1:29" x14ac:dyDescent="0.25">
      <c r="A137" s="1" t="s">
        <v>140</v>
      </c>
      <c r="B137" s="4"/>
      <c r="F137" s="3">
        <f>9%*Table1[[#This Row],[Cost ]]</f>
        <v>0</v>
      </c>
      <c r="J137" s="49">
        <f>SUMIF('Multi-level BOM'!D$4:D$467,Table1[[#This Row],[Part Number]],'Multi-level BOM'!H$4:H$467)</f>
        <v>0</v>
      </c>
      <c r="K137" s="10">
        <f>Table1[[#This Row],[extended quantity]]*(Table1[[#This Row],[Cost ]]+Table1[[#This Row],[shipping]]+Table1[[#This Row],[Tax]])</f>
        <v>0</v>
      </c>
      <c r="L137" s="83" t="str">
        <f>IF(Table1[[#This Row],[Buy-now costs]]&gt;0,"X","")</f>
        <v/>
      </c>
      <c r="M137" s="83"/>
      <c r="N137" s="83"/>
      <c r="O137" s="40">
        <v>0</v>
      </c>
      <c r="P137" s="97">
        <f>Table1[[#This Row],[quantity on-hand]]*(Table1[[#This Row],[Cost ]]+Table1[[#This Row],[shipping]]+Table1[[#This Row],[Tax]])</f>
        <v>0</v>
      </c>
      <c r="Q137" s="40">
        <v>0</v>
      </c>
      <c r="R137" s="95">
        <f>Table1[[#This Row],[Quantity on order]]*(Table1[[#This Row],[Cost ]]+Table1[[#This Row],[shipping]]+Table1[[#This Row],[Tax]])</f>
        <v>0</v>
      </c>
      <c r="S1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7" s="49">
        <f>Table1[[#This Row],[Quantity  to  purchase]]+Table1[[#This Row],[Quantity purchased]]+Table1[[#This Row],[Quantity on order]]+Table1[[#This Row],[Quantity donated]]-Table1[[#This Row],[extended quantity]]</f>
        <v>0</v>
      </c>
      <c r="U1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7" s="51">
        <f>IFERROR(Table1[[#This Row],[Quantity  to  purchase]]*(Table1[[#This Row],[Cost ]]+Table1[[#This Row],[shipping]]+Table1[[#This Row],[Tax]]),0)</f>
        <v>0</v>
      </c>
      <c r="W137" s="36">
        <f>IFERROR(Table1[[#This Row],[leftover material]]*(Table1[[#This Row],[Cost ]]+Table1[[#This Row],[shipping]]+Table1[[#This Row],[Tax]]),0)</f>
        <v>0</v>
      </c>
      <c r="X137" s="36"/>
      <c r="Y137" s="87"/>
      <c r="Z137" s="87"/>
      <c r="AA137" s="87"/>
      <c r="AB137" s="36"/>
      <c r="AC137" s="36">
        <f>IF(ISNA(VLOOKUP(Table1[[#This Row],[Part Number]],'Multi-level BOM'!V$4:V$449,1,FALSE)),0,Table1[[#This Row],[Remaining Extended cost]])</f>
        <v>0</v>
      </c>
    </row>
    <row r="138" spans="1:29" x14ac:dyDescent="0.25">
      <c r="A138" s="1" t="s">
        <v>141</v>
      </c>
      <c r="B138" s="4"/>
      <c r="F138" s="3">
        <f>9%*Table1[[#This Row],[Cost ]]</f>
        <v>0</v>
      </c>
      <c r="J138" s="49">
        <f>SUMIF('Multi-level BOM'!D$4:D$467,Table1[[#This Row],[Part Number]],'Multi-level BOM'!H$4:H$467)</f>
        <v>0</v>
      </c>
      <c r="K138" s="10">
        <f>Table1[[#This Row],[extended quantity]]*(Table1[[#This Row],[Cost ]]+Table1[[#This Row],[shipping]]+Table1[[#This Row],[Tax]])</f>
        <v>0</v>
      </c>
      <c r="L138" s="83" t="str">
        <f>IF(Table1[[#This Row],[Buy-now costs]]&gt;0,"X","")</f>
        <v/>
      </c>
      <c r="M138" s="83"/>
      <c r="N138" s="83"/>
      <c r="O138" s="40">
        <v>0</v>
      </c>
      <c r="P138" s="97">
        <f>Table1[[#This Row],[quantity on-hand]]*(Table1[[#This Row],[Cost ]]+Table1[[#This Row],[shipping]]+Table1[[#This Row],[Tax]])</f>
        <v>0</v>
      </c>
      <c r="Q138" s="40">
        <v>0</v>
      </c>
      <c r="R138" s="95">
        <f>Table1[[#This Row],[Quantity on order]]*(Table1[[#This Row],[Cost ]]+Table1[[#This Row],[shipping]]+Table1[[#This Row],[Tax]])</f>
        <v>0</v>
      </c>
      <c r="S1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8" s="49">
        <f>Table1[[#This Row],[Quantity  to  purchase]]+Table1[[#This Row],[Quantity purchased]]+Table1[[#This Row],[Quantity on order]]+Table1[[#This Row],[Quantity donated]]-Table1[[#This Row],[extended quantity]]</f>
        <v>0</v>
      </c>
      <c r="U1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8" s="51">
        <f>IFERROR(Table1[[#This Row],[Quantity  to  purchase]]*(Table1[[#This Row],[Cost ]]+Table1[[#This Row],[shipping]]+Table1[[#This Row],[Tax]]),0)</f>
        <v>0</v>
      </c>
      <c r="W138" s="36">
        <f>IFERROR(Table1[[#This Row],[leftover material]]*(Table1[[#This Row],[Cost ]]+Table1[[#This Row],[shipping]]+Table1[[#This Row],[Tax]]),0)</f>
        <v>0</v>
      </c>
      <c r="X138" s="36"/>
      <c r="Y138" s="87"/>
      <c r="Z138" s="87"/>
      <c r="AA138" s="87"/>
      <c r="AB138" s="36"/>
      <c r="AC138" s="36">
        <f>IF(ISNA(VLOOKUP(Table1[[#This Row],[Part Number]],'Multi-level BOM'!V$4:V$449,1,FALSE)),0,Table1[[#This Row],[Remaining Extended cost]])</f>
        <v>0</v>
      </c>
    </row>
    <row r="139" spans="1:29" x14ac:dyDescent="0.25">
      <c r="A139" s="1" t="s">
        <v>142</v>
      </c>
      <c r="B139" s="4"/>
      <c r="F139" s="3">
        <f>9%*Table1[[#This Row],[Cost ]]</f>
        <v>0</v>
      </c>
      <c r="J139" s="49">
        <f>SUMIF('Multi-level BOM'!D$4:D$467,Table1[[#This Row],[Part Number]],'Multi-level BOM'!H$4:H$467)</f>
        <v>0</v>
      </c>
      <c r="K139" s="10">
        <f>Table1[[#This Row],[extended quantity]]*(Table1[[#This Row],[Cost ]]+Table1[[#This Row],[shipping]]+Table1[[#This Row],[Tax]])</f>
        <v>0</v>
      </c>
      <c r="L139" s="83" t="str">
        <f>IF(Table1[[#This Row],[Buy-now costs]]&gt;0,"X","")</f>
        <v/>
      </c>
      <c r="M139" s="83"/>
      <c r="N139" s="83"/>
      <c r="O139" s="40">
        <v>0</v>
      </c>
      <c r="P139" s="97">
        <f>Table1[[#This Row],[quantity on-hand]]*(Table1[[#This Row],[Cost ]]+Table1[[#This Row],[shipping]]+Table1[[#This Row],[Tax]])</f>
        <v>0</v>
      </c>
      <c r="Q139" s="40">
        <v>0</v>
      </c>
      <c r="R139" s="95">
        <f>Table1[[#This Row],[Quantity on order]]*(Table1[[#This Row],[Cost ]]+Table1[[#This Row],[shipping]]+Table1[[#This Row],[Tax]])</f>
        <v>0</v>
      </c>
      <c r="S1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9" s="49">
        <f>Table1[[#This Row],[Quantity  to  purchase]]+Table1[[#This Row],[Quantity purchased]]+Table1[[#This Row],[Quantity on order]]+Table1[[#This Row],[Quantity donated]]-Table1[[#This Row],[extended quantity]]</f>
        <v>0</v>
      </c>
      <c r="U1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9" s="51">
        <f>IFERROR(Table1[[#This Row],[Quantity  to  purchase]]*(Table1[[#This Row],[Cost ]]+Table1[[#This Row],[shipping]]+Table1[[#This Row],[Tax]]),0)</f>
        <v>0</v>
      </c>
      <c r="W139" s="36">
        <f>IFERROR(Table1[[#This Row],[leftover material]]*(Table1[[#This Row],[Cost ]]+Table1[[#This Row],[shipping]]+Table1[[#This Row],[Tax]]),0)</f>
        <v>0</v>
      </c>
      <c r="X139" s="36"/>
      <c r="Y139" s="87"/>
      <c r="Z139" s="87"/>
      <c r="AA139" s="87"/>
      <c r="AB139" s="36"/>
      <c r="AC139" s="36">
        <f>IF(ISNA(VLOOKUP(Table1[[#This Row],[Part Number]],'Multi-level BOM'!V$4:V$449,1,FALSE)),0,Table1[[#This Row],[Remaining Extended cost]])</f>
        <v>0</v>
      </c>
    </row>
    <row r="140" spans="1:29" x14ac:dyDescent="0.25">
      <c r="A140" s="1" t="s">
        <v>143</v>
      </c>
      <c r="B140" s="4"/>
      <c r="F140" s="3">
        <f>9%*Table1[[#This Row],[Cost ]]</f>
        <v>0</v>
      </c>
      <c r="J140" s="49">
        <f>SUMIF('Multi-level BOM'!D$4:D$467,Table1[[#This Row],[Part Number]],'Multi-level BOM'!H$4:H$467)</f>
        <v>0</v>
      </c>
      <c r="K140" s="10">
        <f>Table1[[#This Row],[extended quantity]]*(Table1[[#This Row],[Cost ]]+Table1[[#This Row],[shipping]]+Table1[[#This Row],[Tax]])</f>
        <v>0</v>
      </c>
      <c r="L140" s="83" t="str">
        <f>IF(Table1[[#This Row],[Buy-now costs]]&gt;0,"X","")</f>
        <v/>
      </c>
      <c r="M140" s="83"/>
      <c r="N140" s="83"/>
      <c r="O140" s="40">
        <v>0</v>
      </c>
      <c r="P140" s="97">
        <f>Table1[[#This Row],[quantity on-hand]]*(Table1[[#This Row],[Cost ]]+Table1[[#This Row],[shipping]]+Table1[[#This Row],[Tax]])</f>
        <v>0</v>
      </c>
      <c r="Q140" s="40">
        <v>0</v>
      </c>
      <c r="R140" s="95">
        <f>Table1[[#This Row],[Quantity on order]]*(Table1[[#This Row],[Cost ]]+Table1[[#This Row],[shipping]]+Table1[[#This Row],[Tax]])</f>
        <v>0</v>
      </c>
      <c r="S1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0" s="49">
        <f>Table1[[#This Row],[Quantity  to  purchase]]+Table1[[#This Row],[Quantity purchased]]+Table1[[#This Row],[Quantity on order]]+Table1[[#This Row],[Quantity donated]]-Table1[[#This Row],[extended quantity]]</f>
        <v>0</v>
      </c>
      <c r="U1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0" s="51">
        <f>IFERROR(Table1[[#This Row],[Quantity  to  purchase]]*(Table1[[#This Row],[Cost ]]+Table1[[#This Row],[shipping]]+Table1[[#This Row],[Tax]]),0)</f>
        <v>0</v>
      </c>
      <c r="W140" s="36">
        <f>IFERROR(Table1[[#This Row],[leftover material]]*(Table1[[#This Row],[Cost ]]+Table1[[#This Row],[shipping]]+Table1[[#This Row],[Tax]]),0)</f>
        <v>0</v>
      </c>
      <c r="X140" s="36"/>
      <c r="Y140" s="87"/>
      <c r="Z140" s="87"/>
      <c r="AA140" s="87"/>
      <c r="AB140" s="36"/>
      <c r="AC140" s="36">
        <f>IF(ISNA(VLOOKUP(Table1[[#This Row],[Part Number]],'Multi-level BOM'!V$4:V$449,1,FALSE)),0,Table1[[#This Row],[Remaining Extended cost]])</f>
        <v>0</v>
      </c>
    </row>
    <row r="141" spans="1:29" x14ac:dyDescent="0.25">
      <c r="A141" s="1" t="s">
        <v>144</v>
      </c>
      <c r="B141" s="4"/>
      <c r="F141" s="3">
        <f>9%*Table1[[#This Row],[Cost ]]</f>
        <v>0</v>
      </c>
      <c r="J141" s="49">
        <f>SUMIF('Multi-level BOM'!D$4:D$467,Table1[[#This Row],[Part Number]],'Multi-level BOM'!H$4:H$467)</f>
        <v>0</v>
      </c>
      <c r="K141" s="10">
        <f>Table1[[#This Row],[extended quantity]]*(Table1[[#This Row],[Cost ]]+Table1[[#This Row],[shipping]]+Table1[[#This Row],[Tax]])</f>
        <v>0</v>
      </c>
      <c r="L141" s="83" t="str">
        <f>IF(Table1[[#This Row],[Buy-now costs]]&gt;0,"X","")</f>
        <v/>
      </c>
      <c r="M141" s="83"/>
      <c r="N141" s="83"/>
      <c r="O141" s="40">
        <v>0</v>
      </c>
      <c r="P141" s="97">
        <f>Table1[[#This Row],[quantity on-hand]]*(Table1[[#This Row],[Cost ]]+Table1[[#This Row],[shipping]]+Table1[[#This Row],[Tax]])</f>
        <v>0</v>
      </c>
      <c r="Q141" s="40">
        <v>0</v>
      </c>
      <c r="R141" s="95">
        <f>Table1[[#This Row],[Quantity on order]]*(Table1[[#This Row],[Cost ]]+Table1[[#This Row],[shipping]]+Table1[[#This Row],[Tax]])</f>
        <v>0</v>
      </c>
      <c r="S1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1" s="49">
        <f>Table1[[#This Row],[Quantity  to  purchase]]+Table1[[#This Row],[Quantity purchased]]+Table1[[#This Row],[Quantity on order]]+Table1[[#This Row],[Quantity donated]]-Table1[[#This Row],[extended quantity]]</f>
        <v>0</v>
      </c>
      <c r="U1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1" s="51">
        <f>IFERROR(Table1[[#This Row],[Quantity  to  purchase]]*(Table1[[#This Row],[Cost ]]+Table1[[#This Row],[shipping]]+Table1[[#This Row],[Tax]]),0)</f>
        <v>0</v>
      </c>
      <c r="W141" s="36">
        <f>IFERROR(Table1[[#This Row],[leftover material]]*(Table1[[#This Row],[Cost ]]+Table1[[#This Row],[shipping]]+Table1[[#This Row],[Tax]]),0)</f>
        <v>0</v>
      </c>
      <c r="X141" s="36"/>
      <c r="Y141" s="87"/>
      <c r="Z141" s="87"/>
      <c r="AA141" s="87"/>
      <c r="AB141" s="36"/>
      <c r="AC141" s="36">
        <f>IF(ISNA(VLOOKUP(Table1[[#This Row],[Part Number]],'Multi-level BOM'!V$4:V$449,1,FALSE)),0,Table1[[#This Row],[Remaining Extended cost]])</f>
        <v>0</v>
      </c>
    </row>
    <row r="142" spans="1:29" x14ac:dyDescent="0.25">
      <c r="A142" s="1" t="s">
        <v>145</v>
      </c>
      <c r="B142" s="4"/>
      <c r="F142" s="3">
        <f>9%*Table1[[#This Row],[Cost ]]</f>
        <v>0</v>
      </c>
      <c r="J142" s="49">
        <f>SUMIF('Multi-level BOM'!D$4:D$467,Table1[[#This Row],[Part Number]],'Multi-level BOM'!H$4:H$467)</f>
        <v>0</v>
      </c>
      <c r="K142" s="10">
        <f>Table1[[#This Row],[extended quantity]]*(Table1[[#This Row],[Cost ]]+Table1[[#This Row],[shipping]]+Table1[[#This Row],[Tax]])</f>
        <v>0</v>
      </c>
      <c r="L142" s="83" t="str">
        <f>IF(Table1[[#This Row],[Buy-now costs]]&gt;0,"X","")</f>
        <v/>
      </c>
      <c r="M142" s="83"/>
      <c r="N142" s="83"/>
      <c r="O142" s="40">
        <v>0</v>
      </c>
      <c r="P142" s="97">
        <f>Table1[[#This Row],[quantity on-hand]]*(Table1[[#This Row],[Cost ]]+Table1[[#This Row],[shipping]]+Table1[[#This Row],[Tax]])</f>
        <v>0</v>
      </c>
      <c r="Q142" s="40">
        <v>0</v>
      </c>
      <c r="R142" s="95">
        <f>Table1[[#This Row],[Quantity on order]]*(Table1[[#This Row],[Cost ]]+Table1[[#This Row],[shipping]]+Table1[[#This Row],[Tax]])</f>
        <v>0</v>
      </c>
      <c r="S1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2" s="49">
        <f>Table1[[#This Row],[Quantity  to  purchase]]+Table1[[#This Row],[Quantity purchased]]+Table1[[#This Row],[Quantity on order]]+Table1[[#This Row],[Quantity donated]]-Table1[[#This Row],[extended quantity]]</f>
        <v>0</v>
      </c>
      <c r="U1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2" s="51">
        <f>IFERROR(Table1[[#This Row],[Quantity  to  purchase]]*(Table1[[#This Row],[Cost ]]+Table1[[#This Row],[shipping]]+Table1[[#This Row],[Tax]]),0)</f>
        <v>0</v>
      </c>
      <c r="W142" s="36">
        <f>IFERROR(Table1[[#This Row],[leftover material]]*(Table1[[#This Row],[Cost ]]+Table1[[#This Row],[shipping]]+Table1[[#This Row],[Tax]]),0)</f>
        <v>0</v>
      </c>
      <c r="X142" s="36"/>
      <c r="Y142" s="87"/>
      <c r="Z142" s="87"/>
      <c r="AA142" s="87"/>
      <c r="AB142" s="36"/>
      <c r="AC142" s="36">
        <f>IF(ISNA(VLOOKUP(Table1[[#This Row],[Part Number]],'Multi-level BOM'!V$4:V$449,1,FALSE)),0,Table1[[#This Row],[Remaining Extended cost]])</f>
        <v>0</v>
      </c>
    </row>
    <row r="143" spans="1:29" x14ac:dyDescent="0.25">
      <c r="A143" s="1" t="s">
        <v>146</v>
      </c>
      <c r="B143" s="4"/>
      <c r="F143" s="3">
        <f>9%*Table1[[#This Row],[Cost ]]</f>
        <v>0</v>
      </c>
      <c r="J143" s="49">
        <f>SUMIF('Multi-level BOM'!D$4:D$467,Table1[[#This Row],[Part Number]],'Multi-level BOM'!H$4:H$467)</f>
        <v>0</v>
      </c>
      <c r="K143" s="10">
        <f>Table1[[#This Row],[extended quantity]]*(Table1[[#This Row],[Cost ]]+Table1[[#This Row],[shipping]]+Table1[[#This Row],[Tax]])</f>
        <v>0</v>
      </c>
      <c r="L143" s="83" t="str">
        <f>IF(Table1[[#This Row],[Buy-now costs]]&gt;0,"X","")</f>
        <v/>
      </c>
      <c r="M143" s="83"/>
      <c r="N143" s="83"/>
      <c r="O143" s="40">
        <v>0</v>
      </c>
      <c r="P143" s="97">
        <f>Table1[[#This Row],[quantity on-hand]]*(Table1[[#This Row],[Cost ]]+Table1[[#This Row],[shipping]]+Table1[[#This Row],[Tax]])</f>
        <v>0</v>
      </c>
      <c r="Q143" s="40">
        <v>0</v>
      </c>
      <c r="R143" s="95">
        <f>Table1[[#This Row],[Quantity on order]]*(Table1[[#This Row],[Cost ]]+Table1[[#This Row],[shipping]]+Table1[[#This Row],[Tax]])</f>
        <v>0</v>
      </c>
      <c r="S1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3" s="49">
        <f>Table1[[#This Row],[Quantity  to  purchase]]+Table1[[#This Row],[Quantity purchased]]+Table1[[#This Row],[Quantity on order]]+Table1[[#This Row],[Quantity donated]]-Table1[[#This Row],[extended quantity]]</f>
        <v>0</v>
      </c>
      <c r="U1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3" s="51">
        <f>IFERROR(Table1[[#This Row],[Quantity  to  purchase]]*(Table1[[#This Row],[Cost ]]+Table1[[#This Row],[shipping]]+Table1[[#This Row],[Tax]]),0)</f>
        <v>0</v>
      </c>
      <c r="W143" s="36">
        <f>IFERROR(Table1[[#This Row],[leftover material]]*(Table1[[#This Row],[Cost ]]+Table1[[#This Row],[shipping]]+Table1[[#This Row],[Tax]]),0)</f>
        <v>0</v>
      </c>
      <c r="X143" s="36"/>
      <c r="Y143" s="87"/>
      <c r="Z143" s="87"/>
      <c r="AA143" s="87"/>
      <c r="AB143" s="36"/>
      <c r="AC143" s="36">
        <f>IF(ISNA(VLOOKUP(Table1[[#This Row],[Part Number]],'Multi-level BOM'!V$4:V$449,1,FALSE)),0,Table1[[#This Row],[Remaining Extended cost]])</f>
        <v>0</v>
      </c>
    </row>
    <row r="144" spans="1:29" x14ac:dyDescent="0.25">
      <c r="A144" s="1" t="s">
        <v>147</v>
      </c>
      <c r="B144" s="4"/>
      <c r="F144" s="3">
        <f>9%*Table1[[#This Row],[Cost ]]</f>
        <v>0</v>
      </c>
      <c r="J144" s="49">
        <f>SUMIF('Multi-level BOM'!D$4:D$467,Table1[[#This Row],[Part Number]],'Multi-level BOM'!H$4:H$467)</f>
        <v>0</v>
      </c>
      <c r="K144" s="10">
        <f>Table1[[#This Row],[extended quantity]]*(Table1[[#This Row],[Cost ]]+Table1[[#This Row],[shipping]]+Table1[[#This Row],[Tax]])</f>
        <v>0</v>
      </c>
      <c r="L144" s="83" t="str">
        <f>IF(Table1[[#This Row],[Buy-now costs]]&gt;0,"X","")</f>
        <v/>
      </c>
      <c r="M144" s="83"/>
      <c r="N144" s="83"/>
      <c r="O144" s="40">
        <v>0</v>
      </c>
      <c r="P144" s="97">
        <f>Table1[[#This Row],[quantity on-hand]]*(Table1[[#This Row],[Cost ]]+Table1[[#This Row],[shipping]]+Table1[[#This Row],[Tax]])</f>
        <v>0</v>
      </c>
      <c r="Q144" s="40">
        <v>0</v>
      </c>
      <c r="R144" s="95">
        <f>Table1[[#This Row],[Quantity on order]]*(Table1[[#This Row],[Cost ]]+Table1[[#This Row],[shipping]]+Table1[[#This Row],[Tax]])</f>
        <v>0</v>
      </c>
      <c r="S1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4" s="49">
        <f>Table1[[#This Row],[Quantity  to  purchase]]+Table1[[#This Row],[Quantity purchased]]+Table1[[#This Row],[Quantity on order]]+Table1[[#This Row],[Quantity donated]]-Table1[[#This Row],[extended quantity]]</f>
        <v>0</v>
      </c>
      <c r="U1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4" s="51">
        <f>IFERROR(Table1[[#This Row],[Quantity  to  purchase]]*(Table1[[#This Row],[Cost ]]+Table1[[#This Row],[shipping]]+Table1[[#This Row],[Tax]]),0)</f>
        <v>0</v>
      </c>
      <c r="W144" s="36">
        <f>IFERROR(Table1[[#This Row],[leftover material]]*(Table1[[#This Row],[Cost ]]+Table1[[#This Row],[shipping]]+Table1[[#This Row],[Tax]]),0)</f>
        <v>0</v>
      </c>
      <c r="X144" s="36"/>
      <c r="Y144" s="87"/>
      <c r="Z144" s="87"/>
      <c r="AA144" s="87"/>
      <c r="AB144" s="36"/>
      <c r="AC144" s="36">
        <f>IF(ISNA(VLOOKUP(Table1[[#This Row],[Part Number]],'Multi-level BOM'!V$4:V$449,1,FALSE)),0,Table1[[#This Row],[Remaining Extended cost]])</f>
        <v>0</v>
      </c>
    </row>
    <row r="145" spans="1:29" x14ac:dyDescent="0.25">
      <c r="A145" s="1" t="s">
        <v>148</v>
      </c>
      <c r="B145" s="4"/>
      <c r="F145" s="3">
        <f>9%*Table1[[#This Row],[Cost ]]</f>
        <v>0</v>
      </c>
      <c r="J145" s="49">
        <f>SUMIF('Multi-level BOM'!D$4:D$467,Table1[[#This Row],[Part Number]],'Multi-level BOM'!H$4:H$467)</f>
        <v>0</v>
      </c>
      <c r="K145" s="10">
        <f>Table1[[#This Row],[extended quantity]]*(Table1[[#This Row],[Cost ]]+Table1[[#This Row],[shipping]]+Table1[[#This Row],[Tax]])</f>
        <v>0</v>
      </c>
      <c r="L145" s="83" t="str">
        <f>IF(Table1[[#This Row],[Buy-now costs]]&gt;0,"X","")</f>
        <v/>
      </c>
      <c r="M145" s="83"/>
      <c r="N145" s="83"/>
      <c r="O145" s="40">
        <v>0</v>
      </c>
      <c r="P145" s="97">
        <f>Table1[[#This Row],[quantity on-hand]]*(Table1[[#This Row],[Cost ]]+Table1[[#This Row],[shipping]]+Table1[[#This Row],[Tax]])</f>
        <v>0</v>
      </c>
      <c r="Q145" s="40">
        <v>0</v>
      </c>
      <c r="R145" s="95">
        <f>Table1[[#This Row],[Quantity on order]]*(Table1[[#This Row],[Cost ]]+Table1[[#This Row],[shipping]]+Table1[[#This Row],[Tax]])</f>
        <v>0</v>
      </c>
      <c r="S1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5" s="49">
        <f>Table1[[#This Row],[Quantity  to  purchase]]+Table1[[#This Row],[Quantity purchased]]+Table1[[#This Row],[Quantity on order]]+Table1[[#This Row],[Quantity donated]]-Table1[[#This Row],[extended quantity]]</f>
        <v>0</v>
      </c>
      <c r="U1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5" s="51">
        <f>IFERROR(Table1[[#This Row],[Quantity  to  purchase]]*(Table1[[#This Row],[Cost ]]+Table1[[#This Row],[shipping]]+Table1[[#This Row],[Tax]]),0)</f>
        <v>0</v>
      </c>
      <c r="W145" s="36">
        <f>IFERROR(Table1[[#This Row],[leftover material]]*(Table1[[#This Row],[Cost ]]+Table1[[#This Row],[shipping]]+Table1[[#This Row],[Tax]]),0)</f>
        <v>0</v>
      </c>
      <c r="X145" s="36"/>
      <c r="Y145" s="87"/>
      <c r="Z145" s="87"/>
      <c r="AA145" s="87"/>
      <c r="AB145" s="36"/>
      <c r="AC145" s="36">
        <f>IF(ISNA(VLOOKUP(Table1[[#This Row],[Part Number]],'Multi-level BOM'!V$4:V$449,1,FALSE)),0,Table1[[#This Row],[Remaining Extended cost]])</f>
        <v>0</v>
      </c>
    </row>
    <row r="146" spans="1:29" x14ac:dyDescent="0.25">
      <c r="A146" s="1" t="s">
        <v>149</v>
      </c>
      <c r="B146" s="4"/>
      <c r="F146" s="3">
        <f>9%*Table1[[#This Row],[Cost ]]</f>
        <v>0</v>
      </c>
      <c r="J146" s="49">
        <f>SUMIF('Multi-level BOM'!D$4:D$467,Table1[[#This Row],[Part Number]],'Multi-level BOM'!H$4:H$467)</f>
        <v>0</v>
      </c>
      <c r="K146" s="10">
        <f>Table1[[#This Row],[extended quantity]]*(Table1[[#This Row],[Cost ]]+Table1[[#This Row],[shipping]]+Table1[[#This Row],[Tax]])</f>
        <v>0</v>
      </c>
      <c r="L146" s="83" t="str">
        <f>IF(Table1[[#This Row],[Buy-now costs]]&gt;0,"X","")</f>
        <v/>
      </c>
      <c r="M146" s="83"/>
      <c r="N146" s="83"/>
      <c r="O146" s="40">
        <v>0</v>
      </c>
      <c r="P146" s="97">
        <f>Table1[[#This Row],[quantity on-hand]]*(Table1[[#This Row],[Cost ]]+Table1[[#This Row],[shipping]]+Table1[[#This Row],[Tax]])</f>
        <v>0</v>
      </c>
      <c r="Q146" s="40">
        <v>0</v>
      </c>
      <c r="R146" s="95">
        <f>Table1[[#This Row],[Quantity on order]]*(Table1[[#This Row],[Cost ]]+Table1[[#This Row],[shipping]]+Table1[[#This Row],[Tax]])</f>
        <v>0</v>
      </c>
      <c r="S1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6" s="49">
        <f>Table1[[#This Row],[Quantity  to  purchase]]+Table1[[#This Row],[Quantity purchased]]+Table1[[#This Row],[Quantity on order]]+Table1[[#This Row],[Quantity donated]]-Table1[[#This Row],[extended quantity]]</f>
        <v>0</v>
      </c>
      <c r="U1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6" s="51">
        <f>IFERROR(Table1[[#This Row],[Quantity  to  purchase]]*(Table1[[#This Row],[Cost ]]+Table1[[#This Row],[shipping]]+Table1[[#This Row],[Tax]]),0)</f>
        <v>0</v>
      </c>
      <c r="W146" s="36">
        <f>IFERROR(Table1[[#This Row],[leftover material]]*(Table1[[#This Row],[Cost ]]+Table1[[#This Row],[shipping]]+Table1[[#This Row],[Tax]]),0)</f>
        <v>0</v>
      </c>
      <c r="X146" s="36"/>
      <c r="Y146" s="87"/>
      <c r="Z146" s="87"/>
      <c r="AA146" s="87"/>
      <c r="AB146" s="36"/>
      <c r="AC146" s="36">
        <f>IF(ISNA(VLOOKUP(Table1[[#This Row],[Part Number]],'Multi-level BOM'!V$4:V$449,1,FALSE)),0,Table1[[#This Row],[Remaining Extended cost]])</f>
        <v>0</v>
      </c>
    </row>
    <row r="147" spans="1:29" x14ac:dyDescent="0.25">
      <c r="A147" s="1" t="s">
        <v>150</v>
      </c>
      <c r="B147" s="4"/>
      <c r="F147" s="3">
        <f>9%*Table1[[#This Row],[Cost ]]</f>
        <v>0</v>
      </c>
      <c r="J147" s="49">
        <f>SUMIF('Multi-level BOM'!D$4:D$467,Table1[[#This Row],[Part Number]],'Multi-level BOM'!H$4:H$467)</f>
        <v>0</v>
      </c>
      <c r="K147" s="10">
        <f>Table1[[#This Row],[extended quantity]]*(Table1[[#This Row],[Cost ]]+Table1[[#This Row],[shipping]]+Table1[[#This Row],[Tax]])</f>
        <v>0</v>
      </c>
      <c r="L147" s="83" t="str">
        <f>IF(Table1[[#This Row],[Buy-now costs]]&gt;0,"X","")</f>
        <v/>
      </c>
      <c r="M147" s="83"/>
      <c r="N147" s="83"/>
      <c r="O147" s="40">
        <v>0</v>
      </c>
      <c r="P147" s="97">
        <f>Table1[[#This Row],[quantity on-hand]]*(Table1[[#This Row],[Cost ]]+Table1[[#This Row],[shipping]]+Table1[[#This Row],[Tax]])</f>
        <v>0</v>
      </c>
      <c r="Q147" s="40">
        <v>0</v>
      </c>
      <c r="R147" s="95">
        <f>Table1[[#This Row],[Quantity on order]]*(Table1[[#This Row],[Cost ]]+Table1[[#This Row],[shipping]]+Table1[[#This Row],[Tax]])</f>
        <v>0</v>
      </c>
      <c r="S1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7" s="49">
        <f>Table1[[#This Row],[Quantity  to  purchase]]+Table1[[#This Row],[Quantity purchased]]+Table1[[#This Row],[Quantity on order]]+Table1[[#This Row],[Quantity donated]]-Table1[[#This Row],[extended quantity]]</f>
        <v>0</v>
      </c>
      <c r="U1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7" s="51">
        <f>IFERROR(Table1[[#This Row],[Quantity  to  purchase]]*(Table1[[#This Row],[Cost ]]+Table1[[#This Row],[shipping]]+Table1[[#This Row],[Tax]]),0)</f>
        <v>0</v>
      </c>
      <c r="W147" s="36">
        <f>IFERROR(Table1[[#This Row],[leftover material]]*(Table1[[#This Row],[Cost ]]+Table1[[#This Row],[shipping]]+Table1[[#This Row],[Tax]]),0)</f>
        <v>0</v>
      </c>
      <c r="X147" s="36"/>
      <c r="Y147" s="87"/>
      <c r="Z147" s="87"/>
      <c r="AA147" s="87"/>
      <c r="AB147" s="36"/>
      <c r="AC147" s="36">
        <f>IF(ISNA(VLOOKUP(Table1[[#This Row],[Part Number]],'Multi-level BOM'!V$4:V$449,1,FALSE)),0,Table1[[#This Row],[Remaining Extended cost]])</f>
        <v>0</v>
      </c>
    </row>
    <row r="148" spans="1:29" x14ac:dyDescent="0.25">
      <c r="A148" s="1" t="s">
        <v>151</v>
      </c>
      <c r="B148" s="4"/>
      <c r="F148" s="3">
        <f>9%*Table1[[#This Row],[Cost ]]</f>
        <v>0</v>
      </c>
      <c r="J148" s="49">
        <f>SUMIF('Multi-level BOM'!D$4:D$467,Table1[[#This Row],[Part Number]],'Multi-level BOM'!H$4:H$467)</f>
        <v>0</v>
      </c>
      <c r="K148" s="10">
        <f>Table1[[#This Row],[extended quantity]]*(Table1[[#This Row],[Cost ]]+Table1[[#This Row],[shipping]]+Table1[[#This Row],[Tax]])</f>
        <v>0</v>
      </c>
      <c r="L148" s="83" t="str">
        <f>IF(Table1[[#This Row],[Buy-now costs]]&gt;0,"X","")</f>
        <v/>
      </c>
      <c r="M148" s="83"/>
      <c r="N148" s="83"/>
      <c r="O148" s="40">
        <v>0</v>
      </c>
      <c r="P148" s="97">
        <f>Table1[[#This Row],[quantity on-hand]]*(Table1[[#This Row],[Cost ]]+Table1[[#This Row],[shipping]]+Table1[[#This Row],[Tax]])</f>
        <v>0</v>
      </c>
      <c r="Q148" s="40">
        <v>0</v>
      </c>
      <c r="R148" s="95">
        <f>Table1[[#This Row],[Quantity on order]]*(Table1[[#This Row],[Cost ]]+Table1[[#This Row],[shipping]]+Table1[[#This Row],[Tax]])</f>
        <v>0</v>
      </c>
      <c r="S1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8" s="49">
        <f>Table1[[#This Row],[Quantity  to  purchase]]+Table1[[#This Row],[Quantity purchased]]+Table1[[#This Row],[Quantity on order]]+Table1[[#This Row],[Quantity donated]]-Table1[[#This Row],[extended quantity]]</f>
        <v>0</v>
      </c>
      <c r="U1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8" s="51">
        <f>IFERROR(Table1[[#This Row],[Quantity  to  purchase]]*(Table1[[#This Row],[Cost ]]+Table1[[#This Row],[shipping]]+Table1[[#This Row],[Tax]]),0)</f>
        <v>0</v>
      </c>
      <c r="W148" s="36">
        <f>IFERROR(Table1[[#This Row],[leftover material]]*(Table1[[#This Row],[Cost ]]+Table1[[#This Row],[shipping]]+Table1[[#This Row],[Tax]]),0)</f>
        <v>0</v>
      </c>
      <c r="X148" s="36"/>
      <c r="Y148" s="87"/>
      <c r="Z148" s="87"/>
      <c r="AA148" s="87"/>
      <c r="AB148" s="36"/>
      <c r="AC148" s="36">
        <f>IF(ISNA(VLOOKUP(Table1[[#This Row],[Part Number]],'Multi-level BOM'!V$4:V$449,1,FALSE)),0,Table1[[#This Row],[Remaining Extended cost]])</f>
        <v>0</v>
      </c>
    </row>
    <row r="149" spans="1:29" x14ac:dyDescent="0.25">
      <c r="A149" s="1" t="s">
        <v>152</v>
      </c>
      <c r="B149" s="4"/>
      <c r="F149" s="3">
        <f>9%*Table1[[#This Row],[Cost ]]</f>
        <v>0</v>
      </c>
      <c r="J149" s="49">
        <f>SUMIF('Multi-level BOM'!D$4:D$467,Table1[[#This Row],[Part Number]],'Multi-level BOM'!H$4:H$467)</f>
        <v>0</v>
      </c>
      <c r="K149" s="10">
        <f>Table1[[#This Row],[extended quantity]]*(Table1[[#This Row],[Cost ]]+Table1[[#This Row],[shipping]]+Table1[[#This Row],[Tax]])</f>
        <v>0</v>
      </c>
      <c r="L149" s="83" t="str">
        <f>IF(Table1[[#This Row],[Buy-now costs]]&gt;0,"X","")</f>
        <v/>
      </c>
      <c r="M149" s="83"/>
      <c r="N149" s="83"/>
      <c r="O149" s="40">
        <v>0</v>
      </c>
      <c r="P149" s="97">
        <f>Table1[[#This Row],[quantity on-hand]]*(Table1[[#This Row],[Cost ]]+Table1[[#This Row],[shipping]]+Table1[[#This Row],[Tax]])</f>
        <v>0</v>
      </c>
      <c r="Q149" s="40">
        <v>0</v>
      </c>
      <c r="R149" s="95">
        <f>Table1[[#This Row],[Quantity on order]]*(Table1[[#This Row],[Cost ]]+Table1[[#This Row],[shipping]]+Table1[[#This Row],[Tax]])</f>
        <v>0</v>
      </c>
      <c r="S1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9" s="49">
        <f>Table1[[#This Row],[Quantity  to  purchase]]+Table1[[#This Row],[Quantity purchased]]+Table1[[#This Row],[Quantity on order]]+Table1[[#This Row],[Quantity donated]]-Table1[[#This Row],[extended quantity]]</f>
        <v>0</v>
      </c>
      <c r="U1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9" s="51">
        <f>IFERROR(Table1[[#This Row],[Quantity  to  purchase]]*(Table1[[#This Row],[Cost ]]+Table1[[#This Row],[shipping]]+Table1[[#This Row],[Tax]]),0)</f>
        <v>0</v>
      </c>
      <c r="W149" s="36">
        <f>IFERROR(Table1[[#This Row],[leftover material]]*(Table1[[#This Row],[Cost ]]+Table1[[#This Row],[shipping]]+Table1[[#This Row],[Tax]]),0)</f>
        <v>0</v>
      </c>
      <c r="X149" s="36"/>
      <c r="Y149" s="87"/>
      <c r="Z149" s="87"/>
      <c r="AA149" s="87"/>
      <c r="AB149" s="36"/>
      <c r="AC149" s="36">
        <f>IF(ISNA(VLOOKUP(Table1[[#This Row],[Part Number]],'Multi-level BOM'!V$4:V$449,1,FALSE)),0,Table1[[#This Row],[Remaining Extended cost]])</f>
        <v>0</v>
      </c>
    </row>
    <row r="150" spans="1:29" x14ac:dyDescent="0.25">
      <c r="A150" s="1" t="s">
        <v>153</v>
      </c>
      <c r="B150" s="4"/>
      <c r="F150" s="3">
        <f>9%*Table1[[#This Row],[Cost ]]</f>
        <v>0</v>
      </c>
      <c r="J150" s="49">
        <f>SUMIF('Multi-level BOM'!D$4:D$467,Table1[[#This Row],[Part Number]],'Multi-level BOM'!H$4:H$467)</f>
        <v>0</v>
      </c>
      <c r="K150" s="10">
        <f>Table1[[#This Row],[extended quantity]]*(Table1[[#This Row],[Cost ]]+Table1[[#This Row],[shipping]]+Table1[[#This Row],[Tax]])</f>
        <v>0</v>
      </c>
      <c r="L150" s="83" t="str">
        <f>IF(Table1[[#This Row],[Buy-now costs]]&gt;0,"X","")</f>
        <v/>
      </c>
      <c r="M150" s="83"/>
      <c r="N150" s="83"/>
      <c r="O150" s="40">
        <v>0</v>
      </c>
      <c r="P150" s="97">
        <f>Table1[[#This Row],[quantity on-hand]]*(Table1[[#This Row],[Cost ]]+Table1[[#This Row],[shipping]]+Table1[[#This Row],[Tax]])</f>
        <v>0</v>
      </c>
      <c r="Q150" s="40">
        <v>0</v>
      </c>
      <c r="R150" s="95">
        <f>Table1[[#This Row],[Quantity on order]]*(Table1[[#This Row],[Cost ]]+Table1[[#This Row],[shipping]]+Table1[[#This Row],[Tax]])</f>
        <v>0</v>
      </c>
      <c r="S1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0" s="49">
        <f>Table1[[#This Row],[Quantity  to  purchase]]+Table1[[#This Row],[Quantity purchased]]+Table1[[#This Row],[Quantity on order]]+Table1[[#This Row],[Quantity donated]]-Table1[[#This Row],[extended quantity]]</f>
        <v>0</v>
      </c>
      <c r="U1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0" s="51">
        <f>IFERROR(Table1[[#This Row],[Quantity  to  purchase]]*(Table1[[#This Row],[Cost ]]+Table1[[#This Row],[shipping]]+Table1[[#This Row],[Tax]]),0)</f>
        <v>0</v>
      </c>
      <c r="W150" s="36">
        <f>IFERROR(Table1[[#This Row],[leftover material]]*(Table1[[#This Row],[Cost ]]+Table1[[#This Row],[shipping]]+Table1[[#This Row],[Tax]]),0)</f>
        <v>0</v>
      </c>
      <c r="X150" s="36"/>
      <c r="Y150" s="87"/>
      <c r="Z150" s="87"/>
      <c r="AA150" s="87"/>
      <c r="AB150" s="36"/>
      <c r="AC150" s="36">
        <f>IF(ISNA(VLOOKUP(Table1[[#This Row],[Part Number]],'Multi-level BOM'!V$4:V$449,1,FALSE)),0,Table1[[#This Row],[Remaining Extended cost]])</f>
        <v>0</v>
      </c>
    </row>
    <row r="151" spans="1:29" x14ac:dyDescent="0.25">
      <c r="A151" s="1" t="s">
        <v>154</v>
      </c>
      <c r="B151" s="4"/>
      <c r="F151" s="3">
        <f>9%*Table1[[#This Row],[Cost ]]</f>
        <v>0</v>
      </c>
      <c r="J151" s="49">
        <f>SUMIF('Multi-level BOM'!D$4:D$467,Table1[[#This Row],[Part Number]],'Multi-level BOM'!H$4:H$467)</f>
        <v>0</v>
      </c>
      <c r="K151" s="10">
        <f>Table1[[#This Row],[extended quantity]]*(Table1[[#This Row],[Cost ]]+Table1[[#This Row],[shipping]]+Table1[[#This Row],[Tax]])</f>
        <v>0</v>
      </c>
      <c r="L151" s="83" t="str">
        <f>IF(Table1[[#This Row],[Buy-now costs]]&gt;0,"X","")</f>
        <v/>
      </c>
      <c r="M151" s="83"/>
      <c r="N151" s="83"/>
      <c r="O151" s="40">
        <v>0</v>
      </c>
      <c r="P151" s="97">
        <f>Table1[[#This Row],[quantity on-hand]]*(Table1[[#This Row],[Cost ]]+Table1[[#This Row],[shipping]]+Table1[[#This Row],[Tax]])</f>
        <v>0</v>
      </c>
      <c r="Q151" s="40">
        <v>0</v>
      </c>
      <c r="R151" s="95">
        <f>Table1[[#This Row],[Quantity on order]]*(Table1[[#This Row],[Cost ]]+Table1[[#This Row],[shipping]]+Table1[[#This Row],[Tax]])</f>
        <v>0</v>
      </c>
      <c r="S1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1" s="49">
        <f>Table1[[#This Row],[Quantity  to  purchase]]+Table1[[#This Row],[Quantity purchased]]+Table1[[#This Row],[Quantity on order]]+Table1[[#This Row],[Quantity donated]]-Table1[[#This Row],[extended quantity]]</f>
        <v>0</v>
      </c>
      <c r="U1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1" s="51">
        <f>IFERROR(Table1[[#This Row],[Quantity  to  purchase]]*(Table1[[#This Row],[Cost ]]+Table1[[#This Row],[shipping]]+Table1[[#This Row],[Tax]]),0)</f>
        <v>0</v>
      </c>
      <c r="W151" s="36">
        <f>IFERROR(Table1[[#This Row],[leftover material]]*(Table1[[#This Row],[Cost ]]+Table1[[#This Row],[shipping]]+Table1[[#This Row],[Tax]]),0)</f>
        <v>0</v>
      </c>
      <c r="X151" s="36"/>
      <c r="Y151" s="87"/>
      <c r="Z151" s="87"/>
      <c r="AA151" s="87"/>
      <c r="AB151" s="36"/>
      <c r="AC151" s="36">
        <f>IF(ISNA(VLOOKUP(Table1[[#This Row],[Part Number]],'Multi-level BOM'!V$4:V$449,1,FALSE)),0,Table1[[#This Row],[Remaining Extended cost]])</f>
        <v>0</v>
      </c>
    </row>
    <row r="152" spans="1:29" x14ac:dyDescent="0.25">
      <c r="A152" s="1" t="s">
        <v>155</v>
      </c>
      <c r="B152" s="4"/>
      <c r="F152" s="3">
        <f>9%*Table1[[#This Row],[Cost ]]</f>
        <v>0</v>
      </c>
      <c r="J152" s="49">
        <f>SUMIF('Multi-level BOM'!D$4:D$467,Table1[[#This Row],[Part Number]],'Multi-level BOM'!H$4:H$467)</f>
        <v>0</v>
      </c>
      <c r="K152" s="10">
        <f>Table1[[#This Row],[extended quantity]]*(Table1[[#This Row],[Cost ]]+Table1[[#This Row],[shipping]]+Table1[[#This Row],[Tax]])</f>
        <v>0</v>
      </c>
      <c r="L152" s="83" t="str">
        <f>IF(Table1[[#This Row],[Buy-now costs]]&gt;0,"X","")</f>
        <v/>
      </c>
      <c r="M152" s="83"/>
      <c r="N152" s="83"/>
      <c r="O152" s="40">
        <v>0</v>
      </c>
      <c r="P152" s="97">
        <f>Table1[[#This Row],[quantity on-hand]]*(Table1[[#This Row],[Cost ]]+Table1[[#This Row],[shipping]]+Table1[[#This Row],[Tax]])</f>
        <v>0</v>
      </c>
      <c r="Q152" s="40">
        <v>0</v>
      </c>
      <c r="R152" s="95">
        <f>Table1[[#This Row],[Quantity on order]]*(Table1[[#This Row],[Cost ]]+Table1[[#This Row],[shipping]]+Table1[[#This Row],[Tax]])</f>
        <v>0</v>
      </c>
      <c r="S1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2" s="49">
        <f>Table1[[#This Row],[Quantity  to  purchase]]+Table1[[#This Row],[Quantity purchased]]+Table1[[#This Row],[Quantity on order]]+Table1[[#This Row],[Quantity donated]]-Table1[[#This Row],[extended quantity]]</f>
        <v>0</v>
      </c>
      <c r="U1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2" s="51">
        <f>IFERROR(Table1[[#This Row],[Quantity  to  purchase]]*(Table1[[#This Row],[Cost ]]+Table1[[#This Row],[shipping]]+Table1[[#This Row],[Tax]]),0)</f>
        <v>0</v>
      </c>
      <c r="W152" s="36">
        <f>IFERROR(Table1[[#This Row],[leftover material]]*(Table1[[#This Row],[Cost ]]+Table1[[#This Row],[shipping]]+Table1[[#This Row],[Tax]]),0)</f>
        <v>0</v>
      </c>
      <c r="X152" s="36"/>
      <c r="Y152" s="87"/>
      <c r="Z152" s="87"/>
      <c r="AA152" s="87"/>
      <c r="AB152" s="36"/>
      <c r="AC152" s="36">
        <f>IF(ISNA(VLOOKUP(Table1[[#This Row],[Part Number]],'Multi-level BOM'!V$4:V$449,1,FALSE)),0,Table1[[#This Row],[Remaining Extended cost]])</f>
        <v>0</v>
      </c>
    </row>
    <row r="153" spans="1:29" x14ac:dyDescent="0.25">
      <c r="A153" s="1" t="s">
        <v>156</v>
      </c>
      <c r="B153" s="4"/>
      <c r="F153" s="3">
        <f>9%*Table1[[#This Row],[Cost ]]</f>
        <v>0</v>
      </c>
      <c r="J153" s="49">
        <f>SUMIF('Multi-level BOM'!D$4:D$467,Table1[[#This Row],[Part Number]],'Multi-level BOM'!H$4:H$467)</f>
        <v>0</v>
      </c>
      <c r="K153" s="10">
        <f>Table1[[#This Row],[extended quantity]]*(Table1[[#This Row],[Cost ]]+Table1[[#This Row],[shipping]]+Table1[[#This Row],[Tax]])</f>
        <v>0</v>
      </c>
      <c r="L153" s="83" t="str">
        <f>IF(Table1[[#This Row],[Buy-now costs]]&gt;0,"X","")</f>
        <v/>
      </c>
      <c r="M153" s="83"/>
      <c r="N153" s="83"/>
      <c r="O153" s="40">
        <v>0</v>
      </c>
      <c r="P153" s="97">
        <f>Table1[[#This Row],[quantity on-hand]]*(Table1[[#This Row],[Cost ]]+Table1[[#This Row],[shipping]]+Table1[[#This Row],[Tax]])</f>
        <v>0</v>
      </c>
      <c r="Q153" s="40">
        <v>0</v>
      </c>
      <c r="R153" s="95">
        <f>Table1[[#This Row],[Quantity on order]]*(Table1[[#This Row],[Cost ]]+Table1[[#This Row],[shipping]]+Table1[[#This Row],[Tax]])</f>
        <v>0</v>
      </c>
      <c r="S1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3" s="49">
        <f>Table1[[#This Row],[Quantity  to  purchase]]+Table1[[#This Row],[Quantity purchased]]+Table1[[#This Row],[Quantity on order]]+Table1[[#This Row],[Quantity donated]]-Table1[[#This Row],[extended quantity]]</f>
        <v>0</v>
      </c>
      <c r="U1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3" s="51">
        <f>IFERROR(Table1[[#This Row],[Quantity  to  purchase]]*(Table1[[#This Row],[Cost ]]+Table1[[#This Row],[shipping]]+Table1[[#This Row],[Tax]]),0)</f>
        <v>0</v>
      </c>
      <c r="W153" s="36">
        <f>IFERROR(Table1[[#This Row],[leftover material]]*(Table1[[#This Row],[Cost ]]+Table1[[#This Row],[shipping]]+Table1[[#This Row],[Tax]]),0)</f>
        <v>0</v>
      </c>
      <c r="X153" s="36"/>
      <c r="Y153" s="87"/>
      <c r="Z153" s="87"/>
      <c r="AA153" s="87"/>
      <c r="AB153" s="36"/>
      <c r="AC153" s="36">
        <f>IF(ISNA(VLOOKUP(Table1[[#This Row],[Part Number]],'Multi-level BOM'!V$4:V$449,1,FALSE)),0,Table1[[#This Row],[Remaining Extended cost]])</f>
        <v>0</v>
      </c>
    </row>
    <row r="154" spans="1:29" x14ac:dyDescent="0.25">
      <c r="A154" s="1" t="s">
        <v>157</v>
      </c>
      <c r="B154" s="4"/>
      <c r="F154" s="3">
        <f>9%*Table1[[#This Row],[Cost ]]</f>
        <v>0</v>
      </c>
      <c r="J154" s="49">
        <f>SUMIF('Multi-level BOM'!D$4:D$467,Table1[[#This Row],[Part Number]],'Multi-level BOM'!H$4:H$467)</f>
        <v>0</v>
      </c>
      <c r="K154" s="10">
        <f>Table1[[#This Row],[extended quantity]]*(Table1[[#This Row],[Cost ]]+Table1[[#This Row],[shipping]]+Table1[[#This Row],[Tax]])</f>
        <v>0</v>
      </c>
      <c r="L154" s="83" t="str">
        <f>IF(Table1[[#This Row],[Buy-now costs]]&gt;0,"X","")</f>
        <v/>
      </c>
      <c r="M154" s="83"/>
      <c r="N154" s="83"/>
      <c r="O154" s="40">
        <v>0</v>
      </c>
      <c r="P154" s="97">
        <f>Table1[[#This Row],[quantity on-hand]]*(Table1[[#This Row],[Cost ]]+Table1[[#This Row],[shipping]]+Table1[[#This Row],[Tax]])</f>
        <v>0</v>
      </c>
      <c r="Q154" s="40">
        <v>0</v>
      </c>
      <c r="R154" s="95">
        <f>Table1[[#This Row],[Quantity on order]]*(Table1[[#This Row],[Cost ]]+Table1[[#This Row],[shipping]]+Table1[[#This Row],[Tax]])</f>
        <v>0</v>
      </c>
      <c r="S1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4" s="49">
        <f>Table1[[#This Row],[Quantity  to  purchase]]+Table1[[#This Row],[Quantity purchased]]+Table1[[#This Row],[Quantity on order]]+Table1[[#This Row],[Quantity donated]]-Table1[[#This Row],[extended quantity]]</f>
        <v>0</v>
      </c>
      <c r="U1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4" s="51">
        <f>IFERROR(Table1[[#This Row],[Quantity  to  purchase]]*(Table1[[#This Row],[Cost ]]+Table1[[#This Row],[shipping]]+Table1[[#This Row],[Tax]]),0)</f>
        <v>0</v>
      </c>
      <c r="W154" s="36">
        <f>IFERROR(Table1[[#This Row],[leftover material]]*(Table1[[#This Row],[Cost ]]+Table1[[#This Row],[shipping]]+Table1[[#This Row],[Tax]]),0)</f>
        <v>0</v>
      </c>
      <c r="X154" s="36"/>
      <c r="Y154" s="87"/>
      <c r="Z154" s="87"/>
      <c r="AA154" s="87"/>
      <c r="AB154" s="36"/>
      <c r="AC154" s="36">
        <f>IF(ISNA(VLOOKUP(Table1[[#This Row],[Part Number]],'Multi-level BOM'!V$4:V$449,1,FALSE)),0,Table1[[#This Row],[Remaining Extended cost]])</f>
        <v>0</v>
      </c>
    </row>
    <row r="155" spans="1:29" x14ac:dyDescent="0.25">
      <c r="A155" s="1" t="s">
        <v>158</v>
      </c>
      <c r="B155" s="4"/>
      <c r="F155" s="3">
        <f>9%*Table1[[#This Row],[Cost ]]</f>
        <v>0</v>
      </c>
      <c r="J155" s="49">
        <f>SUMIF('Multi-level BOM'!D$4:D$467,Table1[[#This Row],[Part Number]],'Multi-level BOM'!H$4:H$467)</f>
        <v>0</v>
      </c>
      <c r="K155" s="10">
        <f>Table1[[#This Row],[extended quantity]]*(Table1[[#This Row],[Cost ]]+Table1[[#This Row],[shipping]]+Table1[[#This Row],[Tax]])</f>
        <v>0</v>
      </c>
      <c r="L155" s="83" t="str">
        <f>IF(Table1[[#This Row],[Buy-now costs]]&gt;0,"X","")</f>
        <v/>
      </c>
      <c r="M155" s="83"/>
      <c r="N155" s="83"/>
      <c r="O155" s="40">
        <v>0</v>
      </c>
      <c r="P155" s="97">
        <f>Table1[[#This Row],[quantity on-hand]]*(Table1[[#This Row],[Cost ]]+Table1[[#This Row],[shipping]]+Table1[[#This Row],[Tax]])</f>
        <v>0</v>
      </c>
      <c r="Q155" s="40">
        <v>0</v>
      </c>
      <c r="R155" s="95">
        <f>Table1[[#This Row],[Quantity on order]]*(Table1[[#This Row],[Cost ]]+Table1[[#This Row],[shipping]]+Table1[[#This Row],[Tax]])</f>
        <v>0</v>
      </c>
      <c r="S1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5" s="49">
        <f>Table1[[#This Row],[Quantity  to  purchase]]+Table1[[#This Row],[Quantity purchased]]+Table1[[#This Row],[Quantity on order]]+Table1[[#This Row],[Quantity donated]]-Table1[[#This Row],[extended quantity]]</f>
        <v>0</v>
      </c>
      <c r="U1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5" s="51">
        <f>IFERROR(Table1[[#This Row],[Quantity  to  purchase]]*(Table1[[#This Row],[Cost ]]+Table1[[#This Row],[shipping]]+Table1[[#This Row],[Tax]]),0)</f>
        <v>0</v>
      </c>
      <c r="W155" s="36">
        <f>IFERROR(Table1[[#This Row],[leftover material]]*(Table1[[#This Row],[Cost ]]+Table1[[#This Row],[shipping]]+Table1[[#This Row],[Tax]]),0)</f>
        <v>0</v>
      </c>
      <c r="X155" s="36"/>
      <c r="Y155" s="87"/>
      <c r="Z155" s="87"/>
      <c r="AA155" s="87"/>
      <c r="AB155" s="36"/>
      <c r="AC155" s="36">
        <f>IF(ISNA(VLOOKUP(Table1[[#This Row],[Part Number]],'Multi-level BOM'!V$4:V$449,1,FALSE)),0,Table1[[#This Row],[Remaining Extended cost]])</f>
        <v>0</v>
      </c>
    </row>
    <row r="156" spans="1:29" x14ac:dyDescent="0.25">
      <c r="A156" s="1" t="s">
        <v>159</v>
      </c>
      <c r="B156" s="4"/>
      <c r="F156" s="3">
        <f>9%*Table1[[#This Row],[Cost ]]</f>
        <v>0</v>
      </c>
      <c r="J156" s="49">
        <f>SUMIF('Multi-level BOM'!D$4:D$467,Table1[[#This Row],[Part Number]],'Multi-level BOM'!H$4:H$467)</f>
        <v>0</v>
      </c>
      <c r="K156" s="10">
        <f>Table1[[#This Row],[extended quantity]]*(Table1[[#This Row],[Cost ]]+Table1[[#This Row],[shipping]]+Table1[[#This Row],[Tax]])</f>
        <v>0</v>
      </c>
      <c r="L156" s="83" t="str">
        <f>IF(Table1[[#This Row],[Buy-now costs]]&gt;0,"X","")</f>
        <v/>
      </c>
      <c r="M156" s="83"/>
      <c r="N156" s="83"/>
      <c r="O156" s="40">
        <v>0</v>
      </c>
      <c r="P156" s="97">
        <f>Table1[[#This Row],[quantity on-hand]]*(Table1[[#This Row],[Cost ]]+Table1[[#This Row],[shipping]]+Table1[[#This Row],[Tax]])</f>
        <v>0</v>
      </c>
      <c r="Q156" s="40">
        <v>0</v>
      </c>
      <c r="R156" s="95">
        <f>Table1[[#This Row],[Quantity on order]]*(Table1[[#This Row],[Cost ]]+Table1[[#This Row],[shipping]]+Table1[[#This Row],[Tax]])</f>
        <v>0</v>
      </c>
      <c r="S1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6" s="49">
        <f>Table1[[#This Row],[Quantity  to  purchase]]+Table1[[#This Row],[Quantity purchased]]+Table1[[#This Row],[Quantity on order]]+Table1[[#This Row],[Quantity donated]]-Table1[[#This Row],[extended quantity]]</f>
        <v>0</v>
      </c>
      <c r="U1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6" s="51">
        <f>IFERROR(Table1[[#This Row],[Quantity  to  purchase]]*(Table1[[#This Row],[Cost ]]+Table1[[#This Row],[shipping]]+Table1[[#This Row],[Tax]]),0)</f>
        <v>0</v>
      </c>
      <c r="W156" s="36">
        <f>IFERROR(Table1[[#This Row],[leftover material]]*(Table1[[#This Row],[Cost ]]+Table1[[#This Row],[shipping]]+Table1[[#This Row],[Tax]]),0)</f>
        <v>0</v>
      </c>
      <c r="X156" s="36"/>
      <c r="Y156" s="87"/>
      <c r="Z156" s="87"/>
      <c r="AA156" s="87"/>
      <c r="AB156" s="36"/>
      <c r="AC156" s="36">
        <f>IF(ISNA(VLOOKUP(Table1[[#This Row],[Part Number]],'Multi-level BOM'!V$4:V$449,1,FALSE)),0,Table1[[#This Row],[Remaining Extended cost]])</f>
        <v>0</v>
      </c>
    </row>
    <row r="157" spans="1:29" x14ac:dyDescent="0.25">
      <c r="A157" s="1" t="s">
        <v>160</v>
      </c>
      <c r="B157" s="4"/>
      <c r="F157" s="3">
        <f>9%*Table1[[#This Row],[Cost ]]</f>
        <v>0</v>
      </c>
      <c r="J157" s="49">
        <f>SUMIF('Multi-level BOM'!D$4:D$467,Table1[[#This Row],[Part Number]],'Multi-level BOM'!H$4:H$467)</f>
        <v>0</v>
      </c>
      <c r="K157" s="10">
        <f>Table1[[#This Row],[extended quantity]]*(Table1[[#This Row],[Cost ]]+Table1[[#This Row],[shipping]]+Table1[[#This Row],[Tax]])</f>
        <v>0</v>
      </c>
      <c r="L157" s="83" t="str">
        <f>IF(Table1[[#This Row],[Buy-now costs]]&gt;0,"X","")</f>
        <v/>
      </c>
      <c r="M157" s="83"/>
      <c r="N157" s="83"/>
      <c r="O157" s="40">
        <v>0</v>
      </c>
      <c r="P157" s="97">
        <f>Table1[[#This Row],[quantity on-hand]]*(Table1[[#This Row],[Cost ]]+Table1[[#This Row],[shipping]]+Table1[[#This Row],[Tax]])</f>
        <v>0</v>
      </c>
      <c r="Q157" s="40">
        <v>0</v>
      </c>
      <c r="R157" s="95">
        <f>Table1[[#This Row],[Quantity on order]]*(Table1[[#This Row],[Cost ]]+Table1[[#This Row],[shipping]]+Table1[[#This Row],[Tax]])</f>
        <v>0</v>
      </c>
      <c r="S1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7" s="49">
        <f>Table1[[#This Row],[Quantity  to  purchase]]+Table1[[#This Row],[Quantity purchased]]+Table1[[#This Row],[Quantity on order]]+Table1[[#This Row],[Quantity donated]]-Table1[[#This Row],[extended quantity]]</f>
        <v>0</v>
      </c>
      <c r="U1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7" s="51">
        <f>IFERROR(Table1[[#This Row],[Quantity  to  purchase]]*(Table1[[#This Row],[Cost ]]+Table1[[#This Row],[shipping]]+Table1[[#This Row],[Tax]]),0)</f>
        <v>0</v>
      </c>
      <c r="W157" s="36">
        <f>IFERROR(Table1[[#This Row],[leftover material]]*(Table1[[#This Row],[Cost ]]+Table1[[#This Row],[shipping]]+Table1[[#This Row],[Tax]]),0)</f>
        <v>0</v>
      </c>
      <c r="X157" s="36"/>
      <c r="Y157" s="87"/>
      <c r="Z157" s="87"/>
      <c r="AA157" s="87"/>
      <c r="AB157" s="36"/>
      <c r="AC157" s="36">
        <f>IF(ISNA(VLOOKUP(Table1[[#This Row],[Part Number]],'Multi-level BOM'!V$4:V$449,1,FALSE)),0,Table1[[#This Row],[Remaining Extended cost]])</f>
        <v>0</v>
      </c>
    </row>
    <row r="158" spans="1:29" x14ac:dyDescent="0.25">
      <c r="A158" s="1" t="s">
        <v>161</v>
      </c>
      <c r="B158" s="4"/>
      <c r="F158" s="3">
        <f>9%*Table1[[#This Row],[Cost ]]</f>
        <v>0</v>
      </c>
      <c r="J158" s="49">
        <f>SUMIF('Multi-level BOM'!D$4:D$467,Table1[[#This Row],[Part Number]],'Multi-level BOM'!H$4:H$467)</f>
        <v>0</v>
      </c>
      <c r="K158" s="10">
        <f>Table1[[#This Row],[extended quantity]]*(Table1[[#This Row],[Cost ]]+Table1[[#This Row],[shipping]]+Table1[[#This Row],[Tax]])</f>
        <v>0</v>
      </c>
      <c r="L158" s="83" t="str">
        <f>IF(Table1[[#This Row],[Buy-now costs]]&gt;0,"X","")</f>
        <v/>
      </c>
      <c r="M158" s="83"/>
      <c r="N158" s="83"/>
      <c r="O158" s="40">
        <v>0</v>
      </c>
      <c r="P158" s="97">
        <f>Table1[[#This Row],[quantity on-hand]]*(Table1[[#This Row],[Cost ]]+Table1[[#This Row],[shipping]]+Table1[[#This Row],[Tax]])</f>
        <v>0</v>
      </c>
      <c r="Q158" s="40">
        <v>0</v>
      </c>
      <c r="R158" s="95">
        <f>Table1[[#This Row],[Quantity on order]]*(Table1[[#This Row],[Cost ]]+Table1[[#This Row],[shipping]]+Table1[[#This Row],[Tax]])</f>
        <v>0</v>
      </c>
      <c r="S1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8" s="49">
        <f>Table1[[#This Row],[Quantity  to  purchase]]+Table1[[#This Row],[Quantity purchased]]+Table1[[#This Row],[Quantity on order]]+Table1[[#This Row],[Quantity donated]]-Table1[[#This Row],[extended quantity]]</f>
        <v>0</v>
      </c>
      <c r="U1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8" s="51">
        <f>IFERROR(Table1[[#This Row],[Quantity  to  purchase]]*(Table1[[#This Row],[Cost ]]+Table1[[#This Row],[shipping]]+Table1[[#This Row],[Tax]]),0)</f>
        <v>0</v>
      </c>
      <c r="W158" s="36">
        <f>IFERROR(Table1[[#This Row],[leftover material]]*(Table1[[#This Row],[Cost ]]+Table1[[#This Row],[shipping]]+Table1[[#This Row],[Tax]]),0)</f>
        <v>0</v>
      </c>
      <c r="X158" s="36"/>
      <c r="Y158" s="87"/>
      <c r="Z158" s="87"/>
      <c r="AA158" s="87"/>
      <c r="AB158" s="36"/>
      <c r="AC158" s="36">
        <f>IF(ISNA(VLOOKUP(Table1[[#This Row],[Part Number]],'Multi-level BOM'!V$4:V$449,1,FALSE)),0,Table1[[#This Row],[Remaining Extended cost]])</f>
        <v>0</v>
      </c>
    </row>
    <row r="159" spans="1:29" x14ac:dyDescent="0.25">
      <c r="A159" s="1" t="s">
        <v>162</v>
      </c>
      <c r="B159" s="4"/>
      <c r="F159" s="3">
        <f>9%*Table1[[#This Row],[Cost ]]</f>
        <v>0</v>
      </c>
      <c r="J159" s="49">
        <f>SUMIF('Multi-level BOM'!D$4:D$467,Table1[[#This Row],[Part Number]],'Multi-level BOM'!H$4:H$467)</f>
        <v>0</v>
      </c>
      <c r="K159" s="10">
        <f>Table1[[#This Row],[extended quantity]]*(Table1[[#This Row],[Cost ]]+Table1[[#This Row],[shipping]]+Table1[[#This Row],[Tax]])</f>
        <v>0</v>
      </c>
      <c r="L159" s="83" t="str">
        <f>IF(Table1[[#This Row],[Buy-now costs]]&gt;0,"X","")</f>
        <v/>
      </c>
      <c r="M159" s="83"/>
      <c r="N159" s="83"/>
      <c r="O159" s="40">
        <v>0</v>
      </c>
      <c r="P159" s="97">
        <f>Table1[[#This Row],[quantity on-hand]]*(Table1[[#This Row],[Cost ]]+Table1[[#This Row],[shipping]]+Table1[[#This Row],[Tax]])</f>
        <v>0</v>
      </c>
      <c r="Q159" s="40">
        <v>0</v>
      </c>
      <c r="R159" s="95">
        <f>Table1[[#This Row],[Quantity on order]]*(Table1[[#This Row],[Cost ]]+Table1[[#This Row],[shipping]]+Table1[[#This Row],[Tax]])</f>
        <v>0</v>
      </c>
      <c r="S1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9" s="49">
        <f>Table1[[#This Row],[Quantity  to  purchase]]+Table1[[#This Row],[Quantity purchased]]+Table1[[#This Row],[Quantity on order]]+Table1[[#This Row],[Quantity donated]]-Table1[[#This Row],[extended quantity]]</f>
        <v>0</v>
      </c>
      <c r="U1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9" s="51">
        <f>IFERROR(Table1[[#This Row],[Quantity  to  purchase]]*(Table1[[#This Row],[Cost ]]+Table1[[#This Row],[shipping]]+Table1[[#This Row],[Tax]]),0)</f>
        <v>0</v>
      </c>
      <c r="W159" s="36">
        <f>IFERROR(Table1[[#This Row],[leftover material]]*(Table1[[#This Row],[Cost ]]+Table1[[#This Row],[shipping]]+Table1[[#This Row],[Tax]]),0)</f>
        <v>0</v>
      </c>
      <c r="X159" s="36"/>
      <c r="Y159" s="87"/>
      <c r="Z159" s="87"/>
      <c r="AA159" s="87"/>
      <c r="AB159" s="36"/>
      <c r="AC159" s="36">
        <f>IF(ISNA(VLOOKUP(Table1[[#This Row],[Part Number]],'Multi-level BOM'!V$4:V$449,1,FALSE)),0,Table1[[#This Row],[Remaining Extended cost]])</f>
        <v>0</v>
      </c>
    </row>
    <row r="160" spans="1:29" x14ac:dyDescent="0.25">
      <c r="A160" s="1" t="s">
        <v>163</v>
      </c>
      <c r="B160" s="4"/>
      <c r="F160" s="3">
        <f>9%*Table1[[#This Row],[Cost ]]</f>
        <v>0</v>
      </c>
      <c r="J160" s="49">
        <f>SUMIF('Multi-level BOM'!D$4:D$467,Table1[[#This Row],[Part Number]],'Multi-level BOM'!H$4:H$467)</f>
        <v>0</v>
      </c>
      <c r="K160" s="10">
        <f>Table1[[#This Row],[extended quantity]]*(Table1[[#This Row],[Cost ]]+Table1[[#This Row],[shipping]]+Table1[[#This Row],[Tax]])</f>
        <v>0</v>
      </c>
      <c r="L160" s="83" t="str">
        <f>IF(Table1[[#This Row],[Buy-now costs]]&gt;0,"X","")</f>
        <v/>
      </c>
      <c r="M160" s="83"/>
      <c r="N160" s="83"/>
      <c r="O160" s="40">
        <v>0</v>
      </c>
      <c r="P160" s="97">
        <f>Table1[[#This Row],[quantity on-hand]]*(Table1[[#This Row],[Cost ]]+Table1[[#This Row],[shipping]]+Table1[[#This Row],[Tax]])</f>
        <v>0</v>
      </c>
      <c r="Q160" s="40">
        <v>0</v>
      </c>
      <c r="R160" s="95">
        <f>Table1[[#This Row],[Quantity on order]]*(Table1[[#This Row],[Cost ]]+Table1[[#This Row],[shipping]]+Table1[[#This Row],[Tax]])</f>
        <v>0</v>
      </c>
      <c r="S1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0" s="49">
        <f>Table1[[#This Row],[Quantity  to  purchase]]+Table1[[#This Row],[Quantity purchased]]+Table1[[#This Row],[Quantity on order]]+Table1[[#This Row],[Quantity donated]]-Table1[[#This Row],[extended quantity]]</f>
        <v>0</v>
      </c>
      <c r="U1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0" s="51">
        <f>IFERROR(Table1[[#This Row],[Quantity  to  purchase]]*(Table1[[#This Row],[Cost ]]+Table1[[#This Row],[shipping]]+Table1[[#This Row],[Tax]]),0)</f>
        <v>0</v>
      </c>
      <c r="W160" s="36">
        <f>IFERROR(Table1[[#This Row],[leftover material]]*(Table1[[#This Row],[Cost ]]+Table1[[#This Row],[shipping]]+Table1[[#This Row],[Tax]]),0)</f>
        <v>0</v>
      </c>
      <c r="X160" s="36"/>
      <c r="Y160" s="87"/>
      <c r="Z160" s="87"/>
      <c r="AA160" s="87"/>
      <c r="AB160" s="36"/>
      <c r="AC160" s="36">
        <f>IF(ISNA(VLOOKUP(Table1[[#This Row],[Part Number]],'Multi-level BOM'!V$4:V$449,1,FALSE)),0,Table1[[#This Row],[Remaining Extended cost]])</f>
        <v>0</v>
      </c>
    </row>
    <row r="161" spans="1:29" x14ac:dyDescent="0.25">
      <c r="A161" s="1" t="s">
        <v>164</v>
      </c>
      <c r="B161" s="4"/>
      <c r="F161" s="3">
        <f>9%*Table1[[#This Row],[Cost ]]</f>
        <v>0</v>
      </c>
      <c r="J161" s="49">
        <f>SUMIF('Multi-level BOM'!D$4:D$467,Table1[[#This Row],[Part Number]],'Multi-level BOM'!H$4:H$467)</f>
        <v>0</v>
      </c>
      <c r="K161" s="10">
        <f>Table1[[#This Row],[extended quantity]]*(Table1[[#This Row],[Cost ]]+Table1[[#This Row],[shipping]]+Table1[[#This Row],[Tax]])</f>
        <v>0</v>
      </c>
      <c r="L161" s="83" t="str">
        <f>IF(Table1[[#This Row],[Buy-now costs]]&gt;0,"X","")</f>
        <v/>
      </c>
      <c r="M161" s="83"/>
      <c r="N161" s="83"/>
      <c r="O161" s="40">
        <v>0</v>
      </c>
      <c r="P161" s="97">
        <f>Table1[[#This Row],[quantity on-hand]]*(Table1[[#This Row],[Cost ]]+Table1[[#This Row],[shipping]]+Table1[[#This Row],[Tax]])</f>
        <v>0</v>
      </c>
      <c r="Q161" s="40">
        <v>0</v>
      </c>
      <c r="R161" s="95">
        <f>Table1[[#This Row],[Quantity on order]]*(Table1[[#This Row],[Cost ]]+Table1[[#This Row],[shipping]]+Table1[[#This Row],[Tax]])</f>
        <v>0</v>
      </c>
      <c r="S1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1" s="49">
        <f>Table1[[#This Row],[Quantity  to  purchase]]+Table1[[#This Row],[Quantity purchased]]+Table1[[#This Row],[Quantity on order]]+Table1[[#This Row],[Quantity donated]]-Table1[[#This Row],[extended quantity]]</f>
        <v>0</v>
      </c>
      <c r="U1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1" s="51">
        <f>IFERROR(Table1[[#This Row],[Quantity  to  purchase]]*(Table1[[#This Row],[Cost ]]+Table1[[#This Row],[shipping]]+Table1[[#This Row],[Tax]]),0)</f>
        <v>0</v>
      </c>
      <c r="W161" s="36">
        <f>IFERROR(Table1[[#This Row],[leftover material]]*(Table1[[#This Row],[Cost ]]+Table1[[#This Row],[shipping]]+Table1[[#This Row],[Tax]]),0)</f>
        <v>0</v>
      </c>
      <c r="X161" s="36"/>
      <c r="Y161" s="87"/>
      <c r="Z161" s="87"/>
      <c r="AA161" s="87"/>
      <c r="AB161" s="36"/>
      <c r="AC161" s="36">
        <f>IF(ISNA(VLOOKUP(Table1[[#This Row],[Part Number]],'Multi-level BOM'!V$4:V$449,1,FALSE)),0,Table1[[#This Row],[Remaining Extended cost]])</f>
        <v>0</v>
      </c>
    </row>
    <row r="162" spans="1:29" x14ac:dyDescent="0.25">
      <c r="A162" s="1" t="s">
        <v>165</v>
      </c>
      <c r="B162" s="4"/>
      <c r="F162" s="3">
        <f>9%*Table1[[#This Row],[Cost ]]</f>
        <v>0</v>
      </c>
      <c r="J162" s="49">
        <f>SUMIF('Multi-level BOM'!D$4:D$467,Table1[[#This Row],[Part Number]],'Multi-level BOM'!H$4:H$467)</f>
        <v>0</v>
      </c>
      <c r="K162" s="10">
        <f>Table1[[#This Row],[extended quantity]]*(Table1[[#This Row],[Cost ]]+Table1[[#This Row],[shipping]]+Table1[[#This Row],[Tax]])</f>
        <v>0</v>
      </c>
      <c r="L162" s="83" t="str">
        <f>IF(Table1[[#This Row],[Buy-now costs]]&gt;0,"X","")</f>
        <v/>
      </c>
      <c r="M162" s="83"/>
      <c r="N162" s="83"/>
      <c r="O162" s="40">
        <v>0</v>
      </c>
      <c r="P162" s="97">
        <f>Table1[[#This Row],[quantity on-hand]]*(Table1[[#This Row],[Cost ]]+Table1[[#This Row],[shipping]]+Table1[[#This Row],[Tax]])</f>
        <v>0</v>
      </c>
      <c r="Q162" s="40">
        <v>0</v>
      </c>
      <c r="R162" s="95">
        <f>Table1[[#This Row],[Quantity on order]]*(Table1[[#This Row],[Cost ]]+Table1[[#This Row],[shipping]]+Table1[[#This Row],[Tax]])</f>
        <v>0</v>
      </c>
      <c r="S1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2" s="49">
        <f>Table1[[#This Row],[Quantity  to  purchase]]+Table1[[#This Row],[Quantity purchased]]+Table1[[#This Row],[Quantity on order]]+Table1[[#This Row],[Quantity donated]]-Table1[[#This Row],[extended quantity]]</f>
        <v>0</v>
      </c>
      <c r="U1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2" s="51">
        <f>IFERROR(Table1[[#This Row],[Quantity  to  purchase]]*(Table1[[#This Row],[Cost ]]+Table1[[#This Row],[shipping]]+Table1[[#This Row],[Tax]]),0)</f>
        <v>0</v>
      </c>
      <c r="W162" s="36">
        <f>IFERROR(Table1[[#This Row],[leftover material]]*(Table1[[#This Row],[Cost ]]+Table1[[#This Row],[shipping]]+Table1[[#This Row],[Tax]]),0)</f>
        <v>0</v>
      </c>
      <c r="X162" s="36"/>
      <c r="Y162" s="87"/>
      <c r="Z162" s="87"/>
      <c r="AA162" s="87"/>
      <c r="AB162" s="36"/>
      <c r="AC162" s="36">
        <f>IF(ISNA(VLOOKUP(Table1[[#This Row],[Part Number]],'Multi-level BOM'!V$4:V$449,1,FALSE)),0,Table1[[#This Row],[Remaining Extended cost]])</f>
        <v>0</v>
      </c>
    </row>
    <row r="163" spans="1:29" x14ac:dyDescent="0.25">
      <c r="A163" s="1" t="s">
        <v>166</v>
      </c>
      <c r="B163" s="4"/>
      <c r="F163" s="3">
        <f>9%*Table1[[#This Row],[Cost ]]</f>
        <v>0</v>
      </c>
      <c r="J163" s="49">
        <f>SUMIF('Multi-level BOM'!D$4:D$467,Table1[[#This Row],[Part Number]],'Multi-level BOM'!H$4:H$467)</f>
        <v>0</v>
      </c>
      <c r="K163" s="10">
        <f>Table1[[#This Row],[extended quantity]]*(Table1[[#This Row],[Cost ]]+Table1[[#This Row],[shipping]]+Table1[[#This Row],[Tax]])</f>
        <v>0</v>
      </c>
      <c r="L163" s="83" t="str">
        <f>IF(Table1[[#This Row],[Buy-now costs]]&gt;0,"X","")</f>
        <v/>
      </c>
      <c r="M163" s="83"/>
      <c r="N163" s="83"/>
      <c r="O163" s="40">
        <v>0</v>
      </c>
      <c r="P163" s="97">
        <f>Table1[[#This Row],[quantity on-hand]]*(Table1[[#This Row],[Cost ]]+Table1[[#This Row],[shipping]]+Table1[[#This Row],[Tax]])</f>
        <v>0</v>
      </c>
      <c r="Q163" s="40">
        <v>0</v>
      </c>
      <c r="R163" s="95">
        <f>Table1[[#This Row],[Quantity on order]]*(Table1[[#This Row],[Cost ]]+Table1[[#This Row],[shipping]]+Table1[[#This Row],[Tax]])</f>
        <v>0</v>
      </c>
      <c r="S1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3" s="49">
        <f>Table1[[#This Row],[Quantity  to  purchase]]+Table1[[#This Row],[Quantity purchased]]+Table1[[#This Row],[Quantity on order]]+Table1[[#This Row],[Quantity donated]]-Table1[[#This Row],[extended quantity]]</f>
        <v>0</v>
      </c>
      <c r="U1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3" s="51">
        <f>IFERROR(Table1[[#This Row],[Quantity  to  purchase]]*(Table1[[#This Row],[Cost ]]+Table1[[#This Row],[shipping]]+Table1[[#This Row],[Tax]]),0)</f>
        <v>0</v>
      </c>
      <c r="W163" s="36">
        <f>IFERROR(Table1[[#This Row],[leftover material]]*(Table1[[#This Row],[Cost ]]+Table1[[#This Row],[shipping]]+Table1[[#This Row],[Tax]]),0)</f>
        <v>0</v>
      </c>
      <c r="X163" s="36"/>
      <c r="Y163" s="87"/>
      <c r="Z163" s="87"/>
      <c r="AA163" s="87"/>
      <c r="AB163" s="36"/>
      <c r="AC163" s="36">
        <f>IF(ISNA(VLOOKUP(Table1[[#This Row],[Part Number]],'Multi-level BOM'!V$4:V$449,1,FALSE)),0,Table1[[#This Row],[Remaining Extended cost]])</f>
        <v>0</v>
      </c>
    </row>
    <row r="164" spans="1:29" x14ac:dyDescent="0.25">
      <c r="A164" s="1" t="s">
        <v>167</v>
      </c>
      <c r="B164" s="4"/>
      <c r="F164" s="3">
        <f>9%*Table1[[#This Row],[Cost ]]</f>
        <v>0</v>
      </c>
      <c r="J164" s="49">
        <f>SUMIF('Multi-level BOM'!D$4:D$467,Table1[[#This Row],[Part Number]],'Multi-level BOM'!H$4:H$467)</f>
        <v>0</v>
      </c>
      <c r="K164" s="10">
        <f>Table1[[#This Row],[extended quantity]]*(Table1[[#This Row],[Cost ]]+Table1[[#This Row],[shipping]]+Table1[[#This Row],[Tax]])</f>
        <v>0</v>
      </c>
      <c r="L164" s="83" t="str">
        <f>IF(Table1[[#This Row],[Buy-now costs]]&gt;0,"X","")</f>
        <v/>
      </c>
      <c r="M164" s="83"/>
      <c r="N164" s="83"/>
      <c r="O164" s="40">
        <v>0</v>
      </c>
      <c r="P164" s="97">
        <f>Table1[[#This Row],[quantity on-hand]]*(Table1[[#This Row],[Cost ]]+Table1[[#This Row],[shipping]]+Table1[[#This Row],[Tax]])</f>
        <v>0</v>
      </c>
      <c r="Q164" s="40">
        <v>0</v>
      </c>
      <c r="R164" s="95">
        <f>Table1[[#This Row],[Quantity on order]]*(Table1[[#This Row],[Cost ]]+Table1[[#This Row],[shipping]]+Table1[[#This Row],[Tax]])</f>
        <v>0</v>
      </c>
      <c r="S1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4" s="49">
        <f>Table1[[#This Row],[Quantity  to  purchase]]+Table1[[#This Row],[Quantity purchased]]+Table1[[#This Row],[Quantity on order]]+Table1[[#This Row],[Quantity donated]]-Table1[[#This Row],[extended quantity]]</f>
        <v>0</v>
      </c>
      <c r="U1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4" s="51">
        <f>IFERROR(Table1[[#This Row],[Quantity  to  purchase]]*(Table1[[#This Row],[Cost ]]+Table1[[#This Row],[shipping]]+Table1[[#This Row],[Tax]]),0)</f>
        <v>0</v>
      </c>
      <c r="W164" s="36">
        <f>IFERROR(Table1[[#This Row],[leftover material]]*(Table1[[#This Row],[Cost ]]+Table1[[#This Row],[shipping]]+Table1[[#This Row],[Tax]]),0)</f>
        <v>0</v>
      </c>
      <c r="X164" s="36"/>
      <c r="Y164" s="87"/>
      <c r="Z164" s="87"/>
      <c r="AA164" s="87"/>
      <c r="AB164" s="36"/>
      <c r="AC164" s="36">
        <f>IF(ISNA(VLOOKUP(Table1[[#This Row],[Part Number]],'Multi-level BOM'!V$4:V$449,1,FALSE)),0,Table1[[#This Row],[Remaining Extended cost]])</f>
        <v>0</v>
      </c>
    </row>
    <row r="165" spans="1:29" x14ac:dyDescent="0.25">
      <c r="A165" s="1" t="s">
        <v>168</v>
      </c>
      <c r="B165" s="4"/>
      <c r="F165" s="3">
        <f>9%*Table1[[#This Row],[Cost ]]</f>
        <v>0</v>
      </c>
      <c r="J165" s="49">
        <f>SUMIF('Multi-level BOM'!D$4:D$467,Table1[[#This Row],[Part Number]],'Multi-level BOM'!H$4:H$467)</f>
        <v>0</v>
      </c>
      <c r="K165" s="10">
        <f>Table1[[#This Row],[extended quantity]]*(Table1[[#This Row],[Cost ]]+Table1[[#This Row],[shipping]]+Table1[[#This Row],[Tax]])</f>
        <v>0</v>
      </c>
      <c r="L165" s="83" t="str">
        <f>IF(Table1[[#This Row],[Buy-now costs]]&gt;0,"X","")</f>
        <v/>
      </c>
      <c r="M165" s="83"/>
      <c r="N165" s="83"/>
      <c r="O165" s="40">
        <v>0</v>
      </c>
      <c r="P165" s="97">
        <f>Table1[[#This Row],[quantity on-hand]]*(Table1[[#This Row],[Cost ]]+Table1[[#This Row],[shipping]]+Table1[[#This Row],[Tax]])</f>
        <v>0</v>
      </c>
      <c r="Q165" s="40">
        <v>0</v>
      </c>
      <c r="R165" s="95">
        <f>Table1[[#This Row],[Quantity on order]]*(Table1[[#This Row],[Cost ]]+Table1[[#This Row],[shipping]]+Table1[[#This Row],[Tax]])</f>
        <v>0</v>
      </c>
      <c r="S1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5" s="49">
        <f>Table1[[#This Row],[Quantity  to  purchase]]+Table1[[#This Row],[Quantity purchased]]+Table1[[#This Row],[Quantity on order]]+Table1[[#This Row],[Quantity donated]]-Table1[[#This Row],[extended quantity]]</f>
        <v>0</v>
      </c>
      <c r="U1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5" s="51">
        <f>IFERROR(Table1[[#This Row],[Quantity  to  purchase]]*(Table1[[#This Row],[Cost ]]+Table1[[#This Row],[shipping]]+Table1[[#This Row],[Tax]]),0)</f>
        <v>0</v>
      </c>
      <c r="W165" s="36">
        <f>IFERROR(Table1[[#This Row],[leftover material]]*(Table1[[#This Row],[Cost ]]+Table1[[#This Row],[shipping]]+Table1[[#This Row],[Tax]]),0)</f>
        <v>0</v>
      </c>
      <c r="X165" s="36"/>
      <c r="Y165" s="87"/>
      <c r="Z165" s="87"/>
      <c r="AA165" s="87"/>
      <c r="AB165" s="36"/>
      <c r="AC165" s="36">
        <f>IF(ISNA(VLOOKUP(Table1[[#This Row],[Part Number]],'Multi-level BOM'!V$4:V$449,1,FALSE)),0,Table1[[#This Row],[Remaining Extended cost]])</f>
        <v>0</v>
      </c>
    </row>
    <row r="166" spans="1:29" x14ac:dyDescent="0.25">
      <c r="A166" s="1" t="s">
        <v>169</v>
      </c>
      <c r="B166" s="4"/>
      <c r="F166" s="3">
        <f>9%*Table1[[#This Row],[Cost ]]</f>
        <v>0</v>
      </c>
      <c r="J166" s="49">
        <f>SUMIF('Multi-level BOM'!D$4:D$467,Table1[[#This Row],[Part Number]],'Multi-level BOM'!H$4:H$467)</f>
        <v>0</v>
      </c>
      <c r="K166" s="10">
        <f>Table1[[#This Row],[extended quantity]]*(Table1[[#This Row],[Cost ]]+Table1[[#This Row],[shipping]]+Table1[[#This Row],[Tax]])</f>
        <v>0</v>
      </c>
      <c r="L166" s="83" t="str">
        <f>IF(Table1[[#This Row],[Buy-now costs]]&gt;0,"X","")</f>
        <v/>
      </c>
      <c r="M166" s="83"/>
      <c r="N166" s="83"/>
      <c r="O166" s="40">
        <v>0</v>
      </c>
      <c r="P166" s="97">
        <f>Table1[[#This Row],[quantity on-hand]]*(Table1[[#This Row],[Cost ]]+Table1[[#This Row],[shipping]]+Table1[[#This Row],[Tax]])</f>
        <v>0</v>
      </c>
      <c r="Q166" s="40">
        <v>0</v>
      </c>
      <c r="R166" s="95">
        <f>Table1[[#This Row],[Quantity on order]]*(Table1[[#This Row],[Cost ]]+Table1[[#This Row],[shipping]]+Table1[[#This Row],[Tax]])</f>
        <v>0</v>
      </c>
      <c r="S1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6" s="49">
        <f>Table1[[#This Row],[Quantity  to  purchase]]+Table1[[#This Row],[Quantity purchased]]+Table1[[#This Row],[Quantity on order]]+Table1[[#This Row],[Quantity donated]]-Table1[[#This Row],[extended quantity]]</f>
        <v>0</v>
      </c>
      <c r="U1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6" s="51">
        <f>IFERROR(Table1[[#This Row],[Quantity  to  purchase]]*(Table1[[#This Row],[Cost ]]+Table1[[#This Row],[shipping]]+Table1[[#This Row],[Tax]]),0)</f>
        <v>0</v>
      </c>
      <c r="W166" s="36">
        <f>IFERROR(Table1[[#This Row],[leftover material]]*(Table1[[#This Row],[Cost ]]+Table1[[#This Row],[shipping]]+Table1[[#This Row],[Tax]]),0)</f>
        <v>0</v>
      </c>
      <c r="X166" s="36"/>
      <c r="Y166" s="87"/>
      <c r="Z166" s="87"/>
      <c r="AA166" s="87"/>
      <c r="AB166" s="36"/>
      <c r="AC166" s="36">
        <f>IF(ISNA(VLOOKUP(Table1[[#This Row],[Part Number]],'Multi-level BOM'!V$4:V$449,1,FALSE)),0,Table1[[#This Row],[Remaining Extended cost]])</f>
        <v>0</v>
      </c>
    </row>
    <row r="167" spans="1:29" x14ac:dyDescent="0.25">
      <c r="A167" s="1" t="s">
        <v>170</v>
      </c>
      <c r="B167" s="4"/>
      <c r="F167" s="3">
        <f>9%*Table1[[#This Row],[Cost ]]</f>
        <v>0</v>
      </c>
      <c r="J167" s="49">
        <f>SUMIF('Multi-level BOM'!D$4:D$467,Table1[[#This Row],[Part Number]],'Multi-level BOM'!H$4:H$467)</f>
        <v>0</v>
      </c>
      <c r="K167" s="10">
        <f>Table1[[#This Row],[extended quantity]]*(Table1[[#This Row],[Cost ]]+Table1[[#This Row],[shipping]]+Table1[[#This Row],[Tax]])</f>
        <v>0</v>
      </c>
      <c r="L167" s="83" t="str">
        <f>IF(Table1[[#This Row],[Buy-now costs]]&gt;0,"X","")</f>
        <v/>
      </c>
      <c r="M167" s="83"/>
      <c r="N167" s="83"/>
      <c r="O167" s="40">
        <v>0</v>
      </c>
      <c r="P167" s="97">
        <f>Table1[[#This Row],[quantity on-hand]]*(Table1[[#This Row],[Cost ]]+Table1[[#This Row],[shipping]]+Table1[[#This Row],[Tax]])</f>
        <v>0</v>
      </c>
      <c r="Q167" s="40">
        <v>0</v>
      </c>
      <c r="R167" s="95">
        <f>Table1[[#This Row],[Quantity on order]]*(Table1[[#This Row],[Cost ]]+Table1[[#This Row],[shipping]]+Table1[[#This Row],[Tax]])</f>
        <v>0</v>
      </c>
      <c r="S1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7" s="49">
        <f>Table1[[#This Row],[Quantity  to  purchase]]+Table1[[#This Row],[Quantity purchased]]+Table1[[#This Row],[Quantity on order]]+Table1[[#This Row],[Quantity donated]]-Table1[[#This Row],[extended quantity]]</f>
        <v>0</v>
      </c>
      <c r="U1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7" s="51">
        <f>IFERROR(Table1[[#This Row],[Quantity  to  purchase]]*(Table1[[#This Row],[Cost ]]+Table1[[#This Row],[shipping]]+Table1[[#This Row],[Tax]]),0)</f>
        <v>0</v>
      </c>
      <c r="W167" s="36">
        <f>IFERROR(Table1[[#This Row],[leftover material]]*(Table1[[#This Row],[Cost ]]+Table1[[#This Row],[shipping]]+Table1[[#This Row],[Tax]]),0)</f>
        <v>0</v>
      </c>
      <c r="X167" s="36"/>
      <c r="Y167" s="87"/>
      <c r="Z167" s="87"/>
      <c r="AA167" s="87"/>
      <c r="AB167" s="36"/>
      <c r="AC167" s="36">
        <f>IF(ISNA(VLOOKUP(Table1[[#This Row],[Part Number]],'Multi-level BOM'!V$4:V$449,1,FALSE)),0,Table1[[#This Row],[Remaining Extended cost]])</f>
        <v>0</v>
      </c>
    </row>
    <row r="168" spans="1:29" x14ac:dyDescent="0.25">
      <c r="A168" s="1" t="s">
        <v>171</v>
      </c>
      <c r="B168" s="4"/>
      <c r="F168" s="3">
        <f>9%*Table1[[#This Row],[Cost ]]</f>
        <v>0</v>
      </c>
      <c r="J168" s="49">
        <f>SUMIF('Multi-level BOM'!D$4:D$467,Table1[[#This Row],[Part Number]],'Multi-level BOM'!H$4:H$467)</f>
        <v>0</v>
      </c>
      <c r="K168" s="10">
        <f>Table1[[#This Row],[extended quantity]]*(Table1[[#This Row],[Cost ]]+Table1[[#This Row],[shipping]]+Table1[[#This Row],[Tax]])</f>
        <v>0</v>
      </c>
      <c r="L168" s="83" t="str">
        <f>IF(Table1[[#This Row],[Buy-now costs]]&gt;0,"X","")</f>
        <v/>
      </c>
      <c r="M168" s="83"/>
      <c r="N168" s="83"/>
      <c r="O168" s="40">
        <v>0</v>
      </c>
      <c r="P168" s="97">
        <f>Table1[[#This Row],[quantity on-hand]]*(Table1[[#This Row],[Cost ]]+Table1[[#This Row],[shipping]]+Table1[[#This Row],[Tax]])</f>
        <v>0</v>
      </c>
      <c r="Q168" s="40">
        <v>0</v>
      </c>
      <c r="R168" s="95">
        <f>Table1[[#This Row],[Quantity on order]]*(Table1[[#This Row],[Cost ]]+Table1[[#This Row],[shipping]]+Table1[[#This Row],[Tax]])</f>
        <v>0</v>
      </c>
      <c r="S1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8" s="49">
        <f>Table1[[#This Row],[Quantity  to  purchase]]+Table1[[#This Row],[Quantity purchased]]+Table1[[#This Row],[Quantity on order]]+Table1[[#This Row],[Quantity donated]]-Table1[[#This Row],[extended quantity]]</f>
        <v>0</v>
      </c>
      <c r="U1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8" s="51">
        <f>IFERROR(Table1[[#This Row],[Quantity  to  purchase]]*(Table1[[#This Row],[Cost ]]+Table1[[#This Row],[shipping]]+Table1[[#This Row],[Tax]]),0)</f>
        <v>0</v>
      </c>
      <c r="W168" s="36">
        <f>IFERROR(Table1[[#This Row],[leftover material]]*(Table1[[#This Row],[Cost ]]+Table1[[#This Row],[shipping]]+Table1[[#This Row],[Tax]]),0)</f>
        <v>0</v>
      </c>
      <c r="X168" s="36"/>
      <c r="Y168" s="87"/>
      <c r="Z168" s="87"/>
      <c r="AA168" s="87"/>
      <c r="AB168" s="36"/>
      <c r="AC168" s="36">
        <f>IF(ISNA(VLOOKUP(Table1[[#This Row],[Part Number]],'Multi-level BOM'!V$4:V$449,1,FALSE)),0,Table1[[#This Row],[Remaining Extended cost]])</f>
        <v>0</v>
      </c>
    </row>
    <row r="169" spans="1:29" x14ac:dyDescent="0.25">
      <c r="A169" s="1" t="s">
        <v>172</v>
      </c>
      <c r="B169" s="4"/>
      <c r="F169" s="3">
        <f>9%*Table1[[#This Row],[Cost ]]</f>
        <v>0</v>
      </c>
      <c r="J169" s="49">
        <f>SUMIF('Multi-level BOM'!D$4:D$467,Table1[[#This Row],[Part Number]],'Multi-level BOM'!H$4:H$467)</f>
        <v>0</v>
      </c>
      <c r="K169" s="10">
        <f>Table1[[#This Row],[extended quantity]]*(Table1[[#This Row],[Cost ]]+Table1[[#This Row],[shipping]]+Table1[[#This Row],[Tax]])</f>
        <v>0</v>
      </c>
      <c r="L169" s="83" t="str">
        <f>IF(Table1[[#This Row],[Buy-now costs]]&gt;0,"X","")</f>
        <v/>
      </c>
      <c r="M169" s="83"/>
      <c r="N169" s="83"/>
      <c r="O169" s="40">
        <v>0</v>
      </c>
      <c r="P169" s="97">
        <f>Table1[[#This Row],[quantity on-hand]]*(Table1[[#This Row],[Cost ]]+Table1[[#This Row],[shipping]]+Table1[[#This Row],[Tax]])</f>
        <v>0</v>
      </c>
      <c r="Q169" s="40">
        <v>0</v>
      </c>
      <c r="R169" s="95">
        <f>Table1[[#This Row],[Quantity on order]]*(Table1[[#This Row],[Cost ]]+Table1[[#This Row],[shipping]]+Table1[[#This Row],[Tax]])</f>
        <v>0</v>
      </c>
      <c r="S1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9" s="49">
        <f>Table1[[#This Row],[Quantity  to  purchase]]+Table1[[#This Row],[Quantity purchased]]+Table1[[#This Row],[Quantity on order]]+Table1[[#This Row],[Quantity donated]]-Table1[[#This Row],[extended quantity]]</f>
        <v>0</v>
      </c>
      <c r="U1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9" s="51">
        <f>IFERROR(Table1[[#This Row],[Quantity  to  purchase]]*(Table1[[#This Row],[Cost ]]+Table1[[#This Row],[shipping]]+Table1[[#This Row],[Tax]]),0)</f>
        <v>0</v>
      </c>
      <c r="W169" s="36">
        <f>IFERROR(Table1[[#This Row],[leftover material]]*(Table1[[#This Row],[Cost ]]+Table1[[#This Row],[shipping]]+Table1[[#This Row],[Tax]]),0)</f>
        <v>0</v>
      </c>
      <c r="X169" s="36"/>
      <c r="Y169" s="87"/>
      <c r="Z169" s="87"/>
      <c r="AA169" s="87"/>
      <c r="AB169" s="36"/>
      <c r="AC169" s="36">
        <f>IF(ISNA(VLOOKUP(Table1[[#This Row],[Part Number]],'Multi-level BOM'!V$4:V$449,1,FALSE)),0,Table1[[#This Row],[Remaining Extended cost]])</f>
        <v>0</v>
      </c>
    </row>
    <row r="170" spans="1:29" x14ac:dyDescent="0.25">
      <c r="A170" s="1" t="s">
        <v>173</v>
      </c>
      <c r="B170" s="4"/>
      <c r="F170" s="3">
        <f>9%*Table1[[#This Row],[Cost ]]</f>
        <v>0</v>
      </c>
      <c r="J170" s="49">
        <f>SUMIF('Multi-level BOM'!D$4:D$467,Table1[[#This Row],[Part Number]],'Multi-level BOM'!H$4:H$467)</f>
        <v>0</v>
      </c>
      <c r="K170" s="10">
        <f>Table1[[#This Row],[extended quantity]]*(Table1[[#This Row],[Cost ]]+Table1[[#This Row],[shipping]]+Table1[[#This Row],[Tax]])</f>
        <v>0</v>
      </c>
      <c r="L170" s="83" t="str">
        <f>IF(Table1[[#This Row],[Buy-now costs]]&gt;0,"X","")</f>
        <v/>
      </c>
      <c r="M170" s="83"/>
      <c r="N170" s="83"/>
      <c r="O170" s="40">
        <v>0</v>
      </c>
      <c r="P170" s="97">
        <f>Table1[[#This Row],[quantity on-hand]]*(Table1[[#This Row],[Cost ]]+Table1[[#This Row],[shipping]]+Table1[[#This Row],[Tax]])</f>
        <v>0</v>
      </c>
      <c r="Q170" s="40">
        <v>0</v>
      </c>
      <c r="R170" s="95">
        <f>Table1[[#This Row],[Quantity on order]]*(Table1[[#This Row],[Cost ]]+Table1[[#This Row],[shipping]]+Table1[[#This Row],[Tax]])</f>
        <v>0</v>
      </c>
      <c r="S1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0" s="49">
        <f>Table1[[#This Row],[Quantity  to  purchase]]+Table1[[#This Row],[Quantity purchased]]+Table1[[#This Row],[Quantity on order]]+Table1[[#This Row],[Quantity donated]]-Table1[[#This Row],[extended quantity]]</f>
        <v>0</v>
      </c>
      <c r="U1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0" s="51">
        <f>IFERROR(Table1[[#This Row],[Quantity  to  purchase]]*(Table1[[#This Row],[Cost ]]+Table1[[#This Row],[shipping]]+Table1[[#This Row],[Tax]]),0)</f>
        <v>0</v>
      </c>
      <c r="W170" s="36">
        <f>IFERROR(Table1[[#This Row],[leftover material]]*(Table1[[#This Row],[Cost ]]+Table1[[#This Row],[shipping]]+Table1[[#This Row],[Tax]]),0)</f>
        <v>0</v>
      </c>
      <c r="X170" s="36"/>
      <c r="Y170" s="87"/>
      <c r="Z170" s="87"/>
      <c r="AA170" s="87"/>
      <c r="AB170" s="36"/>
      <c r="AC170" s="36">
        <f>IF(ISNA(VLOOKUP(Table1[[#This Row],[Part Number]],'Multi-level BOM'!V$4:V$449,1,FALSE)),0,Table1[[#This Row],[Remaining Extended cost]])</f>
        <v>0</v>
      </c>
    </row>
    <row r="171" spans="1:29" x14ac:dyDescent="0.25">
      <c r="A171" s="1" t="s">
        <v>174</v>
      </c>
      <c r="B171" s="4"/>
      <c r="F171" s="3">
        <f>9%*Table1[[#This Row],[Cost ]]</f>
        <v>0</v>
      </c>
      <c r="J171" s="49">
        <f>SUMIF('Multi-level BOM'!D$4:D$467,Table1[[#This Row],[Part Number]],'Multi-level BOM'!H$4:H$467)</f>
        <v>0</v>
      </c>
      <c r="K171" s="10">
        <f>Table1[[#This Row],[extended quantity]]*(Table1[[#This Row],[Cost ]]+Table1[[#This Row],[shipping]]+Table1[[#This Row],[Tax]])</f>
        <v>0</v>
      </c>
      <c r="L171" s="83" t="str">
        <f>IF(Table1[[#This Row],[Buy-now costs]]&gt;0,"X","")</f>
        <v/>
      </c>
      <c r="M171" s="83"/>
      <c r="N171" s="83"/>
      <c r="O171" s="40">
        <v>0</v>
      </c>
      <c r="P171" s="97">
        <f>Table1[[#This Row],[quantity on-hand]]*(Table1[[#This Row],[Cost ]]+Table1[[#This Row],[shipping]]+Table1[[#This Row],[Tax]])</f>
        <v>0</v>
      </c>
      <c r="Q171" s="40">
        <v>0</v>
      </c>
      <c r="R171" s="95">
        <f>Table1[[#This Row],[Quantity on order]]*(Table1[[#This Row],[Cost ]]+Table1[[#This Row],[shipping]]+Table1[[#This Row],[Tax]])</f>
        <v>0</v>
      </c>
      <c r="S1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1" s="49">
        <f>Table1[[#This Row],[Quantity  to  purchase]]+Table1[[#This Row],[Quantity purchased]]+Table1[[#This Row],[Quantity on order]]+Table1[[#This Row],[Quantity donated]]-Table1[[#This Row],[extended quantity]]</f>
        <v>0</v>
      </c>
      <c r="U1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1" s="51">
        <f>IFERROR(Table1[[#This Row],[Quantity  to  purchase]]*(Table1[[#This Row],[Cost ]]+Table1[[#This Row],[shipping]]+Table1[[#This Row],[Tax]]),0)</f>
        <v>0</v>
      </c>
      <c r="W171" s="36">
        <f>IFERROR(Table1[[#This Row],[leftover material]]*(Table1[[#This Row],[Cost ]]+Table1[[#This Row],[shipping]]+Table1[[#This Row],[Tax]]),0)</f>
        <v>0</v>
      </c>
      <c r="X171" s="36"/>
      <c r="Y171" s="87"/>
      <c r="Z171" s="87"/>
      <c r="AA171" s="87"/>
      <c r="AB171" s="36"/>
      <c r="AC171" s="36">
        <f>IF(ISNA(VLOOKUP(Table1[[#This Row],[Part Number]],'Multi-level BOM'!V$4:V$449,1,FALSE)),0,Table1[[#This Row],[Remaining Extended cost]])</f>
        <v>0</v>
      </c>
    </row>
    <row r="172" spans="1:29" x14ac:dyDescent="0.25">
      <c r="A172" s="1" t="s">
        <v>175</v>
      </c>
      <c r="B172" s="4"/>
      <c r="F172" s="3">
        <f>9%*Table1[[#This Row],[Cost ]]</f>
        <v>0</v>
      </c>
      <c r="J172" s="49">
        <f>SUMIF('Multi-level BOM'!D$4:D$467,Table1[[#This Row],[Part Number]],'Multi-level BOM'!H$4:H$467)</f>
        <v>0</v>
      </c>
      <c r="K172" s="10">
        <f>Table1[[#This Row],[extended quantity]]*(Table1[[#This Row],[Cost ]]+Table1[[#This Row],[shipping]]+Table1[[#This Row],[Tax]])</f>
        <v>0</v>
      </c>
      <c r="L172" s="83" t="str">
        <f>IF(Table1[[#This Row],[Buy-now costs]]&gt;0,"X","")</f>
        <v/>
      </c>
      <c r="M172" s="83"/>
      <c r="N172" s="83"/>
      <c r="O172" s="40">
        <v>0</v>
      </c>
      <c r="P172" s="97">
        <f>Table1[[#This Row],[quantity on-hand]]*(Table1[[#This Row],[Cost ]]+Table1[[#This Row],[shipping]]+Table1[[#This Row],[Tax]])</f>
        <v>0</v>
      </c>
      <c r="Q172" s="40">
        <v>0</v>
      </c>
      <c r="R172" s="95">
        <f>Table1[[#This Row],[Quantity on order]]*(Table1[[#This Row],[Cost ]]+Table1[[#This Row],[shipping]]+Table1[[#This Row],[Tax]])</f>
        <v>0</v>
      </c>
      <c r="S1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2" s="49">
        <f>Table1[[#This Row],[Quantity  to  purchase]]+Table1[[#This Row],[Quantity purchased]]+Table1[[#This Row],[Quantity on order]]+Table1[[#This Row],[Quantity donated]]-Table1[[#This Row],[extended quantity]]</f>
        <v>0</v>
      </c>
      <c r="U1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2" s="51">
        <f>IFERROR(Table1[[#This Row],[Quantity  to  purchase]]*(Table1[[#This Row],[Cost ]]+Table1[[#This Row],[shipping]]+Table1[[#This Row],[Tax]]),0)</f>
        <v>0</v>
      </c>
      <c r="W172" s="36">
        <f>IFERROR(Table1[[#This Row],[leftover material]]*(Table1[[#This Row],[Cost ]]+Table1[[#This Row],[shipping]]+Table1[[#This Row],[Tax]]),0)</f>
        <v>0</v>
      </c>
      <c r="X172" s="36"/>
      <c r="Y172" s="87"/>
      <c r="Z172" s="87"/>
      <c r="AA172" s="87"/>
      <c r="AB172" s="36"/>
      <c r="AC172" s="36">
        <f>IF(ISNA(VLOOKUP(Table1[[#This Row],[Part Number]],'Multi-level BOM'!V$4:V$449,1,FALSE)),0,Table1[[#This Row],[Remaining Extended cost]])</f>
        <v>0</v>
      </c>
    </row>
    <row r="173" spans="1:29" x14ac:dyDescent="0.25">
      <c r="A173" s="1" t="s">
        <v>176</v>
      </c>
      <c r="B173" s="4"/>
      <c r="F173" s="3">
        <f>9%*Table1[[#This Row],[Cost ]]</f>
        <v>0</v>
      </c>
      <c r="J173" s="49">
        <f>SUMIF('Multi-level BOM'!D$4:D$467,Table1[[#This Row],[Part Number]],'Multi-level BOM'!H$4:H$467)</f>
        <v>0</v>
      </c>
      <c r="K173" s="10">
        <f>Table1[[#This Row],[extended quantity]]*(Table1[[#This Row],[Cost ]]+Table1[[#This Row],[shipping]]+Table1[[#This Row],[Tax]])</f>
        <v>0</v>
      </c>
      <c r="L173" s="83" t="str">
        <f>IF(Table1[[#This Row],[Buy-now costs]]&gt;0,"X","")</f>
        <v/>
      </c>
      <c r="M173" s="83"/>
      <c r="N173" s="83"/>
      <c r="O173" s="40">
        <v>0</v>
      </c>
      <c r="P173" s="97">
        <f>Table1[[#This Row],[quantity on-hand]]*(Table1[[#This Row],[Cost ]]+Table1[[#This Row],[shipping]]+Table1[[#This Row],[Tax]])</f>
        <v>0</v>
      </c>
      <c r="Q173" s="40">
        <v>0</v>
      </c>
      <c r="R173" s="95">
        <f>Table1[[#This Row],[Quantity on order]]*(Table1[[#This Row],[Cost ]]+Table1[[#This Row],[shipping]]+Table1[[#This Row],[Tax]])</f>
        <v>0</v>
      </c>
      <c r="S1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3" s="49">
        <f>Table1[[#This Row],[Quantity  to  purchase]]+Table1[[#This Row],[Quantity purchased]]+Table1[[#This Row],[Quantity on order]]+Table1[[#This Row],[Quantity donated]]-Table1[[#This Row],[extended quantity]]</f>
        <v>0</v>
      </c>
      <c r="U1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3" s="51">
        <f>IFERROR(Table1[[#This Row],[Quantity  to  purchase]]*(Table1[[#This Row],[Cost ]]+Table1[[#This Row],[shipping]]+Table1[[#This Row],[Tax]]),0)</f>
        <v>0</v>
      </c>
      <c r="W173" s="36">
        <f>IFERROR(Table1[[#This Row],[leftover material]]*(Table1[[#This Row],[Cost ]]+Table1[[#This Row],[shipping]]+Table1[[#This Row],[Tax]]),0)</f>
        <v>0</v>
      </c>
      <c r="X173" s="36"/>
      <c r="Y173" s="87"/>
      <c r="Z173" s="87"/>
      <c r="AA173" s="87"/>
      <c r="AB173" s="36"/>
      <c r="AC173" s="36">
        <f>IF(ISNA(VLOOKUP(Table1[[#This Row],[Part Number]],'Multi-level BOM'!V$4:V$449,1,FALSE)),0,Table1[[#This Row],[Remaining Extended cost]])</f>
        <v>0</v>
      </c>
    </row>
    <row r="174" spans="1:29" x14ac:dyDescent="0.25">
      <c r="A174" s="1" t="s">
        <v>177</v>
      </c>
      <c r="B174" s="4"/>
      <c r="F174" s="3">
        <f>9%*Table1[[#This Row],[Cost ]]</f>
        <v>0</v>
      </c>
      <c r="J174" s="49">
        <f>SUMIF('Multi-level BOM'!D$4:D$467,Table1[[#This Row],[Part Number]],'Multi-level BOM'!H$4:H$467)</f>
        <v>0</v>
      </c>
      <c r="K174" s="10">
        <f>Table1[[#This Row],[extended quantity]]*(Table1[[#This Row],[Cost ]]+Table1[[#This Row],[shipping]]+Table1[[#This Row],[Tax]])</f>
        <v>0</v>
      </c>
      <c r="L174" s="83" t="str">
        <f>IF(Table1[[#This Row],[Buy-now costs]]&gt;0,"X","")</f>
        <v/>
      </c>
      <c r="M174" s="83"/>
      <c r="N174" s="83"/>
      <c r="O174" s="40">
        <v>0</v>
      </c>
      <c r="P174" s="97">
        <f>Table1[[#This Row],[quantity on-hand]]*(Table1[[#This Row],[Cost ]]+Table1[[#This Row],[shipping]]+Table1[[#This Row],[Tax]])</f>
        <v>0</v>
      </c>
      <c r="Q174" s="40">
        <v>0</v>
      </c>
      <c r="R174" s="95">
        <f>Table1[[#This Row],[Quantity on order]]*(Table1[[#This Row],[Cost ]]+Table1[[#This Row],[shipping]]+Table1[[#This Row],[Tax]])</f>
        <v>0</v>
      </c>
      <c r="S1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4" s="49">
        <f>Table1[[#This Row],[Quantity  to  purchase]]+Table1[[#This Row],[Quantity purchased]]+Table1[[#This Row],[Quantity on order]]+Table1[[#This Row],[Quantity donated]]-Table1[[#This Row],[extended quantity]]</f>
        <v>0</v>
      </c>
      <c r="U1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4" s="51">
        <f>IFERROR(Table1[[#This Row],[Quantity  to  purchase]]*(Table1[[#This Row],[Cost ]]+Table1[[#This Row],[shipping]]+Table1[[#This Row],[Tax]]),0)</f>
        <v>0</v>
      </c>
      <c r="W174" s="36">
        <f>IFERROR(Table1[[#This Row],[leftover material]]*(Table1[[#This Row],[Cost ]]+Table1[[#This Row],[shipping]]+Table1[[#This Row],[Tax]]),0)</f>
        <v>0</v>
      </c>
      <c r="X174" s="36"/>
      <c r="Y174" s="87"/>
      <c r="Z174" s="87"/>
      <c r="AA174" s="87"/>
      <c r="AB174" s="36"/>
      <c r="AC174" s="36">
        <f>IF(ISNA(VLOOKUP(Table1[[#This Row],[Part Number]],'Multi-level BOM'!V$4:V$449,1,FALSE)),0,Table1[[#This Row],[Remaining Extended cost]])</f>
        <v>0</v>
      </c>
    </row>
    <row r="175" spans="1:29" x14ac:dyDescent="0.25">
      <c r="A175" s="1" t="s">
        <v>178</v>
      </c>
      <c r="B175" s="4"/>
      <c r="F175" s="3">
        <f>9%*Table1[[#This Row],[Cost ]]</f>
        <v>0</v>
      </c>
      <c r="J175" s="49">
        <f>SUMIF('Multi-level BOM'!D$4:D$467,Table1[[#This Row],[Part Number]],'Multi-level BOM'!H$4:H$467)</f>
        <v>0</v>
      </c>
      <c r="K175" s="10">
        <f>Table1[[#This Row],[extended quantity]]*(Table1[[#This Row],[Cost ]]+Table1[[#This Row],[shipping]]+Table1[[#This Row],[Tax]])</f>
        <v>0</v>
      </c>
      <c r="L175" s="83" t="str">
        <f>IF(Table1[[#This Row],[Buy-now costs]]&gt;0,"X","")</f>
        <v/>
      </c>
      <c r="M175" s="83"/>
      <c r="N175" s="83"/>
      <c r="O175" s="40">
        <v>0</v>
      </c>
      <c r="P175" s="97">
        <f>Table1[[#This Row],[quantity on-hand]]*(Table1[[#This Row],[Cost ]]+Table1[[#This Row],[shipping]]+Table1[[#This Row],[Tax]])</f>
        <v>0</v>
      </c>
      <c r="Q175" s="40">
        <v>0</v>
      </c>
      <c r="R175" s="95">
        <f>Table1[[#This Row],[Quantity on order]]*(Table1[[#This Row],[Cost ]]+Table1[[#This Row],[shipping]]+Table1[[#This Row],[Tax]])</f>
        <v>0</v>
      </c>
      <c r="S1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5" s="49">
        <f>Table1[[#This Row],[Quantity  to  purchase]]+Table1[[#This Row],[Quantity purchased]]+Table1[[#This Row],[Quantity on order]]+Table1[[#This Row],[Quantity donated]]-Table1[[#This Row],[extended quantity]]</f>
        <v>0</v>
      </c>
      <c r="U1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5" s="51">
        <f>IFERROR(Table1[[#This Row],[Quantity  to  purchase]]*(Table1[[#This Row],[Cost ]]+Table1[[#This Row],[shipping]]+Table1[[#This Row],[Tax]]),0)</f>
        <v>0</v>
      </c>
      <c r="W175" s="36">
        <f>IFERROR(Table1[[#This Row],[leftover material]]*(Table1[[#This Row],[Cost ]]+Table1[[#This Row],[shipping]]+Table1[[#This Row],[Tax]]),0)</f>
        <v>0</v>
      </c>
      <c r="X175" s="36"/>
      <c r="Y175" s="87"/>
      <c r="Z175" s="87"/>
      <c r="AA175" s="87"/>
      <c r="AB175" s="36"/>
      <c r="AC175" s="36">
        <f>IF(ISNA(VLOOKUP(Table1[[#This Row],[Part Number]],'Multi-level BOM'!V$4:V$449,1,FALSE)),0,Table1[[#This Row],[Remaining Extended cost]])</f>
        <v>0</v>
      </c>
    </row>
    <row r="176" spans="1:29" x14ac:dyDescent="0.25">
      <c r="A176" s="1" t="s">
        <v>179</v>
      </c>
      <c r="B176" s="4"/>
      <c r="F176" s="3">
        <f>9%*Table1[[#This Row],[Cost ]]</f>
        <v>0</v>
      </c>
      <c r="J176" s="49">
        <f>SUMIF('Multi-level BOM'!D$4:D$467,Table1[[#This Row],[Part Number]],'Multi-level BOM'!H$4:H$467)</f>
        <v>0</v>
      </c>
      <c r="K176" s="10">
        <f>Table1[[#This Row],[extended quantity]]*(Table1[[#This Row],[Cost ]]+Table1[[#This Row],[shipping]]+Table1[[#This Row],[Tax]])</f>
        <v>0</v>
      </c>
      <c r="L176" s="83" t="str">
        <f>IF(Table1[[#This Row],[Buy-now costs]]&gt;0,"X","")</f>
        <v/>
      </c>
      <c r="M176" s="83"/>
      <c r="N176" s="83"/>
      <c r="O176" s="40">
        <v>0</v>
      </c>
      <c r="P176" s="97">
        <f>Table1[[#This Row],[quantity on-hand]]*(Table1[[#This Row],[Cost ]]+Table1[[#This Row],[shipping]]+Table1[[#This Row],[Tax]])</f>
        <v>0</v>
      </c>
      <c r="Q176" s="40">
        <v>0</v>
      </c>
      <c r="R176" s="95">
        <f>Table1[[#This Row],[Quantity on order]]*(Table1[[#This Row],[Cost ]]+Table1[[#This Row],[shipping]]+Table1[[#This Row],[Tax]])</f>
        <v>0</v>
      </c>
      <c r="S1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6" s="49">
        <f>Table1[[#This Row],[Quantity  to  purchase]]+Table1[[#This Row],[Quantity purchased]]+Table1[[#This Row],[Quantity on order]]+Table1[[#This Row],[Quantity donated]]-Table1[[#This Row],[extended quantity]]</f>
        <v>0</v>
      </c>
      <c r="U1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6" s="51">
        <f>IFERROR(Table1[[#This Row],[Quantity  to  purchase]]*(Table1[[#This Row],[Cost ]]+Table1[[#This Row],[shipping]]+Table1[[#This Row],[Tax]]),0)</f>
        <v>0</v>
      </c>
      <c r="W176" s="36">
        <f>IFERROR(Table1[[#This Row],[leftover material]]*(Table1[[#This Row],[Cost ]]+Table1[[#This Row],[shipping]]+Table1[[#This Row],[Tax]]),0)</f>
        <v>0</v>
      </c>
      <c r="X176" s="36"/>
      <c r="Y176" s="87"/>
      <c r="Z176" s="87"/>
      <c r="AA176" s="87"/>
      <c r="AB176" s="36"/>
      <c r="AC176" s="36">
        <f>IF(ISNA(VLOOKUP(Table1[[#This Row],[Part Number]],'Multi-level BOM'!V$4:V$449,1,FALSE)),0,Table1[[#This Row],[Remaining Extended cost]])</f>
        <v>0</v>
      </c>
    </row>
    <row r="177" spans="1:29" x14ac:dyDescent="0.25">
      <c r="A177" s="1" t="s">
        <v>180</v>
      </c>
      <c r="B177" s="4"/>
      <c r="F177" s="3">
        <f>9%*Table1[[#This Row],[Cost ]]</f>
        <v>0</v>
      </c>
      <c r="J177" s="49">
        <f>SUMIF('Multi-level BOM'!D$4:D$467,Table1[[#This Row],[Part Number]],'Multi-level BOM'!H$4:H$467)</f>
        <v>0</v>
      </c>
      <c r="K177" s="10">
        <f>Table1[[#This Row],[extended quantity]]*(Table1[[#This Row],[Cost ]]+Table1[[#This Row],[shipping]]+Table1[[#This Row],[Tax]])</f>
        <v>0</v>
      </c>
      <c r="L177" s="83" t="str">
        <f>IF(Table1[[#This Row],[Buy-now costs]]&gt;0,"X","")</f>
        <v/>
      </c>
      <c r="M177" s="83"/>
      <c r="N177" s="83"/>
      <c r="O177" s="40">
        <v>0</v>
      </c>
      <c r="P177" s="97">
        <f>Table1[[#This Row],[quantity on-hand]]*(Table1[[#This Row],[Cost ]]+Table1[[#This Row],[shipping]]+Table1[[#This Row],[Tax]])</f>
        <v>0</v>
      </c>
      <c r="Q177" s="40">
        <v>0</v>
      </c>
      <c r="R177" s="95">
        <f>Table1[[#This Row],[Quantity on order]]*(Table1[[#This Row],[Cost ]]+Table1[[#This Row],[shipping]]+Table1[[#This Row],[Tax]])</f>
        <v>0</v>
      </c>
      <c r="S1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7" s="49">
        <f>Table1[[#This Row],[Quantity  to  purchase]]+Table1[[#This Row],[Quantity purchased]]+Table1[[#This Row],[Quantity on order]]+Table1[[#This Row],[Quantity donated]]-Table1[[#This Row],[extended quantity]]</f>
        <v>0</v>
      </c>
      <c r="U1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7" s="51">
        <f>IFERROR(Table1[[#This Row],[Quantity  to  purchase]]*(Table1[[#This Row],[Cost ]]+Table1[[#This Row],[shipping]]+Table1[[#This Row],[Tax]]),0)</f>
        <v>0</v>
      </c>
      <c r="W177" s="36">
        <f>IFERROR(Table1[[#This Row],[leftover material]]*(Table1[[#This Row],[Cost ]]+Table1[[#This Row],[shipping]]+Table1[[#This Row],[Tax]]),0)</f>
        <v>0</v>
      </c>
      <c r="X177" s="36"/>
      <c r="Y177" s="87"/>
      <c r="Z177" s="87"/>
      <c r="AA177" s="87"/>
      <c r="AB177" s="36"/>
      <c r="AC177" s="36">
        <f>IF(ISNA(VLOOKUP(Table1[[#This Row],[Part Number]],'Multi-level BOM'!V$4:V$449,1,FALSE)),0,Table1[[#This Row],[Remaining Extended cost]])</f>
        <v>0</v>
      </c>
    </row>
    <row r="178" spans="1:29" x14ac:dyDescent="0.25">
      <c r="A178" s="1" t="s">
        <v>181</v>
      </c>
      <c r="B178" s="4"/>
      <c r="F178" s="3">
        <f>9%*Table1[[#This Row],[Cost ]]</f>
        <v>0</v>
      </c>
      <c r="J178" s="49">
        <f>SUMIF('Multi-level BOM'!D$4:D$467,Table1[[#This Row],[Part Number]],'Multi-level BOM'!H$4:H$467)</f>
        <v>0</v>
      </c>
      <c r="K178" s="10">
        <f>Table1[[#This Row],[extended quantity]]*(Table1[[#This Row],[Cost ]]+Table1[[#This Row],[shipping]]+Table1[[#This Row],[Tax]])</f>
        <v>0</v>
      </c>
      <c r="L178" s="83" t="str">
        <f>IF(Table1[[#This Row],[Buy-now costs]]&gt;0,"X","")</f>
        <v/>
      </c>
      <c r="M178" s="83"/>
      <c r="N178" s="83"/>
      <c r="O178" s="40">
        <v>0</v>
      </c>
      <c r="P178" s="97">
        <f>Table1[[#This Row],[quantity on-hand]]*(Table1[[#This Row],[Cost ]]+Table1[[#This Row],[shipping]]+Table1[[#This Row],[Tax]])</f>
        <v>0</v>
      </c>
      <c r="Q178" s="40">
        <v>0</v>
      </c>
      <c r="R178" s="95">
        <f>Table1[[#This Row],[Quantity on order]]*(Table1[[#This Row],[Cost ]]+Table1[[#This Row],[shipping]]+Table1[[#This Row],[Tax]])</f>
        <v>0</v>
      </c>
      <c r="S1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8" s="49">
        <f>Table1[[#This Row],[Quantity  to  purchase]]+Table1[[#This Row],[Quantity purchased]]+Table1[[#This Row],[Quantity on order]]+Table1[[#This Row],[Quantity donated]]-Table1[[#This Row],[extended quantity]]</f>
        <v>0</v>
      </c>
      <c r="U1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8" s="51">
        <f>IFERROR(Table1[[#This Row],[Quantity  to  purchase]]*(Table1[[#This Row],[Cost ]]+Table1[[#This Row],[shipping]]+Table1[[#This Row],[Tax]]),0)</f>
        <v>0</v>
      </c>
      <c r="W178" s="36">
        <f>IFERROR(Table1[[#This Row],[leftover material]]*(Table1[[#This Row],[Cost ]]+Table1[[#This Row],[shipping]]+Table1[[#This Row],[Tax]]),0)</f>
        <v>0</v>
      </c>
      <c r="X178" s="36"/>
      <c r="Y178" s="87"/>
      <c r="Z178" s="87"/>
      <c r="AA178" s="87"/>
      <c r="AB178" s="36"/>
      <c r="AC178" s="36">
        <f>IF(ISNA(VLOOKUP(Table1[[#This Row],[Part Number]],'Multi-level BOM'!V$4:V$449,1,FALSE)),0,Table1[[#This Row],[Remaining Extended cost]])</f>
        <v>0</v>
      </c>
    </row>
    <row r="179" spans="1:29" x14ac:dyDescent="0.25">
      <c r="A179" s="1" t="s">
        <v>182</v>
      </c>
      <c r="B179" s="4"/>
      <c r="F179" s="3">
        <f>9%*Table1[[#This Row],[Cost ]]</f>
        <v>0</v>
      </c>
      <c r="J179" s="49">
        <f>SUMIF('Multi-level BOM'!D$4:D$467,Table1[[#This Row],[Part Number]],'Multi-level BOM'!H$4:H$467)</f>
        <v>0</v>
      </c>
      <c r="K179" s="10">
        <f>Table1[[#This Row],[extended quantity]]*(Table1[[#This Row],[Cost ]]+Table1[[#This Row],[shipping]]+Table1[[#This Row],[Tax]])</f>
        <v>0</v>
      </c>
      <c r="L179" s="83" t="str">
        <f>IF(Table1[[#This Row],[Buy-now costs]]&gt;0,"X","")</f>
        <v/>
      </c>
      <c r="M179" s="83"/>
      <c r="N179" s="83"/>
      <c r="O179" s="40">
        <v>0</v>
      </c>
      <c r="P179" s="97">
        <f>Table1[[#This Row],[quantity on-hand]]*(Table1[[#This Row],[Cost ]]+Table1[[#This Row],[shipping]]+Table1[[#This Row],[Tax]])</f>
        <v>0</v>
      </c>
      <c r="Q179" s="40">
        <v>0</v>
      </c>
      <c r="R179" s="95">
        <f>Table1[[#This Row],[Quantity on order]]*(Table1[[#This Row],[Cost ]]+Table1[[#This Row],[shipping]]+Table1[[#This Row],[Tax]])</f>
        <v>0</v>
      </c>
      <c r="S1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9" s="49">
        <f>Table1[[#This Row],[Quantity  to  purchase]]+Table1[[#This Row],[Quantity purchased]]+Table1[[#This Row],[Quantity on order]]+Table1[[#This Row],[Quantity donated]]-Table1[[#This Row],[extended quantity]]</f>
        <v>0</v>
      </c>
      <c r="U1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9" s="51">
        <f>IFERROR(Table1[[#This Row],[Quantity  to  purchase]]*(Table1[[#This Row],[Cost ]]+Table1[[#This Row],[shipping]]+Table1[[#This Row],[Tax]]),0)</f>
        <v>0</v>
      </c>
      <c r="W179" s="36">
        <f>IFERROR(Table1[[#This Row],[leftover material]]*(Table1[[#This Row],[Cost ]]+Table1[[#This Row],[shipping]]+Table1[[#This Row],[Tax]]),0)</f>
        <v>0</v>
      </c>
      <c r="X179" s="36"/>
      <c r="Y179" s="87"/>
      <c r="Z179" s="87"/>
      <c r="AA179" s="87"/>
      <c r="AB179" s="36"/>
      <c r="AC179" s="36">
        <f>IF(ISNA(VLOOKUP(Table1[[#This Row],[Part Number]],'Multi-level BOM'!V$4:V$449,1,FALSE)),0,Table1[[#This Row],[Remaining Extended cost]])</f>
        <v>0</v>
      </c>
    </row>
    <row r="180" spans="1:29" x14ac:dyDescent="0.25">
      <c r="A180" s="1" t="s">
        <v>183</v>
      </c>
      <c r="B180" s="4"/>
      <c r="F180" s="3">
        <f>9%*Table1[[#This Row],[Cost ]]</f>
        <v>0</v>
      </c>
      <c r="J180" s="49">
        <f>SUMIF('Multi-level BOM'!D$4:D$467,Table1[[#This Row],[Part Number]],'Multi-level BOM'!H$4:H$467)</f>
        <v>0</v>
      </c>
      <c r="K180" s="10">
        <f>Table1[[#This Row],[extended quantity]]*(Table1[[#This Row],[Cost ]]+Table1[[#This Row],[shipping]]+Table1[[#This Row],[Tax]])</f>
        <v>0</v>
      </c>
      <c r="L180" s="83" t="str">
        <f>IF(Table1[[#This Row],[Buy-now costs]]&gt;0,"X","")</f>
        <v/>
      </c>
      <c r="M180" s="83"/>
      <c r="N180" s="83"/>
      <c r="O180" s="40">
        <v>0</v>
      </c>
      <c r="P180" s="97">
        <f>Table1[[#This Row],[quantity on-hand]]*(Table1[[#This Row],[Cost ]]+Table1[[#This Row],[shipping]]+Table1[[#This Row],[Tax]])</f>
        <v>0</v>
      </c>
      <c r="Q180" s="40">
        <v>0</v>
      </c>
      <c r="R180" s="95">
        <f>Table1[[#This Row],[Quantity on order]]*(Table1[[#This Row],[Cost ]]+Table1[[#This Row],[shipping]]+Table1[[#This Row],[Tax]])</f>
        <v>0</v>
      </c>
      <c r="S1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0" s="49">
        <f>Table1[[#This Row],[Quantity  to  purchase]]+Table1[[#This Row],[Quantity purchased]]+Table1[[#This Row],[Quantity on order]]+Table1[[#This Row],[Quantity donated]]-Table1[[#This Row],[extended quantity]]</f>
        <v>0</v>
      </c>
      <c r="U1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0" s="51">
        <f>IFERROR(Table1[[#This Row],[Quantity  to  purchase]]*(Table1[[#This Row],[Cost ]]+Table1[[#This Row],[shipping]]+Table1[[#This Row],[Tax]]),0)</f>
        <v>0</v>
      </c>
      <c r="W180" s="36">
        <f>IFERROR(Table1[[#This Row],[leftover material]]*(Table1[[#This Row],[Cost ]]+Table1[[#This Row],[shipping]]+Table1[[#This Row],[Tax]]),0)</f>
        <v>0</v>
      </c>
      <c r="X180" s="36"/>
      <c r="Y180" s="87"/>
      <c r="Z180" s="87"/>
      <c r="AA180" s="87"/>
      <c r="AB180" s="36"/>
      <c r="AC180" s="36">
        <f>IF(ISNA(VLOOKUP(Table1[[#This Row],[Part Number]],'Multi-level BOM'!V$4:V$449,1,FALSE)),0,Table1[[#This Row],[Remaining Extended cost]])</f>
        <v>0</v>
      </c>
    </row>
    <row r="181" spans="1:29" x14ac:dyDescent="0.25">
      <c r="A181" s="1" t="s">
        <v>184</v>
      </c>
      <c r="B181" s="4"/>
      <c r="F181" s="3">
        <f>9%*Table1[[#This Row],[Cost ]]</f>
        <v>0</v>
      </c>
      <c r="J181" s="49">
        <f>SUMIF('Multi-level BOM'!D$4:D$467,Table1[[#This Row],[Part Number]],'Multi-level BOM'!H$4:H$467)</f>
        <v>0</v>
      </c>
      <c r="K181" s="10">
        <f>Table1[[#This Row],[extended quantity]]*(Table1[[#This Row],[Cost ]]+Table1[[#This Row],[shipping]]+Table1[[#This Row],[Tax]])</f>
        <v>0</v>
      </c>
      <c r="L181" s="83" t="str">
        <f>IF(Table1[[#This Row],[Buy-now costs]]&gt;0,"X","")</f>
        <v/>
      </c>
      <c r="M181" s="83"/>
      <c r="N181" s="83"/>
      <c r="O181" s="40">
        <v>0</v>
      </c>
      <c r="P181" s="97">
        <f>Table1[[#This Row],[quantity on-hand]]*(Table1[[#This Row],[Cost ]]+Table1[[#This Row],[shipping]]+Table1[[#This Row],[Tax]])</f>
        <v>0</v>
      </c>
      <c r="Q181" s="40">
        <v>0</v>
      </c>
      <c r="R181" s="95">
        <f>Table1[[#This Row],[Quantity on order]]*(Table1[[#This Row],[Cost ]]+Table1[[#This Row],[shipping]]+Table1[[#This Row],[Tax]])</f>
        <v>0</v>
      </c>
      <c r="S1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1" s="49">
        <f>Table1[[#This Row],[Quantity  to  purchase]]+Table1[[#This Row],[Quantity purchased]]+Table1[[#This Row],[Quantity on order]]+Table1[[#This Row],[Quantity donated]]-Table1[[#This Row],[extended quantity]]</f>
        <v>0</v>
      </c>
      <c r="U1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1" s="51">
        <f>IFERROR(Table1[[#This Row],[Quantity  to  purchase]]*(Table1[[#This Row],[Cost ]]+Table1[[#This Row],[shipping]]+Table1[[#This Row],[Tax]]),0)</f>
        <v>0</v>
      </c>
      <c r="W181" s="36">
        <f>IFERROR(Table1[[#This Row],[leftover material]]*(Table1[[#This Row],[Cost ]]+Table1[[#This Row],[shipping]]+Table1[[#This Row],[Tax]]),0)</f>
        <v>0</v>
      </c>
      <c r="X181" s="36"/>
      <c r="Y181" s="87"/>
      <c r="Z181" s="87"/>
      <c r="AA181" s="87"/>
      <c r="AB181" s="36"/>
      <c r="AC181" s="36">
        <f>IF(ISNA(VLOOKUP(Table1[[#This Row],[Part Number]],'Multi-level BOM'!V$4:V$449,1,FALSE)),0,Table1[[#This Row],[Remaining Extended cost]])</f>
        <v>0</v>
      </c>
    </row>
    <row r="182" spans="1:29" x14ac:dyDescent="0.25">
      <c r="A182" s="1" t="s">
        <v>185</v>
      </c>
      <c r="B182" s="4"/>
      <c r="F182" s="3">
        <f>9%*Table1[[#This Row],[Cost ]]</f>
        <v>0</v>
      </c>
      <c r="J182" s="49">
        <f>SUMIF('Multi-level BOM'!D$4:D$467,Table1[[#This Row],[Part Number]],'Multi-level BOM'!H$4:H$467)</f>
        <v>0</v>
      </c>
      <c r="K182" s="10">
        <f>Table1[[#This Row],[extended quantity]]*(Table1[[#This Row],[Cost ]]+Table1[[#This Row],[shipping]]+Table1[[#This Row],[Tax]])</f>
        <v>0</v>
      </c>
      <c r="L182" s="83" t="str">
        <f>IF(Table1[[#This Row],[Buy-now costs]]&gt;0,"X","")</f>
        <v/>
      </c>
      <c r="M182" s="83"/>
      <c r="N182" s="83"/>
      <c r="O182" s="40">
        <v>0</v>
      </c>
      <c r="P182" s="97">
        <f>Table1[[#This Row],[quantity on-hand]]*(Table1[[#This Row],[Cost ]]+Table1[[#This Row],[shipping]]+Table1[[#This Row],[Tax]])</f>
        <v>0</v>
      </c>
      <c r="Q182" s="40">
        <v>0</v>
      </c>
      <c r="R182" s="95">
        <f>Table1[[#This Row],[Quantity on order]]*(Table1[[#This Row],[Cost ]]+Table1[[#This Row],[shipping]]+Table1[[#This Row],[Tax]])</f>
        <v>0</v>
      </c>
      <c r="S1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2" s="49">
        <f>Table1[[#This Row],[Quantity  to  purchase]]+Table1[[#This Row],[Quantity purchased]]+Table1[[#This Row],[Quantity on order]]+Table1[[#This Row],[Quantity donated]]-Table1[[#This Row],[extended quantity]]</f>
        <v>0</v>
      </c>
      <c r="U1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2" s="51">
        <f>IFERROR(Table1[[#This Row],[Quantity  to  purchase]]*(Table1[[#This Row],[Cost ]]+Table1[[#This Row],[shipping]]+Table1[[#This Row],[Tax]]),0)</f>
        <v>0</v>
      </c>
      <c r="W182" s="36">
        <f>IFERROR(Table1[[#This Row],[leftover material]]*(Table1[[#This Row],[Cost ]]+Table1[[#This Row],[shipping]]+Table1[[#This Row],[Tax]]),0)</f>
        <v>0</v>
      </c>
      <c r="X182" s="36"/>
      <c r="Y182" s="87"/>
      <c r="Z182" s="87"/>
      <c r="AA182" s="87"/>
      <c r="AB182" s="36"/>
      <c r="AC182" s="36">
        <f>IF(ISNA(VLOOKUP(Table1[[#This Row],[Part Number]],'Multi-level BOM'!V$4:V$449,1,FALSE)),0,Table1[[#This Row],[Remaining Extended cost]])</f>
        <v>0</v>
      </c>
    </row>
    <row r="183" spans="1:29" x14ac:dyDescent="0.25">
      <c r="A183" s="1" t="s">
        <v>186</v>
      </c>
      <c r="B183" s="4"/>
      <c r="F183" s="3">
        <f>9%*Table1[[#This Row],[Cost ]]</f>
        <v>0</v>
      </c>
      <c r="J183" s="49">
        <f>SUMIF('Multi-level BOM'!D$4:D$467,Table1[[#This Row],[Part Number]],'Multi-level BOM'!H$4:H$467)</f>
        <v>0</v>
      </c>
      <c r="K183" s="10">
        <f>Table1[[#This Row],[extended quantity]]*(Table1[[#This Row],[Cost ]]+Table1[[#This Row],[shipping]]+Table1[[#This Row],[Tax]])</f>
        <v>0</v>
      </c>
      <c r="L183" s="83" t="str">
        <f>IF(Table1[[#This Row],[Buy-now costs]]&gt;0,"X","")</f>
        <v/>
      </c>
      <c r="M183" s="83"/>
      <c r="N183" s="83"/>
      <c r="O183" s="40">
        <v>0</v>
      </c>
      <c r="P183" s="97">
        <f>Table1[[#This Row],[quantity on-hand]]*(Table1[[#This Row],[Cost ]]+Table1[[#This Row],[shipping]]+Table1[[#This Row],[Tax]])</f>
        <v>0</v>
      </c>
      <c r="Q183" s="40">
        <v>0</v>
      </c>
      <c r="R183" s="95">
        <f>Table1[[#This Row],[Quantity on order]]*(Table1[[#This Row],[Cost ]]+Table1[[#This Row],[shipping]]+Table1[[#This Row],[Tax]])</f>
        <v>0</v>
      </c>
      <c r="S1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3" s="49">
        <f>Table1[[#This Row],[Quantity  to  purchase]]+Table1[[#This Row],[Quantity purchased]]+Table1[[#This Row],[Quantity on order]]+Table1[[#This Row],[Quantity donated]]-Table1[[#This Row],[extended quantity]]</f>
        <v>0</v>
      </c>
      <c r="U1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3" s="51">
        <f>IFERROR(Table1[[#This Row],[Quantity  to  purchase]]*(Table1[[#This Row],[Cost ]]+Table1[[#This Row],[shipping]]+Table1[[#This Row],[Tax]]),0)</f>
        <v>0</v>
      </c>
      <c r="W183" s="36">
        <f>IFERROR(Table1[[#This Row],[leftover material]]*(Table1[[#This Row],[Cost ]]+Table1[[#This Row],[shipping]]+Table1[[#This Row],[Tax]]),0)</f>
        <v>0</v>
      </c>
      <c r="X183" s="36"/>
      <c r="Y183" s="87"/>
      <c r="Z183" s="87"/>
      <c r="AA183" s="87"/>
      <c r="AB183" s="36"/>
      <c r="AC183" s="36">
        <f>IF(ISNA(VLOOKUP(Table1[[#This Row],[Part Number]],'Multi-level BOM'!V$4:V$449,1,FALSE)),0,Table1[[#This Row],[Remaining Extended cost]])</f>
        <v>0</v>
      </c>
    </row>
    <row r="184" spans="1:29" x14ac:dyDescent="0.25">
      <c r="A184" s="1" t="s">
        <v>187</v>
      </c>
      <c r="B184" s="4"/>
      <c r="F184" s="3">
        <f>9%*Table1[[#This Row],[Cost ]]</f>
        <v>0</v>
      </c>
      <c r="J184" s="49">
        <f>SUMIF('Multi-level BOM'!D$4:D$467,Table1[[#This Row],[Part Number]],'Multi-level BOM'!H$4:H$467)</f>
        <v>0</v>
      </c>
      <c r="K184" s="10">
        <f>Table1[[#This Row],[extended quantity]]*(Table1[[#This Row],[Cost ]]+Table1[[#This Row],[shipping]]+Table1[[#This Row],[Tax]])</f>
        <v>0</v>
      </c>
      <c r="L184" s="83" t="str">
        <f>IF(Table1[[#This Row],[Buy-now costs]]&gt;0,"X","")</f>
        <v/>
      </c>
      <c r="M184" s="83"/>
      <c r="N184" s="83"/>
      <c r="O184" s="40">
        <v>0</v>
      </c>
      <c r="P184" s="97">
        <f>Table1[[#This Row],[quantity on-hand]]*(Table1[[#This Row],[Cost ]]+Table1[[#This Row],[shipping]]+Table1[[#This Row],[Tax]])</f>
        <v>0</v>
      </c>
      <c r="Q184" s="40">
        <v>0</v>
      </c>
      <c r="R184" s="95">
        <f>Table1[[#This Row],[Quantity on order]]*(Table1[[#This Row],[Cost ]]+Table1[[#This Row],[shipping]]+Table1[[#This Row],[Tax]])</f>
        <v>0</v>
      </c>
      <c r="S1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4" s="49">
        <f>Table1[[#This Row],[Quantity  to  purchase]]+Table1[[#This Row],[Quantity purchased]]+Table1[[#This Row],[Quantity on order]]+Table1[[#This Row],[Quantity donated]]-Table1[[#This Row],[extended quantity]]</f>
        <v>0</v>
      </c>
      <c r="U1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4" s="51">
        <f>IFERROR(Table1[[#This Row],[Quantity  to  purchase]]*(Table1[[#This Row],[Cost ]]+Table1[[#This Row],[shipping]]+Table1[[#This Row],[Tax]]),0)</f>
        <v>0</v>
      </c>
      <c r="W184" s="36">
        <f>IFERROR(Table1[[#This Row],[leftover material]]*(Table1[[#This Row],[Cost ]]+Table1[[#This Row],[shipping]]+Table1[[#This Row],[Tax]]),0)</f>
        <v>0</v>
      </c>
      <c r="X184" s="36"/>
      <c r="Y184" s="87"/>
      <c r="Z184" s="87"/>
      <c r="AA184" s="87"/>
      <c r="AB184" s="36"/>
      <c r="AC184" s="36">
        <f>IF(ISNA(VLOOKUP(Table1[[#This Row],[Part Number]],'Multi-level BOM'!V$4:V$449,1,FALSE)),0,Table1[[#This Row],[Remaining Extended cost]])</f>
        <v>0</v>
      </c>
    </row>
    <row r="185" spans="1:29" x14ac:dyDescent="0.25">
      <c r="A185" s="1" t="s">
        <v>188</v>
      </c>
      <c r="B185" s="4"/>
      <c r="F185" s="3">
        <f>9%*Table1[[#This Row],[Cost ]]</f>
        <v>0</v>
      </c>
      <c r="J185" s="49">
        <f>SUMIF('Multi-level BOM'!D$4:D$467,Table1[[#This Row],[Part Number]],'Multi-level BOM'!H$4:H$467)</f>
        <v>0</v>
      </c>
      <c r="K185" s="10">
        <f>Table1[[#This Row],[extended quantity]]*(Table1[[#This Row],[Cost ]]+Table1[[#This Row],[shipping]]+Table1[[#This Row],[Tax]])</f>
        <v>0</v>
      </c>
      <c r="L185" s="83" t="str">
        <f>IF(Table1[[#This Row],[Buy-now costs]]&gt;0,"X","")</f>
        <v/>
      </c>
      <c r="M185" s="83"/>
      <c r="N185" s="83"/>
      <c r="O185" s="40">
        <v>0</v>
      </c>
      <c r="P185" s="97">
        <f>Table1[[#This Row],[quantity on-hand]]*(Table1[[#This Row],[Cost ]]+Table1[[#This Row],[shipping]]+Table1[[#This Row],[Tax]])</f>
        <v>0</v>
      </c>
      <c r="Q185" s="40">
        <v>0</v>
      </c>
      <c r="R185" s="95">
        <f>Table1[[#This Row],[Quantity on order]]*(Table1[[#This Row],[Cost ]]+Table1[[#This Row],[shipping]]+Table1[[#This Row],[Tax]])</f>
        <v>0</v>
      </c>
      <c r="S1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5" s="49">
        <f>Table1[[#This Row],[Quantity  to  purchase]]+Table1[[#This Row],[Quantity purchased]]+Table1[[#This Row],[Quantity on order]]+Table1[[#This Row],[Quantity donated]]-Table1[[#This Row],[extended quantity]]</f>
        <v>0</v>
      </c>
      <c r="U1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5" s="51">
        <f>IFERROR(Table1[[#This Row],[Quantity  to  purchase]]*(Table1[[#This Row],[Cost ]]+Table1[[#This Row],[shipping]]+Table1[[#This Row],[Tax]]),0)</f>
        <v>0</v>
      </c>
      <c r="W185" s="36">
        <f>IFERROR(Table1[[#This Row],[leftover material]]*(Table1[[#This Row],[Cost ]]+Table1[[#This Row],[shipping]]+Table1[[#This Row],[Tax]]),0)</f>
        <v>0</v>
      </c>
      <c r="X185" s="36"/>
      <c r="Y185" s="87"/>
      <c r="Z185" s="87"/>
      <c r="AA185" s="87"/>
      <c r="AB185" s="36"/>
      <c r="AC185" s="36">
        <f>IF(ISNA(VLOOKUP(Table1[[#This Row],[Part Number]],'Multi-level BOM'!V$4:V$449,1,FALSE)),0,Table1[[#This Row],[Remaining Extended cost]])</f>
        <v>0</v>
      </c>
    </row>
    <row r="186" spans="1:29" x14ac:dyDescent="0.25">
      <c r="A186" s="1" t="s">
        <v>189</v>
      </c>
      <c r="B186" s="4"/>
      <c r="F186" s="3">
        <f>9%*Table1[[#This Row],[Cost ]]</f>
        <v>0</v>
      </c>
      <c r="J186" s="49">
        <f>SUMIF('Multi-level BOM'!D$4:D$467,Table1[[#This Row],[Part Number]],'Multi-level BOM'!H$4:H$467)</f>
        <v>0</v>
      </c>
      <c r="K186" s="10">
        <f>Table1[[#This Row],[extended quantity]]*(Table1[[#This Row],[Cost ]]+Table1[[#This Row],[shipping]]+Table1[[#This Row],[Tax]])</f>
        <v>0</v>
      </c>
      <c r="L186" s="83" t="str">
        <f>IF(Table1[[#This Row],[Buy-now costs]]&gt;0,"X","")</f>
        <v/>
      </c>
      <c r="M186" s="83"/>
      <c r="N186" s="83"/>
      <c r="O186" s="40">
        <v>0</v>
      </c>
      <c r="P186" s="97">
        <f>Table1[[#This Row],[quantity on-hand]]*(Table1[[#This Row],[Cost ]]+Table1[[#This Row],[shipping]]+Table1[[#This Row],[Tax]])</f>
        <v>0</v>
      </c>
      <c r="Q186" s="40">
        <v>0</v>
      </c>
      <c r="R186" s="95">
        <f>Table1[[#This Row],[Quantity on order]]*(Table1[[#This Row],[Cost ]]+Table1[[#This Row],[shipping]]+Table1[[#This Row],[Tax]])</f>
        <v>0</v>
      </c>
      <c r="S1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6" s="49">
        <f>Table1[[#This Row],[Quantity  to  purchase]]+Table1[[#This Row],[Quantity purchased]]+Table1[[#This Row],[Quantity on order]]+Table1[[#This Row],[Quantity donated]]-Table1[[#This Row],[extended quantity]]</f>
        <v>0</v>
      </c>
      <c r="U1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6" s="51">
        <f>IFERROR(Table1[[#This Row],[Quantity  to  purchase]]*(Table1[[#This Row],[Cost ]]+Table1[[#This Row],[shipping]]+Table1[[#This Row],[Tax]]),0)</f>
        <v>0</v>
      </c>
      <c r="W186" s="36">
        <f>IFERROR(Table1[[#This Row],[leftover material]]*(Table1[[#This Row],[Cost ]]+Table1[[#This Row],[shipping]]+Table1[[#This Row],[Tax]]),0)</f>
        <v>0</v>
      </c>
      <c r="X186" s="36"/>
      <c r="Y186" s="87"/>
      <c r="Z186" s="87"/>
      <c r="AA186" s="87"/>
      <c r="AB186" s="36"/>
      <c r="AC186" s="36">
        <f>IF(ISNA(VLOOKUP(Table1[[#This Row],[Part Number]],'Multi-level BOM'!V$4:V$449,1,FALSE)),0,Table1[[#This Row],[Remaining Extended cost]])</f>
        <v>0</v>
      </c>
    </row>
    <row r="187" spans="1:29" x14ac:dyDescent="0.25">
      <c r="A187" s="1" t="s">
        <v>190</v>
      </c>
      <c r="B187" s="4"/>
      <c r="F187" s="3">
        <f>9%*Table1[[#This Row],[Cost ]]</f>
        <v>0</v>
      </c>
      <c r="J187" s="49">
        <f>SUMIF('Multi-level BOM'!D$4:D$467,Table1[[#This Row],[Part Number]],'Multi-level BOM'!H$4:H$467)</f>
        <v>0</v>
      </c>
      <c r="K187" s="10">
        <f>Table1[[#This Row],[extended quantity]]*(Table1[[#This Row],[Cost ]]+Table1[[#This Row],[shipping]]+Table1[[#This Row],[Tax]])</f>
        <v>0</v>
      </c>
      <c r="L187" s="83" t="str">
        <f>IF(Table1[[#This Row],[Buy-now costs]]&gt;0,"X","")</f>
        <v/>
      </c>
      <c r="M187" s="83"/>
      <c r="N187" s="83"/>
      <c r="O187" s="40">
        <v>0</v>
      </c>
      <c r="P187" s="97">
        <f>Table1[[#This Row],[quantity on-hand]]*(Table1[[#This Row],[Cost ]]+Table1[[#This Row],[shipping]]+Table1[[#This Row],[Tax]])</f>
        <v>0</v>
      </c>
      <c r="Q187" s="40">
        <v>0</v>
      </c>
      <c r="R187" s="95">
        <f>Table1[[#This Row],[Quantity on order]]*(Table1[[#This Row],[Cost ]]+Table1[[#This Row],[shipping]]+Table1[[#This Row],[Tax]])</f>
        <v>0</v>
      </c>
      <c r="S1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7" s="49">
        <f>Table1[[#This Row],[Quantity  to  purchase]]+Table1[[#This Row],[Quantity purchased]]+Table1[[#This Row],[Quantity on order]]+Table1[[#This Row],[Quantity donated]]-Table1[[#This Row],[extended quantity]]</f>
        <v>0</v>
      </c>
      <c r="U1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7" s="51">
        <f>IFERROR(Table1[[#This Row],[Quantity  to  purchase]]*(Table1[[#This Row],[Cost ]]+Table1[[#This Row],[shipping]]+Table1[[#This Row],[Tax]]),0)</f>
        <v>0</v>
      </c>
      <c r="W187" s="36">
        <f>IFERROR(Table1[[#This Row],[leftover material]]*(Table1[[#This Row],[Cost ]]+Table1[[#This Row],[shipping]]+Table1[[#This Row],[Tax]]),0)</f>
        <v>0</v>
      </c>
      <c r="X187" s="36"/>
      <c r="Y187" s="87"/>
      <c r="Z187" s="87"/>
      <c r="AA187" s="87"/>
      <c r="AB187" s="36"/>
      <c r="AC187" s="36">
        <f>IF(ISNA(VLOOKUP(Table1[[#This Row],[Part Number]],'Multi-level BOM'!V$4:V$449,1,FALSE)),0,Table1[[#This Row],[Remaining Extended cost]])</f>
        <v>0</v>
      </c>
    </row>
    <row r="188" spans="1:29" x14ac:dyDescent="0.25">
      <c r="A188" s="1" t="s">
        <v>191</v>
      </c>
      <c r="B188" s="4"/>
      <c r="F188" s="3">
        <f>9%*Table1[[#This Row],[Cost ]]</f>
        <v>0</v>
      </c>
      <c r="J188" s="49">
        <f>SUMIF('Multi-level BOM'!D$4:D$467,Table1[[#This Row],[Part Number]],'Multi-level BOM'!H$4:H$467)</f>
        <v>0</v>
      </c>
      <c r="K188" s="10">
        <f>Table1[[#This Row],[extended quantity]]*(Table1[[#This Row],[Cost ]]+Table1[[#This Row],[shipping]]+Table1[[#This Row],[Tax]])</f>
        <v>0</v>
      </c>
      <c r="L188" s="83" t="str">
        <f>IF(Table1[[#This Row],[Buy-now costs]]&gt;0,"X","")</f>
        <v/>
      </c>
      <c r="M188" s="83"/>
      <c r="N188" s="83"/>
      <c r="O188" s="40">
        <v>0</v>
      </c>
      <c r="P188" s="97">
        <f>Table1[[#This Row],[quantity on-hand]]*(Table1[[#This Row],[Cost ]]+Table1[[#This Row],[shipping]]+Table1[[#This Row],[Tax]])</f>
        <v>0</v>
      </c>
      <c r="Q188" s="40">
        <v>0</v>
      </c>
      <c r="R188" s="95">
        <f>Table1[[#This Row],[Quantity on order]]*(Table1[[#This Row],[Cost ]]+Table1[[#This Row],[shipping]]+Table1[[#This Row],[Tax]])</f>
        <v>0</v>
      </c>
      <c r="S1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8" s="49">
        <f>Table1[[#This Row],[Quantity  to  purchase]]+Table1[[#This Row],[Quantity purchased]]+Table1[[#This Row],[Quantity on order]]+Table1[[#This Row],[Quantity donated]]-Table1[[#This Row],[extended quantity]]</f>
        <v>0</v>
      </c>
      <c r="U1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8" s="51">
        <f>IFERROR(Table1[[#This Row],[Quantity  to  purchase]]*(Table1[[#This Row],[Cost ]]+Table1[[#This Row],[shipping]]+Table1[[#This Row],[Tax]]),0)</f>
        <v>0</v>
      </c>
      <c r="W188" s="36">
        <f>IFERROR(Table1[[#This Row],[leftover material]]*(Table1[[#This Row],[Cost ]]+Table1[[#This Row],[shipping]]+Table1[[#This Row],[Tax]]),0)</f>
        <v>0</v>
      </c>
      <c r="X188" s="36"/>
      <c r="Y188" s="87"/>
      <c r="Z188" s="87"/>
      <c r="AA188" s="87"/>
      <c r="AB188" s="36"/>
      <c r="AC188" s="36">
        <f>IF(ISNA(VLOOKUP(Table1[[#This Row],[Part Number]],'Multi-level BOM'!V$4:V$449,1,FALSE)),0,Table1[[#This Row],[Remaining Extended cost]])</f>
        <v>0</v>
      </c>
    </row>
    <row r="189" spans="1:29" x14ac:dyDescent="0.25">
      <c r="A189" s="1" t="s">
        <v>192</v>
      </c>
      <c r="B189" s="4"/>
      <c r="F189" s="3">
        <f>9%*Table1[[#This Row],[Cost ]]</f>
        <v>0</v>
      </c>
      <c r="J189" s="49">
        <f>SUMIF('Multi-level BOM'!D$4:D$467,Table1[[#This Row],[Part Number]],'Multi-level BOM'!H$4:H$467)</f>
        <v>0</v>
      </c>
      <c r="K189" s="10">
        <f>Table1[[#This Row],[extended quantity]]*(Table1[[#This Row],[Cost ]]+Table1[[#This Row],[shipping]]+Table1[[#This Row],[Tax]])</f>
        <v>0</v>
      </c>
      <c r="L189" s="83" t="str">
        <f>IF(Table1[[#This Row],[Buy-now costs]]&gt;0,"X","")</f>
        <v/>
      </c>
      <c r="M189" s="83"/>
      <c r="N189" s="83"/>
      <c r="O189" s="40">
        <v>0</v>
      </c>
      <c r="P189" s="97">
        <f>Table1[[#This Row],[quantity on-hand]]*(Table1[[#This Row],[Cost ]]+Table1[[#This Row],[shipping]]+Table1[[#This Row],[Tax]])</f>
        <v>0</v>
      </c>
      <c r="Q189" s="40">
        <v>0</v>
      </c>
      <c r="R189" s="95">
        <f>Table1[[#This Row],[Quantity on order]]*(Table1[[#This Row],[Cost ]]+Table1[[#This Row],[shipping]]+Table1[[#This Row],[Tax]])</f>
        <v>0</v>
      </c>
      <c r="S1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9" s="49">
        <f>Table1[[#This Row],[Quantity  to  purchase]]+Table1[[#This Row],[Quantity purchased]]+Table1[[#This Row],[Quantity on order]]+Table1[[#This Row],[Quantity donated]]-Table1[[#This Row],[extended quantity]]</f>
        <v>0</v>
      </c>
      <c r="U1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9" s="51">
        <f>IFERROR(Table1[[#This Row],[Quantity  to  purchase]]*(Table1[[#This Row],[Cost ]]+Table1[[#This Row],[shipping]]+Table1[[#This Row],[Tax]]),0)</f>
        <v>0</v>
      </c>
      <c r="W189" s="36">
        <f>IFERROR(Table1[[#This Row],[leftover material]]*(Table1[[#This Row],[Cost ]]+Table1[[#This Row],[shipping]]+Table1[[#This Row],[Tax]]),0)</f>
        <v>0</v>
      </c>
      <c r="X189" s="36"/>
      <c r="Y189" s="87"/>
      <c r="Z189" s="87"/>
      <c r="AA189" s="87"/>
      <c r="AB189" s="36"/>
      <c r="AC189" s="36">
        <f>IF(ISNA(VLOOKUP(Table1[[#This Row],[Part Number]],'Multi-level BOM'!V$4:V$449,1,FALSE)),0,Table1[[#This Row],[Remaining Extended cost]])</f>
        <v>0</v>
      </c>
    </row>
    <row r="190" spans="1:29" x14ac:dyDescent="0.25">
      <c r="A190" s="1" t="s">
        <v>193</v>
      </c>
      <c r="B190" s="4"/>
      <c r="F190" s="3">
        <f>9%*Table1[[#This Row],[Cost ]]</f>
        <v>0</v>
      </c>
      <c r="J190" s="49">
        <f>SUMIF('Multi-level BOM'!D$4:D$467,Table1[[#This Row],[Part Number]],'Multi-level BOM'!H$4:H$467)</f>
        <v>0</v>
      </c>
      <c r="K190" s="10">
        <f>Table1[[#This Row],[extended quantity]]*(Table1[[#This Row],[Cost ]]+Table1[[#This Row],[shipping]]+Table1[[#This Row],[Tax]])</f>
        <v>0</v>
      </c>
      <c r="L190" s="83" t="str">
        <f>IF(Table1[[#This Row],[Buy-now costs]]&gt;0,"X","")</f>
        <v/>
      </c>
      <c r="M190" s="83"/>
      <c r="N190" s="83"/>
      <c r="O190" s="40">
        <v>0</v>
      </c>
      <c r="P190" s="97">
        <f>Table1[[#This Row],[quantity on-hand]]*(Table1[[#This Row],[Cost ]]+Table1[[#This Row],[shipping]]+Table1[[#This Row],[Tax]])</f>
        <v>0</v>
      </c>
      <c r="Q190" s="40">
        <v>0</v>
      </c>
      <c r="R190" s="95">
        <f>Table1[[#This Row],[Quantity on order]]*(Table1[[#This Row],[Cost ]]+Table1[[#This Row],[shipping]]+Table1[[#This Row],[Tax]])</f>
        <v>0</v>
      </c>
      <c r="S1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0" s="49">
        <f>Table1[[#This Row],[Quantity  to  purchase]]+Table1[[#This Row],[Quantity purchased]]+Table1[[#This Row],[Quantity on order]]+Table1[[#This Row],[Quantity donated]]-Table1[[#This Row],[extended quantity]]</f>
        <v>0</v>
      </c>
      <c r="U1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0" s="51">
        <f>IFERROR(Table1[[#This Row],[Quantity  to  purchase]]*(Table1[[#This Row],[Cost ]]+Table1[[#This Row],[shipping]]+Table1[[#This Row],[Tax]]),0)</f>
        <v>0</v>
      </c>
      <c r="W190" s="36">
        <f>IFERROR(Table1[[#This Row],[leftover material]]*(Table1[[#This Row],[Cost ]]+Table1[[#This Row],[shipping]]+Table1[[#This Row],[Tax]]),0)</f>
        <v>0</v>
      </c>
      <c r="X190" s="36"/>
      <c r="Y190" s="87"/>
      <c r="Z190" s="87"/>
      <c r="AA190" s="87"/>
      <c r="AB190" s="36"/>
      <c r="AC190" s="36">
        <f>IF(ISNA(VLOOKUP(Table1[[#This Row],[Part Number]],'Multi-level BOM'!V$4:V$449,1,FALSE)),0,Table1[[#This Row],[Remaining Extended cost]])</f>
        <v>0</v>
      </c>
    </row>
    <row r="191" spans="1:29" x14ac:dyDescent="0.25">
      <c r="A191" s="1" t="s">
        <v>194</v>
      </c>
      <c r="B191" s="4"/>
      <c r="F191" s="3">
        <f>9%*Table1[[#This Row],[Cost ]]</f>
        <v>0</v>
      </c>
      <c r="J191" s="49">
        <f>SUMIF('Multi-level BOM'!D$4:D$467,Table1[[#This Row],[Part Number]],'Multi-level BOM'!H$4:H$467)</f>
        <v>0</v>
      </c>
      <c r="K191" s="10">
        <f>Table1[[#This Row],[extended quantity]]*(Table1[[#This Row],[Cost ]]+Table1[[#This Row],[shipping]]+Table1[[#This Row],[Tax]])</f>
        <v>0</v>
      </c>
      <c r="L191" s="83" t="str">
        <f>IF(Table1[[#This Row],[Buy-now costs]]&gt;0,"X","")</f>
        <v/>
      </c>
      <c r="M191" s="83"/>
      <c r="N191" s="83"/>
      <c r="O191" s="40">
        <v>0</v>
      </c>
      <c r="P191" s="97">
        <f>Table1[[#This Row],[quantity on-hand]]*(Table1[[#This Row],[Cost ]]+Table1[[#This Row],[shipping]]+Table1[[#This Row],[Tax]])</f>
        <v>0</v>
      </c>
      <c r="Q191" s="40">
        <v>0</v>
      </c>
      <c r="R191" s="95">
        <f>Table1[[#This Row],[Quantity on order]]*(Table1[[#This Row],[Cost ]]+Table1[[#This Row],[shipping]]+Table1[[#This Row],[Tax]])</f>
        <v>0</v>
      </c>
      <c r="S1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1" s="49">
        <f>Table1[[#This Row],[Quantity  to  purchase]]+Table1[[#This Row],[Quantity purchased]]+Table1[[#This Row],[Quantity on order]]+Table1[[#This Row],[Quantity donated]]-Table1[[#This Row],[extended quantity]]</f>
        <v>0</v>
      </c>
      <c r="U1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1" s="51">
        <f>IFERROR(Table1[[#This Row],[Quantity  to  purchase]]*(Table1[[#This Row],[Cost ]]+Table1[[#This Row],[shipping]]+Table1[[#This Row],[Tax]]),0)</f>
        <v>0</v>
      </c>
      <c r="W191" s="36">
        <f>IFERROR(Table1[[#This Row],[leftover material]]*(Table1[[#This Row],[Cost ]]+Table1[[#This Row],[shipping]]+Table1[[#This Row],[Tax]]),0)</f>
        <v>0</v>
      </c>
      <c r="X191" s="36"/>
      <c r="Y191" s="87"/>
      <c r="Z191" s="87"/>
      <c r="AA191" s="87"/>
      <c r="AB191" s="36"/>
      <c r="AC191" s="36">
        <f>IF(ISNA(VLOOKUP(Table1[[#This Row],[Part Number]],'Multi-level BOM'!V$4:V$449,1,FALSE)),0,Table1[[#This Row],[Remaining Extended cost]])</f>
        <v>0</v>
      </c>
    </row>
    <row r="192" spans="1:29" x14ac:dyDescent="0.25">
      <c r="A192" s="1" t="s">
        <v>195</v>
      </c>
      <c r="B192" s="4"/>
      <c r="F192" s="3">
        <f>9%*Table1[[#This Row],[Cost ]]</f>
        <v>0</v>
      </c>
      <c r="J192" s="49">
        <f>SUMIF('Multi-level BOM'!D$4:D$467,Table1[[#This Row],[Part Number]],'Multi-level BOM'!H$4:H$467)</f>
        <v>0</v>
      </c>
      <c r="K192" s="10">
        <f>Table1[[#This Row],[extended quantity]]*(Table1[[#This Row],[Cost ]]+Table1[[#This Row],[shipping]]+Table1[[#This Row],[Tax]])</f>
        <v>0</v>
      </c>
      <c r="L192" s="83" t="str">
        <f>IF(Table1[[#This Row],[Buy-now costs]]&gt;0,"X","")</f>
        <v/>
      </c>
      <c r="M192" s="83"/>
      <c r="N192" s="83"/>
      <c r="O192" s="40">
        <v>0</v>
      </c>
      <c r="P192" s="97">
        <f>Table1[[#This Row],[quantity on-hand]]*(Table1[[#This Row],[Cost ]]+Table1[[#This Row],[shipping]]+Table1[[#This Row],[Tax]])</f>
        <v>0</v>
      </c>
      <c r="Q192" s="40">
        <v>0</v>
      </c>
      <c r="R192" s="95">
        <f>Table1[[#This Row],[Quantity on order]]*(Table1[[#This Row],[Cost ]]+Table1[[#This Row],[shipping]]+Table1[[#This Row],[Tax]])</f>
        <v>0</v>
      </c>
      <c r="S1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2" s="49">
        <f>Table1[[#This Row],[Quantity  to  purchase]]+Table1[[#This Row],[Quantity purchased]]+Table1[[#This Row],[Quantity on order]]+Table1[[#This Row],[Quantity donated]]-Table1[[#This Row],[extended quantity]]</f>
        <v>0</v>
      </c>
      <c r="U1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2" s="51">
        <f>IFERROR(Table1[[#This Row],[Quantity  to  purchase]]*(Table1[[#This Row],[Cost ]]+Table1[[#This Row],[shipping]]+Table1[[#This Row],[Tax]]),0)</f>
        <v>0</v>
      </c>
      <c r="W192" s="36">
        <f>IFERROR(Table1[[#This Row],[leftover material]]*(Table1[[#This Row],[Cost ]]+Table1[[#This Row],[shipping]]+Table1[[#This Row],[Tax]]),0)</f>
        <v>0</v>
      </c>
      <c r="X192" s="36"/>
      <c r="Y192" s="87"/>
      <c r="Z192" s="87"/>
      <c r="AA192" s="87"/>
      <c r="AB192" s="36"/>
      <c r="AC192" s="36">
        <f>IF(ISNA(VLOOKUP(Table1[[#This Row],[Part Number]],'Multi-level BOM'!V$4:V$449,1,FALSE)),0,Table1[[#This Row],[Remaining Extended cost]])</f>
        <v>0</v>
      </c>
    </row>
    <row r="193" spans="1:29" x14ac:dyDescent="0.25">
      <c r="A193" s="1" t="s">
        <v>196</v>
      </c>
      <c r="B193" s="4"/>
      <c r="F193" s="3">
        <f>9%*Table1[[#This Row],[Cost ]]</f>
        <v>0</v>
      </c>
      <c r="J193" s="49">
        <f>SUMIF('Multi-level BOM'!D$4:D$467,Table1[[#This Row],[Part Number]],'Multi-level BOM'!H$4:H$467)</f>
        <v>0</v>
      </c>
      <c r="K193" s="10">
        <f>Table1[[#This Row],[extended quantity]]*(Table1[[#This Row],[Cost ]]+Table1[[#This Row],[shipping]]+Table1[[#This Row],[Tax]])</f>
        <v>0</v>
      </c>
      <c r="L193" s="83" t="str">
        <f>IF(Table1[[#This Row],[Buy-now costs]]&gt;0,"X","")</f>
        <v/>
      </c>
      <c r="M193" s="83"/>
      <c r="N193" s="83"/>
      <c r="O193" s="40">
        <v>0</v>
      </c>
      <c r="P193" s="97">
        <f>Table1[[#This Row],[quantity on-hand]]*(Table1[[#This Row],[Cost ]]+Table1[[#This Row],[shipping]]+Table1[[#This Row],[Tax]])</f>
        <v>0</v>
      </c>
      <c r="Q193" s="40">
        <v>0</v>
      </c>
      <c r="R193" s="95">
        <f>Table1[[#This Row],[Quantity on order]]*(Table1[[#This Row],[Cost ]]+Table1[[#This Row],[shipping]]+Table1[[#This Row],[Tax]])</f>
        <v>0</v>
      </c>
      <c r="S1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3" s="49">
        <f>Table1[[#This Row],[Quantity  to  purchase]]+Table1[[#This Row],[Quantity purchased]]+Table1[[#This Row],[Quantity on order]]+Table1[[#This Row],[Quantity donated]]-Table1[[#This Row],[extended quantity]]</f>
        <v>0</v>
      </c>
      <c r="U1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3" s="51">
        <f>IFERROR(Table1[[#This Row],[Quantity  to  purchase]]*(Table1[[#This Row],[Cost ]]+Table1[[#This Row],[shipping]]+Table1[[#This Row],[Tax]]),0)</f>
        <v>0</v>
      </c>
      <c r="W193" s="36">
        <f>IFERROR(Table1[[#This Row],[leftover material]]*(Table1[[#This Row],[Cost ]]+Table1[[#This Row],[shipping]]+Table1[[#This Row],[Tax]]),0)</f>
        <v>0</v>
      </c>
      <c r="X193" s="36"/>
      <c r="Y193" s="87"/>
      <c r="Z193" s="87"/>
      <c r="AA193" s="87"/>
      <c r="AB193" s="36"/>
      <c r="AC193" s="36">
        <f>IF(ISNA(VLOOKUP(Table1[[#This Row],[Part Number]],'Multi-level BOM'!V$4:V$449,1,FALSE)),0,Table1[[#This Row],[Remaining Extended cost]])</f>
        <v>0</v>
      </c>
    </row>
    <row r="194" spans="1:29" x14ac:dyDescent="0.25">
      <c r="A194" s="1" t="s">
        <v>197</v>
      </c>
      <c r="B194" s="4"/>
      <c r="F194" s="3">
        <f>9%*Table1[[#This Row],[Cost ]]</f>
        <v>0</v>
      </c>
      <c r="J194" s="49">
        <f>SUMIF('Multi-level BOM'!D$4:D$467,Table1[[#This Row],[Part Number]],'Multi-level BOM'!H$4:H$467)</f>
        <v>0</v>
      </c>
      <c r="K194" s="10">
        <f>Table1[[#This Row],[extended quantity]]*(Table1[[#This Row],[Cost ]]+Table1[[#This Row],[shipping]]+Table1[[#This Row],[Tax]])</f>
        <v>0</v>
      </c>
      <c r="L194" s="83" t="str">
        <f>IF(Table1[[#This Row],[Buy-now costs]]&gt;0,"X","")</f>
        <v/>
      </c>
      <c r="M194" s="83"/>
      <c r="N194" s="83"/>
      <c r="O194" s="40">
        <v>0</v>
      </c>
      <c r="P194" s="97">
        <f>Table1[[#This Row],[quantity on-hand]]*(Table1[[#This Row],[Cost ]]+Table1[[#This Row],[shipping]]+Table1[[#This Row],[Tax]])</f>
        <v>0</v>
      </c>
      <c r="Q194" s="40">
        <v>0</v>
      </c>
      <c r="R194" s="95">
        <f>Table1[[#This Row],[Quantity on order]]*(Table1[[#This Row],[Cost ]]+Table1[[#This Row],[shipping]]+Table1[[#This Row],[Tax]])</f>
        <v>0</v>
      </c>
      <c r="S1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4" s="49">
        <f>Table1[[#This Row],[Quantity  to  purchase]]+Table1[[#This Row],[Quantity purchased]]+Table1[[#This Row],[Quantity on order]]+Table1[[#This Row],[Quantity donated]]-Table1[[#This Row],[extended quantity]]</f>
        <v>0</v>
      </c>
      <c r="U1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4" s="51">
        <f>IFERROR(Table1[[#This Row],[Quantity  to  purchase]]*(Table1[[#This Row],[Cost ]]+Table1[[#This Row],[shipping]]+Table1[[#This Row],[Tax]]),0)</f>
        <v>0</v>
      </c>
      <c r="W194" s="36">
        <f>IFERROR(Table1[[#This Row],[leftover material]]*(Table1[[#This Row],[Cost ]]+Table1[[#This Row],[shipping]]+Table1[[#This Row],[Tax]]),0)</f>
        <v>0</v>
      </c>
      <c r="X194" s="36"/>
      <c r="Y194" s="87"/>
      <c r="Z194" s="87"/>
      <c r="AA194" s="87"/>
      <c r="AB194" s="36"/>
      <c r="AC194" s="36">
        <f>IF(ISNA(VLOOKUP(Table1[[#This Row],[Part Number]],'Multi-level BOM'!V$4:V$449,1,FALSE)),0,Table1[[#This Row],[Remaining Extended cost]])</f>
        <v>0</v>
      </c>
    </row>
    <row r="195" spans="1:29" x14ac:dyDescent="0.25">
      <c r="A195" s="1" t="s">
        <v>198</v>
      </c>
      <c r="B195" s="4"/>
      <c r="F195" s="3">
        <f>9%*Table1[[#This Row],[Cost ]]</f>
        <v>0</v>
      </c>
      <c r="J195" s="49">
        <f>SUMIF('Multi-level BOM'!D$4:D$467,Table1[[#This Row],[Part Number]],'Multi-level BOM'!H$4:H$467)</f>
        <v>0</v>
      </c>
      <c r="K195" s="10">
        <f>Table1[[#This Row],[extended quantity]]*(Table1[[#This Row],[Cost ]]+Table1[[#This Row],[shipping]]+Table1[[#This Row],[Tax]])</f>
        <v>0</v>
      </c>
      <c r="L195" s="83" t="str">
        <f>IF(Table1[[#This Row],[Buy-now costs]]&gt;0,"X","")</f>
        <v/>
      </c>
      <c r="M195" s="83"/>
      <c r="N195" s="83"/>
      <c r="O195" s="40">
        <v>0</v>
      </c>
      <c r="P195" s="97">
        <f>Table1[[#This Row],[quantity on-hand]]*(Table1[[#This Row],[Cost ]]+Table1[[#This Row],[shipping]]+Table1[[#This Row],[Tax]])</f>
        <v>0</v>
      </c>
      <c r="Q195" s="40">
        <v>0</v>
      </c>
      <c r="R195" s="95">
        <f>Table1[[#This Row],[Quantity on order]]*(Table1[[#This Row],[Cost ]]+Table1[[#This Row],[shipping]]+Table1[[#This Row],[Tax]])</f>
        <v>0</v>
      </c>
      <c r="S1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5" s="49">
        <f>Table1[[#This Row],[Quantity  to  purchase]]+Table1[[#This Row],[Quantity purchased]]+Table1[[#This Row],[Quantity on order]]+Table1[[#This Row],[Quantity donated]]-Table1[[#This Row],[extended quantity]]</f>
        <v>0</v>
      </c>
      <c r="U1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5" s="51">
        <f>IFERROR(Table1[[#This Row],[Quantity  to  purchase]]*(Table1[[#This Row],[Cost ]]+Table1[[#This Row],[shipping]]+Table1[[#This Row],[Tax]]),0)</f>
        <v>0</v>
      </c>
      <c r="W195" s="36">
        <f>IFERROR(Table1[[#This Row],[leftover material]]*(Table1[[#This Row],[Cost ]]+Table1[[#This Row],[shipping]]+Table1[[#This Row],[Tax]]),0)</f>
        <v>0</v>
      </c>
      <c r="X195" s="36"/>
      <c r="Y195" s="87"/>
      <c r="Z195" s="87"/>
      <c r="AA195" s="87"/>
      <c r="AB195" s="36"/>
      <c r="AC195" s="36">
        <f>IF(ISNA(VLOOKUP(Table1[[#This Row],[Part Number]],'Multi-level BOM'!V$4:V$449,1,FALSE)),0,Table1[[#This Row],[Remaining Extended cost]])</f>
        <v>0</v>
      </c>
    </row>
    <row r="196" spans="1:29" x14ac:dyDescent="0.25">
      <c r="A196" s="1" t="s">
        <v>199</v>
      </c>
      <c r="B196" s="4"/>
      <c r="F196" s="3">
        <f>9%*Table1[[#This Row],[Cost ]]</f>
        <v>0</v>
      </c>
      <c r="J196" s="49">
        <f>SUMIF('Multi-level BOM'!D$4:D$467,Table1[[#This Row],[Part Number]],'Multi-level BOM'!H$4:H$467)</f>
        <v>0</v>
      </c>
      <c r="K196" s="10">
        <f>Table1[[#This Row],[extended quantity]]*(Table1[[#This Row],[Cost ]]+Table1[[#This Row],[shipping]]+Table1[[#This Row],[Tax]])</f>
        <v>0</v>
      </c>
      <c r="L196" s="83" t="str">
        <f>IF(Table1[[#This Row],[Buy-now costs]]&gt;0,"X","")</f>
        <v/>
      </c>
      <c r="M196" s="83"/>
      <c r="N196" s="83"/>
      <c r="O196" s="40">
        <v>0</v>
      </c>
      <c r="P196" s="97">
        <f>Table1[[#This Row],[quantity on-hand]]*(Table1[[#This Row],[Cost ]]+Table1[[#This Row],[shipping]]+Table1[[#This Row],[Tax]])</f>
        <v>0</v>
      </c>
      <c r="Q196" s="40">
        <v>0</v>
      </c>
      <c r="R196" s="95">
        <f>Table1[[#This Row],[Quantity on order]]*(Table1[[#This Row],[Cost ]]+Table1[[#This Row],[shipping]]+Table1[[#This Row],[Tax]])</f>
        <v>0</v>
      </c>
      <c r="S1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6" s="49">
        <f>Table1[[#This Row],[Quantity  to  purchase]]+Table1[[#This Row],[Quantity purchased]]+Table1[[#This Row],[Quantity on order]]+Table1[[#This Row],[Quantity donated]]-Table1[[#This Row],[extended quantity]]</f>
        <v>0</v>
      </c>
      <c r="U1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6" s="51">
        <f>IFERROR(Table1[[#This Row],[Quantity  to  purchase]]*(Table1[[#This Row],[Cost ]]+Table1[[#This Row],[shipping]]+Table1[[#This Row],[Tax]]),0)</f>
        <v>0</v>
      </c>
      <c r="W196" s="36">
        <f>IFERROR(Table1[[#This Row],[leftover material]]*(Table1[[#This Row],[Cost ]]+Table1[[#This Row],[shipping]]+Table1[[#This Row],[Tax]]),0)</f>
        <v>0</v>
      </c>
      <c r="X196" s="36"/>
      <c r="Y196" s="87"/>
      <c r="Z196" s="87"/>
      <c r="AA196" s="87"/>
      <c r="AB196" s="36"/>
      <c r="AC196" s="36">
        <f>IF(ISNA(VLOOKUP(Table1[[#This Row],[Part Number]],'Multi-level BOM'!V$4:V$449,1,FALSE)),0,Table1[[#This Row],[Remaining Extended cost]])</f>
        <v>0</v>
      </c>
    </row>
    <row r="197" spans="1:29" x14ac:dyDescent="0.25">
      <c r="A197" s="1" t="s">
        <v>200</v>
      </c>
      <c r="B197" s="4"/>
      <c r="F197" s="3">
        <f>9%*Table1[[#This Row],[Cost ]]</f>
        <v>0</v>
      </c>
      <c r="J197" s="49">
        <f>SUMIF('Multi-level BOM'!D$4:D$467,Table1[[#This Row],[Part Number]],'Multi-level BOM'!H$4:H$467)</f>
        <v>0</v>
      </c>
      <c r="K197" s="10">
        <f>Table1[[#This Row],[extended quantity]]*(Table1[[#This Row],[Cost ]]+Table1[[#This Row],[shipping]]+Table1[[#This Row],[Tax]])</f>
        <v>0</v>
      </c>
      <c r="L197" s="83" t="str">
        <f>IF(Table1[[#This Row],[Buy-now costs]]&gt;0,"X","")</f>
        <v/>
      </c>
      <c r="M197" s="83"/>
      <c r="N197" s="83"/>
      <c r="O197" s="40">
        <v>0</v>
      </c>
      <c r="P197" s="97">
        <f>Table1[[#This Row],[quantity on-hand]]*(Table1[[#This Row],[Cost ]]+Table1[[#This Row],[shipping]]+Table1[[#This Row],[Tax]])</f>
        <v>0</v>
      </c>
      <c r="Q197" s="40">
        <v>0</v>
      </c>
      <c r="R197" s="95">
        <f>Table1[[#This Row],[Quantity on order]]*(Table1[[#This Row],[Cost ]]+Table1[[#This Row],[shipping]]+Table1[[#This Row],[Tax]])</f>
        <v>0</v>
      </c>
      <c r="S1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7" s="49">
        <f>Table1[[#This Row],[Quantity  to  purchase]]+Table1[[#This Row],[Quantity purchased]]+Table1[[#This Row],[Quantity on order]]+Table1[[#This Row],[Quantity donated]]-Table1[[#This Row],[extended quantity]]</f>
        <v>0</v>
      </c>
      <c r="U1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7" s="51">
        <f>IFERROR(Table1[[#This Row],[Quantity  to  purchase]]*(Table1[[#This Row],[Cost ]]+Table1[[#This Row],[shipping]]+Table1[[#This Row],[Tax]]),0)</f>
        <v>0</v>
      </c>
      <c r="W197" s="36">
        <f>IFERROR(Table1[[#This Row],[leftover material]]*(Table1[[#This Row],[Cost ]]+Table1[[#This Row],[shipping]]+Table1[[#This Row],[Tax]]),0)</f>
        <v>0</v>
      </c>
      <c r="X197" s="36"/>
      <c r="Y197" s="87"/>
      <c r="Z197" s="87"/>
      <c r="AA197" s="87"/>
      <c r="AB197" s="36"/>
      <c r="AC197" s="36">
        <f>IF(ISNA(VLOOKUP(Table1[[#This Row],[Part Number]],'Multi-level BOM'!V$4:V$449,1,FALSE)),0,Table1[[#This Row],[Remaining Extended cost]])</f>
        <v>0</v>
      </c>
    </row>
    <row r="198" spans="1:29" x14ac:dyDescent="0.25">
      <c r="A198" s="1" t="s">
        <v>201</v>
      </c>
      <c r="B198" s="4"/>
      <c r="F198" s="3">
        <f>9%*Table1[[#This Row],[Cost ]]</f>
        <v>0</v>
      </c>
      <c r="J198" s="49">
        <f>SUMIF('Multi-level BOM'!D$4:D$467,Table1[[#This Row],[Part Number]],'Multi-level BOM'!H$4:H$467)</f>
        <v>0</v>
      </c>
      <c r="K198" s="10">
        <f>Table1[[#This Row],[extended quantity]]*(Table1[[#This Row],[Cost ]]+Table1[[#This Row],[shipping]]+Table1[[#This Row],[Tax]])</f>
        <v>0</v>
      </c>
      <c r="L198" s="83" t="str">
        <f>IF(Table1[[#This Row],[Buy-now costs]]&gt;0,"X","")</f>
        <v/>
      </c>
      <c r="M198" s="83"/>
      <c r="N198" s="83"/>
      <c r="O198" s="40">
        <v>0</v>
      </c>
      <c r="P198" s="97">
        <f>Table1[[#This Row],[quantity on-hand]]*(Table1[[#This Row],[Cost ]]+Table1[[#This Row],[shipping]]+Table1[[#This Row],[Tax]])</f>
        <v>0</v>
      </c>
      <c r="Q198" s="40">
        <v>0</v>
      </c>
      <c r="R198" s="95">
        <f>Table1[[#This Row],[Quantity on order]]*(Table1[[#This Row],[Cost ]]+Table1[[#This Row],[shipping]]+Table1[[#This Row],[Tax]])</f>
        <v>0</v>
      </c>
      <c r="S1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8" s="49">
        <f>Table1[[#This Row],[Quantity  to  purchase]]+Table1[[#This Row],[Quantity purchased]]+Table1[[#This Row],[Quantity on order]]+Table1[[#This Row],[Quantity donated]]-Table1[[#This Row],[extended quantity]]</f>
        <v>0</v>
      </c>
      <c r="U1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8" s="51">
        <f>IFERROR(Table1[[#This Row],[Quantity  to  purchase]]*(Table1[[#This Row],[Cost ]]+Table1[[#This Row],[shipping]]+Table1[[#This Row],[Tax]]),0)</f>
        <v>0</v>
      </c>
      <c r="W198" s="36">
        <f>IFERROR(Table1[[#This Row],[leftover material]]*(Table1[[#This Row],[Cost ]]+Table1[[#This Row],[shipping]]+Table1[[#This Row],[Tax]]),0)</f>
        <v>0</v>
      </c>
      <c r="X198" s="36"/>
      <c r="Y198" s="87"/>
      <c r="Z198" s="87"/>
      <c r="AA198" s="87"/>
      <c r="AB198" s="36"/>
      <c r="AC198" s="36">
        <f>IF(ISNA(VLOOKUP(Table1[[#This Row],[Part Number]],'Multi-level BOM'!V$4:V$449,1,FALSE)),0,Table1[[#This Row],[Remaining Extended cost]])</f>
        <v>0</v>
      </c>
    </row>
    <row r="199" spans="1:29" x14ac:dyDescent="0.25">
      <c r="A199" s="1" t="s">
        <v>202</v>
      </c>
      <c r="B199" s="4"/>
      <c r="F199" s="3">
        <f>9%*Table1[[#This Row],[Cost ]]</f>
        <v>0</v>
      </c>
      <c r="J199" s="49">
        <f>SUMIF('Multi-level BOM'!D$4:D$467,Table1[[#This Row],[Part Number]],'Multi-level BOM'!H$4:H$467)</f>
        <v>0</v>
      </c>
      <c r="K199" s="10">
        <f>Table1[[#This Row],[extended quantity]]*(Table1[[#This Row],[Cost ]]+Table1[[#This Row],[shipping]]+Table1[[#This Row],[Tax]])</f>
        <v>0</v>
      </c>
      <c r="L199" s="83" t="str">
        <f>IF(Table1[[#This Row],[Buy-now costs]]&gt;0,"X","")</f>
        <v/>
      </c>
      <c r="M199" s="83"/>
      <c r="N199" s="83"/>
      <c r="O199" s="40">
        <v>0</v>
      </c>
      <c r="P199" s="97">
        <f>Table1[[#This Row],[quantity on-hand]]*(Table1[[#This Row],[Cost ]]+Table1[[#This Row],[shipping]]+Table1[[#This Row],[Tax]])</f>
        <v>0</v>
      </c>
      <c r="Q199" s="40">
        <v>0</v>
      </c>
      <c r="R199" s="95">
        <f>Table1[[#This Row],[Quantity on order]]*(Table1[[#This Row],[Cost ]]+Table1[[#This Row],[shipping]]+Table1[[#This Row],[Tax]])</f>
        <v>0</v>
      </c>
      <c r="S1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9" s="49">
        <f>Table1[[#This Row],[Quantity  to  purchase]]+Table1[[#This Row],[Quantity purchased]]+Table1[[#This Row],[Quantity on order]]+Table1[[#This Row],[Quantity donated]]-Table1[[#This Row],[extended quantity]]</f>
        <v>0</v>
      </c>
      <c r="U1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9" s="51">
        <f>IFERROR(Table1[[#This Row],[Quantity  to  purchase]]*(Table1[[#This Row],[Cost ]]+Table1[[#This Row],[shipping]]+Table1[[#This Row],[Tax]]),0)</f>
        <v>0</v>
      </c>
      <c r="W199" s="36">
        <f>IFERROR(Table1[[#This Row],[leftover material]]*(Table1[[#This Row],[Cost ]]+Table1[[#This Row],[shipping]]+Table1[[#This Row],[Tax]]),0)</f>
        <v>0</v>
      </c>
      <c r="X199" s="36"/>
      <c r="Y199" s="87"/>
      <c r="Z199" s="87"/>
      <c r="AA199" s="87"/>
      <c r="AB199" s="36"/>
      <c r="AC199" s="36">
        <f>IF(ISNA(VLOOKUP(Table1[[#This Row],[Part Number]],'Multi-level BOM'!V$4:V$449,1,FALSE)),0,Table1[[#This Row],[Remaining Extended cost]])</f>
        <v>0</v>
      </c>
    </row>
    <row r="200" spans="1:29" x14ac:dyDescent="0.25">
      <c r="A200" s="1" t="s">
        <v>203</v>
      </c>
      <c r="B200" s="4"/>
      <c r="F200" s="3">
        <f>9%*Table1[[#This Row],[Cost ]]</f>
        <v>0</v>
      </c>
      <c r="J200" s="49">
        <f>SUMIF('Multi-level BOM'!D$4:D$467,Table1[[#This Row],[Part Number]],'Multi-level BOM'!H$4:H$467)</f>
        <v>0</v>
      </c>
      <c r="K200" s="10">
        <f>Table1[[#This Row],[extended quantity]]*(Table1[[#This Row],[Cost ]]+Table1[[#This Row],[shipping]]+Table1[[#This Row],[Tax]])</f>
        <v>0</v>
      </c>
      <c r="L200" s="83" t="str">
        <f>IF(Table1[[#This Row],[Buy-now costs]]&gt;0,"X","")</f>
        <v/>
      </c>
      <c r="M200" s="83"/>
      <c r="N200" s="83"/>
      <c r="O200" s="40">
        <v>0</v>
      </c>
      <c r="P200" s="97">
        <f>Table1[[#This Row],[quantity on-hand]]*(Table1[[#This Row],[Cost ]]+Table1[[#This Row],[shipping]]+Table1[[#This Row],[Tax]])</f>
        <v>0</v>
      </c>
      <c r="Q200" s="40">
        <v>0</v>
      </c>
      <c r="R200" s="95">
        <f>Table1[[#This Row],[Quantity on order]]*(Table1[[#This Row],[Cost ]]+Table1[[#This Row],[shipping]]+Table1[[#This Row],[Tax]])</f>
        <v>0</v>
      </c>
      <c r="S2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0" s="49">
        <f>Table1[[#This Row],[Quantity  to  purchase]]+Table1[[#This Row],[Quantity purchased]]+Table1[[#This Row],[Quantity on order]]+Table1[[#This Row],[Quantity donated]]-Table1[[#This Row],[extended quantity]]</f>
        <v>0</v>
      </c>
      <c r="U2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0" s="51">
        <f>IFERROR(Table1[[#This Row],[Quantity  to  purchase]]*(Table1[[#This Row],[Cost ]]+Table1[[#This Row],[shipping]]+Table1[[#This Row],[Tax]]),0)</f>
        <v>0</v>
      </c>
      <c r="W200" s="36">
        <f>IFERROR(Table1[[#This Row],[leftover material]]*(Table1[[#This Row],[Cost ]]+Table1[[#This Row],[shipping]]+Table1[[#This Row],[Tax]]),0)</f>
        <v>0</v>
      </c>
      <c r="X200" s="36"/>
      <c r="Y200" s="87"/>
      <c r="Z200" s="87"/>
      <c r="AA200" s="87"/>
      <c r="AB200" s="36"/>
      <c r="AC200" s="36">
        <f>IF(ISNA(VLOOKUP(Table1[[#This Row],[Part Number]],'Multi-level BOM'!V$4:V$449,1,FALSE)),0,Table1[[#This Row],[Remaining Extended cost]])</f>
        <v>0</v>
      </c>
    </row>
    <row r="201" spans="1:29" x14ac:dyDescent="0.25">
      <c r="A201" s="1" t="s">
        <v>204</v>
      </c>
      <c r="B201" s="4"/>
      <c r="F201" s="3">
        <f>9%*Table1[[#This Row],[Cost ]]</f>
        <v>0</v>
      </c>
      <c r="J201" s="49">
        <f>SUMIF('Multi-level BOM'!D$4:D$467,Table1[[#This Row],[Part Number]],'Multi-level BOM'!H$4:H$467)</f>
        <v>0</v>
      </c>
      <c r="K201" s="10">
        <f>Table1[[#This Row],[extended quantity]]*(Table1[[#This Row],[Cost ]]+Table1[[#This Row],[shipping]]+Table1[[#This Row],[Tax]])</f>
        <v>0</v>
      </c>
      <c r="L201" s="83" t="str">
        <f>IF(Table1[[#This Row],[Buy-now costs]]&gt;0,"X","")</f>
        <v/>
      </c>
      <c r="M201" s="83"/>
      <c r="N201" s="83"/>
      <c r="O201" s="40">
        <v>0</v>
      </c>
      <c r="P201" s="97">
        <f>Table1[[#This Row],[quantity on-hand]]*(Table1[[#This Row],[Cost ]]+Table1[[#This Row],[shipping]]+Table1[[#This Row],[Tax]])</f>
        <v>0</v>
      </c>
      <c r="Q201" s="40">
        <v>0</v>
      </c>
      <c r="R201" s="95">
        <f>Table1[[#This Row],[Quantity on order]]*(Table1[[#This Row],[Cost ]]+Table1[[#This Row],[shipping]]+Table1[[#This Row],[Tax]])</f>
        <v>0</v>
      </c>
      <c r="S2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1" s="49">
        <f>Table1[[#This Row],[Quantity  to  purchase]]+Table1[[#This Row],[Quantity purchased]]+Table1[[#This Row],[Quantity on order]]+Table1[[#This Row],[Quantity donated]]-Table1[[#This Row],[extended quantity]]</f>
        <v>0</v>
      </c>
      <c r="U2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1" s="51">
        <f>IFERROR(Table1[[#This Row],[Quantity  to  purchase]]*(Table1[[#This Row],[Cost ]]+Table1[[#This Row],[shipping]]+Table1[[#This Row],[Tax]]),0)</f>
        <v>0</v>
      </c>
      <c r="W201" s="36">
        <f>IFERROR(Table1[[#This Row],[leftover material]]*(Table1[[#This Row],[Cost ]]+Table1[[#This Row],[shipping]]+Table1[[#This Row],[Tax]]),0)</f>
        <v>0</v>
      </c>
      <c r="X201" s="36"/>
      <c r="Y201" s="87"/>
      <c r="Z201" s="87"/>
      <c r="AA201" s="87"/>
      <c r="AB201" s="36"/>
      <c r="AC201" s="36">
        <f>IF(ISNA(VLOOKUP(Table1[[#This Row],[Part Number]],'Multi-level BOM'!V$4:V$449,1,FALSE)),0,Table1[[#This Row],[Remaining Extended cost]])</f>
        <v>0</v>
      </c>
    </row>
    <row r="202" spans="1:29" x14ac:dyDescent="0.25">
      <c r="A202" s="1" t="s">
        <v>205</v>
      </c>
      <c r="B202" s="4"/>
      <c r="F202" s="3">
        <f>9%*Table1[[#This Row],[Cost ]]</f>
        <v>0</v>
      </c>
      <c r="J202" s="49">
        <f>SUMIF('Multi-level BOM'!D$4:D$467,Table1[[#This Row],[Part Number]],'Multi-level BOM'!H$4:H$467)</f>
        <v>0</v>
      </c>
      <c r="K202" s="10">
        <f>Table1[[#This Row],[extended quantity]]*(Table1[[#This Row],[Cost ]]+Table1[[#This Row],[shipping]]+Table1[[#This Row],[Tax]])</f>
        <v>0</v>
      </c>
      <c r="L202" s="83" t="str">
        <f>IF(Table1[[#This Row],[Buy-now costs]]&gt;0,"X","")</f>
        <v/>
      </c>
      <c r="M202" s="83"/>
      <c r="N202" s="83"/>
      <c r="O202" s="40">
        <v>0</v>
      </c>
      <c r="P202" s="97">
        <f>Table1[[#This Row],[quantity on-hand]]*(Table1[[#This Row],[Cost ]]+Table1[[#This Row],[shipping]]+Table1[[#This Row],[Tax]])</f>
        <v>0</v>
      </c>
      <c r="Q202" s="40">
        <v>0</v>
      </c>
      <c r="R202" s="95">
        <f>Table1[[#This Row],[Quantity on order]]*(Table1[[#This Row],[Cost ]]+Table1[[#This Row],[shipping]]+Table1[[#This Row],[Tax]])</f>
        <v>0</v>
      </c>
      <c r="S2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2" s="49">
        <f>Table1[[#This Row],[Quantity  to  purchase]]+Table1[[#This Row],[Quantity purchased]]+Table1[[#This Row],[Quantity on order]]+Table1[[#This Row],[Quantity donated]]-Table1[[#This Row],[extended quantity]]</f>
        <v>0</v>
      </c>
      <c r="U2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2" s="51">
        <f>IFERROR(Table1[[#This Row],[Quantity  to  purchase]]*(Table1[[#This Row],[Cost ]]+Table1[[#This Row],[shipping]]+Table1[[#This Row],[Tax]]),0)</f>
        <v>0</v>
      </c>
      <c r="W202" s="36">
        <f>IFERROR(Table1[[#This Row],[leftover material]]*(Table1[[#This Row],[Cost ]]+Table1[[#This Row],[shipping]]+Table1[[#This Row],[Tax]]),0)</f>
        <v>0</v>
      </c>
      <c r="X202" s="36"/>
      <c r="Y202" s="87"/>
      <c r="Z202" s="87"/>
      <c r="AA202" s="87"/>
      <c r="AB202" s="36"/>
      <c r="AC202" s="36">
        <f>IF(ISNA(VLOOKUP(Table1[[#This Row],[Part Number]],'Multi-level BOM'!V$4:V$449,1,FALSE)),0,Table1[[#This Row],[Remaining Extended cost]])</f>
        <v>0</v>
      </c>
    </row>
    <row r="203" spans="1:29" x14ac:dyDescent="0.25">
      <c r="A203" s="1" t="s">
        <v>206</v>
      </c>
      <c r="B203" s="4"/>
      <c r="F203" s="3">
        <f>9%*Table1[[#This Row],[Cost ]]</f>
        <v>0</v>
      </c>
      <c r="J203" s="49">
        <f>SUMIF('Multi-level BOM'!D$4:D$467,Table1[[#This Row],[Part Number]],'Multi-level BOM'!H$4:H$467)</f>
        <v>0</v>
      </c>
      <c r="K203" s="10">
        <f>Table1[[#This Row],[extended quantity]]*(Table1[[#This Row],[Cost ]]+Table1[[#This Row],[shipping]]+Table1[[#This Row],[Tax]])</f>
        <v>0</v>
      </c>
      <c r="L203" s="83" t="str">
        <f>IF(Table1[[#This Row],[Buy-now costs]]&gt;0,"X","")</f>
        <v/>
      </c>
      <c r="M203" s="83"/>
      <c r="N203" s="83"/>
      <c r="O203" s="40">
        <v>0</v>
      </c>
      <c r="P203" s="97">
        <f>Table1[[#This Row],[quantity on-hand]]*(Table1[[#This Row],[Cost ]]+Table1[[#This Row],[shipping]]+Table1[[#This Row],[Tax]])</f>
        <v>0</v>
      </c>
      <c r="Q203" s="40">
        <v>0</v>
      </c>
      <c r="R203" s="95">
        <f>Table1[[#This Row],[Quantity on order]]*(Table1[[#This Row],[Cost ]]+Table1[[#This Row],[shipping]]+Table1[[#This Row],[Tax]])</f>
        <v>0</v>
      </c>
      <c r="S2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3" s="49">
        <f>Table1[[#This Row],[Quantity  to  purchase]]+Table1[[#This Row],[Quantity purchased]]+Table1[[#This Row],[Quantity on order]]+Table1[[#This Row],[Quantity donated]]-Table1[[#This Row],[extended quantity]]</f>
        <v>0</v>
      </c>
      <c r="U2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3" s="51">
        <f>IFERROR(Table1[[#This Row],[Quantity  to  purchase]]*(Table1[[#This Row],[Cost ]]+Table1[[#This Row],[shipping]]+Table1[[#This Row],[Tax]]),0)</f>
        <v>0</v>
      </c>
      <c r="W203" s="36">
        <f>IFERROR(Table1[[#This Row],[leftover material]]*(Table1[[#This Row],[Cost ]]+Table1[[#This Row],[shipping]]+Table1[[#This Row],[Tax]]),0)</f>
        <v>0</v>
      </c>
      <c r="X203" s="36"/>
      <c r="Y203" s="87"/>
      <c r="Z203" s="87"/>
      <c r="AA203" s="87"/>
      <c r="AB203" s="36"/>
      <c r="AC203" s="36">
        <f>IF(ISNA(VLOOKUP(Table1[[#This Row],[Part Number]],'Multi-level BOM'!V$4:V$449,1,FALSE)),0,Table1[[#This Row],[Remaining Extended cost]])</f>
        <v>0</v>
      </c>
    </row>
    <row r="204" spans="1:29" x14ac:dyDescent="0.25">
      <c r="A204" s="1" t="s">
        <v>207</v>
      </c>
      <c r="B204" s="4"/>
      <c r="F204" s="3">
        <f>9%*Table1[[#This Row],[Cost ]]</f>
        <v>0</v>
      </c>
      <c r="J204" s="49">
        <f>SUMIF('Multi-level BOM'!D$4:D$467,Table1[[#This Row],[Part Number]],'Multi-level BOM'!H$4:H$467)</f>
        <v>0</v>
      </c>
      <c r="K204" s="10">
        <f>Table1[[#This Row],[extended quantity]]*(Table1[[#This Row],[Cost ]]+Table1[[#This Row],[shipping]]+Table1[[#This Row],[Tax]])</f>
        <v>0</v>
      </c>
      <c r="L204" s="83" t="str">
        <f>IF(Table1[[#This Row],[Buy-now costs]]&gt;0,"X","")</f>
        <v/>
      </c>
      <c r="M204" s="83"/>
      <c r="N204" s="83"/>
      <c r="O204" s="40">
        <v>0</v>
      </c>
      <c r="P204" s="97">
        <f>Table1[[#This Row],[quantity on-hand]]*(Table1[[#This Row],[Cost ]]+Table1[[#This Row],[shipping]]+Table1[[#This Row],[Tax]])</f>
        <v>0</v>
      </c>
      <c r="Q204" s="40">
        <v>0</v>
      </c>
      <c r="R204" s="95">
        <f>Table1[[#This Row],[Quantity on order]]*(Table1[[#This Row],[Cost ]]+Table1[[#This Row],[shipping]]+Table1[[#This Row],[Tax]])</f>
        <v>0</v>
      </c>
      <c r="S2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4" s="49">
        <f>Table1[[#This Row],[Quantity  to  purchase]]+Table1[[#This Row],[Quantity purchased]]+Table1[[#This Row],[Quantity on order]]+Table1[[#This Row],[Quantity donated]]-Table1[[#This Row],[extended quantity]]</f>
        <v>0</v>
      </c>
      <c r="U2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4" s="51">
        <f>IFERROR(Table1[[#This Row],[Quantity  to  purchase]]*(Table1[[#This Row],[Cost ]]+Table1[[#This Row],[shipping]]+Table1[[#This Row],[Tax]]),0)</f>
        <v>0</v>
      </c>
      <c r="W204" s="36">
        <f>IFERROR(Table1[[#This Row],[leftover material]]*(Table1[[#This Row],[Cost ]]+Table1[[#This Row],[shipping]]+Table1[[#This Row],[Tax]]),0)</f>
        <v>0</v>
      </c>
      <c r="X204" s="36"/>
      <c r="Y204" s="87"/>
      <c r="Z204" s="87"/>
      <c r="AA204" s="87"/>
      <c r="AB204" s="36"/>
      <c r="AC204" s="36">
        <f>IF(ISNA(VLOOKUP(Table1[[#This Row],[Part Number]],'Multi-level BOM'!V$4:V$449,1,FALSE)),0,Table1[[#This Row],[Remaining Extended cost]])</f>
        <v>0</v>
      </c>
    </row>
    <row r="205" spans="1:29" x14ac:dyDescent="0.25">
      <c r="A205" s="1" t="s">
        <v>208</v>
      </c>
      <c r="B205" s="4"/>
      <c r="F205" s="3">
        <f>9%*Table1[[#This Row],[Cost ]]</f>
        <v>0</v>
      </c>
      <c r="J205" s="49">
        <f>SUMIF('Multi-level BOM'!D$4:D$467,Table1[[#This Row],[Part Number]],'Multi-level BOM'!H$4:H$467)</f>
        <v>0</v>
      </c>
      <c r="K205" s="10">
        <f>Table1[[#This Row],[extended quantity]]*(Table1[[#This Row],[Cost ]]+Table1[[#This Row],[shipping]]+Table1[[#This Row],[Tax]])</f>
        <v>0</v>
      </c>
      <c r="L205" s="83" t="str">
        <f>IF(Table1[[#This Row],[Buy-now costs]]&gt;0,"X","")</f>
        <v/>
      </c>
      <c r="M205" s="83"/>
      <c r="N205" s="83"/>
      <c r="O205" s="40">
        <v>0</v>
      </c>
      <c r="P205" s="97">
        <f>Table1[[#This Row],[quantity on-hand]]*(Table1[[#This Row],[Cost ]]+Table1[[#This Row],[shipping]]+Table1[[#This Row],[Tax]])</f>
        <v>0</v>
      </c>
      <c r="Q205" s="40">
        <v>0</v>
      </c>
      <c r="R205" s="95">
        <f>Table1[[#This Row],[Quantity on order]]*(Table1[[#This Row],[Cost ]]+Table1[[#This Row],[shipping]]+Table1[[#This Row],[Tax]])</f>
        <v>0</v>
      </c>
      <c r="S2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5" s="49">
        <f>Table1[[#This Row],[Quantity  to  purchase]]+Table1[[#This Row],[Quantity purchased]]+Table1[[#This Row],[Quantity on order]]+Table1[[#This Row],[Quantity donated]]-Table1[[#This Row],[extended quantity]]</f>
        <v>0</v>
      </c>
      <c r="U2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5" s="51">
        <f>IFERROR(Table1[[#This Row],[Quantity  to  purchase]]*(Table1[[#This Row],[Cost ]]+Table1[[#This Row],[shipping]]+Table1[[#This Row],[Tax]]),0)</f>
        <v>0</v>
      </c>
      <c r="W205" s="36">
        <f>IFERROR(Table1[[#This Row],[leftover material]]*(Table1[[#This Row],[Cost ]]+Table1[[#This Row],[shipping]]+Table1[[#This Row],[Tax]]),0)</f>
        <v>0</v>
      </c>
      <c r="X205" s="36"/>
      <c r="Y205" s="87"/>
      <c r="Z205" s="87"/>
      <c r="AA205" s="87"/>
      <c r="AB205" s="36"/>
      <c r="AC205" s="36">
        <f>IF(ISNA(VLOOKUP(Table1[[#This Row],[Part Number]],'Multi-level BOM'!V$4:V$449,1,FALSE)),0,Table1[[#This Row],[Remaining Extended cost]])</f>
        <v>0</v>
      </c>
    </row>
    <row r="206" spans="1:29" x14ac:dyDescent="0.25">
      <c r="A206" s="1" t="s">
        <v>209</v>
      </c>
      <c r="B206" s="4"/>
      <c r="F206" s="3">
        <f>9%*Table1[[#This Row],[Cost ]]</f>
        <v>0</v>
      </c>
      <c r="J206" s="49">
        <f>SUMIF('Multi-level BOM'!D$4:D$467,Table1[[#This Row],[Part Number]],'Multi-level BOM'!H$4:H$467)</f>
        <v>0</v>
      </c>
      <c r="K206" s="10">
        <f>Table1[[#This Row],[extended quantity]]*(Table1[[#This Row],[Cost ]]+Table1[[#This Row],[shipping]]+Table1[[#This Row],[Tax]])</f>
        <v>0</v>
      </c>
      <c r="L206" s="83" t="str">
        <f>IF(Table1[[#This Row],[Buy-now costs]]&gt;0,"X","")</f>
        <v/>
      </c>
      <c r="M206" s="83"/>
      <c r="N206" s="83"/>
      <c r="O206" s="40">
        <v>0</v>
      </c>
      <c r="P206" s="97">
        <f>Table1[[#This Row],[quantity on-hand]]*(Table1[[#This Row],[Cost ]]+Table1[[#This Row],[shipping]]+Table1[[#This Row],[Tax]])</f>
        <v>0</v>
      </c>
      <c r="Q206" s="40">
        <v>0</v>
      </c>
      <c r="R206" s="95">
        <f>Table1[[#This Row],[Quantity on order]]*(Table1[[#This Row],[Cost ]]+Table1[[#This Row],[shipping]]+Table1[[#This Row],[Tax]])</f>
        <v>0</v>
      </c>
      <c r="S2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6" s="49">
        <f>Table1[[#This Row],[Quantity  to  purchase]]+Table1[[#This Row],[Quantity purchased]]+Table1[[#This Row],[Quantity on order]]+Table1[[#This Row],[Quantity donated]]-Table1[[#This Row],[extended quantity]]</f>
        <v>0</v>
      </c>
      <c r="U2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6" s="51">
        <f>IFERROR(Table1[[#This Row],[Quantity  to  purchase]]*(Table1[[#This Row],[Cost ]]+Table1[[#This Row],[shipping]]+Table1[[#This Row],[Tax]]),0)</f>
        <v>0</v>
      </c>
      <c r="W206" s="36">
        <f>IFERROR(Table1[[#This Row],[leftover material]]*(Table1[[#This Row],[Cost ]]+Table1[[#This Row],[shipping]]+Table1[[#This Row],[Tax]]),0)</f>
        <v>0</v>
      </c>
      <c r="X206" s="36"/>
      <c r="Y206" s="87"/>
      <c r="Z206" s="87"/>
      <c r="AA206" s="87"/>
      <c r="AB206" s="36"/>
      <c r="AC206" s="36">
        <f>IF(ISNA(VLOOKUP(Table1[[#This Row],[Part Number]],'Multi-level BOM'!V$4:V$449,1,FALSE)),0,Table1[[#This Row],[Remaining Extended cost]])</f>
        <v>0</v>
      </c>
    </row>
    <row r="207" spans="1:29" x14ac:dyDescent="0.25">
      <c r="A207" s="1" t="s">
        <v>210</v>
      </c>
      <c r="B207" s="4"/>
      <c r="F207" s="3">
        <f>9%*Table1[[#This Row],[Cost ]]</f>
        <v>0</v>
      </c>
      <c r="J207" s="49">
        <f>SUMIF('Multi-level BOM'!D$4:D$467,Table1[[#This Row],[Part Number]],'Multi-level BOM'!H$4:H$467)</f>
        <v>0</v>
      </c>
      <c r="K207" s="10">
        <f>Table1[[#This Row],[extended quantity]]*(Table1[[#This Row],[Cost ]]+Table1[[#This Row],[shipping]]+Table1[[#This Row],[Tax]])</f>
        <v>0</v>
      </c>
      <c r="L207" s="83" t="str">
        <f>IF(Table1[[#This Row],[Buy-now costs]]&gt;0,"X","")</f>
        <v/>
      </c>
      <c r="M207" s="83"/>
      <c r="N207" s="83"/>
      <c r="O207" s="40">
        <v>0</v>
      </c>
      <c r="P207" s="97">
        <f>Table1[[#This Row],[quantity on-hand]]*(Table1[[#This Row],[Cost ]]+Table1[[#This Row],[shipping]]+Table1[[#This Row],[Tax]])</f>
        <v>0</v>
      </c>
      <c r="Q207" s="40">
        <v>0</v>
      </c>
      <c r="R207" s="95">
        <f>Table1[[#This Row],[Quantity on order]]*(Table1[[#This Row],[Cost ]]+Table1[[#This Row],[shipping]]+Table1[[#This Row],[Tax]])</f>
        <v>0</v>
      </c>
      <c r="S2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7" s="49">
        <f>Table1[[#This Row],[Quantity  to  purchase]]+Table1[[#This Row],[Quantity purchased]]+Table1[[#This Row],[Quantity on order]]+Table1[[#This Row],[Quantity donated]]-Table1[[#This Row],[extended quantity]]</f>
        <v>0</v>
      </c>
      <c r="U2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7" s="51">
        <f>IFERROR(Table1[[#This Row],[Quantity  to  purchase]]*(Table1[[#This Row],[Cost ]]+Table1[[#This Row],[shipping]]+Table1[[#This Row],[Tax]]),0)</f>
        <v>0</v>
      </c>
      <c r="W207" s="36">
        <f>IFERROR(Table1[[#This Row],[leftover material]]*(Table1[[#This Row],[Cost ]]+Table1[[#This Row],[shipping]]+Table1[[#This Row],[Tax]]),0)</f>
        <v>0</v>
      </c>
      <c r="X207" s="36"/>
      <c r="Y207" s="87"/>
      <c r="Z207" s="87"/>
      <c r="AA207" s="87"/>
      <c r="AB207" s="36"/>
      <c r="AC207" s="36">
        <f>IF(ISNA(VLOOKUP(Table1[[#This Row],[Part Number]],'Multi-level BOM'!V$4:V$449,1,FALSE)),0,Table1[[#This Row],[Remaining Extended cost]])</f>
        <v>0</v>
      </c>
    </row>
    <row r="208" spans="1:29" x14ac:dyDescent="0.25">
      <c r="A208" s="1" t="s">
        <v>211</v>
      </c>
      <c r="B208" s="4"/>
      <c r="F208" s="3">
        <f>9%*Table1[[#This Row],[Cost ]]</f>
        <v>0</v>
      </c>
      <c r="J208" s="49">
        <f>SUMIF('Multi-level BOM'!D$4:D$467,Table1[[#This Row],[Part Number]],'Multi-level BOM'!H$4:H$467)</f>
        <v>0</v>
      </c>
      <c r="K208" s="10">
        <f>Table1[[#This Row],[extended quantity]]*(Table1[[#This Row],[Cost ]]+Table1[[#This Row],[shipping]]+Table1[[#This Row],[Tax]])</f>
        <v>0</v>
      </c>
      <c r="L208" s="83" t="str">
        <f>IF(Table1[[#This Row],[Buy-now costs]]&gt;0,"X","")</f>
        <v/>
      </c>
      <c r="M208" s="83"/>
      <c r="N208" s="83"/>
      <c r="O208" s="40">
        <v>0</v>
      </c>
      <c r="P208" s="97">
        <f>Table1[[#This Row],[quantity on-hand]]*(Table1[[#This Row],[Cost ]]+Table1[[#This Row],[shipping]]+Table1[[#This Row],[Tax]])</f>
        <v>0</v>
      </c>
      <c r="Q208" s="40">
        <v>0</v>
      </c>
      <c r="R208" s="95">
        <f>Table1[[#This Row],[Quantity on order]]*(Table1[[#This Row],[Cost ]]+Table1[[#This Row],[shipping]]+Table1[[#This Row],[Tax]])</f>
        <v>0</v>
      </c>
      <c r="S2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8" s="49">
        <f>Table1[[#This Row],[Quantity  to  purchase]]+Table1[[#This Row],[Quantity purchased]]+Table1[[#This Row],[Quantity on order]]+Table1[[#This Row],[Quantity donated]]-Table1[[#This Row],[extended quantity]]</f>
        <v>0</v>
      </c>
      <c r="U2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8" s="51">
        <f>IFERROR(Table1[[#This Row],[Quantity  to  purchase]]*(Table1[[#This Row],[Cost ]]+Table1[[#This Row],[shipping]]+Table1[[#This Row],[Tax]]),0)</f>
        <v>0</v>
      </c>
      <c r="W208" s="36">
        <f>IFERROR(Table1[[#This Row],[leftover material]]*(Table1[[#This Row],[Cost ]]+Table1[[#This Row],[shipping]]+Table1[[#This Row],[Tax]]),0)</f>
        <v>0</v>
      </c>
      <c r="X208" s="36"/>
      <c r="Y208" s="87"/>
      <c r="Z208" s="87"/>
      <c r="AA208" s="87"/>
      <c r="AB208" s="36"/>
      <c r="AC208" s="36">
        <f>IF(ISNA(VLOOKUP(Table1[[#This Row],[Part Number]],'Multi-level BOM'!V$4:V$449,1,FALSE)),0,Table1[[#This Row],[Remaining Extended cost]])</f>
        <v>0</v>
      </c>
    </row>
    <row r="209" spans="1:29" x14ac:dyDescent="0.25">
      <c r="A209" s="1" t="s">
        <v>212</v>
      </c>
      <c r="B209" s="4"/>
      <c r="F209" s="3">
        <f>9%*Table1[[#This Row],[Cost ]]</f>
        <v>0</v>
      </c>
      <c r="J209" s="49">
        <f>SUMIF('Multi-level BOM'!D$4:D$467,Table1[[#This Row],[Part Number]],'Multi-level BOM'!H$4:H$467)</f>
        <v>0</v>
      </c>
      <c r="K209" s="10">
        <f>Table1[[#This Row],[extended quantity]]*(Table1[[#This Row],[Cost ]]+Table1[[#This Row],[shipping]]+Table1[[#This Row],[Tax]])</f>
        <v>0</v>
      </c>
      <c r="L209" s="83" t="str">
        <f>IF(Table1[[#This Row],[Buy-now costs]]&gt;0,"X","")</f>
        <v/>
      </c>
      <c r="M209" s="83"/>
      <c r="N209" s="83"/>
      <c r="O209" s="40">
        <v>0</v>
      </c>
      <c r="P209" s="97">
        <f>Table1[[#This Row],[quantity on-hand]]*(Table1[[#This Row],[Cost ]]+Table1[[#This Row],[shipping]]+Table1[[#This Row],[Tax]])</f>
        <v>0</v>
      </c>
      <c r="Q209" s="40">
        <v>0</v>
      </c>
      <c r="R209" s="95">
        <f>Table1[[#This Row],[Quantity on order]]*(Table1[[#This Row],[Cost ]]+Table1[[#This Row],[shipping]]+Table1[[#This Row],[Tax]])</f>
        <v>0</v>
      </c>
      <c r="S2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9" s="49">
        <f>Table1[[#This Row],[Quantity  to  purchase]]+Table1[[#This Row],[Quantity purchased]]+Table1[[#This Row],[Quantity on order]]+Table1[[#This Row],[Quantity donated]]-Table1[[#This Row],[extended quantity]]</f>
        <v>0</v>
      </c>
      <c r="U2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9" s="51">
        <f>IFERROR(Table1[[#This Row],[Quantity  to  purchase]]*(Table1[[#This Row],[Cost ]]+Table1[[#This Row],[shipping]]+Table1[[#This Row],[Tax]]),0)</f>
        <v>0</v>
      </c>
      <c r="W209" s="36">
        <f>IFERROR(Table1[[#This Row],[leftover material]]*(Table1[[#This Row],[Cost ]]+Table1[[#This Row],[shipping]]+Table1[[#This Row],[Tax]]),0)</f>
        <v>0</v>
      </c>
      <c r="X209" s="36"/>
      <c r="Y209" s="87"/>
      <c r="Z209" s="87"/>
      <c r="AA209" s="87"/>
      <c r="AB209" s="36"/>
      <c r="AC209" s="36">
        <f>IF(ISNA(VLOOKUP(Table1[[#This Row],[Part Number]],'Multi-level BOM'!V$4:V$449,1,FALSE)),0,Table1[[#This Row],[Remaining Extended cost]])</f>
        <v>0</v>
      </c>
    </row>
    <row r="210" spans="1:29" x14ac:dyDescent="0.25">
      <c r="A210" s="1" t="s">
        <v>213</v>
      </c>
      <c r="B210" s="4"/>
      <c r="F210" s="3">
        <f>9%*Table1[[#This Row],[Cost ]]</f>
        <v>0</v>
      </c>
      <c r="J210" s="49">
        <f>SUMIF('Multi-level BOM'!D$4:D$467,Table1[[#This Row],[Part Number]],'Multi-level BOM'!H$4:H$467)</f>
        <v>0</v>
      </c>
      <c r="K210" s="10">
        <f>Table1[[#This Row],[extended quantity]]*(Table1[[#This Row],[Cost ]]+Table1[[#This Row],[shipping]]+Table1[[#This Row],[Tax]])</f>
        <v>0</v>
      </c>
      <c r="L210" s="83" t="str">
        <f>IF(Table1[[#This Row],[Buy-now costs]]&gt;0,"X","")</f>
        <v/>
      </c>
      <c r="M210" s="83"/>
      <c r="N210" s="83"/>
      <c r="O210" s="40">
        <v>0</v>
      </c>
      <c r="P210" s="97">
        <f>Table1[[#This Row],[quantity on-hand]]*(Table1[[#This Row],[Cost ]]+Table1[[#This Row],[shipping]]+Table1[[#This Row],[Tax]])</f>
        <v>0</v>
      </c>
      <c r="Q210" s="40">
        <v>0</v>
      </c>
      <c r="R210" s="95">
        <f>Table1[[#This Row],[Quantity on order]]*(Table1[[#This Row],[Cost ]]+Table1[[#This Row],[shipping]]+Table1[[#This Row],[Tax]])</f>
        <v>0</v>
      </c>
      <c r="S2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0" s="49">
        <f>Table1[[#This Row],[Quantity  to  purchase]]+Table1[[#This Row],[Quantity purchased]]+Table1[[#This Row],[Quantity on order]]+Table1[[#This Row],[Quantity donated]]-Table1[[#This Row],[extended quantity]]</f>
        <v>0</v>
      </c>
      <c r="U2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0" s="51">
        <f>IFERROR(Table1[[#This Row],[Quantity  to  purchase]]*(Table1[[#This Row],[Cost ]]+Table1[[#This Row],[shipping]]+Table1[[#This Row],[Tax]]),0)</f>
        <v>0</v>
      </c>
      <c r="W210" s="36">
        <f>IFERROR(Table1[[#This Row],[leftover material]]*(Table1[[#This Row],[Cost ]]+Table1[[#This Row],[shipping]]+Table1[[#This Row],[Tax]]),0)</f>
        <v>0</v>
      </c>
      <c r="X210" s="36"/>
      <c r="Y210" s="87"/>
      <c r="Z210" s="87"/>
      <c r="AA210" s="87"/>
      <c r="AB210" s="36"/>
      <c r="AC210" s="36">
        <f>IF(ISNA(VLOOKUP(Table1[[#This Row],[Part Number]],'Multi-level BOM'!V$4:V$449,1,FALSE)),0,Table1[[#This Row],[Remaining Extended cost]])</f>
        <v>0</v>
      </c>
    </row>
    <row r="211" spans="1:29" x14ac:dyDescent="0.25">
      <c r="A211" s="1" t="s">
        <v>214</v>
      </c>
      <c r="B211" s="4"/>
      <c r="F211" s="3">
        <f>9%*Table1[[#This Row],[Cost ]]</f>
        <v>0</v>
      </c>
      <c r="J211" s="49">
        <f>SUMIF('Multi-level BOM'!D$4:D$467,Table1[[#This Row],[Part Number]],'Multi-level BOM'!H$4:H$467)</f>
        <v>0</v>
      </c>
      <c r="K211" s="10">
        <f>Table1[[#This Row],[extended quantity]]*(Table1[[#This Row],[Cost ]]+Table1[[#This Row],[shipping]]+Table1[[#This Row],[Tax]])</f>
        <v>0</v>
      </c>
      <c r="L211" s="83" t="str">
        <f>IF(Table1[[#This Row],[Buy-now costs]]&gt;0,"X","")</f>
        <v/>
      </c>
      <c r="M211" s="83"/>
      <c r="N211" s="83"/>
      <c r="O211" s="40">
        <v>0</v>
      </c>
      <c r="P211" s="97">
        <f>Table1[[#This Row],[quantity on-hand]]*(Table1[[#This Row],[Cost ]]+Table1[[#This Row],[shipping]]+Table1[[#This Row],[Tax]])</f>
        <v>0</v>
      </c>
      <c r="Q211" s="40">
        <v>0</v>
      </c>
      <c r="R211" s="95">
        <f>Table1[[#This Row],[Quantity on order]]*(Table1[[#This Row],[Cost ]]+Table1[[#This Row],[shipping]]+Table1[[#This Row],[Tax]])</f>
        <v>0</v>
      </c>
      <c r="S2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1" s="49">
        <f>Table1[[#This Row],[Quantity  to  purchase]]+Table1[[#This Row],[Quantity purchased]]+Table1[[#This Row],[Quantity on order]]+Table1[[#This Row],[Quantity donated]]-Table1[[#This Row],[extended quantity]]</f>
        <v>0</v>
      </c>
      <c r="U2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1" s="51">
        <f>IFERROR(Table1[[#This Row],[Quantity  to  purchase]]*(Table1[[#This Row],[Cost ]]+Table1[[#This Row],[shipping]]+Table1[[#This Row],[Tax]]),0)</f>
        <v>0</v>
      </c>
      <c r="W211" s="36">
        <f>IFERROR(Table1[[#This Row],[leftover material]]*(Table1[[#This Row],[Cost ]]+Table1[[#This Row],[shipping]]+Table1[[#This Row],[Tax]]),0)</f>
        <v>0</v>
      </c>
      <c r="X211" s="36"/>
      <c r="Y211" s="87"/>
      <c r="Z211" s="87"/>
      <c r="AA211" s="87"/>
      <c r="AB211" s="36"/>
      <c r="AC211" s="36">
        <f>IF(ISNA(VLOOKUP(Table1[[#This Row],[Part Number]],'Multi-level BOM'!V$4:V$449,1,FALSE)),0,Table1[[#This Row],[Remaining Extended cost]])</f>
        <v>0</v>
      </c>
    </row>
    <row r="212" spans="1:29" x14ac:dyDescent="0.25">
      <c r="A212" s="1" t="s">
        <v>215</v>
      </c>
      <c r="B212" s="4"/>
      <c r="F212" s="3">
        <f>9%*Table1[[#This Row],[Cost ]]</f>
        <v>0</v>
      </c>
      <c r="J212" s="49">
        <f>SUMIF('Multi-level BOM'!D$4:D$467,Table1[[#This Row],[Part Number]],'Multi-level BOM'!H$4:H$467)</f>
        <v>0</v>
      </c>
      <c r="K212" s="10">
        <f>Table1[[#This Row],[extended quantity]]*(Table1[[#This Row],[Cost ]]+Table1[[#This Row],[shipping]]+Table1[[#This Row],[Tax]])</f>
        <v>0</v>
      </c>
      <c r="L212" s="83" t="str">
        <f>IF(Table1[[#This Row],[Buy-now costs]]&gt;0,"X","")</f>
        <v/>
      </c>
      <c r="M212" s="83"/>
      <c r="N212" s="83"/>
      <c r="O212" s="40">
        <v>0</v>
      </c>
      <c r="P212" s="97">
        <f>Table1[[#This Row],[quantity on-hand]]*(Table1[[#This Row],[Cost ]]+Table1[[#This Row],[shipping]]+Table1[[#This Row],[Tax]])</f>
        <v>0</v>
      </c>
      <c r="Q212" s="40">
        <v>0</v>
      </c>
      <c r="R212" s="95">
        <f>Table1[[#This Row],[Quantity on order]]*(Table1[[#This Row],[Cost ]]+Table1[[#This Row],[shipping]]+Table1[[#This Row],[Tax]])</f>
        <v>0</v>
      </c>
      <c r="S2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2" s="49">
        <f>Table1[[#This Row],[Quantity  to  purchase]]+Table1[[#This Row],[Quantity purchased]]+Table1[[#This Row],[Quantity on order]]+Table1[[#This Row],[Quantity donated]]-Table1[[#This Row],[extended quantity]]</f>
        <v>0</v>
      </c>
      <c r="U2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2" s="51">
        <f>IFERROR(Table1[[#This Row],[Quantity  to  purchase]]*(Table1[[#This Row],[Cost ]]+Table1[[#This Row],[shipping]]+Table1[[#This Row],[Tax]]),0)</f>
        <v>0</v>
      </c>
      <c r="W212" s="36">
        <f>IFERROR(Table1[[#This Row],[leftover material]]*(Table1[[#This Row],[Cost ]]+Table1[[#This Row],[shipping]]+Table1[[#This Row],[Tax]]),0)</f>
        <v>0</v>
      </c>
      <c r="X212" s="36"/>
      <c r="Y212" s="87"/>
      <c r="Z212" s="87"/>
      <c r="AA212" s="87"/>
      <c r="AB212" s="36"/>
      <c r="AC212" s="36">
        <f>IF(ISNA(VLOOKUP(Table1[[#This Row],[Part Number]],'Multi-level BOM'!V$4:V$449,1,FALSE)),0,Table1[[#This Row],[Remaining Extended cost]])</f>
        <v>0</v>
      </c>
    </row>
    <row r="213" spans="1:29" x14ac:dyDescent="0.25">
      <c r="A213" s="1" t="s">
        <v>216</v>
      </c>
      <c r="B213" s="4"/>
      <c r="F213" s="3">
        <f>9%*Table1[[#This Row],[Cost ]]</f>
        <v>0</v>
      </c>
      <c r="J213" s="49">
        <f>SUMIF('Multi-level BOM'!D$4:D$467,Table1[[#This Row],[Part Number]],'Multi-level BOM'!H$4:H$467)</f>
        <v>0</v>
      </c>
      <c r="K213" s="10">
        <f>Table1[[#This Row],[extended quantity]]*(Table1[[#This Row],[Cost ]]+Table1[[#This Row],[shipping]]+Table1[[#This Row],[Tax]])</f>
        <v>0</v>
      </c>
      <c r="L213" s="83" t="str">
        <f>IF(Table1[[#This Row],[Buy-now costs]]&gt;0,"X","")</f>
        <v/>
      </c>
      <c r="M213" s="83"/>
      <c r="N213" s="83"/>
      <c r="O213" s="40">
        <v>0</v>
      </c>
      <c r="P213" s="97">
        <f>Table1[[#This Row],[quantity on-hand]]*(Table1[[#This Row],[Cost ]]+Table1[[#This Row],[shipping]]+Table1[[#This Row],[Tax]])</f>
        <v>0</v>
      </c>
      <c r="Q213" s="40">
        <v>0</v>
      </c>
      <c r="R213" s="95">
        <f>Table1[[#This Row],[Quantity on order]]*(Table1[[#This Row],[Cost ]]+Table1[[#This Row],[shipping]]+Table1[[#This Row],[Tax]])</f>
        <v>0</v>
      </c>
      <c r="S2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3" s="49">
        <f>Table1[[#This Row],[Quantity  to  purchase]]+Table1[[#This Row],[Quantity purchased]]+Table1[[#This Row],[Quantity on order]]+Table1[[#This Row],[Quantity donated]]-Table1[[#This Row],[extended quantity]]</f>
        <v>0</v>
      </c>
      <c r="U2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3" s="51">
        <f>IFERROR(Table1[[#This Row],[Quantity  to  purchase]]*(Table1[[#This Row],[Cost ]]+Table1[[#This Row],[shipping]]+Table1[[#This Row],[Tax]]),0)</f>
        <v>0</v>
      </c>
      <c r="W213" s="36">
        <f>IFERROR(Table1[[#This Row],[leftover material]]*(Table1[[#This Row],[Cost ]]+Table1[[#This Row],[shipping]]+Table1[[#This Row],[Tax]]),0)</f>
        <v>0</v>
      </c>
      <c r="X213" s="36"/>
      <c r="Y213" s="87"/>
      <c r="Z213" s="87"/>
      <c r="AA213" s="87"/>
      <c r="AB213" s="36"/>
      <c r="AC213" s="36">
        <f>IF(ISNA(VLOOKUP(Table1[[#This Row],[Part Number]],'Multi-level BOM'!V$4:V$449,1,FALSE)),0,Table1[[#This Row],[Remaining Extended cost]])</f>
        <v>0</v>
      </c>
    </row>
    <row r="214" spans="1:29" x14ac:dyDescent="0.25">
      <c r="A214" s="1" t="s">
        <v>217</v>
      </c>
      <c r="B214" s="4"/>
      <c r="F214" s="3">
        <f>9%*Table1[[#This Row],[Cost ]]</f>
        <v>0</v>
      </c>
      <c r="J214" s="49">
        <f>SUMIF('Multi-level BOM'!D$4:D$467,Table1[[#This Row],[Part Number]],'Multi-level BOM'!H$4:H$467)</f>
        <v>0</v>
      </c>
      <c r="K214" s="10">
        <f>Table1[[#This Row],[extended quantity]]*(Table1[[#This Row],[Cost ]]+Table1[[#This Row],[shipping]]+Table1[[#This Row],[Tax]])</f>
        <v>0</v>
      </c>
      <c r="L214" s="83" t="str">
        <f>IF(Table1[[#This Row],[Buy-now costs]]&gt;0,"X","")</f>
        <v/>
      </c>
      <c r="M214" s="83"/>
      <c r="N214" s="83"/>
      <c r="O214" s="40">
        <v>0</v>
      </c>
      <c r="P214" s="97">
        <f>Table1[[#This Row],[quantity on-hand]]*(Table1[[#This Row],[Cost ]]+Table1[[#This Row],[shipping]]+Table1[[#This Row],[Tax]])</f>
        <v>0</v>
      </c>
      <c r="Q214" s="40">
        <v>0</v>
      </c>
      <c r="R214" s="95">
        <f>Table1[[#This Row],[Quantity on order]]*(Table1[[#This Row],[Cost ]]+Table1[[#This Row],[shipping]]+Table1[[#This Row],[Tax]])</f>
        <v>0</v>
      </c>
      <c r="S2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4" s="49">
        <f>Table1[[#This Row],[Quantity  to  purchase]]+Table1[[#This Row],[Quantity purchased]]+Table1[[#This Row],[Quantity on order]]+Table1[[#This Row],[Quantity donated]]-Table1[[#This Row],[extended quantity]]</f>
        <v>0</v>
      </c>
      <c r="U2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4" s="51">
        <f>IFERROR(Table1[[#This Row],[Quantity  to  purchase]]*(Table1[[#This Row],[Cost ]]+Table1[[#This Row],[shipping]]+Table1[[#This Row],[Tax]]),0)</f>
        <v>0</v>
      </c>
      <c r="W214" s="36">
        <f>IFERROR(Table1[[#This Row],[leftover material]]*(Table1[[#This Row],[Cost ]]+Table1[[#This Row],[shipping]]+Table1[[#This Row],[Tax]]),0)</f>
        <v>0</v>
      </c>
      <c r="X214" s="36"/>
      <c r="Y214" s="87"/>
      <c r="Z214" s="87"/>
      <c r="AA214" s="87"/>
      <c r="AB214" s="36"/>
      <c r="AC214" s="36">
        <f>IF(ISNA(VLOOKUP(Table1[[#This Row],[Part Number]],'Multi-level BOM'!V$4:V$449,1,FALSE)),0,Table1[[#This Row],[Remaining Extended cost]])</f>
        <v>0</v>
      </c>
    </row>
    <row r="215" spans="1:29" x14ac:dyDescent="0.25">
      <c r="A215" s="1" t="s">
        <v>218</v>
      </c>
      <c r="B215" s="4"/>
      <c r="F215" s="3">
        <f>9%*Table1[[#This Row],[Cost ]]</f>
        <v>0</v>
      </c>
      <c r="J215" s="49">
        <f>SUMIF('Multi-level BOM'!D$4:D$467,Table1[[#This Row],[Part Number]],'Multi-level BOM'!H$4:H$467)</f>
        <v>0</v>
      </c>
      <c r="K215" s="10">
        <f>Table1[[#This Row],[extended quantity]]*(Table1[[#This Row],[Cost ]]+Table1[[#This Row],[shipping]]+Table1[[#This Row],[Tax]])</f>
        <v>0</v>
      </c>
      <c r="L215" s="83" t="str">
        <f>IF(Table1[[#This Row],[Buy-now costs]]&gt;0,"X","")</f>
        <v/>
      </c>
      <c r="M215" s="83"/>
      <c r="N215" s="83"/>
      <c r="O215" s="40">
        <v>0</v>
      </c>
      <c r="P215" s="97">
        <f>Table1[[#This Row],[quantity on-hand]]*(Table1[[#This Row],[Cost ]]+Table1[[#This Row],[shipping]]+Table1[[#This Row],[Tax]])</f>
        <v>0</v>
      </c>
      <c r="Q215" s="40">
        <v>0</v>
      </c>
      <c r="R215" s="95">
        <f>Table1[[#This Row],[Quantity on order]]*(Table1[[#This Row],[Cost ]]+Table1[[#This Row],[shipping]]+Table1[[#This Row],[Tax]])</f>
        <v>0</v>
      </c>
      <c r="S2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5" s="49">
        <f>Table1[[#This Row],[Quantity  to  purchase]]+Table1[[#This Row],[Quantity purchased]]+Table1[[#This Row],[Quantity on order]]+Table1[[#This Row],[Quantity donated]]-Table1[[#This Row],[extended quantity]]</f>
        <v>0</v>
      </c>
      <c r="U2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5" s="51">
        <f>IFERROR(Table1[[#This Row],[Quantity  to  purchase]]*(Table1[[#This Row],[Cost ]]+Table1[[#This Row],[shipping]]+Table1[[#This Row],[Tax]]),0)</f>
        <v>0</v>
      </c>
      <c r="W215" s="36">
        <f>IFERROR(Table1[[#This Row],[leftover material]]*(Table1[[#This Row],[Cost ]]+Table1[[#This Row],[shipping]]+Table1[[#This Row],[Tax]]),0)</f>
        <v>0</v>
      </c>
      <c r="X215" s="36"/>
      <c r="Y215" s="87"/>
      <c r="Z215" s="87"/>
      <c r="AA215" s="87"/>
      <c r="AB215" s="36"/>
      <c r="AC215" s="36">
        <f>IF(ISNA(VLOOKUP(Table1[[#This Row],[Part Number]],'Multi-level BOM'!V$4:V$449,1,FALSE)),0,Table1[[#This Row],[Remaining Extended cost]])</f>
        <v>0</v>
      </c>
    </row>
    <row r="216" spans="1:29" x14ac:dyDescent="0.25">
      <c r="A216" s="1" t="s">
        <v>219</v>
      </c>
      <c r="B216" s="4"/>
      <c r="F216" s="3">
        <f>9%*Table1[[#This Row],[Cost ]]</f>
        <v>0</v>
      </c>
      <c r="J216" s="49">
        <f>SUMIF('Multi-level BOM'!D$4:D$467,Table1[[#This Row],[Part Number]],'Multi-level BOM'!H$4:H$467)</f>
        <v>0</v>
      </c>
      <c r="K216" s="10">
        <f>Table1[[#This Row],[extended quantity]]*(Table1[[#This Row],[Cost ]]+Table1[[#This Row],[shipping]]+Table1[[#This Row],[Tax]])</f>
        <v>0</v>
      </c>
      <c r="L216" s="83" t="str">
        <f>IF(Table1[[#This Row],[Buy-now costs]]&gt;0,"X","")</f>
        <v/>
      </c>
      <c r="M216" s="83"/>
      <c r="N216" s="83"/>
      <c r="O216" s="40">
        <v>0</v>
      </c>
      <c r="P216" s="97">
        <f>Table1[[#This Row],[quantity on-hand]]*(Table1[[#This Row],[Cost ]]+Table1[[#This Row],[shipping]]+Table1[[#This Row],[Tax]])</f>
        <v>0</v>
      </c>
      <c r="Q216" s="40">
        <v>0</v>
      </c>
      <c r="R216" s="95">
        <f>Table1[[#This Row],[Quantity on order]]*(Table1[[#This Row],[Cost ]]+Table1[[#This Row],[shipping]]+Table1[[#This Row],[Tax]])</f>
        <v>0</v>
      </c>
      <c r="S2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6" s="49">
        <f>Table1[[#This Row],[Quantity  to  purchase]]+Table1[[#This Row],[Quantity purchased]]+Table1[[#This Row],[Quantity on order]]+Table1[[#This Row],[Quantity donated]]-Table1[[#This Row],[extended quantity]]</f>
        <v>0</v>
      </c>
      <c r="U2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6" s="51">
        <f>IFERROR(Table1[[#This Row],[Quantity  to  purchase]]*(Table1[[#This Row],[Cost ]]+Table1[[#This Row],[shipping]]+Table1[[#This Row],[Tax]]),0)</f>
        <v>0</v>
      </c>
      <c r="W216" s="36">
        <f>IFERROR(Table1[[#This Row],[leftover material]]*(Table1[[#This Row],[Cost ]]+Table1[[#This Row],[shipping]]+Table1[[#This Row],[Tax]]),0)</f>
        <v>0</v>
      </c>
      <c r="X216" s="36"/>
      <c r="Y216" s="87"/>
      <c r="Z216" s="87"/>
      <c r="AA216" s="87"/>
      <c r="AB216" s="36"/>
      <c r="AC216" s="36">
        <f>IF(ISNA(VLOOKUP(Table1[[#This Row],[Part Number]],'Multi-level BOM'!V$4:V$449,1,FALSE)),0,Table1[[#This Row],[Remaining Extended cost]])</f>
        <v>0</v>
      </c>
    </row>
    <row r="217" spans="1:29" x14ac:dyDescent="0.25">
      <c r="A217" s="1" t="s">
        <v>220</v>
      </c>
      <c r="B217" s="4"/>
      <c r="F217" s="3">
        <f>9%*Table1[[#This Row],[Cost ]]</f>
        <v>0</v>
      </c>
      <c r="J217" s="49">
        <f>SUMIF('Multi-level BOM'!D$4:D$467,Table1[[#This Row],[Part Number]],'Multi-level BOM'!H$4:H$467)</f>
        <v>0</v>
      </c>
      <c r="K217" s="10">
        <f>Table1[[#This Row],[extended quantity]]*(Table1[[#This Row],[Cost ]]+Table1[[#This Row],[shipping]]+Table1[[#This Row],[Tax]])</f>
        <v>0</v>
      </c>
      <c r="L217" s="83" t="str">
        <f>IF(Table1[[#This Row],[Buy-now costs]]&gt;0,"X","")</f>
        <v/>
      </c>
      <c r="M217" s="83"/>
      <c r="N217" s="83"/>
      <c r="O217" s="40">
        <v>0</v>
      </c>
      <c r="P217" s="97">
        <f>Table1[[#This Row],[quantity on-hand]]*(Table1[[#This Row],[Cost ]]+Table1[[#This Row],[shipping]]+Table1[[#This Row],[Tax]])</f>
        <v>0</v>
      </c>
      <c r="Q217" s="40">
        <v>0</v>
      </c>
      <c r="R217" s="95">
        <f>Table1[[#This Row],[Quantity on order]]*(Table1[[#This Row],[Cost ]]+Table1[[#This Row],[shipping]]+Table1[[#This Row],[Tax]])</f>
        <v>0</v>
      </c>
      <c r="S2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7" s="49">
        <f>Table1[[#This Row],[Quantity  to  purchase]]+Table1[[#This Row],[Quantity purchased]]+Table1[[#This Row],[Quantity on order]]+Table1[[#This Row],[Quantity donated]]-Table1[[#This Row],[extended quantity]]</f>
        <v>0</v>
      </c>
      <c r="U2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7" s="51">
        <f>IFERROR(Table1[[#This Row],[Quantity  to  purchase]]*(Table1[[#This Row],[Cost ]]+Table1[[#This Row],[shipping]]+Table1[[#This Row],[Tax]]),0)</f>
        <v>0</v>
      </c>
      <c r="W217" s="36">
        <f>IFERROR(Table1[[#This Row],[leftover material]]*(Table1[[#This Row],[Cost ]]+Table1[[#This Row],[shipping]]+Table1[[#This Row],[Tax]]),0)</f>
        <v>0</v>
      </c>
      <c r="X217" s="36"/>
      <c r="Y217" s="87"/>
      <c r="Z217" s="87"/>
      <c r="AA217" s="87"/>
      <c r="AB217" s="36"/>
      <c r="AC217" s="36">
        <f>IF(ISNA(VLOOKUP(Table1[[#This Row],[Part Number]],'Multi-level BOM'!V$4:V$449,1,FALSE)),0,Table1[[#This Row],[Remaining Extended cost]])</f>
        <v>0</v>
      </c>
    </row>
    <row r="218" spans="1:29" x14ac:dyDescent="0.25">
      <c r="A218" s="1" t="s">
        <v>221</v>
      </c>
      <c r="B218" s="4"/>
      <c r="F218" s="3">
        <f>9%*Table1[[#This Row],[Cost ]]</f>
        <v>0</v>
      </c>
      <c r="J218" s="49">
        <f>SUMIF('Multi-level BOM'!D$4:D$467,Table1[[#This Row],[Part Number]],'Multi-level BOM'!H$4:H$467)</f>
        <v>0</v>
      </c>
      <c r="K218" s="10">
        <f>Table1[[#This Row],[extended quantity]]*(Table1[[#This Row],[Cost ]]+Table1[[#This Row],[shipping]]+Table1[[#This Row],[Tax]])</f>
        <v>0</v>
      </c>
      <c r="L218" s="83" t="str">
        <f>IF(Table1[[#This Row],[Buy-now costs]]&gt;0,"X","")</f>
        <v/>
      </c>
      <c r="M218" s="83"/>
      <c r="N218" s="83"/>
      <c r="O218" s="40">
        <v>0</v>
      </c>
      <c r="P218" s="97">
        <f>Table1[[#This Row],[quantity on-hand]]*(Table1[[#This Row],[Cost ]]+Table1[[#This Row],[shipping]]+Table1[[#This Row],[Tax]])</f>
        <v>0</v>
      </c>
      <c r="Q218" s="40">
        <v>0</v>
      </c>
      <c r="R218" s="95">
        <f>Table1[[#This Row],[Quantity on order]]*(Table1[[#This Row],[Cost ]]+Table1[[#This Row],[shipping]]+Table1[[#This Row],[Tax]])</f>
        <v>0</v>
      </c>
      <c r="S2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8" s="49">
        <f>Table1[[#This Row],[Quantity  to  purchase]]+Table1[[#This Row],[Quantity purchased]]+Table1[[#This Row],[Quantity on order]]+Table1[[#This Row],[Quantity donated]]-Table1[[#This Row],[extended quantity]]</f>
        <v>0</v>
      </c>
      <c r="U2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8" s="51">
        <f>IFERROR(Table1[[#This Row],[Quantity  to  purchase]]*(Table1[[#This Row],[Cost ]]+Table1[[#This Row],[shipping]]+Table1[[#This Row],[Tax]]),0)</f>
        <v>0</v>
      </c>
      <c r="W218" s="36">
        <f>IFERROR(Table1[[#This Row],[leftover material]]*(Table1[[#This Row],[Cost ]]+Table1[[#This Row],[shipping]]+Table1[[#This Row],[Tax]]),0)</f>
        <v>0</v>
      </c>
      <c r="X218" s="36"/>
      <c r="Y218" s="87"/>
      <c r="Z218" s="87"/>
      <c r="AA218" s="87"/>
      <c r="AB218" s="36"/>
      <c r="AC218" s="36">
        <f>IF(ISNA(VLOOKUP(Table1[[#This Row],[Part Number]],'Multi-level BOM'!V$4:V$449,1,FALSE)),0,Table1[[#This Row],[Remaining Extended cost]])</f>
        <v>0</v>
      </c>
    </row>
    <row r="219" spans="1:29" x14ac:dyDescent="0.25">
      <c r="A219" s="1" t="s">
        <v>222</v>
      </c>
      <c r="B219" s="4"/>
      <c r="F219" s="3">
        <f>9%*Table1[[#This Row],[Cost ]]</f>
        <v>0</v>
      </c>
      <c r="J219" s="49">
        <f>SUMIF('Multi-level BOM'!D$4:D$467,Table1[[#This Row],[Part Number]],'Multi-level BOM'!H$4:H$467)</f>
        <v>0</v>
      </c>
      <c r="K219" s="10">
        <f>Table1[[#This Row],[extended quantity]]*(Table1[[#This Row],[Cost ]]+Table1[[#This Row],[shipping]]+Table1[[#This Row],[Tax]])</f>
        <v>0</v>
      </c>
      <c r="L219" s="83" t="str">
        <f>IF(Table1[[#This Row],[Buy-now costs]]&gt;0,"X","")</f>
        <v/>
      </c>
      <c r="M219" s="83"/>
      <c r="N219" s="83"/>
      <c r="O219" s="40">
        <v>0</v>
      </c>
      <c r="P219" s="97">
        <f>Table1[[#This Row],[quantity on-hand]]*(Table1[[#This Row],[Cost ]]+Table1[[#This Row],[shipping]]+Table1[[#This Row],[Tax]])</f>
        <v>0</v>
      </c>
      <c r="Q219" s="40">
        <v>0</v>
      </c>
      <c r="R219" s="95">
        <f>Table1[[#This Row],[Quantity on order]]*(Table1[[#This Row],[Cost ]]+Table1[[#This Row],[shipping]]+Table1[[#This Row],[Tax]])</f>
        <v>0</v>
      </c>
      <c r="S2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9" s="49">
        <f>Table1[[#This Row],[Quantity  to  purchase]]+Table1[[#This Row],[Quantity purchased]]+Table1[[#This Row],[Quantity on order]]+Table1[[#This Row],[Quantity donated]]-Table1[[#This Row],[extended quantity]]</f>
        <v>0</v>
      </c>
      <c r="U2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9" s="51">
        <f>IFERROR(Table1[[#This Row],[Quantity  to  purchase]]*(Table1[[#This Row],[Cost ]]+Table1[[#This Row],[shipping]]+Table1[[#This Row],[Tax]]),0)</f>
        <v>0</v>
      </c>
      <c r="W219" s="36">
        <f>IFERROR(Table1[[#This Row],[leftover material]]*(Table1[[#This Row],[Cost ]]+Table1[[#This Row],[shipping]]+Table1[[#This Row],[Tax]]),0)</f>
        <v>0</v>
      </c>
      <c r="X219" s="36"/>
      <c r="Y219" s="87"/>
      <c r="Z219" s="87"/>
      <c r="AA219" s="87"/>
      <c r="AB219" s="36"/>
      <c r="AC219" s="36">
        <f>IF(ISNA(VLOOKUP(Table1[[#This Row],[Part Number]],'Multi-level BOM'!V$4:V$449,1,FALSE)),0,Table1[[#This Row],[Remaining Extended cost]])</f>
        <v>0</v>
      </c>
    </row>
    <row r="220" spans="1:29" x14ac:dyDescent="0.25">
      <c r="A220" s="1" t="s">
        <v>223</v>
      </c>
      <c r="B220" s="4"/>
      <c r="F220" s="3">
        <f>9%*Table1[[#This Row],[Cost ]]</f>
        <v>0</v>
      </c>
      <c r="J220" s="49">
        <f>SUMIF('Multi-level BOM'!D$4:D$467,Table1[[#This Row],[Part Number]],'Multi-level BOM'!H$4:H$467)</f>
        <v>0</v>
      </c>
      <c r="K220" s="10">
        <f>Table1[[#This Row],[extended quantity]]*(Table1[[#This Row],[Cost ]]+Table1[[#This Row],[shipping]]+Table1[[#This Row],[Tax]])</f>
        <v>0</v>
      </c>
      <c r="L220" s="83" t="str">
        <f>IF(Table1[[#This Row],[Buy-now costs]]&gt;0,"X","")</f>
        <v/>
      </c>
      <c r="M220" s="83"/>
      <c r="N220" s="83"/>
      <c r="O220" s="40">
        <v>0</v>
      </c>
      <c r="P220" s="97">
        <f>Table1[[#This Row],[quantity on-hand]]*(Table1[[#This Row],[Cost ]]+Table1[[#This Row],[shipping]]+Table1[[#This Row],[Tax]])</f>
        <v>0</v>
      </c>
      <c r="Q220" s="40">
        <v>0</v>
      </c>
      <c r="R220" s="95">
        <f>Table1[[#This Row],[Quantity on order]]*(Table1[[#This Row],[Cost ]]+Table1[[#This Row],[shipping]]+Table1[[#This Row],[Tax]])</f>
        <v>0</v>
      </c>
      <c r="S2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0" s="49">
        <f>Table1[[#This Row],[Quantity  to  purchase]]+Table1[[#This Row],[Quantity purchased]]+Table1[[#This Row],[Quantity on order]]+Table1[[#This Row],[Quantity donated]]-Table1[[#This Row],[extended quantity]]</f>
        <v>0</v>
      </c>
      <c r="U2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0" s="51">
        <f>IFERROR(Table1[[#This Row],[Quantity  to  purchase]]*(Table1[[#This Row],[Cost ]]+Table1[[#This Row],[shipping]]+Table1[[#This Row],[Tax]]),0)</f>
        <v>0</v>
      </c>
      <c r="W220" s="36">
        <f>IFERROR(Table1[[#This Row],[leftover material]]*(Table1[[#This Row],[Cost ]]+Table1[[#This Row],[shipping]]+Table1[[#This Row],[Tax]]),0)</f>
        <v>0</v>
      </c>
      <c r="X220" s="36"/>
      <c r="Y220" s="87"/>
      <c r="Z220" s="87"/>
      <c r="AA220" s="87"/>
      <c r="AB220" s="36"/>
      <c r="AC220" s="36">
        <f>IF(ISNA(VLOOKUP(Table1[[#This Row],[Part Number]],'Multi-level BOM'!V$4:V$449,1,FALSE)),0,Table1[[#This Row],[Remaining Extended cost]])</f>
        <v>0</v>
      </c>
    </row>
    <row r="221" spans="1:29" x14ac:dyDescent="0.25">
      <c r="A221" s="1" t="s">
        <v>224</v>
      </c>
      <c r="B221" s="4"/>
      <c r="F221" s="3">
        <f>9%*Table1[[#This Row],[Cost ]]</f>
        <v>0</v>
      </c>
      <c r="J221" s="49">
        <f>SUMIF('Multi-level BOM'!D$4:D$467,Table1[[#This Row],[Part Number]],'Multi-level BOM'!H$4:H$467)</f>
        <v>0</v>
      </c>
      <c r="K221" s="10">
        <f>Table1[[#This Row],[extended quantity]]*(Table1[[#This Row],[Cost ]]+Table1[[#This Row],[shipping]]+Table1[[#This Row],[Tax]])</f>
        <v>0</v>
      </c>
      <c r="L221" s="83" t="str">
        <f>IF(Table1[[#This Row],[Buy-now costs]]&gt;0,"X","")</f>
        <v/>
      </c>
      <c r="M221" s="83"/>
      <c r="N221" s="83"/>
      <c r="O221" s="40">
        <v>0</v>
      </c>
      <c r="P221" s="97">
        <f>Table1[[#This Row],[quantity on-hand]]*(Table1[[#This Row],[Cost ]]+Table1[[#This Row],[shipping]]+Table1[[#This Row],[Tax]])</f>
        <v>0</v>
      </c>
      <c r="Q221" s="40">
        <v>0</v>
      </c>
      <c r="R221" s="95">
        <f>Table1[[#This Row],[Quantity on order]]*(Table1[[#This Row],[Cost ]]+Table1[[#This Row],[shipping]]+Table1[[#This Row],[Tax]])</f>
        <v>0</v>
      </c>
      <c r="S2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1" s="49">
        <f>Table1[[#This Row],[Quantity  to  purchase]]+Table1[[#This Row],[Quantity purchased]]+Table1[[#This Row],[Quantity on order]]+Table1[[#This Row],[Quantity donated]]-Table1[[#This Row],[extended quantity]]</f>
        <v>0</v>
      </c>
      <c r="U2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1" s="51">
        <f>IFERROR(Table1[[#This Row],[Quantity  to  purchase]]*(Table1[[#This Row],[Cost ]]+Table1[[#This Row],[shipping]]+Table1[[#This Row],[Tax]]),0)</f>
        <v>0</v>
      </c>
      <c r="W221" s="36">
        <f>IFERROR(Table1[[#This Row],[leftover material]]*(Table1[[#This Row],[Cost ]]+Table1[[#This Row],[shipping]]+Table1[[#This Row],[Tax]]),0)</f>
        <v>0</v>
      </c>
      <c r="X221" s="36"/>
      <c r="Y221" s="87"/>
      <c r="Z221" s="87"/>
      <c r="AA221" s="87"/>
      <c r="AB221" s="36"/>
      <c r="AC221" s="36">
        <f>IF(ISNA(VLOOKUP(Table1[[#This Row],[Part Number]],'Multi-level BOM'!V$4:V$449,1,FALSE)),0,Table1[[#This Row],[Remaining Extended cost]])</f>
        <v>0</v>
      </c>
    </row>
    <row r="222" spans="1:29" x14ac:dyDescent="0.25">
      <c r="A222" s="1" t="s">
        <v>225</v>
      </c>
      <c r="B222" s="4"/>
      <c r="F222" s="3">
        <f>9%*Table1[[#This Row],[Cost ]]</f>
        <v>0</v>
      </c>
      <c r="J222" s="49">
        <f>SUMIF('Multi-level BOM'!D$4:D$467,Table1[[#This Row],[Part Number]],'Multi-level BOM'!H$4:H$467)</f>
        <v>0</v>
      </c>
      <c r="K222" s="10">
        <f>Table1[[#This Row],[extended quantity]]*(Table1[[#This Row],[Cost ]]+Table1[[#This Row],[shipping]]+Table1[[#This Row],[Tax]])</f>
        <v>0</v>
      </c>
      <c r="L222" s="83" t="str">
        <f>IF(Table1[[#This Row],[Buy-now costs]]&gt;0,"X","")</f>
        <v/>
      </c>
      <c r="M222" s="83"/>
      <c r="N222" s="83"/>
      <c r="O222" s="40">
        <v>0</v>
      </c>
      <c r="P222" s="97">
        <f>Table1[[#This Row],[quantity on-hand]]*(Table1[[#This Row],[Cost ]]+Table1[[#This Row],[shipping]]+Table1[[#This Row],[Tax]])</f>
        <v>0</v>
      </c>
      <c r="Q222" s="40">
        <v>0</v>
      </c>
      <c r="R222" s="95">
        <f>Table1[[#This Row],[Quantity on order]]*(Table1[[#This Row],[Cost ]]+Table1[[#This Row],[shipping]]+Table1[[#This Row],[Tax]])</f>
        <v>0</v>
      </c>
      <c r="S2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2" s="49">
        <f>Table1[[#This Row],[Quantity  to  purchase]]+Table1[[#This Row],[Quantity purchased]]+Table1[[#This Row],[Quantity on order]]+Table1[[#This Row],[Quantity donated]]-Table1[[#This Row],[extended quantity]]</f>
        <v>0</v>
      </c>
      <c r="U2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2" s="51">
        <f>IFERROR(Table1[[#This Row],[Quantity  to  purchase]]*(Table1[[#This Row],[Cost ]]+Table1[[#This Row],[shipping]]+Table1[[#This Row],[Tax]]),0)</f>
        <v>0</v>
      </c>
      <c r="W222" s="36">
        <f>IFERROR(Table1[[#This Row],[leftover material]]*(Table1[[#This Row],[Cost ]]+Table1[[#This Row],[shipping]]+Table1[[#This Row],[Tax]]),0)</f>
        <v>0</v>
      </c>
      <c r="X222" s="36"/>
      <c r="Y222" s="87"/>
      <c r="Z222" s="87"/>
      <c r="AA222" s="87"/>
      <c r="AB222" s="36"/>
      <c r="AC222" s="36">
        <f>IF(ISNA(VLOOKUP(Table1[[#This Row],[Part Number]],'Multi-level BOM'!V$4:V$449,1,FALSE)),0,Table1[[#This Row],[Remaining Extended cost]])</f>
        <v>0</v>
      </c>
    </row>
    <row r="223" spans="1:29" x14ac:dyDescent="0.25">
      <c r="A223" s="1" t="s">
        <v>226</v>
      </c>
      <c r="B223" s="4"/>
      <c r="F223" s="3">
        <f>9%*Table1[[#This Row],[Cost ]]</f>
        <v>0</v>
      </c>
      <c r="J223" s="49">
        <f>SUMIF('Multi-level BOM'!D$4:D$467,Table1[[#This Row],[Part Number]],'Multi-level BOM'!H$4:H$467)</f>
        <v>0</v>
      </c>
      <c r="K223" s="10">
        <f>Table1[[#This Row],[extended quantity]]*(Table1[[#This Row],[Cost ]]+Table1[[#This Row],[shipping]]+Table1[[#This Row],[Tax]])</f>
        <v>0</v>
      </c>
      <c r="L223" s="83" t="str">
        <f>IF(Table1[[#This Row],[Buy-now costs]]&gt;0,"X","")</f>
        <v/>
      </c>
      <c r="M223" s="83"/>
      <c r="N223" s="83"/>
      <c r="O223" s="40">
        <v>0</v>
      </c>
      <c r="P223" s="97">
        <f>Table1[[#This Row],[quantity on-hand]]*(Table1[[#This Row],[Cost ]]+Table1[[#This Row],[shipping]]+Table1[[#This Row],[Tax]])</f>
        <v>0</v>
      </c>
      <c r="Q223" s="40">
        <v>0</v>
      </c>
      <c r="R223" s="95">
        <f>Table1[[#This Row],[Quantity on order]]*(Table1[[#This Row],[Cost ]]+Table1[[#This Row],[shipping]]+Table1[[#This Row],[Tax]])</f>
        <v>0</v>
      </c>
      <c r="S2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3" s="49">
        <f>Table1[[#This Row],[Quantity  to  purchase]]+Table1[[#This Row],[Quantity purchased]]+Table1[[#This Row],[Quantity on order]]+Table1[[#This Row],[Quantity donated]]-Table1[[#This Row],[extended quantity]]</f>
        <v>0</v>
      </c>
      <c r="U2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3" s="51">
        <f>IFERROR(Table1[[#This Row],[Quantity  to  purchase]]*(Table1[[#This Row],[Cost ]]+Table1[[#This Row],[shipping]]+Table1[[#This Row],[Tax]]),0)</f>
        <v>0</v>
      </c>
      <c r="W223" s="36">
        <f>IFERROR(Table1[[#This Row],[leftover material]]*(Table1[[#This Row],[Cost ]]+Table1[[#This Row],[shipping]]+Table1[[#This Row],[Tax]]),0)</f>
        <v>0</v>
      </c>
      <c r="X223" s="36"/>
      <c r="Y223" s="87"/>
      <c r="Z223" s="87"/>
      <c r="AA223" s="87"/>
      <c r="AB223" s="36"/>
      <c r="AC223" s="36">
        <f>IF(ISNA(VLOOKUP(Table1[[#This Row],[Part Number]],'Multi-level BOM'!V$4:V$449,1,FALSE)),0,Table1[[#This Row],[Remaining Extended cost]])</f>
        <v>0</v>
      </c>
    </row>
    <row r="224" spans="1:29" x14ac:dyDescent="0.25">
      <c r="A224" s="1" t="s">
        <v>227</v>
      </c>
      <c r="B224" s="4"/>
      <c r="F224" s="3">
        <f>9%*Table1[[#This Row],[Cost ]]</f>
        <v>0</v>
      </c>
      <c r="J224" s="49">
        <f>SUMIF('Multi-level BOM'!D$4:D$467,Table1[[#This Row],[Part Number]],'Multi-level BOM'!H$4:H$467)</f>
        <v>0</v>
      </c>
      <c r="K224" s="10">
        <f>Table1[[#This Row],[extended quantity]]*(Table1[[#This Row],[Cost ]]+Table1[[#This Row],[shipping]]+Table1[[#This Row],[Tax]])</f>
        <v>0</v>
      </c>
      <c r="L224" s="83" t="str">
        <f>IF(Table1[[#This Row],[Buy-now costs]]&gt;0,"X","")</f>
        <v/>
      </c>
      <c r="M224" s="83"/>
      <c r="N224" s="83"/>
      <c r="O224" s="40">
        <v>0</v>
      </c>
      <c r="P224" s="97">
        <f>Table1[[#This Row],[quantity on-hand]]*(Table1[[#This Row],[Cost ]]+Table1[[#This Row],[shipping]]+Table1[[#This Row],[Tax]])</f>
        <v>0</v>
      </c>
      <c r="Q224" s="40">
        <v>0</v>
      </c>
      <c r="R224" s="95">
        <f>Table1[[#This Row],[Quantity on order]]*(Table1[[#This Row],[Cost ]]+Table1[[#This Row],[shipping]]+Table1[[#This Row],[Tax]])</f>
        <v>0</v>
      </c>
      <c r="S2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4" s="49">
        <f>Table1[[#This Row],[Quantity  to  purchase]]+Table1[[#This Row],[Quantity purchased]]+Table1[[#This Row],[Quantity on order]]+Table1[[#This Row],[Quantity donated]]-Table1[[#This Row],[extended quantity]]</f>
        <v>0</v>
      </c>
      <c r="U2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4" s="51">
        <f>IFERROR(Table1[[#This Row],[Quantity  to  purchase]]*(Table1[[#This Row],[Cost ]]+Table1[[#This Row],[shipping]]+Table1[[#This Row],[Tax]]),0)</f>
        <v>0</v>
      </c>
      <c r="W224" s="36">
        <f>IFERROR(Table1[[#This Row],[leftover material]]*(Table1[[#This Row],[Cost ]]+Table1[[#This Row],[shipping]]+Table1[[#This Row],[Tax]]),0)</f>
        <v>0</v>
      </c>
      <c r="X224" s="36"/>
      <c r="Y224" s="87"/>
      <c r="Z224" s="87"/>
      <c r="AA224" s="87"/>
      <c r="AB224" s="36"/>
      <c r="AC224" s="36">
        <f>IF(ISNA(VLOOKUP(Table1[[#This Row],[Part Number]],'Multi-level BOM'!V$4:V$449,1,FALSE)),0,Table1[[#This Row],[Remaining Extended cost]])</f>
        <v>0</v>
      </c>
    </row>
    <row r="225" spans="1:29" x14ac:dyDescent="0.25">
      <c r="A225" s="1" t="s">
        <v>228</v>
      </c>
      <c r="B225" s="4"/>
      <c r="F225" s="3">
        <f>9%*Table1[[#This Row],[Cost ]]</f>
        <v>0</v>
      </c>
      <c r="J225" s="49">
        <f>SUMIF('Multi-level BOM'!D$4:D$467,Table1[[#This Row],[Part Number]],'Multi-level BOM'!H$4:H$467)</f>
        <v>0</v>
      </c>
      <c r="K225" s="10">
        <f>Table1[[#This Row],[extended quantity]]*(Table1[[#This Row],[Cost ]]+Table1[[#This Row],[shipping]]+Table1[[#This Row],[Tax]])</f>
        <v>0</v>
      </c>
      <c r="L225" s="83" t="str">
        <f>IF(Table1[[#This Row],[Buy-now costs]]&gt;0,"X","")</f>
        <v/>
      </c>
      <c r="M225" s="83"/>
      <c r="N225" s="83"/>
      <c r="O225" s="40">
        <v>0</v>
      </c>
      <c r="P225" s="97">
        <f>Table1[[#This Row],[quantity on-hand]]*(Table1[[#This Row],[Cost ]]+Table1[[#This Row],[shipping]]+Table1[[#This Row],[Tax]])</f>
        <v>0</v>
      </c>
      <c r="Q225" s="40">
        <v>0</v>
      </c>
      <c r="R225" s="95">
        <f>Table1[[#This Row],[Quantity on order]]*(Table1[[#This Row],[Cost ]]+Table1[[#This Row],[shipping]]+Table1[[#This Row],[Tax]])</f>
        <v>0</v>
      </c>
      <c r="S2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5" s="49">
        <f>Table1[[#This Row],[Quantity  to  purchase]]+Table1[[#This Row],[Quantity purchased]]+Table1[[#This Row],[Quantity on order]]+Table1[[#This Row],[Quantity donated]]-Table1[[#This Row],[extended quantity]]</f>
        <v>0</v>
      </c>
      <c r="U2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5" s="51">
        <f>IFERROR(Table1[[#This Row],[Quantity  to  purchase]]*(Table1[[#This Row],[Cost ]]+Table1[[#This Row],[shipping]]+Table1[[#This Row],[Tax]]),0)</f>
        <v>0</v>
      </c>
      <c r="W225" s="36">
        <f>IFERROR(Table1[[#This Row],[leftover material]]*(Table1[[#This Row],[Cost ]]+Table1[[#This Row],[shipping]]+Table1[[#This Row],[Tax]]),0)</f>
        <v>0</v>
      </c>
      <c r="X225" s="36"/>
      <c r="Y225" s="87"/>
      <c r="Z225" s="87"/>
      <c r="AA225" s="87"/>
      <c r="AB225" s="36"/>
      <c r="AC225" s="36">
        <f>IF(ISNA(VLOOKUP(Table1[[#This Row],[Part Number]],'Multi-level BOM'!V$4:V$449,1,FALSE)),0,Table1[[#This Row],[Remaining Extended cost]])</f>
        <v>0</v>
      </c>
    </row>
    <row r="226" spans="1:29" x14ac:dyDescent="0.25">
      <c r="A226" s="1" t="s">
        <v>229</v>
      </c>
      <c r="B226" s="4"/>
      <c r="F226" s="3">
        <f>9%*Table1[[#This Row],[Cost ]]</f>
        <v>0</v>
      </c>
      <c r="J226" s="49">
        <f>SUMIF('Multi-level BOM'!D$4:D$467,Table1[[#This Row],[Part Number]],'Multi-level BOM'!H$4:H$467)</f>
        <v>0</v>
      </c>
      <c r="K226" s="10">
        <f>Table1[[#This Row],[extended quantity]]*(Table1[[#This Row],[Cost ]]+Table1[[#This Row],[shipping]]+Table1[[#This Row],[Tax]])</f>
        <v>0</v>
      </c>
      <c r="L226" s="83" t="str">
        <f>IF(Table1[[#This Row],[Buy-now costs]]&gt;0,"X","")</f>
        <v/>
      </c>
      <c r="M226" s="83"/>
      <c r="N226" s="83"/>
      <c r="O226" s="40">
        <v>0</v>
      </c>
      <c r="P226" s="97">
        <f>Table1[[#This Row],[quantity on-hand]]*(Table1[[#This Row],[Cost ]]+Table1[[#This Row],[shipping]]+Table1[[#This Row],[Tax]])</f>
        <v>0</v>
      </c>
      <c r="Q226" s="40">
        <v>0</v>
      </c>
      <c r="R226" s="95">
        <f>Table1[[#This Row],[Quantity on order]]*(Table1[[#This Row],[Cost ]]+Table1[[#This Row],[shipping]]+Table1[[#This Row],[Tax]])</f>
        <v>0</v>
      </c>
      <c r="S2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6" s="49">
        <f>Table1[[#This Row],[Quantity  to  purchase]]+Table1[[#This Row],[Quantity purchased]]+Table1[[#This Row],[Quantity on order]]+Table1[[#This Row],[Quantity donated]]-Table1[[#This Row],[extended quantity]]</f>
        <v>0</v>
      </c>
      <c r="U2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6" s="51">
        <f>IFERROR(Table1[[#This Row],[Quantity  to  purchase]]*(Table1[[#This Row],[Cost ]]+Table1[[#This Row],[shipping]]+Table1[[#This Row],[Tax]]),0)</f>
        <v>0</v>
      </c>
      <c r="W226" s="36">
        <f>IFERROR(Table1[[#This Row],[leftover material]]*(Table1[[#This Row],[Cost ]]+Table1[[#This Row],[shipping]]+Table1[[#This Row],[Tax]]),0)</f>
        <v>0</v>
      </c>
      <c r="X226" s="36"/>
      <c r="Y226" s="87"/>
      <c r="Z226" s="87"/>
      <c r="AA226" s="87"/>
      <c r="AB226" s="36"/>
      <c r="AC226" s="36">
        <f>IF(ISNA(VLOOKUP(Table1[[#This Row],[Part Number]],'Multi-level BOM'!V$4:V$449,1,FALSE)),0,Table1[[#This Row],[Remaining Extended cost]])</f>
        <v>0</v>
      </c>
    </row>
    <row r="227" spans="1:29" x14ac:dyDescent="0.25">
      <c r="A227" s="1" t="s">
        <v>230</v>
      </c>
      <c r="B227" s="4"/>
      <c r="F227" s="3">
        <f>9%*Table1[[#This Row],[Cost ]]</f>
        <v>0</v>
      </c>
      <c r="J227" s="49">
        <f>SUMIF('Multi-level BOM'!D$4:D$467,Table1[[#This Row],[Part Number]],'Multi-level BOM'!H$4:H$467)</f>
        <v>0</v>
      </c>
      <c r="K227" s="10">
        <f>Table1[[#This Row],[extended quantity]]*(Table1[[#This Row],[Cost ]]+Table1[[#This Row],[shipping]]+Table1[[#This Row],[Tax]])</f>
        <v>0</v>
      </c>
      <c r="L227" s="83" t="str">
        <f>IF(Table1[[#This Row],[Buy-now costs]]&gt;0,"X","")</f>
        <v/>
      </c>
      <c r="M227" s="83"/>
      <c r="N227" s="83"/>
      <c r="O227" s="40">
        <v>0</v>
      </c>
      <c r="P227" s="97">
        <f>Table1[[#This Row],[quantity on-hand]]*(Table1[[#This Row],[Cost ]]+Table1[[#This Row],[shipping]]+Table1[[#This Row],[Tax]])</f>
        <v>0</v>
      </c>
      <c r="Q227" s="40">
        <v>0</v>
      </c>
      <c r="R227" s="95">
        <f>Table1[[#This Row],[Quantity on order]]*(Table1[[#This Row],[Cost ]]+Table1[[#This Row],[shipping]]+Table1[[#This Row],[Tax]])</f>
        <v>0</v>
      </c>
      <c r="S2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7" s="49">
        <f>Table1[[#This Row],[Quantity  to  purchase]]+Table1[[#This Row],[Quantity purchased]]+Table1[[#This Row],[Quantity on order]]+Table1[[#This Row],[Quantity donated]]-Table1[[#This Row],[extended quantity]]</f>
        <v>0</v>
      </c>
      <c r="U2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7" s="51">
        <f>IFERROR(Table1[[#This Row],[Quantity  to  purchase]]*(Table1[[#This Row],[Cost ]]+Table1[[#This Row],[shipping]]+Table1[[#This Row],[Tax]]),0)</f>
        <v>0</v>
      </c>
      <c r="W227" s="36">
        <f>IFERROR(Table1[[#This Row],[leftover material]]*(Table1[[#This Row],[Cost ]]+Table1[[#This Row],[shipping]]+Table1[[#This Row],[Tax]]),0)</f>
        <v>0</v>
      </c>
      <c r="X227" s="36"/>
      <c r="Y227" s="87"/>
      <c r="Z227" s="87"/>
      <c r="AA227" s="87"/>
      <c r="AB227" s="36"/>
      <c r="AC227" s="36">
        <f>IF(ISNA(VLOOKUP(Table1[[#This Row],[Part Number]],'Multi-level BOM'!V$4:V$449,1,FALSE)),0,Table1[[#This Row],[Remaining Extended cost]])</f>
        <v>0</v>
      </c>
    </row>
    <row r="228" spans="1:29" x14ac:dyDescent="0.25">
      <c r="A228" s="1" t="s">
        <v>231</v>
      </c>
      <c r="B228" s="4"/>
      <c r="F228" s="3">
        <f>9%*Table1[[#This Row],[Cost ]]</f>
        <v>0</v>
      </c>
      <c r="J228" s="49">
        <f>SUMIF('Multi-level BOM'!D$4:D$467,Table1[[#This Row],[Part Number]],'Multi-level BOM'!H$4:H$467)</f>
        <v>0</v>
      </c>
      <c r="K228" s="10">
        <f>Table1[[#This Row],[extended quantity]]*(Table1[[#This Row],[Cost ]]+Table1[[#This Row],[shipping]]+Table1[[#This Row],[Tax]])</f>
        <v>0</v>
      </c>
      <c r="L228" s="83" t="str">
        <f>IF(Table1[[#This Row],[Buy-now costs]]&gt;0,"X","")</f>
        <v/>
      </c>
      <c r="M228" s="83"/>
      <c r="N228" s="83"/>
      <c r="O228" s="40">
        <v>0</v>
      </c>
      <c r="P228" s="97">
        <f>Table1[[#This Row],[quantity on-hand]]*(Table1[[#This Row],[Cost ]]+Table1[[#This Row],[shipping]]+Table1[[#This Row],[Tax]])</f>
        <v>0</v>
      </c>
      <c r="Q228" s="40">
        <v>0</v>
      </c>
      <c r="R228" s="95">
        <f>Table1[[#This Row],[Quantity on order]]*(Table1[[#This Row],[Cost ]]+Table1[[#This Row],[shipping]]+Table1[[#This Row],[Tax]])</f>
        <v>0</v>
      </c>
      <c r="S2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8" s="49">
        <f>Table1[[#This Row],[Quantity  to  purchase]]+Table1[[#This Row],[Quantity purchased]]+Table1[[#This Row],[Quantity on order]]+Table1[[#This Row],[Quantity donated]]-Table1[[#This Row],[extended quantity]]</f>
        <v>0</v>
      </c>
      <c r="U2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8" s="51">
        <f>IFERROR(Table1[[#This Row],[Quantity  to  purchase]]*(Table1[[#This Row],[Cost ]]+Table1[[#This Row],[shipping]]+Table1[[#This Row],[Tax]]),0)</f>
        <v>0</v>
      </c>
      <c r="W228" s="36">
        <f>IFERROR(Table1[[#This Row],[leftover material]]*(Table1[[#This Row],[Cost ]]+Table1[[#This Row],[shipping]]+Table1[[#This Row],[Tax]]),0)</f>
        <v>0</v>
      </c>
      <c r="X228" s="36"/>
      <c r="Y228" s="87"/>
      <c r="Z228" s="87"/>
      <c r="AA228" s="87"/>
      <c r="AB228" s="36"/>
      <c r="AC228" s="36">
        <f>IF(ISNA(VLOOKUP(Table1[[#This Row],[Part Number]],'Multi-level BOM'!V$4:V$449,1,FALSE)),0,Table1[[#This Row],[Remaining Extended cost]])</f>
        <v>0</v>
      </c>
    </row>
    <row r="229" spans="1:29" x14ac:dyDescent="0.25">
      <c r="A229" s="1" t="s">
        <v>232</v>
      </c>
      <c r="B229" s="4"/>
      <c r="F229" s="3">
        <f>9%*Table1[[#This Row],[Cost ]]</f>
        <v>0</v>
      </c>
      <c r="J229" s="49">
        <f>SUMIF('Multi-level BOM'!D$4:D$467,Table1[[#This Row],[Part Number]],'Multi-level BOM'!H$4:H$467)</f>
        <v>0</v>
      </c>
      <c r="K229" s="10">
        <f>Table1[[#This Row],[extended quantity]]*(Table1[[#This Row],[Cost ]]+Table1[[#This Row],[shipping]]+Table1[[#This Row],[Tax]])</f>
        <v>0</v>
      </c>
      <c r="L229" s="83" t="str">
        <f>IF(Table1[[#This Row],[Buy-now costs]]&gt;0,"X","")</f>
        <v/>
      </c>
      <c r="M229" s="83"/>
      <c r="N229" s="83"/>
      <c r="O229" s="40">
        <v>0</v>
      </c>
      <c r="P229" s="97">
        <f>Table1[[#This Row],[quantity on-hand]]*(Table1[[#This Row],[Cost ]]+Table1[[#This Row],[shipping]]+Table1[[#This Row],[Tax]])</f>
        <v>0</v>
      </c>
      <c r="Q229" s="40">
        <v>0</v>
      </c>
      <c r="R229" s="95">
        <f>Table1[[#This Row],[Quantity on order]]*(Table1[[#This Row],[Cost ]]+Table1[[#This Row],[shipping]]+Table1[[#This Row],[Tax]])</f>
        <v>0</v>
      </c>
      <c r="S2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9" s="49">
        <f>Table1[[#This Row],[Quantity  to  purchase]]+Table1[[#This Row],[Quantity purchased]]+Table1[[#This Row],[Quantity on order]]+Table1[[#This Row],[Quantity donated]]-Table1[[#This Row],[extended quantity]]</f>
        <v>0</v>
      </c>
      <c r="U2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9" s="51">
        <f>IFERROR(Table1[[#This Row],[Quantity  to  purchase]]*(Table1[[#This Row],[Cost ]]+Table1[[#This Row],[shipping]]+Table1[[#This Row],[Tax]]),0)</f>
        <v>0</v>
      </c>
      <c r="W229" s="36">
        <f>IFERROR(Table1[[#This Row],[leftover material]]*(Table1[[#This Row],[Cost ]]+Table1[[#This Row],[shipping]]+Table1[[#This Row],[Tax]]),0)</f>
        <v>0</v>
      </c>
      <c r="X229" s="36"/>
      <c r="Y229" s="87"/>
      <c r="Z229" s="87"/>
      <c r="AA229" s="87"/>
      <c r="AB229" s="36"/>
      <c r="AC229" s="36">
        <f>IF(ISNA(VLOOKUP(Table1[[#This Row],[Part Number]],'Multi-level BOM'!V$4:V$449,1,FALSE)),0,Table1[[#This Row],[Remaining Extended cost]])</f>
        <v>0</v>
      </c>
    </row>
    <row r="230" spans="1:29" x14ac:dyDescent="0.25">
      <c r="A230" s="1" t="s">
        <v>233</v>
      </c>
      <c r="B230" s="4"/>
      <c r="F230" s="3">
        <f>9%*Table1[[#This Row],[Cost ]]</f>
        <v>0</v>
      </c>
      <c r="J230" s="49">
        <f>SUMIF('Multi-level BOM'!D$4:D$467,Table1[[#This Row],[Part Number]],'Multi-level BOM'!H$4:H$467)</f>
        <v>0</v>
      </c>
      <c r="K230" s="10">
        <f>Table1[[#This Row],[extended quantity]]*(Table1[[#This Row],[Cost ]]+Table1[[#This Row],[shipping]]+Table1[[#This Row],[Tax]])</f>
        <v>0</v>
      </c>
      <c r="L230" s="83" t="str">
        <f>IF(Table1[[#This Row],[Buy-now costs]]&gt;0,"X","")</f>
        <v/>
      </c>
      <c r="M230" s="83"/>
      <c r="N230" s="83"/>
      <c r="O230" s="40">
        <v>0</v>
      </c>
      <c r="P230" s="97">
        <f>Table1[[#This Row],[quantity on-hand]]*(Table1[[#This Row],[Cost ]]+Table1[[#This Row],[shipping]]+Table1[[#This Row],[Tax]])</f>
        <v>0</v>
      </c>
      <c r="Q230" s="40">
        <v>0</v>
      </c>
      <c r="R230" s="95">
        <f>Table1[[#This Row],[Quantity on order]]*(Table1[[#This Row],[Cost ]]+Table1[[#This Row],[shipping]]+Table1[[#This Row],[Tax]])</f>
        <v>0</v>
      </c>
      <c r="S2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0" s="49">
        <f>Table1[[#This Row],[Quantity  to  purchase]]+Table1[[#This Row],[Quantity purchased]]+Table1[[#This Row],[Quantity on order]]+Table1[[#This Row],[Quantity donated]]-Table1[[#This Row],[extended quantity]]</f>
        <v>0</v>
      </c>
      <c r="U2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0" s="51">
        <f>IFERROR(Table1[[#This Row],[Quantity  to  purchase]]*(Table1[[#This Row],[Cost ]]+Table1[[#This Row],[shipping]]+Table1[[#This Row],[Tax]]),0)</f>
        <v>0</v>
      </c>
      <c r="W230" s="36">
        <f>IFERROR(Table1[[#This Row],[leftover material]]*(Table1[[#This Row],[Cost ]]+Table1[[#This Row],[shipping]]+Table1[[#This Row],[Tax]]),0)</f>
        <v>0</v>
      </c>
      <c r="X230" s="36"/>
      <c r="Y230" s="87"/>
      <c r="Z230" s="87"/>
      <c r="AA230" s="87"/>
      <c r="AB230" s="36"/>
      <c r="AC230" s="36">
        <f>IF(ISNA(VLOOKUP(Table1[[#This Row],[Part Number]],'Multi-level BOM'!V$4:V$449,1,FALSE)),0,Table1[[#This Row],[Remaining Extended cost]])</f>
        <v>0</v>
      </c>
    </row>
    <row r="231" spans="1:29" x14ac:dyDescent="0.25">
      <c r="A231" s="1" t="s">
        <v>234</v>
      </c>
      <c r="B231" s="4"/>
      <c r="F231" s="3">
        <f>9%*Table1[[#This Row],[Cost ]]</f>
        <v>0</v>
      </c>
      <c r="J231" s="49">
        <f>SUMIF('Multi-level BOM'!D$4:D$467,Table1[[#This Row],[Part Number]],'Multi-level BOM'!H$4:H$467)</f>
        <v>0</v>
      </c>
      <c r="K231" s="10">
        <f>Table1[[#This Row],[extended quantity]]*(Table1[[#This Row],[Cost ]]+Table1[[#This Row],[shipping]]+Table1[[#This Row],[Tax]])</f>
        <v>0</v>
      </c>
      <c r="L231" s="83" t="str">
        <f>IF(Table1[[#This Row],[Buy-now costs]]&gt;0,"X","")</f>
        <v/>
      </c>
      <c r="M231" s="83"/>
      <c r="N231" s="83"/>
      <c r="O231" s="40">
        <v>0</v>
      </c>
      <c r="P231" s="97">
        <f>Table1[[#This Row],[quantity on-hand]]*(Table1[[#This Row],[Cost ]]+Table1[[#This Row],[shipping]]+Table1[[#This Row],[Tax]])</f>
        <v>0</v>
      </c>
      <c r="Q231" s="40">
        <v>0</v>
      </c>
      <c r="R231" s="95">
        <f>Table1[[#This Row],[Quantity on order]]*(Table1[[#This Row],[Cost ]]+Table1[[#This Row],[shipping]]+Table1[[#This Row],[Tax]])</f>
        <v>0</v>
      </c>
      <c r="S2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1" s="49">
        <f>Table1[[#This Row],[Quantity  to  purchase]]+Table1[[#This Row],[Quantity purchased]]+Table1[[#This Row],[Quantity on order]]+Table1[[#This Row],[Quantity donated]]-Table1[[#This Row],[extended quantity]]</f>
        <v>0</v>
      </c>
      <c r="U2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1" s="51">
        <f>IFERROR(Table1[[#This Row],[Quantity  to  purchase]]*(Table1[[#This Row],[Cost ]]+Table1[[#This Row],[shipping]]+Table1[[#This Row],[Tax]]),0)</f>
        <v>0</v>
      </c>
      <c r="W231" s="36">
        <f>IFERROR(Table1[[#This Row],[leftover material]]*(Table1[[#This Row],[Cost ]]+Table1[[#This Row],[shipping]]+Table1[[#This Row],[Tax]]),0)</f>
        <v>0</v>
      </c>
      <c r="X231" s="36"/>
      <c r="Y231" s="87"/>
      <c r="Z231" s="87"/>
      <c r="AA231" s="87"/>
      <c r="AB231" s="36"/>
      <c r="AC231" s="36">
        <f>IF(ISNA(VLOOKUP(Table1[[#This Row],[Part Number]],'Multi-level BOM'!V$4:V$449,1,FALSE)),0,Table1[[#This Row],[Remaining Extended cost]])</f>
        <v>0</v>
      </c>
    </row>
    <row r="232" spans="1:29" x14ac:dyDescent="0.25">
      <c r="A232" s="1" t="s">
        <v>235</v>
      </c>
      <c r="B232" s="4"/>
      <c r="F232" s="3">
        <f>9%*Table1[[#This Row],[Cost ]]</f>
        <v>0</v>
      </c>
      <c r="J232" s="49">
        <f>SUMIF('Multi-level BOM'!D$4:D$467,Table1[[#This Row],[Part Number]],'Multi-level BOM'!H$4:H$467)</f>
        <v>0</v>
      </c>
      <c r="K232" s="10">
        <f>Table1[[#This Row],[extended quantity]]*(Table1[[#This Row],[Cost ]]+Table1[[#This Row],[shipping]]+Table1[[#This Row],[Tax]])</f>
        <v>0</v>
      </c>
      <c r="L232" s="83" t="str">
        <f>IF(Table1[[#This Row],[Buy-now costs]]&gt;0,"X","")</f>
        <v/>
      </c>
      <c r="M232" s="83"/>
      <c r="N232" s="83"/>
      <c r="O232" s="40">
        <v>0</v>
      </c>
      <c r="P232" s="97">
        <f>Table1[[#This Row],[quantity on-hand]]*(Table1[[#This Row],[Cost ]]+Table1[[#This Row],[shipping]]+Table1[[#This Row],[Tax]])</f>
        <v>0</v>
      </c>
      <c r="Q232" s="40">
        <v>0</v>
      </c>
      <c r="R232" s="95">
        <f>Table1[[#This Row],[Quantity on order]]*(Table1[[#This Row],[Cost ]]+Table1[[#This Row],[shipping]]+Table1[[#This Row],[Tax]])</f>
        <v>0</v>
      </c>
      <c r="S2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2" s="49">
        <f>Table1[[#This Row],[Quantity  to  purchase]]+Table1[[#This Row],[Quantity purchased]]+Table1[[#This Row],[Quantity on order]]+Table1[[#This Row],[Quantity donated]]-Table1[[#This Row],[extended quantity]]</f>
        <v>0</v>
      </c>
      <c r="U2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2" s="51">
        <f>IFERROR(Table1[[#This Row],[Quantity  to  purchase]]*(Table1[[#This Row],[Cost ]]+Table1[[#This Row],[shipping]]+Table1[[#This Row],[Tax]]),0)</f>
        <v>0</v>
      </c>
      <c r="W232" s="36">
        <f>IFERROR(Table1[[#This Row],[leftover material]]*(Table1[[#This Row],[Cost ]]+Table1[[#This Row],[shipping]]+Table1[[#This Row],[Tax]]),0)</f>
        <v>0</v>
      </c>
      <c r="X232" s="36"/>
      <c r="Y232" s="87"/>
      <c r="Z232" s="87"/>
      <c r="AA232" s="87"/>
      <c r="AB232" s="36"/>
      <c r="AC232" s="36">
        <f>IF(ISNA(VLOOKUP(Table1[[#This Row],[Part Number]],'Multi-level BOM'!V$4:V$449,1,FALSE)),0,Table1[[#This Row],[Remaining Extended cost]])</f>
        <v>0</v>
      </c>
    </row>
    <row r="233" spans="1:29" x14ac:dyDescent="0.25">
      <c r="A233" s="1" t="s">
        <v>236</v>
      </c>
      <c r="B233" s="4"/>
      <c r="F233" s="3">
        <f>9%*Table1[[#This Row],[Cost ]]</f>
        <v>0</v>
      </c>
      <c r="J233" s="49">
        <f>SUMIF('Multi-level BOM'!D$4:D$467,Table1[[#This Row],[Part Number]],'Multi-level BOM'!H$4:H$467)</f>
        <v>0</v>
      </c>
      <c r="K233" s="10">
        <f>Table1[[#This Row],[extended quantity]]*(Table1[[#This Row],[Cost ]]+Table1[[#This Row],[shipping]]+Table1[[#This Row],[Tax]])</f>
        <v>0</v>
      </c>
      <c r="L233" s="83" t="str">
        <f>IF(Table1[[#This Row],[Buy-now costs]]&gt;0,"X","")</f>
        <v/>
      </c>
      <c r="M233" s="83"/>
      <c r="N233" s="83"/>
      <c r="O233" s="40">
        <v>0</v>
      </c>
      <c r="P233" s="97">
        <f>Table1[[#This Row],[quantity on-hand]]*(Table1[[#This Row],[Cost ]]+Table1[[#This Row],[shipping]]+Table1[[#This Row],[Tax]])</f>
        <v>0</v>
      </c>
      <c r="Q233" s="40">
        <v>0</v>
      </c>
      <c r="R233" s="95">
        <f>Table1[[#This Row],[Quantity on order]]*(Table1[[#This Row],[Cost ]]+Table1[[#This Row],[shipping]]+Table1[[#This Row],[Tax]])</f>
        <v>0</v>
      </c>
      <c r="S2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3" s="49">
        <f>Table1[[#This Row],[Quantity  to  purchase]]+Table1[[#This Row],[Quantity purchased]]+Table1[[#This Row],[Quantity on order]]+Table1[[#This Row],[Quantity donated]]-Table1[[#This Row],[extended quantity]]</f>
        <v>0</v>
      </c>
      <c r="U2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3" s="51">
        <f>IFERROR(Table1[[#This Row],[Quantity  to  purchase]]*(Table1[[#This Row],[Cost ]]+Table1[[#This Row],[shipping]]+Table1[[#This Row],[Tax]]),0)</f>
        <v>0</v>
      </c>
      <c r="W233" s="36">
        <f>IFERROR(Table1[[#This Row],[leftover material]]*(Table1[[#This Row],[Cost ]]+Table1[[#This Row],[shipping]]+Table1[[#This Row],[Tax]]),0)</f>
        <v>0</v>
      </c>
      <c r="X233" s="36"/>
      <c r="Y233" s="87"/>
      <c r="Z233" s="87"/>
      <c r="AA233" s="87"/>
      <c r="AB233" s="36"/>
      <c r="AC233" s="36">
        <f>IF(ISNA(VLOOKUP(Table1[[#This Row],[Part Number]],'Multi-level BOM'!V$4:V$449,1,FALSE)),0,Table1[[#This Row],[Remaining Extended cost]])</f>
        <v>0</v>
      </c>
    </row>
    <row r="234" spans="1:29" x14ac:dyDescent="0.25">
      <c r="A234" s="1" t="s">
        <v>237</v>
      </c>
      <c r="B234" s="4"/>
      <c r="F234" s="3">
        <f>9%*Table1[[#This Row],[Cost ]]</f>
        <v>0</v>
      </c>
      <c r="J234" s="49">
        <f>SUMIF('Multi-level BOM'!D$4:D$467,Table1[[#This Row],[Part Number]],'Multi-level BOM'!H$4:H$467)</f>
        <v>0</v>
      </c>
      <c r="K234" s="10">
        <f>Table1[[#This Row],[extended quantity]]*(Table1[[#This Row],[Cost ]]+Table1[[#This Row],[shipping]]+Table1[[#This Row],[Tax]])</f>
        <v>0</v>
      </c>
      <c r="L234" s="83" t="str">
        <f>IF(Table1[[#This Row],[Buy-now costs]]&gt;0,"X","")</f>
        <v/>
      </c>
      <c r="M234" s="83"/>
      <c r="N234" s="83"/>
      <c r="O234" s="40">
        <v>0</v>
      </c>
      <c r="P234" s="97">
        <f>Table1[[#This Row],[quantity on-hand]]*(Table1[[#This Row],[Cost ]]+Table1[[#This Row],[shipping]]+Table1[[#This Row],[Tax]])</f>
        <v>0</v>
      </c>
      <c r="Q234" s="40">
        <v>0</v>
      </c>
      <c r="R234" s="95">
        <f>Table1[[#This Row],[Quantity on order]]*(Table1[[#This Row],[Cost ]]+Table1[[#This Row],[shipping]]+Table1[[#This Row],[Tax]])</f>
        <v>0</v>
      </c>
      <c r="S2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4" s="49">
        <f>Table1[[#This Row],[Quantity  to  purchase]]+Table1[[#This Row],[Quantity purchased]]+Table1[[#This Row],[Quantity on order]]+Table1[[#This Row],[Quantity donated]]-Table1[[#This Row],[extended quantity]]</f>
        <v>0</v>
      </c>
      <c r="U2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4" s="51">
        <f>IFERROR(Table1[[#This Row],[Quantity  to  purchase]]*(Table1[[#This Row],[Cost ]]+Table1[[#This Row],[shipping]]+Table1[[#This Row],[Tax]]),0)</f>
        <v>0</v>
      </c>
      <c r="W234" s="36">
        <f>IFERROR(Table1[[#This Row],[leftover material]]*(Table1[[#This Row],[Cost ]]+Table1[[#This Row],[shipping]]+Table1[[#This Row],[Tax]]),0)</f>
        <v>0</v>
      </c>
      <c r="X234" s="36"/>
      <c r="Y234" s="87"/>
      <c r="Z234" s="87"/>
      <c r="AA234" s="87"/>
      <c r="AB234" s="36"/>
      <c r="AC234" s="36">
        <f>IF(ISNA(VLOOKUP(Table1[[#This Row],[Part Number]],'Multi-level BOM'!V$4:V$449,1,FALSE)),0,Table1[[#This Row],[Remaining Extended cost]])</f>
        <v>0</v>
      </c>
    </row>
    <row r="235" spans="1:29" x14ac:dyDescent="0.25">
      <c r="A235" s="1" t="s">
        <v>238</v>
      </c>
      <c r="B235" s="4"/>
      <c r="F235" s="3">
        <f>9%*Table1[[#This Row],[Cost ]]</f>
        <v>0</v>
      </c>
      <c r="J235" s="49">
        <f>SUMIF('Multi-level BOM'!D$4:D$467,Table1[[#This Row],[Part Number]],'Multi-level BOM'!H$4:H$467)</f>
        <v>0</v>
      </c>
      <c r="K235" s="10">
        <f>Table1[[#This Row],[extended quantity]]*(Table1[[#This Row],[Cost ]]+Table1[[#This Row],[shipping]]+Table1[[#This Row],[Tax]])</f>
        <v>0</v>
      </c>
      <c r="L235" s="83" t="str">
        <f>IF(Table1[[#This Row],[Buy-now costs]]&gt;0,"X","")</f>
        <v/>
      </c>
      <c r="M235" s="83"/>
      <c r="N235" s="83"/>
      <c r="O235" s="40">
        <v>0</v>
      </c>
      <c r="P235" s="97">
        <f>Table1[[#This Row],[quantity on-hand]]*(Table1[[#This Row],[Cost ]]+Table1[[#This Row],[shipping]]+Table1[[#This Row],[Tax]])</f>
        <v>0</v>
      </c>
      <c r="Q235" s="40">
        <v>0</v>
      </c>
      <c r="R235" s="95">
        <f>Table1[[#This Row],[Quantity on order]]*(Table1[[#This Row],[Cost ]]+Table1[[#This Row],[shipping]]+Table1[[#This Row],[Tax]])</f>
        <v>0</v>
      </c>
      <c r="S2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5" s="49">
        <f>Table1[[#This Row],[Quantity  to  purchase]]+Table1[[#This Row],[Quantity purchased]]+Table1[[#This Row],[Quantity on order]]+Table1[[#This Row],[Quantity donated]]-Table1[[#This Row],[extended quantity]]</f>
        <v>0</v>
      </c>
      <c r="U2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5" s="51">
        <f>IFERROR(Table1[[#This Row],[Quantity  to  purchase]]*(Table1[[#This Row],[Cost ]]+Table1[[#This Row],[shipping]]+Table1[[#This Row],[Tax]]),0)</f>
        <v>0</v>
      </c>
      <c r="W235" s="36">
        <f>IFERROR(Table1[[#This Row],[leftover material]]*(Table1[[#This Row],[Cost ]]+Table1[[#This Row],[shipping]]+Table1[[#This Row],[Tax]]),0)</f>
        <v>0</v>
      </c>
      <c r="X235" s="36"/>
      <c r="Y235" s="87"/>
      <c r="Z235" s="87"/>
      <c r="AA235" s="87"/>
      <c r="AB235" s="36"/>
      <c r="AC235" s="36">
        <f>IF(ISNA(VLOOKUP(Table1[[#This Row],[Part Number]],'Multi-level BOM'!V$4:V$449,1,FALSE)),0,Table1[[#This Row],[Remaining Extended cost]])</f>
        <v>0</v>
      </c>
    </row>
    <row r="236" spans="1:29" x14ac:dyDescent="0.25">
      <c r="A236" s="1" t="s">
        <v>239</v>
      </c>
      <c r="B236" s="4"/>
      <c r="F236" s="3">
        <f>9%*Table1[[#This Row],[Cost ]]</f>
        <v>0</v>
      </c>
      <c r="J236" s="49">
        <f>SUMIF('Multi-level BOM'!D$4:D$467,Table1[[#This Row],[Part Number]],'Multi-level BOM'!H$4:H$467)</f>
        <v>0</v>
      </c>
      <c r="K236" s="10">
        <f>Table1[[#This Row],[extended quantity]]*(Table1[[#This Row],[Cost ]]+Table1[[#This Row],[shipping]]+Table1[[#This Row],[Tax]])</f>
        <v>0</v>
      </c>
      <c r="L236" s="83" t="str">
        <f>IF(Table1[[#This Row],[Buy-now costs]]&gt;0,"X","")</f>
        <v/>
      </c>
      <c r="M236" s="83"/>
      <c r="N236" s="83"/>
      <c r="O236" s="40">
        <v>0</v>
      </c>
      <c r="P236" s="97">
        <f>Table1[[#This Row],[quantity on-hand]]*(Table1[[#This Row],[Cost ]]+Table1[[#This Row],[shipping]]+Table1[[#This Row],[Tax]])</f>
        <v>0</v>
      </c>
      <c r="Q236" s="40">
        <v>0</v>
      </c>
      <c r="R236" s="95">
        <f>Table1[[#This Row],[Quantity on order]]*(Table1[[#This Row],[Cost ]]+Table1[[#This Row],[shipping]]+Table1[[#This Row],[Tax]])</f>
        <v>0</v>
      </c>
      <c r="S2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6" s="49">
        <f>Table1[[#This Row],[Quantity  to  purchase]]+Table1[[#This Row],[Quantity purchased]]+Table1[[#This Row],[Quantity on order]]+Table1[[#This Row],[Quantity donated]]-Table1[[#This Row],[extended quantity]]</f>
        <v>0</v>
      </c>
      <c r="U2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6" s="51">
        <f>IFERROR(Table1[[#This Row],[Quantity  to  purchase]]*(Table1[[#This Row],[Cost ]]+Table1[[#This Row],[shipping]]+Table1[[#This Row],[Tax]]),0)</f>
        <v>0</v>
      </c>
      <c r="W236" s="36">
        <f>IFERROR(Table1[[#This Row],[leftover material]]*(Table1[[#This Row],[Cost ]]+Table1[[#This Row],[shipping]]+Table1[[#This Row],[Tax]]),0)</f>
        <v>0</v>
      </c>
      <c r="X236" s="36"/>
      <c r="Y236" s="87"/>
      <c r="Z236" s="87"/>
      <c r="AA236" s="87"/>
      <c r="AB236" s="36"/>
      <c r="AC236" s="36">
        <f>IF(ISNA(VLOOKUP(Table1[[#This Row],[Part Number]],'Multi-level BOM'!V$4:V$449,1,FALSE)),0,Table1[[#This Row],[Remaining Extended cost]])</f>
        <v>0</v>
      </c>
    </row>
    <row r="237" spans="1:29" x14ac:dyDescent="0.25">
      <c r="A237" s="1" t="s">
        <v>240</v>
      </c>
      <c r="B237" s="4"/>
      <c r="F237" s="3">
        <f>9%*Table1[[#This Row],[Cost ]]</f>
        <v>0</v>
      </c>
      <c r="J237" s="49">
        <f>SUMIF('Multi-level BOM'!D$4:D$467,Table1[[#This Row],[Part Number]],'Multi-level BOM'!H$4:H$467)</f>
        <v>0</v>
      </c>
      <c r="K237" s="10">
        <f>Table1[[#This Row],[extended quantity]]*(Table1[[#This Row],[Cost ]]+Table1[[#This Row],[shipping]]+Table1[[#This Row],[Tax]])</f>
        <v>0</v>
      </c>
      <c r="L237" s="83" t="str">
        <f>IF(Table1[[#This Row],[Buy-now costs]]&gt;0,"X","")</f>
        <v/>
      </c>
      <c r="M237" s="83"/>
      <c r="N237" s="83"/>
      <c r="O237" s="40">
        <v>0</v>
      </c>
      <c r="P237" s="97">
        <f>Table1[[#This Row],[quantity on-hand]]*(Table1[[#This Row],[Cost ]]+Table1[[#This Row],[shipping]]+Table1[[#This Row],[Tax]])</f>
        <v>0</v>
      </c>
      <c r="Q237" s="40">
        <v>0</v>
      </c>
      <c r="R237" s="95">
        <f>Table1[[#This Row],[Quantity on order]]*(Table1[[#This Row],[Cost ]]+Table1[[#This Row],[shipping]]+Table1[[#This Row],[Tax]])</f>
        <v>0</v>
      </c>
      <c r="S2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7" s="49">
        <f>Table1[[#This Row],[Quantity  to  purchase]]+Table1[[#This Row],[Quantity purchased]]+Table1[[#This Row],[Quantity on order]]+Table1[[#This Row],[Quantity donated]]-Table1[[#This Row],[extended quantity]]</f>
        <v>0</v>
      </c>
      <c r="U2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7" s="51">
        <f>IFERROR(Table1[[#This Row],[Quantity  to  purchase]]*(Table1[[#This Row],[Cost ]]+Table1[[#This Row],[shipping]]+Table1[[#This Row],[Tax]]),0)</f>
        <v>0</v>
      </c>
      <c r="W237" s="36">
        <f>IFERROR(Table1[[#This Row],[leftover material]]*(Table1[[#This Row],[Cost ]]+Table1[[#This Row],[shipping]]+Table1[[#This Row],[Tax]]),0)</f>
        <v>0</v>
      </c>
      <c r="X237" s="36"/>
      <c r="Y237" s="87"/>
      <c r="Z237" s="87"/>
      <c r="AA237" s="87"/>
      <c r="AB237" s="36"/>
      <c r="AC237" s="36">
        <f>IF(ISNA(VLOOKUP(Table1[[#This Row],[Part Number]],'Multi-level BOM'!V$4:V$449,1,FALSE)),0,Table1[[#This Row],[Remaining Extended cost]])</f>
        <v>0</v>
      </c>
    </row>
    <row r="238" spans="1:29" x14ac:dyDescent="0.25">
      <c r="A238" s="1" t="s">
        <v>241</v>
      </c>
      <c r="B238" s="4"/>
      <c r="F238" s="3">
        <f>9%*Table1[[#This Row],[Cost ]]</f>
        <v>0</v>
      </c>
      <c r="J238" s="49">
        <f>SUMIF('Multi-level BOM'!D$4:D$467,Table1[[#This Row],[Part Number]],'Multi-level BOM'!H$4:H$467)</f>
        <v>0</v>
      </c>
      <c r="K238" s="10">
        <f>Table1[[#This Row],[extended quantity]]*(Table1[[#This Row],[Cost ]]+Table1[[#This Row],[shipping]]+Table1[[#This Row],[Tax]])</f>
        <v>0</v>
      </c>
      <c r="L238" s="83" t="str">
        <f>IF(Table1[[#This Row],[Buy-now costs]]&gt;0,"X","")</f>
        <v/>
      </c>
      <c r="M238" s="83"/>
      <c r="N238" s="83"/>
      <c r="O238" s="40">
        <v>0</v>
      </c>
      <c r="P238" s="97">
        <f>Table1[[#This Row],[quantity on-hand]]*(Table1[[#This Row],[Cost ]]+Table1[[#This Row],[shipping]]+Table1[[#This Row],[Tax]])</f>
        <v>0</v>
      </c>
      <c r="Q238" s="40">
        <v>0</v>
      </c>
      <c r="R238" s="95">
        <f>Table1[[#This Row],[Quantity on order]]*(Table1[[#This Row],[Cost ]]+Table1[[#This Row],[shipping]]+Table1[[#This Row],[Tax]])</f>
        <v>0</v>
      </c>
      <c r="S2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8" s="49">
        <f>Table1[[#This Row],[Quantity  to  purchase]]+Table1[[#This Row],[Quantity purchased]]+Table1[[#This Row],[Quantity on order]]+Table1[[#This Row],[Quantity donated]]-Table1[[#This Row],[extended quantity]]</f>
        <v>0</v>
      </c>
      <c r="U2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8" s="51">
        <f>IFERROR(Table1[[#This Row],[Quantity  to  purchase]]*(Table1[[#This Row],[Cost ]]+Table1[[#This Row],[shipping]]+Table1[[#This Row],[Tax]]),0)</f>
        <v>0</v>
      </c>
      <c r="W238" s="36">
        <f>IFERROR(Table1[[#This Row],[leftover material]]*(Table1[[#This Row],[Cost ]]+Table1[[#This Row],[shipping]]+Table1[[#This Row],[Tax]]),0)</f>
        <v>0</v>
      </c>
      <c r="X238" s="36"/>
      <c r="Y238" s="87"/>
      <c r="Z238" s="87"/>
      <c r="AA238" s="87"/>
      <c r="AB238" s="36"/>
      <c r="AC238" s="36">
        <f>IF(ISNA(VLOOKUP(Table1[[#This Row],[Part Number]],'Multi-level BOM'!V$4:V$449,1,FALSE)),0,Table1[[#This Row],[Remaining Extended cost]])</f>
        <v>0</v>
      </c>
    </row>
    <row r="239" spans="1:29" x14ac:dyDescent="0.25">
      <c r="A239" s="1" t="s">
        <v>242</v>
      </c>
      <c r="B239" s="4"/>
      <c r="F239" s="3">
        <f>9%*Table1[[#This Row],[Cost ]]</f>
        <v>0</v>
      </c>
      <c r="J239" s="49">
        <f>SUMIF('Multi-level BOM'!D$4:D$467,Table1[[#This Row],[Part Number]],'Multi-level BOM'!H$4:H$467)</f>
        <v>0</v>
      </c>
      <c r="K239" s="10">
        <f>Table1[[#This Row],[extended quantity]]*(Table1[[#This Row],[Cost ]]+Table1[[#This Row],[shipping]]+Table1[[#This Row],[Tax]])</f>
        <v>0</v>
      </c>
      <c r="L239" s="83" t="str">
        <f>IF(Table1[[#This Row],[Buy-now costs]]&gt;0,"X","")</f>
        <v/>
      </c>
      <c r="M239" s="83"/>
      <c r="N239" s="83"/>
      <c r="O239" s="40">
        <v>0</v>
      </c>
      <c r="P239" s="97">
        <f>Table1[[#This Row],[quantity on-hand]]*(Table1[[#This Row],[Cost ]]+Table1[[#This Row],[shipping]]+Table1[[#This Row],[Tax]])</f>
        <v>0</v>
      </c>
      <c r="Q239" s="40">
        <v>0</v>
      </c>
      <c r="R239" s="95">
        <f>Table1[[#This Row],[Quantity on order]]*(Table1[[#This Row],[Cost ]]+Table1[[#This Row],[shipping]]+Table1[[#This Row],[Tax]])</f>
        <v>0</v>
      </c>
      <c r="S2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9" s="49">
        <f>Table1[[#This Row],[Quantity  to  purchase]]+Table1[[#This Row],[Quantity purchased]]+Table1[[#This Row],[Quantity on order]]+Table1[[#This Row],[Quantity donated]]-Table1[[#This Row],[extended quantity]]</f>
        <v>0</v>
      </c>
      <c r="U2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9" s="51">
        <f>IFERROR(Table1[[#This Row],[Quantity  to  purchase]]*(Table1[[#This Row],[Cost ]]+Table1[[#This Row],[shipping]]+Table1[[#This Row],[Tax]]),0)</f>
        <v>0</v>
      </c>
      <c r="W239" s="36">
        <f>IFERROR(Table1[[#This Row],[leftover material]]*(Table1[[#This Row],[Cost ]]+Table1[[#This Row],[shipping]]+Table1[[#This Row],[Tax]]),0)</f>
        <v>0</v>
      </c>
      <c r="X239" s="36"/>
      <c r="Y239" s="87"/>
      <c r="Z239" s="87"/>
      <c r="AA239" s="87"/>
      <c r="AB239" s="36"/>
      <c r="AC239" s="36">
        <f>IF(ISNA(VLOOKUP(Table1[[#This Row],[Part Number]],'Multi-level BOM'!V$4:V$449,1,FALSE)),0,Table1[[#This Row],[Remaining Extended cost]])</f>
        <v>0</v>
      </c>
    </row>
    <row r="240" spans="1:29" x14ac:dyDescent="0.25">
      <c r="A240" s="1" t="s">
        <v>243</v>
      </c>
      <c r="B240" s="4"/>
      <c r="F240" s="3">
        <f>9%*Table1[[#This Row],[Cost ]]</f>
        <v>0</v>
      </c>
      <c r="J240" s="49">
        <f>SUMIF('Multi-level BOM'!D$4:D$467,Table1[[#This Row],[Part Number]],'Multi-level BOM'!H$4:H$467)</f>
        <v>0</v>
      </c>
      <c r="K240" s="10">
        <f>Table1[[#This Row],[extended quantity]]*(Table1[[#This Row],[Cost ]]+Table1[[#This Row],[shipping]]+Table1[[#This Row],[Tax]])</f>
        <v>0</v>
      </c>
      <c r="L240" s="83" t="str">
        <f>IF(Table1[[#This Row],[Buy-now costs]]&gt;0,"X","")</f>
        <v/>
      </c>
      <c r="M240" s="83"/>
      <c r="N240" s="83"/>
      <c r="O240" s="40">
        <v>0</v>
      </c>
      <c r="P240" s="97">
        <f>Table1[[#This Row],[quantity on-hand]]*(Table1[[#This Row],[Cost ]]+Table1[[#This Row],[shipping]]+Table1[[#This Row],[Tax]])</f>
        <v>0</v>
      </c>
      <c r="Q240" s="40">
        <v>0</v>
      </c>
      <c r="R240" s="95">
        <f>Table1[[#This Row],[Quantity on order]]*(Table1[[#This Row],[Cost ]]+Table1[[#This Row],[shipping]]+Table1[[#This Row],[Tax]])</f>
        <v>0</v>
      </c>
      <c r="S2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0" s="49">
        <f>Table1[[#This Row],[Quantity  to  purchase]]+Table1[[#This Row],[Quantity purchased]]+Table1[[#This Row],[Quantity on order]]+Table1[[#This Row],[Quantity donated]]-Table1[[#This Row],[extended quantity]]</f>
        <v>0</v>
      </c>
      <c r="U2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0" s="51">
        <f>IFERROR(Table1[[#This Row],[Quantity  to  purchase]]*(Table1[[#This Row],[Cost ]]+Table1[[#This Row],[shipping]]+Table1[[#This Row],[Tax]]),0)</f>
        <v>0</v>
      </c>
      <c r="W240" s="36">
        <f>IFERROR(Table1[[#This Row],[leftover material]]*(Table1[[#This Row],[Cost ]]+Table1[[#This Row],[shipping]]+Table1[[#This Row],[Tax]]),0)</f>
        <v>0</v>
      </c>
      <c r="X240" s="36"/>
      <c r="Y240" s="87"/>
      <c r="Z240" s="87"/>
      <c r="AA240" s="87"/>
      <c r="AB240" s="36"/>
      <c r="AC240" s="36">
        <f>IF(ISNA(VLOOKUP(Table1[[#This Row],[Part Number]],'Multi-level BOM'!V$4:V$449,1,FALSE)),0,Table1[[#This Row],[Remaining Extended cost]])</f>
        <v>0</v>
      </c>
    </row>
    <row r="241" spans="1:29" x14ac:dyDescent="0.25">
      <c r="A241" s="1" t="s">
        <v>244</v>
      </c>
      <c r="B241" s="4"/>
      <c r="F241" s="3">
        <f>9%*Table1[[#This Row],[Cost ]]</f>
        <v>0</v>
      </c>
      <c r="J241" s="49">
        <f>SUMIF('Multi-level BOM'!D$4:D$467,Table1[[#This Row],[Part Number]],'Multi-level BOM'!H$4:H$467)</f>
        <v>0</v>
      </c>
      <c r="K241" s="10">
        <f>Table1[[#This Row],[extended quantity]]*(Table1[[#This Row],[Cost ]]+Table1[[#This Row],[shipping]]+Table1[[#This Row],[Tax]])</f>
        <v>0</v>
      </c>
      <c r="L241" s="83" t="str">
        <f>IF(Table1[[#This Row],[Buy-now costs]]&gt;0,"X","")</f>
        <v/>
      </c>
      <c r="M241" s="83"/>
      <c r="N241" s="83"/>
      <c r="O241" s="40">
        <v>0</v>
      </c>
      <c r="P241" s="97">
        <f>Table1[[#This Row],[quantity on-hand]]*(Table1[[#This Row],[Cost ]]+Table1[[#This Row],[shipping]]+Table1[[#This Row],[Tax]])</f>
        <v>0</v>
      </c>
      <c r="Q241" s="40">
        <v>0</v>
      </c>
      <c r="R241" s="95">
        <f>Table1[[#This Row],[Quantity on order]]*(Table1[[#This Row],[Cost ]]+Table1[[#This Row],[shipping]]+Table1[[#This Row],[Tax]])</f>
        <v>0</v>
      </c>
      <c r="S2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1" s="49">
        <f>Table1[[#This Row],[Quantity  to  purchase]]+Table1[[#This Row],[Quantity purchased]]+Table1[[#This Row],[Quantity on order]]+Table1[[#This Row],[Quantity donated]]-Table1[[#This Row],[extended quantity]]</f>
        <v>0</v>
      </c>
      <c r="U2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1" s="51">
        <f>IFERROR(Table1[[#This Row],[Quantity  to  purchase]]*(Table1[[#This Row],[Cost ]]+Table1[[#This Row],[shipping]]+Table1[[#This Row],[Tax]]),0)</f>
        <v>0</v>
      </c>
      <c r="W241" s="36">
        <f>IFERROR(Table1[[#This Row],[leftover material]]*(Table1[[#This Row],[Cost ]]+Table1[[#This Row],[shipping]]+Table1[[#This Row],[Tax]]),0)</f>
        <v>0</v>
      </c>
      <c r="X241" s="36"/>
      <c r="Y241" s="87"/>
      <c r="Z241" s="87"/>
      <c r="AA241" s="87"/>
      <c r="AB241" s="36"/>
      <c r="AC241" s="36">
        <f>IF(ISNA(VLOOKUP(Table1[[#This Row],[Part Number]],'Multi-level BOM'!V$4:V$449,1,FALSE)),0,Table1[[#This Row],[Remaining Extended cost]])</f>
        <v>0</v>
      </c>
    </row>
    <row r="242" spans="1:29" x14ac:dyDescent="0.25">
      <c r="A242" s="1" t="s">
        <v>245</v>
      </c>
      <c r="B242" s="4"/>
      <c r="F242" s="3">
        <f>9%*Table1[[#This Row],[Cost ]]</f>
        <v>0</v>
      </c>
      <c r="J242" s="49">
        <f>SUMIF('Multi-level BOM'!D$4:D$467,Table1[[#This Row],[Part Number]],'Multi-level BOM'!H$4:H$467)</f>
        <v>0</v>
      </c>
      <c r="K242" s="10">
        <f>Table1[[#This Row],[extended quantity]]*(Table1[[#This Row],[Cost ]]+Table1[[#This Row],[shipping]]+Table1[[#This Row],[Tax]])</f>
        <v>0</v>
      </c>
      <c r="L242" s="83" t="str">
        <f>IF(Table1[[#This Row],[Buy-now costs]]&gt;0,"X","")</f>
        <v/>
      </c>
      <c r="M242" s="83"/>
      <c r="N242" s="83"/>
      <c r="O242" s="40">
        <v>0</v>
      </c>
      <c r="P242" s="97">
        <f>Table1[[#This Row],[quantity on-hand]]*(Table1[[#This Row],[Cost ]]+Table1[[#This Row],[shipping]]+Table1[[#This Row],[Tax]])</f>
        <v>0</v>
      </c>
      <c r="Q242" s="40">
        <v>0</v>
      </c>
      <c r="R242" s="95">
        <f>Table1[[#This Row],[Quantity on order]]*(Table1[[#This Row],[Cost ]]+Table1[[#This Row],[shipping]]+Table1[[#This Row],[Tax]])</f>
        <v>0</v>
      </c>
      <c r="S2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2" s="49">
        <f>Table1[[#This Row],[Quantity  to  purchase]]+Table1[[#This Row],[Quantity purchased]]+Table1[[#This Row],[Quantity on order]]+Table1[[#This Row],[Quantity donated]]-Table1[[#This Row],[extended quantity]]</f>
        <v>0</v>
      </c>
      <c r="U2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2" s="51">
        <f>IFERROR(Table1[[#This Row],[Quantity  to  purchase]]*(Table1[[#This Row],[Cost ]]+Table1[[#This Row],[shipping]]+Table1[[#This Row],[Tax]]),0)</f>
        <v>0</v>
      </c>
      <c r="W242" s="36">
        <f>IFERROR(Table1[[#This Row],[leftover material]]*(Table1[[#This Row],[Cost ]]+Table1[[#This Row],[shipping]]+Table1[[#This Row],[Tax]]),0)</f>
        <v>0</v>
      </c>
      <c r="X242" s="36"/>
      <c r="Y242" s="87"/>
      <c r="Z242" s="87"/>
      <c r="AA242" s="87"/>
      <c r="AB242" s="36"/>
      <c r="AC242" s="36">
        <f>IF(ISNA(VLOOKUP(Table1[[#This Row],[Part Number]],'Multi-level BOM'!V$4:V$449,1,FALSE)),0,Table1[[#This Row],[Remaining Extended cost]])</f>
        <v>0</v>
      </c>
    </row>
    <row r="243" spans="1:29" x14ac:dyDescent="0.25">
      <c r="A243" s="1" t="s">
        <v>246</v>
      </c>
      <c r="B243" s="4"/>
      <c r="F243" s="3">
        <f>9%*Table1[[#This Row],[Cost ]]</f>
        <v>0</v>
      </c>
      <c r="J243" s="49">
        <f>SUMIF('Multi-level BOM'!D$4:D$467,Table1[[#This Row],[Part Number]],'Multi-level BOM'!H$4:H$467)</f>
        <v>0</v>
      </c>
      <c r="K243" s="10">
        <f>Table1[[#This Row],[extended quantity]]*(Table1[[#This Row],[Cost ]]+Table1[[#This Row],[shipping]]+Table1[[#This Row],[Tax]])</f>
        <v>0</v>
      </c>
      <c r="L243" s="83" t="str">
        <f>IF(Table1[[#This Row],[Buy-now costs]]&gt;0,"X","")</f>
        <v/>
      </c>
      <c r="M243" s="83"/>
      <c r="N243" s="83"/>
      <c r="O243" s="40">
        <v>0</v>
      </c>
      <c r="P243" s="97">
        <f>Table1[[#This Row],[quantity on-hand]]*(Table1[[#This Row],[Cost ]]+Table1[[#This Row],[shipping]]+Table1[[#This Row],[Tax]])</f>
        <v>0</v>
      </c>
      <c r="Q243" s="40">
        <v>0</v>
      </c>
      <c r="R243" s="95">
        <f>Table1[[#This Row],[Quantity on order]]*(Table1[[#This Row],[Cost ]]+Table1[[#This Row],[shipping]]+Table1[[#This Row],[Tax]])</f>
        <v>0</v>
      </c>
      <c r="S2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3" s="49">
        <f>Table1[[#This Row],[Quantity  to  purchase]]+Table1[[#This Row],[Quantity purchased]]+Table1[[#This Row],[Quantity on order]]+Table1[[#This Row],[Quantity donated]]-Table1[[#This Row],[extended quantity]]</f>
        <v>0</v>
      </c>
      <c r="U2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3" s="51">
        <f>IFERROR(Table1[[#This Row],[Quantity  to  purchase]]*(Table1[[#This Row],[Cost ]]+Table1[[#This Row],[shipping]]+Table1[[#This Row],[Tax]]),0)</f>
        <v>0</v>
      </c>
      <c r="W243" s="36">
        <f>IFERROR(Table1[[#This Row],[leftover material]]*(Table1[[#This Row],[Cost ]]+Table1[[#This Row],[shipping]]+Table1[[#This Row],[Tax]]),0)</f>
        <v>0</v>
      </c>
      <c r="X243" s="36"/>
      <c r="Y243" s="87"/>
      <c r="Z243" s="87"/>
      <c r="AA243" s="87"/>
      <c r="AB243" s="36"/>
      <c r="AC243" s="36">
        <f>IF(ISNA(VLOOKUP(Table1[[#This Row],[Part Number]],'Multi-level BOM'!V$4:V$449,1,FALSE)),0,Table1[[#This Row],[Remaining Extended cost]])</f>
        <v>0</v>
      </c>
    </row>
    <row r="244" spans="1:29" x14ac:dyDescent="0.25">
      <c r="A244" s="1" t="s">
        <v>247</v>
      </c>
      <c r="B244" s="4"/>
      <c r="F244" s="3">
        <f>9%*Table1[[#This Row],[Cost ]]</f>
        <v>0</v>
      </c>
      <c r="J244" s="49">
        <f>SUMIF('Multi-level BOM'!D$4:D$467,Table1[[#This Row],[Part Number]],'Multi-level BOM'!H$4:H$467)</f>
        <v>0</v>
      </c>
      <c r="K244" s="10">
        <f>Table1[[#This Row],[extended quantity]]*(Table1[[#This Row],[Cost ]]+Table1[[#This Row],[shipping]]+Table1[[#This Row],[Tax]])</f>
        <v>0</v>
      </c>
      <c r="L244" s="83" t="str">
        <f>IF(Table1[[#This Row],[Buy-now costs]]&gt;0,"X","")</f>
        <v/>
      </c>
      <c r="M244" s="83"/>
      <c r="N244" s="83"/>
      <c r="O244" s="40">
        <v>0</v>
      </c>
      <c r="P244" s="97">
        <f>Table1[[#This Row],[quantity on-hand]]*(Table1[[#This Row],[Cost ]]+Table1[[#This Row],[shipping]]+Table1[[#This Row],[Tax]])</f>
        <v>0</v>
      </c>
      <c r="Q244" s="40">
        <v>0</v>
      </c>
      <c r="R244" s="95">
        <f>Table1[[#This Row],[Quantity on order]]*(Table1[[#This Row],[Cost ]]+Table1[[#This Row],[shipping]]+Table1[[#This Row],[Tax]])</f>
        <v>0</v>
      </c>
      <c r="S2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4" s="49">
        <f>Table1[[#This Row],[Quantity  to  purchase]]+Table1[[#This Row],[Quantity purchased]]+Table1[[#This Row],[Quantity on order]]+Table1[[#This Row],[Quantity donated]]-Table1[[#This Row],[extended quantity]]</f>
        <v>0</v>
      </c>
      <c r="U2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4" s="51">
        <f>IFERROR(Table1[[#This Row],[Quantity  to  purchase]]*(Table1[[#This Row],[Cost ]]+Table1[[#This Row],[shipping]]+Table1[[#This Row],[Tax]]),0)</f>
        <v>0</v>
      </c>
      <c r="W244" s="36">
        <f>IFERROR(Table1[[#This Row],[leftover material]]*(Table1[[#This Row],[Cost ]]+Table1[[#This Row],[shipping]]+Table1[[#This Row],[Tax]]),0)</f>
        <v>0</v>
      </c>
      <c r="X244" s="36"/>
      <c r="Y244" s="87"/>
      <c r="Z244" s="87"/>
      <c r="AA244" s="87"/>
      <c r="AB244" s="36"/>
      <c r="AC244" s="36">
        <f>IF(ISNA(VLOOKUP(Table1[[#This Row],[Part Number]],'Multi-level BOM'!V$4:V$449,1,FALSE)),0,Table1[[#This Row],[Remaining Extended cost]])</f>
        <v>0</v>
      </c>
    </row>
    <row r="245" spans="1:29" x14ac:dyDescent="0.25">
      <c r="A245" s="1" t="s">
        <v>248</v>
      </c>
      <c r="B245" s="4"/>
      <c r="F245" s="3">
        <f>9%*Table1[[#This Row],[Cost ]]</f>
        <v>0</v>
      </c>
      <c r="J245" s="49">
        <f>SUMIF('Multi-level BOM'!D$4:D$467,Table1[[#This Row],[Part Number]],'Multi-level BOM'!H$4:H$467)</f>
        <v>0</v>
      </c>
      <c r="K245" s="10">
        <f>Table1[[#This Row],[extended quantity]]*(Table1[[#This Row],[Cost ]]+Table1[[#This Row],[shipping]]+Table1[[#This Row],[Tax]])</f>
        <v>0</v>
      </c>
      <c r="L245" s="83" t="str">
        <f>IF(Table1[[#This Row],[Buy-now costs]]&gt;0,"X","")</f>
        <v/>
      </c>
      <c r="M245" s="83"/>
      <c r="N245" s="83"/>
      <c r="O245" s="40">
        <v>0</v>
      </c>
      <c r="P245" s="97">
        <f>Table1[[#This Row],[quantity on-hand]]*(Table1[[#This Row],[Cost ]]+Table1[[#This Row],[shipping]]+Table1[[#This Row],[Tax]])</f>
        <v>0</v>
      </c>
      <c r="Q245" s="40">
        <v>0</v>
      </c>
      <c r="R245" s="95">
        <f>Table1[[#This Row],[Quantity on order]]*(Table1[[#This Row],[Cost ]]+Table1[[#This Row],[shipping]]+Table1[[#This Row],[Tax]])</f>
        <v>0</v>
      </c>
      <c r="S2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5" s="49">
        <f>Table1[[#This Row],[Quantity  to  purchase]]+Table1[[#This Row],[Quantity purchased]]+Table1[[#This Row],[Quantity on order]]+Table1[[#This Row],[Quantity donated]]-Table1[[#This Row],[extended quantity]]</f>
        <v>0</v>
      </c>
      <c r="U2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5" s="51">
        <f>IFERROR(Table1[[#This Row],[Quantity  to  purchase]]*(Table1[[#This Row],[Cost ]]+Table1[[#This Row],[shipping]]+Table1[[#This Row],[Tax]]),0)</f>
        <v>0</v>
      </c>
      <c r="W245" s="36">
        <f>IFERROR(Table1[[#This Row],[leftover material]]*(Table1[[#This Row],[Cost ]]+Table1[[#This Row],[shipping]]+Table1[[#This Row],[Tax]]),0)</f>
        <v>0</v>
      </c>
      <c r="X245" s="36"/>
      <c r="Y245" s="87"/>
      <c r="Z245" s="87"/>
      <c r="AA245" s="87"/>
      <c r="AB245" s="36"/>
      <c r="AC245" s="36">
        <f>IF(ISNA(VLOOKUP(Table1[[#This Row],[Part Number]],'Multi-level BOM'!V$4:V$449,1,FALSE)),0,Table1[[#This Row],[Remaining Extended cost]])</f>
        <v>0</v>
      </c>
    </row>
    <row r="246" spans="1:29" x14ac:dyDescent="0.25">
      <c r="A246" s="1" t="s">
        <v>249</v>
      </c>
      <c r="B246" s="4"/>
      <c r="F246" s="3">
        <f>9%*Table1[[#This Row],[Cost ]]</f>
        <v>0</v>
      </c>
      <c r="J246" s="49">
        <f>SUMIF('Multi-level BOM'!D$4:D$467,Table1[[#This Row],[Part Number]],'Multi-level BOM'!H$4:H$467)</f>
        <v>0</v>
      </c>
      <c r="K246" s="10">
        <f>Table1[[#This Row],[extended quantity]]*(Table1[[#This Row],[Cost ]]+Table1[[#This Row],[shipping]]+Table1[[#This Row],[Tax]])</f>
        <v>0</v>
      </c>
      <c r="L246" s="83" t="str">
        <f>IF(Table1[[#This Row],[Buy-now costs]]&gt;0,"X","")</f>
        <v/>
      </c>
      <c r="M246" s="83"/>
      <c r="N246" s="83"/>
      <c r="O246" s="40">
        <v>0</v>
      </c>
      <c r="P246" s="97">
        <f>Table1[[#This Row],[quantity on-hand]]*(Table1[[#This Row],[Cost ]]+Table1[[#This Row],[shipping]]+Table1[[#This Row],[Tax]])</f>
        <v>0</v>
      </c>
      <c r="Q246" s="40">
        <v>0</v>
      </c>
      <c r="R246" s="95">
        <f>Table1[[#This Row],[Quantity on order]]*(Table1[[#This Row],[Cost ]]+Table1[[#This Row],[shipping]]+Table1[[#This Row],[Tax]])</f>
        <v>0</v>
      </c>
      <c r="S2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6" s="49">
        <f>Table1[[#This Row],[Quantity  to  purchase]]+Table1[[#This Row],[Quantity purchased]]+Table1[[#This Row],[Quantity on order]]+Table1[[#This Row],[Quantity donated]]-Table1[[#This Row],[extended quantity]]</f>
        <v>0</v>
      </c>
      <c r="U2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6" s="51">
        <f>IFERROR(Table1[[#This Row],[Quantity  to  purchase]]*(Table1[[#This Row],[Cost ]]+Table1[[#This Row],[shipping]]+Table1[[#This Row],[Tax]]),0)</f>
        <v>0</v>
      </c>
      <c r="W246" s="36">
        <f>IFERROR(Table1[[#This Row],[leftover material]]*(Table1[[#This Row],[Cost ]]+Table1[[#This Row],[shipping]]+Table1[[#This Row],[Tax]]),0)</f>
        <v>0</v>
      </c>
      <c r="X246" s="36"/>
      <c r="Y246" s="87"/>
      <c r="Z246" s="87"/>
      <c r="AA246" s="87"/>
      <c r="AB246" s="36"/>
      <c r="AC246" s="36">
        <f>IF(ISNA(VLOOKUP(Table1[[#This Row],[Part Number]],'Multi-level BOM'!V$4:V$449,1,FALSE)),0,Table1[[#This Row],[Remaining Extended cost]])</f>
        <v>0</v>
      </c>
    </row>
    <row r="247" spans="1:29" x14ac:dyDescent="0.25">
      <c r="A247" s="1" t="s">
        <v>250</v>
      </c>
      <c r="B247" s="4"/>
      <c r="F247" s="3">
        <f>9%*Table1[[#This Row],[Cost ]]</f>
        <v>0</v>
      </c>
      <c r="J247" s="49">
        <f>SUMIF('Multi-level BOM'!D$4:D$467,Table1[[#This Row],[Part Number]],'Multi-level BOM'!H$4:H$467)</f>
        <v>0</v>
      </c>
      <c r="K247" s="10">
        <f>Table1[[#This Row],[extended quantity]]*(Table1[[#This Row],[Cost ]]+Table1[[#This Row],[shipping]]+Table1[[#This Row],[Tax]])</f>
        <v>0</v>
      </c>
      <c r="L247" s="83" t="str">
        <f>IF(Table1[[#This Row],[Buy-now costs]]&gt;0,"X","")</f>
        <v/>
      </c>
      <c r="M247" s="83"/>
      <c r="N247" s="83"/>
      <c r="O247" s="40">
        <v>0</v>
      </c>
      <c r="P247" s="97">
        <f>Table1[[#This Row],[quantity on-hand]]*(Table1[[#This Row],[Cost ]]+Table1[[#This Row],[shipping]]+Table1[[#This Row],[Tax]])</f>
        <v>0</v>
      </c>
      <c r="Q247" s="40">
        <v>0</v>
      </c>
      <c r="R247" s="95">
        <f>Table1[[#This Row],[Quantity on order]]*(Table1[[#This Row],[Cost ]]+Table1[[#This Row],[shipping]]+Table1[[#This Row],[Tax]])</f>
        <v>0</v>
      </c>
      <c r="S2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7" s="49">
        <f>Table1[[#This Row],[Quantity  to  purchase]]+Table1[[#This Row],[Quantity purchased]]+Table1[[#This Row],[Quantity on order]]+Table1[[#This Row],[Quantity donated]]-Table1[[#This Row],[extended quantity]]</f>
        <v>0</v>
      </c>
      <c r="U2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7" s="51">
        <f>IFERROR(Table1[[#This Row],[Quantity  to  purchase]]*(Table1[[#This Row],[Cost ]]+Table1[[#This Row],[shipping]]+Table1[[#This Row],[Tax]]),0)</f>
        <v>0</v>
      </c>
      <c r="W247" s="36">
        <f>IFERROR(Table1[[#This Row],[leftover material]]*(Table1[[#This Row],[Cost ]]+Table1[[#This Row],[shipping]]+Table1[[#This Row],[Tax]]),0)</f>
        <v>0</v>
      </c>
      <c r="X247" s="36"/>
      <c r="Y247" s="87"/>
      <c r="Z247" s="87"/>
      <c r="AA247" s="87"/>
      <c r="AB247" s="36"/>
      <c r="AC247" s="36">
        <f>IF(ISNA(VLOOKUP(Table1[[#This Row],[Part Number]],'Multi-level BOM'!V$4:V$449,1,FALSE)),0,Table1[[#This Row],[Remaining Extended cost]])</f>
        <v>0</v>
      </c>
    </row>
    <row r="248" spans="1:29" x14ac:dyDescent="0.25">
      <c r="A248" s="1" t="s">
        <v>251</v>
      </c>
      <c r="B248" s="4"/>
      <c r="F248" s="3">
        <f>9%*Table1[[#This Row],[Cost ]]</f>
        <v>0</v>
      </c>
      <c r="J248" s="49">
        <f>SUMIF('Multi-level BOM'!D$4:D$467,Table1[[#This Row],[Part Number]],'Multi-level BOM'!H$4:H$467)</f>
        <v>0</v>
      </c>
      <c r="K248" s="10">
        <f>Table1[[#This Row],[extended quantity]]*(Table1[[#This Row],[Cost ]]+Table1[[#This Row],[shipping]]+Table1[[#This Row],[Tax]])</f>
        <v>0</v>
      </c>
      <c r="L248" s="83" t="str">
        <f>IF(Table1[[#This Row],[Buy-now costs]]&gt;0,"X","")</f>
        <v/>
      </c>
      <c r="M248" s="83"/>
      <c r="N248" s="83"/>
      <c r="O248" s="40">
        <v>0</v>
      </c>
      <c r="P248" s="97">
        <f>Table1[[#This Row],[quantity on-hand]]*(Table1[[#This Row],[Cost ]]+Table1[[#This Row],[shipping]]+Table1[[#This Row],[Tax]])</f>
        <v>0</v>
      </c>
      <c r="Q248" s="40">
        <v>0</v>
      </c>
      <c r="R248" s="95">
        <f>Table1[[#This Row],[Quantity on order]]*(Table1[[#This Row],[Cost ]]+Table1[[#This Row],[shipping]]+Table1[[#This Row],[Tax]])</f>
        <v>0</v>
      </c>
      <c r="S2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8" s="49">
        <f>Table1[[#This Row],[Quantity  to  purchase]]+Table1[[#This Row],[Quantity purchased]]+Table1[[#This Row],[Quantity on order]]+Table1[[#This Row],[Quantity donated]]-Table1[[#This Row],[extended quantity]]</f>
        <v>0</v>
      </c>
      <c r="U2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8" s="51">
        <f>IFERROR(Table1[[#This Row],[Quantity  to  purchase]]*(Table1[[#This Row],[Cost ]]+Table1[[#This Row],[shipping]]+Table1[[#This Row],[Tax]]),0)</f>
        <v>0</v>
      </c>
      <c r="W248" s="36">
        <f>IFERROR(Table1[[#This Row],[leftover material]]*(Table1[[#This Row],[Cost ]]+Table1[[#This Row],[shipping]]+Table1[[#This Row],[Tax]]),0)</f>
        <v>0</v>
      </c>
      <c r="X248" s="36"/>
      <c r="Y248" s="87"/>
      <c r="Z248" s="87"/>
      <c r="AA248" s="87"/>
      <c r="AB248" s="36"/>
      <c r="AC248" s="36">
        <f>IF(ISNA(VLOOKUP(Table1[[#This Row],[Part Number]],'Multi-level BOM'!V$4:V$449,1,FALSE)),0,Table1[[#This Row],[Remaining Extended cost]])</f>
        <v>0</v>
      </c>
    </row>
    <row r="249" spans="1:29" x14ac:dyDescent="0.25">
      <c r="A249" s="1" t="s">
        <v>252</v>
      </c>
      <c r="B249" s="4"/>
      <c r="F249" s="3">
        <f>9%*Table1[[#This Row],[Cost ]]</f>
        <v>0</v>
      </c>
      <c r="J249" s="49">
        <f>SUMIF('Multi-level BOM'!D$4:D$467,Table1[[#This Row],[Part Number]],'Multi-level BOM'!H$4:H$467)</f>
        <v>0</v>
      </c>
      <c r="K249" s="10">
        <f>Table1[[#This Row],[extended quantity]]*(Table1[[#This Row],[Cost ]]+Table1[[#This Row],[shipping]]+Table1[[#This Row],[Tax]])</f>
        <v>0</v>
      </c>
      <c r="L249" s="83" t="str">
        <f>IF(Table1[[#This Row],[Buy-now costs]]&gt;0,"X","")</f>
        <v/>
      </c>
      <c r="M249" s="83"/>
      <c r="N249" s="83"/>
      <c r="O249" s="40">
        <v>0</v>
      </c>
      <c r="P249" s="97">
        <f>Table1[[#This Row],[quantity on-hand]]*(Table1[[#This Row],[Cost ]]+Table1[[#This Row],[shipping]]+Table1[[#This Row],[Tax]])</f>
        <v>0</v>
      </c>
      <c r="Q249" s="40">
        <v>0</v>
      </c>
      <c r="R249" s="95">
        <f>Table1[[#This Row],[Quantity on order]]*(Table1[[#This Row],[Cost ]]+Table1[[#This Row],[shipping]]+Table1[[#This Row],[Tax]])</f>
        <v>0</v>
      </c>
      <c r="S2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9" s="49">
        <f>Table1[[#This Row],[Quantity  to  purchase]]+Table1[[#This Row],[Quantity purchased]]+Table1[[#This Row],[Quantity on order]]+Table1[[#This Row],[Quantity donated]]-Table1[[#This Row],[extended quantity]]</f>
        <v>0</v>
      </c>
      <c r="U2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9" s="51">
        <f>IFERROR(Table1[[#This Row],[Quantity  to  purchase]]*(Table1[[#This Row],[Cost ]]+Table1[[#This Row],[shipping]]+Table1[[#This Row],[Tax]]),0)</f>
        <v>0</v>
      </c>
      <c r="W249" s="36">
        <f>IFERROR(Table1[[#This Row],[leftover material]]*(Table1[[#This Row],[Cost ]]+Table1[[#This Row],[shipping]]+Table1[[#This Row],[Tax]]),0)</f>
        <v>0</v>
      </c>
      <c r="X249" s="36"/>
      <c r="Y249" s="87"/>
      <c r="Z249" s="87"/>
      <c r="AA249" s="87"/>
      <c r="AB249" s="36"/>
      <c r="AC249" s="36">
        <f>IF(ISNA(VLOOKUP(Table1[[#This Row],[Part Number]],'Multi-level BOM'!V$4:V$449,1,FALSE)),0,Table1[[#This Row],[Remaining Extended cost]])</f>
        <v>0</v>
      </c>
    </row>
    <row r="250" spans="1:29" x14ac:dyDescent="0.25">
      <c r="A250" s="1" t="s">
        <v>253</v>
      </c>
      <c r="B250" s="4"/>
      <c r="F250" s="3">
        <f>9%*Table1[[#This Row],[Cost ]]</f>
        <v>0</v>
      </c>
      <c r="J250" s="49">
        <f>SUMIF('Multi-level BOM'!D$4:D$467,Table1[[#This Row],[Part Number]],'Multi-level BOM'!H$4:H$467)</f>
        <v>0</v>
      </c>
      <c r="K250" s="10">
        <f>Table1[[#This Row],[extended quantity]]*(Table1[[#This Row],[Cost ]]+Table1[[#This Row],[shipping]]+Table1[[#This Row],[Tax]])</f>
        <v>0</v>
      </c>
      <c r="L250" s="83" t="str">
        <f>IF(Table1[[#This Row],[Buy-now costs]]&gt;0,"X","")</f>
        <v/>
      </c>
      <c r="M250" s="83"/>
      <c r="N250" s="83"/>
      <c r="O250" s="40">
        <v>0</v>
      </c>
      <c r="P250" s="97">
        <f>Table1[[#This Row],[quantity on-hand]]*(Table1[[#This Row],[Cost ]]+Table1[[#This Row],[shipping]]+Table1[[#This Row],[Tax]])</f>
        <v>0</v>
      </c>
      <c r="Q250" s="40">
        <v>0</v>
      </c>
      <c r="R250" s="95">
        <f>Table1[[#This Row],[Quantity on order]]*(Table1[[#This Row],[Cost ]]+Table1[[#This Row],[shipping]]+Table1[[#This Row],[Tax]])</f>
        <v>0</v>
      </c>
      <c r="S2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0" s="49">
        <f>Table1[[#This Row],[Quantity  to  purchase]]+Table1[[#This Row],[Quantity purchased]]+Table1[[#This Row],[Quantity on order]]+Table1[[#This Row],[Quantity donated]]-Table1[[#This Row],[extended quantity]]</f>
        <v>0</v>
      </c>
      <c r="U2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0" s="51">
        <f>IFERROR(Table1[[#This Row],[Quantity  to  purchase]]*(Table1[[#This Row],[Cost ]]+Table1[[#This Row],[shipping]]+Table1[[#This Row],[Tax]]),0)</f>
        <v>0</v>
      </c>
      <c r="W250" s="36">
        <f>IFERROR(Table1[[#This Row],[leftover material]]*(Table1[[#This Row],[Cost ]]+Table1[[#This Row],[shipping]]+Table1[[#This Row],[Tax]]),0)</f>
        <v>0</v>
      </c>
      <c r="X250" s="36"/>
      <c r="Y250" s="87"/>
      <c r="Z250" s="87"/>
      <c r="AA250" s="87"/>
      <c r="AB250" s="36"/>
      <c r="AC250" s="36">
        <f>IF(ISNA(VLOOKUP(Table1[[#This Row],[Part Number]],'Multi-level BOM'!V$4:V$449,1,FALSE)),0,Table1[[#This Row],[Remaining Extended cost]])</f>
        <v>0</v>
      </c>
    </row>
    <row r="251" spans="1:29" x14ac:dyDescent="0.25">
      <c r="A251" s="1" t="s">
        <v>254</v>
      </c>
      <c r="B251" s="4"/>
      <c r="F251" s="3">
        <f>9%*Table1[[#This Row],[Cost ]]</f>
        <v>0</v>
      </c>
      <c r="J251" s="49">
        <f>SUMIF('Multi-level BOM'!D$4:D$467,Table1[[#This Row],[Part Number]],'Multi-level BOM'!H$4:H$467)</f>
        <v>0</v>
      </c>
      <c r="K251" s="10">
        <f>Table1[[#This Row],[extended quantity]]*(Table1[[#This Row],[Cost ]]+Table1[[#This Row],[shipping]]+Table1[[#This Row],[Tax]])</f>
        <v>0</v>
      </c>
      <c r="L251" s="83" t="str">
        <f>IF(Table1[[#This Row],[Buy-now costs]]&gt;0,"X","")</f>
        <v/>
      </c>
      <c r="M251" s="83"/>
      <c r="N251" s="83"/>
      <c r="O251" s="40">
        <v>0</v>
      </c>
      <c r="P251" s="97">
        <f>Table1[[#This Row],[quantity on-hand]]*(Table1[[#This Row],[Cost ]]+Table1[[#This Row],[shipping]]+Table1[[#This Row],[Tax]])</f>
        <v>0</v>
      </c>
      <c r="Q251" s="40">
        <v>0</v>
      </c>
      <c r="R251" s="95">
        <f>Table1[[#This Row],[Quantity on order]]*(Table1[[#This Row],[Cost ]]+Table1[[#This Row],[shipping]]+Table1[[#This Row],[Tax]])</f>
        <v>0</v>
      </c>
      <c r="S2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1" s="49">
        <f>Table1[[#This Row],[Quantity  to  purchase]]+Table1[[#This Row],[Quantity purchased]]+Table1[[#This Row],[Quantity on order]]+Table1[[#This Row],[Quantity donated]]-Table1[[#This Row],[extended quantity]]</f>
        <v>0</v>
      </c>
      <c r="U2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1" s="51">
        <f>IFERROR(Table1[[#This Row],[Quantity  to  purchase]]*(Table1[[#This Row],[Cost ]]+Table1[[#This Row],[shipping]]+Table1[[#This Row],[Tax]]),0)</f>
        <v>0</v>
      </c>
      <c r="W251" s="36">
        <f>IFERROR(Table1[[#This Row],[leftover material]]*(Table1[[#This Row],[Cost ]]+Table1[[#This Row],[shipping]]+Table1[[#This Row],[Tax]]),0)</f>
        <v>0</v>
      </c>
      <c r="X251" s="36"/>
      <c r="Y251" s="87"/>
      <c r="Z251" s="87"/>
      <c r="AA251" s="87"/>
      <c r="AB251" s="36"/>
      <c r="AC251" s="36">
        <f>IF(ISNA(VLOOKUP(Table1[[#This Row],[Part Number]],'Multi-level BOM'!V$4:V$449,1,FALSE)),0,Table1[[#This Row],[Remaining Extended cost]])</f>
        <v>0</v>
      </c>
    </row>
    <row r="252" spans="1:29" x14ac:dyDescent="0.25">
      <c r="A252" s="1" t="s">
        <v>255</v>
      </c>
      <c r="B252" s="4"/>
      <c r="F252" s="3">
        <f>9%*Table1[[#This Row],[Cost ]]</f>
        <v>0</v>
      </c>
      <c r="J252" s="49">
        <f>SUMIF('Multi-level BOM'!D$4:D$467,Table1[[#This Row],[Part Number]],'Multi-level BOM'!H$4:H$467)</f>
        <v>0</v>
      </c>
      <c r="K252" s="10">
        <f>Table1[[#This Row],[extended quantity]]*(Table1[[#This Row],[Cost ]]+Table1[[#This Row],[shipping]]+Table1[[#This Row],[Tax]])</f>
        <v>0</v>
      </c>
      <c r="L252" s="83" t="str">
        <f>IF(Table1[[#This Row],[Buy-now costs]]&gt;0,"X","")</f>
        <v/>
      </c>
      <c r="M252" s="83"/>
      <c r="N252" s="83"/>
      <c r="O252" s="40">
        <v>0</v>
      </c>
      <c r="P252" s="97">
        <f>Table1[[#This Row],[quantity on-hand]]*(Table1[[#This Row],[Cost ]]+Table1[[#This Row],[shipping]]+Table1[[#This Row],[Tax]])</f>
        <v>0</v>
      </c>
      <c r="Q252" s="40">
        <v>0</v>
      </c>
      <c r="R252" s="95">
        <f>Table1[[#This Row],[Quantity on order]]*(Table1[[#This Row],[Cost ]]+Table1[[#This Row],[shipping]]+Table1[[#This Row],[Tax]])</f>
        <v>0</v>
      </c>
      <c r="S2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2" s="49">
        <f>Table1[[#This Row],[Quantity  to  purchase]]+Table1[[#This Row],[Quantity purchased]]+Table1[[#This Row],[Quantity on order]]+Table1[[#This Row],[Quantity donated]]-Table1[[#This Row],[extended quantity]]</f>
        <v>0</v>
      </c>
      <c r="U2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2" s="51">
        <f>IFERROR(Table1[[#This Row],[Quantity  to  purchase]]*(Table1[[#This Row],[Cost ]]+Table1[[#This Row],[shipping]]+Table1[[#This Row],[Tax]]),0)</f>
        <v>0</v>
      </c>
      <c r="W252" s="36">
        <f>IFERROR(Table1[[#This Row],[leftover material]]*(Table1[[#This Row],[Cost ]]+Table1[[#This Row],[shipping]]+Table1[[#This Row],[Tax]]),0)</f>
        <v>0</v>
      </c>
      <c r="X252" s="36"/>
      <c r="Y252" s="87"/>
      <c r="Z252" s="87"/>
      <c r="AA252" s="87"/>
      <c r="AB252" s="36"/>
      <c r="AC252" s="36">
        <f>IF(ISNA(VLOOKUP(Table1[[#This Row],[Part Number]],'Multi-level BOM'!V$4:V$449,1,FALSE)),0,Table1[[#This Row],[Remaining Extended cost]])</f>
        <v>0</v>
      </c>
    </row>
    <row r="253" spans="1:29" x14ac:dyDescent="0.25">
      <c r="A253" s="1" t="s">
        <v>256</v>
      </c>
      <c r="B253" s="4"/>
      <c r="F253" s="3">
        <f>9%*Table1[[#This Row],[Cost ]]</f>
        <v>0</v>
      </c>
      <c r="J253" s="49">
        <f>SUMIF('Multi-level BOM'!D$4:D$467,Table1[[#This Row],[Part Number]],'Multi-level BOM'!H$4:H$467)</f>
        <v>0</v>
      </c>
      <c r="K253" s="10">
        <f>Table1[[#This Row],[extended quantity]]*(Table1[[#This Row],[Cost ]]+Table1[[#This Row],[shipping]]+Table1[[#This Row],[Tax]])</f>
        <v>0</v>
      </c>
      <c r="L253" s="83" t="str">
        <f>IF(Table1[[#This Row],[Buy-now costs]]&gt;0,"X","")</f>
        <v/>
      </c>
      <c r="M253" s="83"/>
      <c r="N253" s="83"/>
      <c r="O253" s="40">
        <v>0</v>
      </c>
      <c r="P253" s="97">
        <f>Table1[[#This Row],[quantity on-hand]]*(Table1[[#This Row],[Cost ]]+Table1[[#This Row],[shipping]]+Table1[[#This Row],[Tax]])</f>
        <v>0</v>
      </c>
      <c r="Q253" s="40">
        <v>0</v>
      </c>
      <c r="R253" s="95">
        <f>Table1[[#This Row],[Quantity on order]]*(Table1[[#This Row],[Cost ]]+Table1[[#This Row],[shipping]]+Table1[[#This Row],[Tax]])</f>
        <v>0</v>
      </c>
      <c r="S2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3" s="49">
        <f>Table1[[#This Row],[Quantity  to  purchase]]+Table1[[#This Row],[Quantity purchased]]+Table1[[#This Row],[Quantity on order]]+Table1[[#This Row],[Quantity donated]]-Table1[[#This Row],[extended quantity]]</f>
        <v>0</v>
      </c>
      <c r="U2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3" s="51">
        <f>IFERROR(Table1[[#This Row],[Quantity  to  purchase]]*(Table1[[#This Row],[Cost ]]+Table1[[#This Row],[shipping]]+Table1[[#This Row],[Tax]]),0)</f>
        <v>0</v>
      </c>
      <c r="W253" s="36">
        <f>IFERROR(Table1[[#This Row],[leftover material]]*(Table1[[#This Row],[Cost ]]+Table1[[#This Row],[shipping]]+Table1[[#This Row],[Tax]]),0)</f>
        <v>0</v>
      </c>
      <c r="X253" s="36"/>
      <c r="Y253" s="87"/>
      <c r="Z253" s="87"/>
      <c r="AA253" s="87"/>
      <c r="AB253" s="36"/>
      <c r="AC253" s="36">
        <f>IF(ISNA(VLOOKUP(Table1[[#This Row],[Part Number]],'Multi-level BOM'!V$4:V$449,1,FALSE)),0,Table1[[#This Row],[Remaining Extended cost]])</f>
        <v>0</v>
      </c>
    </row>
    <row r="254" spans="1:29" x14ac:dyDescent="0.25">
      <c r="A254" s="1" t="s">
        <v>257</v>
      </c>
      <c r="B254" s="4"/>
      <c r="F254" s="3">
        <f>9%*Table1[[#This Row],[Cost ]]</f>
        <v>0</v>
      </c>
      <c r="J254" s="49">
        <f>SUMIF('Multi-level BOM'!D$4:D$467,Table1[[#This Row],[Part Number]],'Multi-level BOM'!H$4:H$467)</f>
        <v>0</v>
      </c>
      <c r="K254" s="10">
        <f>Table1[[#This Row],[extended quantity]]*(Table1[[#This Row],[Cost ]]+Table1[[#This Row],[shipping]]+Table1[[#This Row],[Tax]])</f>
        <v>0</v>
      </c>
      <c r="L254" s="83" t="str">
        <f>IF(Table1[[#This Row],[Buy-now costs]]&gt;0,"X","")</f>
        <v/>
      </c>
      <c r="M254" s="83"/>
      <c r="N254" s="83"/>
      <c r="O254" s="40">
        <v>0</v>
      </c>
      <c r="P254" s="97">
        <f>Table1[[#This Row],[quantity on-hand]]*(Table1[[#This Row],[Cost ]]+Table1[[#This Row],[shipping]]+Table1[[#This Row],[Tax]])</f>
        <v>0</v>
      </c>
      <c r="Q254" s="40">
        <v>0</v>
      </c>
      <c r="R254" s="95">
        <f>Table1[[#This Row],[Quantity on order]]*(Table1[[#This Row],[Cost ]]+Table1[[#This Row],[shipping]]+Table1[[#This Row],[Tax]])</f>
        <v>0</v>
      </c>
      <c r="S2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4" s="49">
        <f>Table1[[#This Row],[Quantity  to  purchase]]+Table1[[#This Row],[Quantity purchased]]+Table1[[#This Row],[Quantity on order]]+Table1[[#This Row],[Quantity donated]]-Table1[[#This Row],[extended quantity]]</f>
        <v>0</v>
      </c>
      <c r="U2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4" s="51">
        <f>IFERROR(Table1[[#This Row],[Quantity  to  purchase]]*(Table1[[#This Row],[Cost ]]+Table1[[#This Row],[shipping]]+Table1[[#This Row],[Tax]]),0)</f>
        <v>0</v>
      </c>
      <c r="W254" s="36">
        <f>IFERROR(Table1[[#This Row],[leftover material]]*(Table1[[#This Row],[Cost ]]+Table1[[#This Row],[shipping]]+Table1[[#This Row],[Tax]]),0)</f>
        <v>0</v>
      </c>
      <c r="X254" s="36"/>
      <c r="Y254" s="87"/>
      <c r="Z254" s="87"/>
      <c r="AA254" s="87"/>
      <c r="AB254" s="36"/>
      <c r="AC254" s="36">
        <f>IF(ISNA(VLOOKUP(Table1[[#This Row],[Part Number]],'Multi-level BOM'!V$4:V$449,1,FALSE)),0,Table1[[#This Row],[Remaining Extended cost]])</f>
        <v>0</v>
      </c>
    </row>
    <row r="255" spans="1:29" x14ac:dyDescent="0.25">
      <c r="A255" s="1" t="s">
        <v>258</v>
      </c>
      <c r="B255" s="4"/>
      <c r="F255" s="3">
        <f>9%*Table1[[#This Row],[Cost ]]</f>
        <v>0</v>
      </c>
      <c r="J255" s="49">
        <f>SUMIF('Multi-level BOM'!D$4:D$467,Table1[[#This Row],[Part Number]],'Multi-level BOM'!H$4:H$467)</f>
        <v>0</v>
      </c>
      <c r="K255" s="10">
        <f>Table1[[#This Row],[extended quantity]]*(Table1[[#This Row],[Cost ]]+Table1[[#This Row],[shipping]]+Table1[[#This Row],[Tax]])</f>
        <v>0</v>
      </c>
      <c r="L255" s="83" t="str">
        <f>IF(Table1[[#This Row],[Buy-now costs]]&gt;0,"X","")</f>
        <v/>
      </c>
      <c r="M255" s="83"/>
      <c r="N255" s="83"/>
      <c r="O255" s="40">
        <v>0</v>
      </c>
      <c r="P255" s="97">
        <f>Table1[[#This Row],[quantity on-hand]]*(Table1[[#This Row],[Cost ]]+Table1[[#This Row],[shipping]]+Table1[[#This Row],[Tax]])</f>
        <v>0</v>
      </c>
      <c r="Q255" s="40">
        <v>0</v>
      </c>
      <c r="R255" s="95">
        <f>Table1[[#This Row],[Quantity on order]]*(Table1[[#This Row],[Cost ]]+Table1[[#This Row],[shipping]]+Table1[[#This Row],[Tax]])</f>
        <v>0</v>
      </c>
      <c r="S2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5" s="49">
        <f>Table1[[#This Row],[Quantity  to  purchase]]+Table1[[#This Row],[Quantity purchased]]+Table1[[#This Row],[Quantity on order]]+Table1[[#This Row],[Quantity donated]]-Table1[[#This Row],[extended quantity]]</f>
        <v>0</v>
      </c>
      <c r="U2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5" s="51">
        <f>IFERROR(Table1[[#This Row],[Quantity  to  purchase]]*(Table1[[#This Row],[Cost ]]+Table1[[#This Row],[shipping]]+Table1[[#This Row],[Tax]]),0)</f>
        <v>0</v>
      </c>
      <c r="W255" s="36">
        <f>IFERROR(Table1[[#This Row],[leftover material]]*(Table1[[#This Row],[Cost ]]+Table1[[#This Row],[shipping]]+Table1[[#This Row],[Tax]]),0)</f>
        <v>0</v>
      </c>
      <c r="X255" s="36"/>
      <c r="Y255" s="87"/>
      <c r="Z255" s="87"/>
      <c r="AA255" s="87"/>
      <c r="AB255" s="36"/>
      <c r="AC255" s="36">
        <f>IF(ISNA(VLOOKUP(Table1[[#This Row],[Part Number]],'Multi-level BOM'!V$4:V$449,1,FALSE)),0,Table1[[#This Row],[Remaining Extended cost]])</f>
        <v>0</v>
      </c>
    </row>
    <row r="256" spans="1:29" x14ac:dyDescent="0.25">
      <c r="A256" s="1" t="s">
        <v>259</v>
      </c>
      <c r="B256" s="4"/>
      <c r="F256" s="3">
        <f>9%*Table1[[#This Row],[Cost ]]</f>
        <v>0</v>
      </c>
      <c r="J256" s="49">
        <f>SUMIF('Multi-level BOM'!D$4:D$467,Table1[[#This Row],[Part Number]],'Multi-level BOM'!H$4:H$467)</f>
        <v>0</v>
      </c>
      <c r="K256" s="10">
        <f>Table1[[#This Row],[extended quantity]]*(Table1[[#This Row],[Cost ]]+Table1[[#This Row],[shipping]]+Table1[[#This Row],[Tax]])</f>
        <v>0</v>
      </c>
      <c r="L256" s="83" t="str">
        <f>IF(Table1[[#This Row],[Buy-now costs]]&gt;0,"X","")</f>
        <v/>
      </c>
      <c r="M256" s="83"/>
      <c r="N256" s="83"/>
      <c r="O256" s="40">
        <v>0</v>
      </c>
      <c r="P256" s="97">
        <f>Table1[[#This Row],[quantity on-hand]]*(Table1[[#This Row],[Cost ]]+Table1[[#This Row],[shipping]]+Table1[[#This Row],[Tax]])</f>
        <v>0</v>
      </c>
      <c r="Q256" s="40">
        <v>0</v>
      </c>
      <c r="R256" s="95">
        <f>Table1[[#This Row],[Quantity on order]]*(Table1[[#This Row],[Cost ]]+Table1[[#This Row],[shipping]]+Table1[[#This Row],[Tax]])</f>
        <v>0</v>
      </c>
      <c r="S2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6" s="49">
        <f>Table1[[#This Row],[Quantity  to  purchase]]+Table1[[#This Row],[Quantity purchased]]+Table1[[#This Row],[Quantity on order]]+Table1[[#This Row],[Quantity donated]]-Table1[[#This Row],[extended quantity]]</f>
        <v>0</v>
      </c>
      <c r="U2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6" s="51">
        <f>IFERROR(Table1[[#This Row],[Quantity  to  purchase]]*(Table1[[#This Row],[Cost ]]+Table1[[#This Row],[shipping]]+Table1[[#This Row],[Tax]]),0)</f>
        <v>0</v>
      </c>
      <c r="W256" s="36">
        <f>IFERROR(Table1[[#This Row],[leftover material]]*(Table1[[#This Row],[Cost ]]+Table1[[#This Row],[shipping]]+Table1[[#This Row],[Tax]]),0)</f>
        <v>0</v>
      </c>
      <c r="X256" s="36"/>
      <c r="Y256" s="87"/>
      <c r="Z256" s="87"/>
      <c r="AA256" s="87"/>
      <c r="AB256" s="36"/>
      <c r="AC256" s="36">
        <f>IF(ISNA(VLOOKUP(Table1[[#This Row],[Part Number]],'Multi-level BOM'!V$4:V$449,1,FALSE)),0,Table1[[#This Row],[Remaining Extended cost]])</f>
        <v>0</v>
      </c>
    </row>
    <row r="257" spans="1:29" x14ac:dyDescent="0.25">
      <c r="A257" s="1" t="s">
        <v>260</v>
      </c>
      <c r="B257" s="4"/>
      <c r="F257" s="3">
        <f>9%*Table1[[#This Row],[Cost ]]</f>
        <v>0</v>
      </c>
      <c r="J257" s="49">
        <f>SUMIF('Multi-level BOM'!D$4:D$467,Table1[[#This Row],[Part Number]],'Multi-level BOM'!H$4:H$467)</f>
        <v>0</v>
      </c>
      <c r="K257" s="10">
        <f>Table1[[#This Row],[extended quantity]]*(Table1[[#This Row],[Cost ]]+Table1[[#This Row],[shipping]]+Table1[[#This Row],[Tax]])</f>
        <v>0</v>
      </c>
      <c r="L257" s="83" t="str">
        <f>IF(Table1[[#This Row],[Buy-now costs]]&gt;0,"X","")</f>
        <v/>
      </c>
      <c r="M257" s="83"/>
      <c r="N257" s="83"/>
      <c r="O257" s="40">
        <v>0</v>
      </c>
      <c r="P257" s="97">
        <f>Table1[[#This Row],[quantity on-hand]]*(Table1[[#This Row],[Cost ]]+Table1[[#This Row],[shipping]]+Table1[[#This Row],[Tax]])</f>
        <v>0</v>
      </c>
      <c r="Q257" s="40">
        <v>0</v>
      </c>
      <c r="R257" s="95">
        <f>Table1[[#This Row],[Quantity on order]]*(Table1[[#This Row],[Cost ]]+Table1[[#This Row],[shipping]]+Table1[[#This Row],[Tax]])</f>
        <v>0</v>
      </c>
      <c r="S2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7" s="49">
        <f>Table1[[#This Row],[Quantity  to  purchase]]+Table1[[#This Row],[Quantity purchased]]+Table1[[#This Row],[Quantity on order]]+Table1[[#This Row],[Quantity donated]]-Table1[[#This Row],[extended quantity]]</f>
        <v>0</v>
      </c>
      <c r="U2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7" s="51">
        <f>IFERROR(Table1[[#This Row],[Quantity  to  purchase]]*(Table1[[#This Row],[Cost ]]+Table1[[#This Row],[shipping]]+Table1[[#This Row],[Tax]]),0)</f>
        <v>0</v>
      </c>
      <c r="W257" s="36">
        <f>IFERROR(Table1[[#This Row],[leftover material]]*(Table1[[#This Row],[Cost ]]+Table1[[#This Row],[shipping]]+Table1[[#This Row],[Tax]]),0)</f>
        <v>0</v>
      </c>
      <c r="X257" s="36"/>
      <c r="Y257" s="87"/>
      <c r="Z257" s="87"/>
      <c r="AA257" s="87"/>
      <c r="AB257" s="36"/>
      <c r="AC257" s="36">
        <f>IF(ISNA(VLOOKUP(Table1[[#This Row],[Part Number]],'Multi-level BOM'!V$4:V$449,1,FALSE)),0,Table1[[#This Row],[Remaining Extended cost]])</f>
        <v>0</v>
      </c>
    </row>
    <row r="258" spans="1:29" x14ac:dyDescent="0.25">
      <c r="A258" s="1" t="s">
        <v>261</v>
      </c>
      <c r="B258" s="4"/>
      <c r="F258" s="3">
        <f>9%*Table1[[#This Row],[Cost ]]</f>
        <v>0</v>
      </c>
      <c r="J258" s="49">
        <f>SUMIF('Multi-level BOM'!D$4:D$467,Table1[[#This Row],[Part Number]],'Multi-level BOM'!H$4:H$467)</f>
        <v>0</v>
      </c>
      <c r="K258" s="10">
        <f>Table1[[#This Row],[extended quantity]]*(Table1[[#This Row],[Cost ]]+Table1[[#This Row],[shipping]]+Table1[[#This Row],[Tax]])</f>
        <v>0</v>
      </c>
      <c r="L258" s="83" t="str">
        <f>IF(Table1[[#This Row],[Buy-now costs]]&gt;0,"X","")</f>
        <v/>
      </c>
      <c r="M258" s="83"/>
      <c r="N258" s="83"/>
      <c r="O258" s="40">
        <v>0</v>
      </c>
      <c r="P258" s="97">
        <f>Table1[[#This Row],[quantity on-hand]]*(Table1[[#This Row],[Cost ]]+Table1[[#This Row],[shipping]]+Table1[[#This Row],[Tax]])</f>
        <v>0</v>
      </c>
      <c r="Q258" s="40">
        <v>0</v>
      </c>
      <c r="R258" s="95">
        <f>Table1[[#This Row],[Quantity on order]]*(Table1[[#This Row],[Cost ]]+Table1[[#This Row],[shipping]]+Table1[[#This Row],[Tax]])</f>
        <v>0</v>
      </c>
      <c r="S2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8" s="49">
        <f>Table1[[#This Row],[Quantity  to  purchase]]+Table1[[#This Row],[Quantity purchased]]+Table1[[#This Row],[Quantity on order]]+Table1[[#This Row],[Quantity donated]]-Table1[[#This Row],[extended quantity]]</f>
        <v>0</v>
      </c>
      <c r="U2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8" s="51">
        <f>IFERROR(Table1[[#This Row],[Quantity  to  purchase]]*(Table1[[#This Row],[Cost ]]+Table1[[#This Row],[shipping]]+Table1[[#This Row],[Tax]]),0)</f>
        <v>0</v>
      </c>
      <c r="W258" s="36">
        <f>IFERROR(Table1[[#This Row],[leftover material]]*(Table1[[#This Row],[Cost ]]+Table1[[#This Row],[shipping]]+Table1[[#This Row],[Tax]]),0)</f>
        <v>0</v>
      </c>
      <c r="X258" s="36"/>
      <c r="Y258" s="87"/>
      <c r="Z258" s="87"/>
      <c r="AA258" s="87"/>
      <c r="AB258" s="36"/>
      <c r="AC258" s="36">
        <f>IF(ISNA(VLOOKUP(Table1[[#This Row],[Part Number]],'Multi-level BOM'!V$4:V$449,1,FALSE)),0,Table1[[#This Row],[Remaining Extended cost]])</f>
        <v>0</v>
      </c>
    </row>
    <row r="259" spans="1:29" x14ac:dyDescent="0.25">
      <c r="A259" s="1" t="s">
        <v>262</v>
      </c>
      <c r="B259" s="4"/>
      <c r="F259" s="3">
        <f>9%*Table1[[#This Row],[Cost ]]</f>
        <v>0</v>
      </c>
      <c r="J259" s="49">
        <f>SUMIF('Multi-level BOM'!D$4:D$467,Table1[[#This Row],[Part Number]],'Multi-level BOM'!H$4:H$467)</f>
        <v>0</v>
      </c>
      <c r="K259" s="10">
        <f>Table1[[#This Row],[extended quantity]]*(Table1[[#This Row],[Cost ]]+Table1[[#This Row],[shipping]]+Table1[[#This Row],[Tax]])</f>
        <v>0</v>
      </c>
      <c r="L259" s="83" t="str">
        <f>IF(Table1[[#This Row],[Buy-now costs]]&gt;0,"X","")</f>
        <v/>
      </c>
      <c r="M259" s="83"/>
      <c r="N259" s="83"/>
      <c r="O259" s="40">
        <v>0</v>
      </c>
      <c r="P259" s="97">
        <f>Table1[[#This Row],[quantity on-hand]]*(Table1[[#This Row],[Cost ]]+Table1[[#This Row],[shipping]]+Table1[[#This Row],[Tax]])</f>
        <v>0</v>
      </c>
      <c r="Q259" s="40">
        <v>0</v>
      </c>
      <c r="R259" s="95">
        <f>Table1[[#This Row],[Quantity on order]]*(Table1[[#This Row],[Cost ]]+Table1[[#This Row],[shipping]]+Table1[[#This Row],[Tax]])</f>
        <v>0</v>
      </c>
      <c r="S2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9" s="49">
        <f>Table1[[#This Row],[Quantity  to  purchase]]+Table1[[#This Row],[Quantity purchased]]+Table1[[#This Row],[Quantity on order]]+Table1[[#This Row],[Quantity donated]]-Table1[[#This Row],[extended quantity]]</f>
        <v>0</v>
      </c>
      <c r="U2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9" s="51">
        <f>IFERROR(Table1[[#This Row],[Quantity  to  purchase]]*(Table1[[#This Row],[Cost ]]+Table1[[#This Row],[shipping]]+Table1[[#This Row],[Tax]]),0)</f>
        <v>0</v>
      </c>
      <c r="W259" s="36">
        <f>IFERROR(Table1[[#This Row],[leftover material]]*(Table1[[#This Row],[Cost ]]+Table1[[#This Row],[shipping]]+Table1[[#This Row],[Tax]]),0)</f>
        <v>0</v>
      </c>
      <c r="X259" s="36"/>
      <c r="Y259" s="87"/>
      <c r="Z259" s="87"/>
      <c r="AA259" s="87"/>
      <c r="AB259" s="36"/>
      <c r="AC259" s="36">
        <f>IF(ISNA(VLOOKUP(Table1[[#This Row],[Part Number]],'Multi-level BOM'!V$4:V$449,1,FALSE)),0,Table1[[#This Row],[Remaining Extended cost]])</f>
        <v>0</v>
      </c>
    </row>
    <row r="260" spans="1:29" x14ac:dyDescent="0.25">
      <c r="A260" s="1" t="s">
        <v>263</v>
      </c>
      <c r="B260" s="4"/>
      <c r="F260" s="3">
        <f>9%*Table1[[#This Row],[Cost ]]</f>
        <v>0</v>
      </c>
      <c r="J260" s="49">
        <f>SUMIF('Multi-level BOM'!D$4:D$467,Table1[[#This Row],[Part Number]],'Multi-level BOM'!H$4:H$467)</f>
        <v>0</v>
      </c>
      <c r="K260" s="10">
        <f>Table1[[#This Row],[extended quantity]]*(Table1[[#This Row],[Cost ]]+Table1[[#This Row],[shipping]]+Table1[[#This Row],[Tax]])</f>
        <v>0</v>
      </c>
      <c r="L260" s="83" t="str">
        <f>IF(Table1[[#This Row],[Buy-now costs]]&gt;0,"X","")</f>
        <v/>
      </c>
      <c r="M260" s="83"/>
      <c r="N260" s="83"/>
      <c r="O260" s="40">
        <v>0</v>
      </c>
      <c r="P260" s="97">
        <f>Table1[[#This Row],[quantity on-hand]]*(Table1[[#This Row],[Cost ]]+Table1[[#This Row],[shipping]]+Table1[[#This Row],[Tax]])</f>
        <v>0</v>
      </c>
      <c r="Q260" s="40">
        <v>0</v>
      </c>
      <c r="R260" s="95">
        <f>Table1[[#This Row],[Quantity on order]]*(Table1[[#This Row],[Cost ]]+Table1[[#This Row],[shipping]]+Table1[[#This Row],[Tax]])</f>
        <v>0</v>
      </c>
      <c r="S2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0" s="49">
        <f>Table1[[#This Row],[Quantity  to  purchase]]+Table1[[#This Row],[Quantity purchased]]+Table1[[#This Row],[Quantity on order]]+Table1[[#This Row],[Quantity donated]]-Table1[[#This Row],[extended quantity]]</f>
        <v>0</v>
      </c>
      <c r="U2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0" s="51">
        <f>IFERROR(Table1[[#This Row],[Quantity  to  purchase]]*(Table1[[#This Row],[Cost ]]+Table1[[#This Row],[shipping]]+Table1[[#This Row],[Tax]]),0)</f>
        <v>0</v>
      </c>
      <c r="W260" s="36">
        <f>IFERROR(Table1[[#This Row],[leftover material]]*(Table1[[#This Row],[Cost ]]+Table1[[#This Row],[shipping]]+Table1[[#This Row],[Tax]]),0)</f>
        <v>0</v>
      </c>
      <c r="X260" s="36"/>
      <c r="Y260" s="87"/>
      <c r="Z260" s="87"/>
      <c r="AA260" s="87"/>
      <c r="AB260" s="36"/>
      <c r="AC260" s="36">
        <f>IF(ISNA(VLOOKUP(Table1[[#This Row],[Part Number]],'Multi-level BOM'!V$4:V$449,1,FALSE)),0,Table1[[#This Row],[Remaining Extended cost]])</f>
        <v>0</v>
      </c>
    </row>
    <row r="261" spans="1:29" x14ac:dyDescent="0.25">
      <c r="A261" s="1" t="s">
        <v>264</v>
      </c>
      <c r="B261" s="4"/>
      <c r="F261" s="3">
        <f>9%*Table1[[#This Row],[Cost ]]</f>
        <v>0</v>
      </c>
      <c r="J261" s="49">
        <f>SUMIF('Multi-level BOM'!D$4:D$467,Table1[[#This Row],[Part Number]],'Multi-level BOM'!H$4:H$467)</f>
        <v>0</v>
      </c>
      <c r="K261" s="10">
        <f>Table1[[#This Row],[extended quantity]]*(Table1[[#This Row],[Cost ]]+Table1[[#This Row],[shipping]]+Table1[[#This Row],[Tax]])</f>
        <v>0</v>
      </c>
      <c r="L261" s="83" t="str">
        <f>IF(Table1[[#This Row],[Buy-now costs]]&gt;0,"X","")</f>
        <v/>
      </c>
      <c r="M261" s="83"/>
      <c r="N261" s="83"/>
      <c r="O261" s="40">
        <v>0</v>
      </c>
      <c r="P261" s="97">
        <f>Table1[[#This Row],[quantity on-hand]]*(Table1[[#This Row],[Cost ]]+Table1[[#This Row],[shipping]]+Table1[[#This Row],[Tax]])</f>
        <v>0</v>
      </c>
      <c r="Q261" s="40">
        <v>0</v>
      </c>
      <c r="R261" s="95">
        <f>Table1[[#This Row],[Quantity on order]]*(Table1[[#This Row],[Cost ]]+Table1[[#This Row],[shipping]]+Table1[[#This Row],[Tax]])</f>
        <v>0</v>
      </c>
      <c r="S2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1" s="49">
        <f>Table1[[#This Row],[Quantity  to  purchase]]+Table1[[#This Row],[Quantity purchased]]+Table1[[#This Row],[Quantity on order]]+Table1[[#This Row],[Quantity donated]]-Table1[[#This Row],[extended quantity]]</f>
        <v>0</v>
      </c>
      <c r="U2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1" s="51">
        <f>IFERROR(Table1[[#This Row],[Quantity  to  purchase]]*(Table1[[#This Row],[Cost ]]+Table1[[#This Row],[shipping]]+Table1[[#This Row],[Tax]]),0)</f>
        <v>0</v>
      </c>
      <c r="W261" s="36">
        <f>IFERROR(Table1[[#This Row],[leftover material]]*(Table1[[#This Row],[Cost ]]+Table1[[#This Row],[shipping]]+Table1[[#This Row],[Tax]]),0)</f>
        <v>0</v>
      </c>
      <c r="X261" s="36"/>
      <c r="Y261" s="87"/>
      <c r="Z261" s="87"/>
      <c r="AA261" s="87"/>
      <c r="AB261" s="36"/>
      <c r="AC261" s="36">
        <f>IF(ISNA(VLOOKUP(Table1[[#This Row],[Part Number]],'Multi-level BOM'!V$4:V$449,1,FALSE)),0,Table1[[#This Row],[Remaining Extended cost]])</f>
        <v>0</v>
      </c>
    </row>
    <row r="262" spans="1:29" x14ac:dyDescent="0.25">
      <c r="A262" s="1" t="s">
        <v>265</v>
      </c>
      <c r="B262" s="4"/>
      <c r="F262" s="3">
        <f>9%*Table1[[#This Row],[Cost ]]</f>
        <v>0</v>
      </c>
      <c r="J262" s="49">
        <f>SUMIF('Multi-level BOM'!D$4:D$467,Table1[[#This Row],[Part Number]],'Multi-level BOM'!H$4:H$467)</f>
        <v>0</v>
      </c>
      <c r="K262" s="10">
        <f>Table1[[#This Row],[extended quantity]]*(Table1[[#This Row],[Cost ]]+Table1[[#This Row],[shipping]]+Table1[[#This Row],[Tax]])</f>
        <v>0</v>
      </c>
      <c r="L262" s="83" t="str">
        <f>IF(Table1[[#This Row],[Buy-now costs]]&gt;0,"X","")</f>
        <v/>
      </c>
      <c r="M262" s="83"/>
      <c r="N262" s="83"/>
      <c r="O262" s="40">
        <v>0</v>
      </c>
      <c r="P262" s="97">
        <f>Table1[[#This Row],[quantity on-hand]]*(Table1[[#This Row],[Cost ]]+Table1[[#This Row],[shipping]]+Table1[[#This Row],[Tax]])</f>
        <v>0</v>
      </c>
      <c r="Q262" s="40">
        <v>0</v>
      </c>
      <c r="R262" s="95">
        <f>Table1[[#This Row],[Quantity on order]]*(Table1[[#This Row],[Cost ]]+Table1[[#This Row],[shipping]]+Table1[[#This Row],[Tax]])</f>
        <v>0</v>
      </c>
      <c r="S2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2" s="49">
        <f>Table1[[#This Row],[Quantity  to  purchase]]+Table1[[#This Row],[Quantity purchased]]+Table1[[#This Row],[Quantity on order]]+Table1[[#This Row],[Quantity donated]]-Table1[[#This Row],[extended quantity]]</f>
        <v>0</v>
      </c>
      <c r="U2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2" s="51">
        <f>IFERROR(Table1[[#This Row],[Quantity  to  purchase]]*(Table1[[#This Row],[Cost ]]+Table1[[#This Row],[shipping]]+Table1[[#This Row],[Tax]]),0)</f>
        <v>0</v>
      </c>
      <c r="W262" s="36">
        <f>IFERROR(Table1[[#This Row],[leftover material]]*(Table1[[#This Row],[Cost ]]+Table1[[#This Row],[shipping]]+Table1[[#This Row],[Tax]]),0)</f>
        <v>0</v>
      </c>
      <c r="X262" s="36"/>
      <c r="Y262" s="87"/>
      <c r="Z262" s="87"/>
      <c r="AA262" s="87"/>
      <c r="AB262" s="36"/>
      <c r="AC262" s="36">
        <f>IF(ISNA(VLOOKUP(Table1[[#This Row],[Part Number]],'Multi-level BOM'!V$4:V$449,1,FALSE)),0,Table1[[#This Row],[Remaining Extended cost]])</f>
        <v>0</v>
      </c>
    </row>
    <row r="263" spans="1:29" x14ac:dyDescent="0.25">
      <c r="A263" s="1" t="s">
        <v>266</v>
      </c>
      <c r="B263" s="4"/>
      <c r="F263" s="3">
        <f>9%*Table1[[#This Row],[Cost ]]</f>
        <v>0</v>
      </c>
      <c r="J263" s="49">
        <f>SUMIF('Multi-level BOM'!D$4:D$467,Table1[[#This Row],[Part Number]],'Multi-level BOM'!H$4:H$467)</f>
        <v>0</v>
      </c>
      <c r="K263" s="10">
        <f>Table1[[#This Row],[extended quantity]]*(Table1[[#This Row],[Cost ]]+Table1[[#This Row],[shipping]]+Table1[[#This Row],[Tax]])</f>
        <v>0</v>
      </c>
      <c r="L263" s="83" t="str">
        <f>IF(Table1[[#This Row],[Buy-now costs]]&gt;0,"X","")</f>
        <v/>
      </c>
      <c r="M263" s="83"/>
      <c r="N263" s="83"/>
      <c r="O263" s="40">
        <v>0</v>
      </c>
      <c r="P263" s="97">
        <f>Table1[[#This Row],[quantity on-hand]]*(Table1[[#This Row],[Cost ]]+Table1[[#This Row],[shipping]]+Table1[[#This Row],[Tax]])</f>
        <v>0</v>
      </c>
      <c r="Q263" s="40">
        <v>0</v>
      </c>
      <c r="R263" s="95">
        <f>Table1[[#This Row],[Quantity on order]]*(Table1[[#This Row],[Cost ]]+Table1[[#This Row],[shipping]]+Table1[[#This Row],[Tax]])</f>
        <v>0</v>
      </c>
      <c r="S2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3" s="49">
        <f>Table1[[#This Row],[Quantity  to  purchase]]+Table1[[#This Row],[Quantity purchased]]+Table1[[#This Row],[Quantity on order]]+Table1[[#This Row],[Quantity donated]]-Table1[[#This Row],[extended quantity]]</f>
        <v>0</v>
      </c>
      <c r="U2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3" s="51">
        <f>IFERROR(Table1[[#This Row],[Quantity  to  purchase]]*(Table1[[#This Row],[Cost ]]+Table1[[#This Row],[shipping]]+Table1[[#This Row],[Tax]]),0)</f>
        <v>0</v>
      </c>
      <c r="W263" s="36">
        <f>IFERROR(Table1[[#This Row],[leftover material]]*(Table1[[#This Row],[Cost ]]+Table1[[#This Row],[shipping]]+Table1[[#This Row],[Tax]]),0)</f>
        <v>0</v>
      </c>
      <c r="X263" s="36"/>
      <c r="Y263" s="87"/>
      <c r="Z263" s="87"/>
      <c r="AA263" s="87"/>
      <c r="AB263" s="36"/>
      <c r="AC263" s="36">
        <f>IF(ISNA(VLOOKUP(Table1[[#This Row],[Part Number]],'Multi-level BOM'!V$4:V$449,1,FALSE)),0,Table1[[#This Row],[Remaining Extended cost]])</f>
        <v>0</v>
      </c>
    </row>
    <row r="264" spans="1:29" x14ac:dyDescent="0.25">
      <c r="A264" s="1" t="s">
        <v>267</v>
      </c>
      <c r="B264" s="4"/>
      <c r="F264" s="3">
        <f>9%*Table1[[#This Row],[Cost ]]</f>
        <v>0</v>
      </c>
      <c r="J264" s="49">
        <f>SUMIF('Multi-level BOM'!D$4:D$467,Table1[[#This Row],[Part Number]],'Multi-level BOM'!H$4:H$467)</f>
        <v>0</v>
      </c>
      <c r="K264" s="10">
        <f>Table1[[#This Row],[extended quantity]]*(Table1[[#This Row],[Cost ]]+Table1[[#This Row],[shipping]]+Table1[[#This Row],[Tax]])</f>
        <v>0</v>
      </c>
      <c r="L264" s="83" t="str">
        <f>IF(Table1[[#This Row],[Buy-now costs]]&gt;0,"X","")</f>
        <v/>
      </c>
      <c r="M264" s="83"/>
      <c r="N264" s="83"/>
      <c r="O264" s="40">
        <v>0</v>
      </c>
      <c r="P264" s="97">
        <f>Table1[[#This Row],[quantity on-hand]]*(Table1[[#This Row],[Cost ]]+Table1[[#This Row],[shipping]]+Table1[[#This Row],[Tax]])</f>
        <v>0</v>
      </c>
      <c r="Q264" s="40">
        <v>0</v>
      </c>
      <c r="R264" s="95">
        <f>Table1[[#This Row],[Quantity on order]]*(Table1[[#This Row],[Cost ]]+Table1[[#This Row],[shipping]]+Table1[[#This Row],[Tax]])</f>
        <v>0</v>
      </c>
      <c r="S2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4" s="49">
        <f>Table1[[#This Row],[Quantity  to  purchase]]+Table1[[#This Row],[Quantity purchased]]+Table1[[#This Row],[Quantity on order]]+Table1[[#This Row],[Quantity donated]]-Table1[[#This Row],[extended quantity]]</f>
        <v>0</v>
      </c>
      <c r="U2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4" s="51">
        <f>IFERROR(Table1[[#This Row],[Quantity  to  purchase]]*(Table1[[#This Row],[Cost ]]+Table1[[#This Row],[shipping]]+Table1[[#This Row],[Tax]]),0)</f>
        <v>0</v>
      </c>
      <c r="W264" s="36">
        <f>IFERROR(Table1[[#This Row],[leftover material]]*(Table1[[#This Row],[Cost ]]+Table1[[#This Row],[shipping]]+Table1[[#This Row],[Tax]]),0)</f>
        <v>0</v>
      </c>
      <c r="X264" s="36"/>
      <c r="Y264" s="87"/>
      <c r="Z264" s="87"/>
      <c r="AA264" s="87"/>
      <c r="AB264" s="36"/>
      <c r="AC264" s="36">
        <f>IF(ISNA(VLOOKUP(Table1[[#This Row],[Part Number]],'Multi-level BOM'!V$4:V$449,1,FALSE)),0,Table1[[#This Row],[Remaining Extended cost]])</f>
        <v>0</v>
      </c>
    </row>
    <row r="265" spans="1:29" x14ac:dyDescent="0.25">
      <c r="A265" s="1" t="s">
        <v>268</v>
      </c>
      <c r="B265" s="4"/>
      <c r="F265" s="3">
        <f>9%*Table1[[#This Row],[Cost ]]</f>
        <v>0</v>
      </c>
      <c r="J265" s="49">
        <f>SUMIF('Multi-level BOM'!D$4:D$467,Table1[[#This Row],[Part Number]],'Multi-level BOM'!H$4:H$467)</f>
        <v>0</v>
      </c>
      <c r="K265" s="10">
        <f>Table1[[#This Row],[extended quantity]]*(Table1[[#This Row],[Cost ]]+Table1[[#This Row],[shipping]]+Table1[[#This Row],[Tax]])</f>
        <v>0</v>
      </c>
      <c r="L265" s="83" t="str">
        <f>IF(Table1[[#This Row],[Buy-now costs]]&gt;0,"X","")</f>
        <v/>
      </c>
      <c r="M265" s="83"/>
      <c r="N265" s="83"/>
      <c r="O265" s="40">
        <v>0</v>
      </c>
      <c r="P265" s="97">
        <f>Table1[[#This Row],[quantity on-hand]]*(Table1[[#This Row],[Cost ]]+Table1[[#This Row],[shipping]]+Table1[[#This Row],[Tax]])</f>
        <v>0</v>
      </c>
      <c r="Q265" s="40">
        <v>0</v>
      </c>
      <c r="R265" s="95">
        <f>Table1[[#This Row],[Quantity on order]]*(Table1[[#This Row],[Cost ]]+Table1[[#This Row],[shipping]]+Table1[[#This Row],[Tax]])</f>
        <v>0</v>
      </c>
      <c r="S2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5" s="49">
        <f>Table1[[#This Row],[Quantity  to  purchase]]+Table1[[#This Row],[Quantity purchased]]+Table1[[#This Row],[Quantity on order]]+Table1[[#This Row],[Quantity donated]]-Table1[[#This Row],[extended quantity]]</f>
        <v>0</v>
      </c>
      <c r="U2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5" s="51">
        <f>IFERROR(Table1[[#This Row],[Quantity  to  purchase]]*(Table1[[#This Row],[Cost ]]+Table1[[#This Row],[shipping]]+Table1[[#This Row],[Tax]]),0)</f>
        <v>0</v>
      </c>
      <c r="W265" s="36">
        <f>IFERROR(Table1[[#This Row],[leftover material]]*(Table1[[#This Row],[Cost ]]+Table1[[#This Row],[shipping]]+Table1[[#This Row],[Tax]]),0)</f>
        <v>0</v>
      </c>
      <c r="X265" s="36"/>
      <c r="Y265" s="87"/>
      <c r="Z265" s="87"/>
      <c r="AA265" s="87"/>
      <c r="AB265" s="36"/>
      <c r="AC265" s="36">
        <f>IF(ISNA(VLOOKUP(Table1[[#This Row],[Part Number]],'Multi-level BOM'!V$4:V$449,1,FALSE)),0,Table1[[#This Row],[Remaining Extended cost]])</f>
        <v>0</v>
      </c>
    </row>
    <row r="266" spans="1:29" x14ac:dyDescent="0.25">
      <c r="A266" s="1" t="s">
        <v>269</v>
      </c>
      <c r="B266" s="4"/>
      <c r="F266" s="3">
        <f>9%*Table1[[#This Row],[Cost ]]</f>
        <v>0</v>
      </c>
      <c r="J266" s="49">
        <f>SUMIF('Multi-level BOM'!D$4:D$467,Table1[[#This Row],[Part Number]],'Multi-level BOM'!H$4:H$467)</f>
        <v>0</v>
      </c>
      <c r="K266" s="10">
        <f>Table1[[#This Row],[extended quantity]]*(Table1[[#This Row],[Cost ]]+Table1[[#This Row],[shipping]]+Table1[[#This Row],[Tax]])</f>
        <v>0</v>
      </c>
      <c r="L266" s="83" t="str">
        <f>IF(Table1[[#This Row],[Buy-now costs]]&gt;0,"X","")</f>
        <v/>
      </c>
      <c r="M266" s="83"/>
      <c r="N266" s="83"/>
      <c r="O266" s="40">
        <v>0</v>
      </c>
      <c r="P266" s="97">
        <f>Table1[[#This Row],[quantity on-hand]]*(Table1[[#This Row],[Cost ]]+Table1[[#This Row],[shipping]]+Table1[[#This Row],[Tax]])</f>
        <v>0</v>
      </c>
      <c r="Q266" s="40">
        <v>0</v>
      </c>
      <c r="R266" s="95">
        <f>Table1[[#This Row],[Quantity on order]]*(Table1[[#This Row],[Cost ]]+Table1[[#This Row],[shipping]]+Table1[[#This Row],[Tax]])</f>
        <v>0</v>
      </c>
      <c r="S2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6" s="49">
        <f>Table1[[#This Row],[Quantity  to  purchase]]+Table1[[#This Row],[Quantity purchased]]+Table1[[#This Row],[Quantity on order]]+Table1[[#This Row],[Quantity donated]]-Table1[[#This Row],[extended quantity]]</f>
        <v>0</v>
      </c>
      <c r="U2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6" s="51">
        <f>IFERROR(Table1[[#This Row],[Quantity  to  purchase]]*(Table1[[#This Row],[Cost ]]+Table1[[#This Row],[shipping]]+Table1[[#This Row],[Tax]]),0)</f>
        <v>0</v>
      </c>
      <c r="W266" s="36">
        <f>IFERROR(Table1[[#This Row],[leftover material]]*(Table1[[#This Row],[Cost ]]+Table1[[#This Row],[shipping]]+Table1[[#This Row],[Tax]]),0)</f>
        <v>0</v>
      </c>
      <c r="X266" s="36"/>
      <c r="Y266" s="87"/>
      <c r="Z266" s="87"/>
      <c r="AA266" s="87"/>
      <c r="AB266" s="36"/>
      <c r="AC266" s="36">
        <f>IF(ISNA(VLOOKUP(Table1[[#This Row],[Part Number]],'Multi-level BOM'!V$4:V$449,1,FALSE)),0,Table1[[#This Row],[Remaining Extended cost]])</f>
        <v>0</v>
      </c>
    </row>
    <row r="267" spans="1:29" x14ac:dyDescent="0.25">
      <c r="A267" s="1" t="s">
        <v>270</v>
      </c>
      <c r="B267" s="4"/>
      <c r="F267" s="3">
        <f>9%*Table1[[#This Row],[Cost ]]</f>
        <v>0</v>
      </c>
      <c r="J267" s="49">
        <f>SUMIF('Multi-level BOM'!D$4:D$467,Table1[[#This Row],[Part Number]],'Multi-level BOM'!H$4:H$467)</f>
        <v>0</v>
      </c>
      <c r="K267" s="10">
        <f>Table1[[#This Row],[extended quantity]]*(Table1[[#This Row],[Cost ]]+Table1[[#This Row],[shipping]]+Table1[[#This Row],[Tax]])</f>
        <v>0</v>
      </c>
      <c r="L267" s="83" t="str">
        <f>IF(Table1[[#This Row],[Buy-now costs]]&gt;0,"X","")</f>
        <v/>
      </c>
      <c r="M267" s="83"/>
      <c r="N267" s="83"/>
      <c r="O267" s="40">
        <v>0</v>
      </c>
      <c r="P267" s="97">
        <f>Table1[[#This Row],[quantity on-hand]]*(Table1[[#This Row],[Cost ]]+Table1[[#This Row],[shipping]]+Table1[[#This Row],[Tax]])</f>
        <v>0</v>
      </c>
      <c r="Q267" s="40">
        <v>0</v>
      </c>
      <c r="R267" s="95">
        <f>Table1[[#This Row],[Quantity on order]]*(Table1[[#This Row],[Cost ]]+Table1[[#This Row],[shipping]]+Table1[[#This Row],[Tax]])</f>
        <v>0</v>
      </c>
      <c r="S2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7" s="49">
        <f>Table1[[#This Row],[Quantity  to  purchase]]+Table1[[#This Row],[Quantity purchased]]+Table1[[#This Row],[Quantity on order]]+Table1[[#This Row],[Quantity donated]]-Table1[[#This Row],[extended quantity]]</f>
        <v>0</v>
      </c>
      <c r="U2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7" s="51">
        <f>IFERROR(Table1[[#This Row],[Quantity  to  purchase]]*(Table1[[#This Row],[Cost ]]+Table1[[#This Row],[shipping]]+Table1[[#This Row],[Tax]]),0)</f>
        <v>0</v>
      </c>
      <c r="W267" s="36">
        <f>IFERROR(Table1[[#This Row],[leftover material]]*(Table1[[#This Row],[Cost ]]+Table1[[#This Row],[shipping]]+Table1[[#This Row],[Tax]]),0)</f>
        <v>0</v>
      </c>
      <c r="X267" s="36"/>
      <c r="Y267" s="87"/>
      <c r="Z267" s="87"/>
      <c r="AA267" s="87"/>
      <c r="AB267" s="36"/>
      <c r="AC267" s="36">
        <f>IF(ISNA(VLOOKUP(Table1[[#This Row],[Part Number]],'Multi-level BOM'!V$4:V$449,1,FALSE)),0,Table1[[#This Row],[Remaining Extended cost]])</f>
        <v>0</v>
      </c>
    </row>
    <row r="268" spans="1:29" x14ac:dyDescent="0.25">
      <c r="A268" s="1" t="s">
        <v>271</v>
      </c>
      <c r="B268" s="4"/>
      <c r="F268" s="3">
        <f>9%*Table1[[#This Row],[Cost ]]</f>
        <v>0</v>
      </c>
      <c r="J268" s="49">
        <f>SUMIF('Multi-level BOM'!D$4:D$467,Table1[[#This Row],[Part Number]],'Multi-level BOM'!H$4:H$467)</f>
        <v>0</v>
      </c>
      <c r="K268" s="10">
        <f>Table1[[#This Row],[extended quantity]]*(Table1[[#This Row],[Cost ]]+Table1[[#This Row],[shipping]]+Table1[[#This Row],[Tax]])</f>
        <v>0</v>
      </c>
      <c r="L268" s="83" t="str">
        <f>IF(Table1[[#This Row],[Buy-now costs]]&gt;0,"X","")</f>
        <v/>
      </c>
      <c r="M268" s="83"/>
      <c r="N268" s="83"/>
      <c r="O268" s="40">
        <v>0</v>
      </c>
      <c r="P268" s="97">
        <f>Table1[[#This Row],[quantity on-hand]]*(Table1[[#This Row],[Cost ]]+Table1[[#This Row],[shipping]]+Table1[[#This Row],[Tax]])</f>
        <v>0</v>
      </c>
      <c r="Q268" s="40">
        <v>0</v>
      </c>
      <c r="R268" s="95">
        <f>Table1[[#This Row],[Quantity on order]]*(Table1[[#This Row],[Cost ]]+Table1[[#This Row],[shipping]]+Table1[[#This Row],[Tax]])</f>
        <v>0</v>
      </c>
      <c r="S2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8" s="49">
        <f>Table1[[#This Row],[Quantity  to  purchase]]+Table1[[#This Row],[Quantity purchased]]+Table1[[#This Row],[Quantity on order]]+Table1[[#This Row],[Quantity donated]]-Table1[[#This Row],[extended quantity]]</f>
        <v>0</v>
      </c>
      <c r="U2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8" s="51">
        <f>IFERROR(Table1[[#This Row],[Quantity  to  purchase]]*(Table1[[#This Row],[Cost ]]+Table1[[#This Row],[shipping]]+Table1[[#This Row],[Tax]]),0)</f>
        <v>0</v>
      </c>
      <c r="W268" s="36">
        <f>IFERROR(Table1[[#This Row],[leftover material]]*(Table1[[#This Row],[Cost ]]+Table1[[#This Row],[shipping]]+Table1[[#This Row],[Tax]]),0)</f>
        <v>0</v>
      </c>
      <c r="X268" s="36"/>
      <c r="Y268" s="87"/>
      <c r="Z268" s="87"/>
      <c r="AA268" s="87"/>
      <c r="AB268" s="36"/>
      <c r="AC268" s="36">
        <f>IF(ISNA(VLOOKUP(Table1[[#This Row],[Part Number]],'Multi-level BOM'!V$4:V$449,1,FALSE)),0,Table1[[#This Row],[Remaining Extended cost]])</f>
        <v>0</v>
      </c>
    </row>
    <row r="269" spans="1:29" x14ac:dyDescent="0.25">
      <c r="A269" s="1" t="s">
        <v>272</v>
      </c>
      <c r="B269" s="4"/>
      <c r="F269" s="3">
        <f>9%*Table1[[#This Row],[Cost ]]</f>
        <v>0</v>
      </c>
      <c r="J269" s="49">
        <f>SUMIF('Multi-level BOM'!D$4:D$467,Table1[[#This Row],[Part Number]],'Multi-level BOM'!H$4:H$467)</f>
        <v>0</v>
      </c>
      <c r="K269" s="10">
        <f>Table1[[#This Row],[extended quantity]]*(Table1[[#This Row],[Cost ]]+Table1[[#This Row],[shipping]]+Table1[[#This Row],[Tax]])</f>
        <v>0</v>
      </c>
      <c r="L269" s="83" t="str">
        <f>IF(Table1[[#This Row],[Buy-now costs]]&gt;0,"X","")</f>
        <v/>
      </c>
      <c r="M269" s="83"/>
      <c r="N269" s="83"/>
      <c r="O269" s="40">
        <v>0</v>
      </c>
      <c r="P269" s="97">
        <f>Table1[[#This Row],[quantity on-hand]]*(Table1[[#This Row],[Cost ]]+Table1[[#This Row],[shipping]]+Table1[[#This Row],[Tax]])</f>
        <v>0</v>
      </c>
      <c r="Q269" s="40">
        <v>0</v>
      </c>
      <c r="R269" s="95">
        <f>Table1[[#This Row],[Quantity on order]]*(Table1[[#This Row],[Cost ]]+Table1[[#This Row],[shipping]]+Table1[[#This Row],[Tax]])</f>
        <v>0</v>
      </c>
      <c r="S2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9" s="49">
        <f>Table1[[#This Row],[Quantity  to  purchase]]+Table1[[#This Row],[Quantity purchased]]+Table1[[#This Row],[Quantity on order]]+Table1[[#This Row],[Quantity donated]]-Table1[[#This Row],[extended quantity]]</f>
        <v>0</v>
      </c>
      <c r="U2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9" s="51">
        <f>IFERROR(Table1[[#This Row],[Quantity  to  purchase]]*(Table1[[#This Row],[Cost ]]+Table1[[#This Row],[shipping]]+Table1[[#This Row],[Tax]]),0)</f>
        <v>0</v>
      </c>
      <c r="W269" s="36">
        <f>IFERROR(Table1[[#This Row],[leftover material]]*(Table1[[#This Row],[Cost ]]+Table1[[#This Row],[shipping]]+Table1[[#This Row],[Tax]]),0)</f>
        <v>0</v>
      </c>
      <c r="X269" s="36"/>
      <c r="Y269" s="87"/>
      <c r="Z269" s="87"/>
      <c r="AA269" s="87"/>
      <c r="AB269" s="36"/>
      <c r="AC269" s="36">
        <f>IF(ISNA(VLOOKUP(Table1[[#This Row],[Part Number]],'Multi-level BOM'!V$4:V$449,1,FALSE)),0,Table1[[#This Row],[Remaining Extended cost]])</f>
        <v>0</v>
      </c>
    </row>
    <row r="270" spans="1:29" x14ac:dyDescent="0.25">
      <c r="A270" s="1" t="s">
        <v>273</v>
      </c>
      <c r="B270" s="4"/>
      <c r="F270" s="3">
        <f>9%*Table1[[#This Row],[Cost ]]</f>
        <v>0</v>
      </c>
      <c r="J270" s="49">
        <f>SUMIF('Multi-level BOM'!D$4:D$467,Table1[[#This Row],[Part Number]],'Multi-level BOM'!H$4:H$467)</f>
        <v>0</v>
      </c>
      <c r="K270" s="10">
        <f>Table1[[#This Row],[extended quantity]]*(Table1[[#This Row],[Cost ]]+Table1[[#This Row],[shipping]]+Table1[[#This Row],[Tax]])</f>
        <v>0</v>
      </c>
      <c r="L270" s="83" t="str">
        <f>IF(Table1[[#This Row],[Buy-now costs]]&gt;0,"X","")</f>
        <v/>
      </c>
      <c r="M270" s="83"/>
      <c r="N270" s="83"/>
      <c r="O270" s="40">
        <v>0</v>
      </c>
      <c r="P270" s="97">
        <f>Table1[[#This Row],[quantity on-hand]]*(Table1[[#This Row],[Cost ]]+Table1[[#This Row],[shipping]]+Table1[[#This Row],[Tax]])</f>
        <v>0</v>
      </c>
      <c r="Q270" s="40">
        <v>0</v>
      </c>
      <c r="R270" s="95">
        <f>Table1[[#This Row],[Quantity on order]]*(Table1[[#This Row],[Cost ]]+Table1[[#This Row],[shipping]]+Table1[[#This Row],[Tax]])</f>
        <v>0</v>
      </c>
      <c r="S2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0" s="49">
        <f>Table1[[#This Row],[Quantity  to  purchase]]+Table1[[#This Row],[Quantity purchased]]+Table1[[#This Row],[Quantity on order]]+Table1[[#This Row],[Quantity donated]]-Table1[[#This Row],[extended quantity]]</f>
        <v>0</v>
      </c>
      <c r="U2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0" s="51">
        <f>IFERROR(Table1[[#This Row],[Quantity  to  purchase]]*(Table1[[#This Row],[Cost ]]+Table1[[#This Row],[shipping]]+Table1[[#This Row],[Tax]]),0)</f>
        <v>0</v>
      </c>
      <c r="W270" s="36">
        <f>IFERROR(Table1[[#This Row],[leftover material]]*(Table1[[#This Row],[Cost ]]+Table1[[#This Row],[shipping]]+Table1[[#This Row],[Tax]]),0)</f>
        <v>0</v>
      </c>
      <c r="X270" s="36"/>
      <c r="Y270" s="87"/>
      <c r="Z270" s="87"/>
      <c r="AA270" s="87"/>
      <c r="AB270" s="36"/>
      <c r="AC270" s="36">
        <f>IF(ISNA(VLOOKUP(Table1[[#This Row],[Part Number]],'Multi-level BOM'!V$4:V$449,1,FALSE)),0,Table1[[#This Row],[Remaining Extended cost]])</f>
        <v>0</v>
      </c>
    </row>
    <row r="271" spans="1:29" x14ac:dyDescent="0.25">
      <c r="A271" s="1" t="s">
        <v>274</v>
      </c>
      <c r="B271" s="4"/>
      <c r="F271" s="3">
        <f>9%*Table1[[#This Row],[Cost ]]</f>
        <v>0</v>
      </c>
      <c r="J271" s="49">
        <f>SUMIF('Multi-level BOM'!D$4:D$467,Table1[[#This Row],[Part Number]],'Multi-level BOM'!H$4:H$467)</f>
        <v>0</v>
      </c>
      <c r="K271" s="10">
        <f>Table1[[#This Row],[extended quantity]]*(Table1[[#This Row],[Cost ]]+Table1[[#This Row],[shipping]]+Table1[[#This Row],[Tax]])</f>
        <v>0</v>
      </c>
      <c r="L271" s="83" t="str">
        <f>IF(Table1[[#This Row],[Buy-now costs]]&gt;0,"X","")</f>
        <v/>
      </c>
      <c r="M271" s="83"/>
      <c r="N271" s="83"/>
      <c r="O271" s="40">
        <v>0</v>
      </c>
      <c r="P271" s="97">
        <f>Table1[[#This Row],[quantity on-hand]]*(Table1[[#This Row],[Cost ]]+Table1[[#This Row],[shipping]]+Table1[[#This Row],[Tax]])</f>
        <v>0</v>
      </c>
      <c r="Q271" s="40">
        <v>0</v>
      </c>
      <c r="R271" s="95">
        <f>Table1[[#This Row],[Quantity on order]]*(Table1[[#This Row],[Cost ]]+Table1[[#This Row],[shipping]]+Table1[[#This Row],[Tax]])</f>
        <v>0</v>
      </c>
      <c r="S2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1" s="49">
        <f>Table1[[#This Row],[Quantity  to  purchase]]+Table1[[#This Row],[Quantity purchased]]+Table1[[#This Row],[Quantity on order]]+Table1[[#This Row],[Quantity donated]]-Table1[[#This Row],[extended quantity]]</f>
        <v>0</v>
      </c>
      <c r="U2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1" s="51">
        <f>IFERROR(Table1[[#This Row],[Quantity  to  purchase]]*(Table1[[#This Row],[Cost ]]+Table1[[#This Row],[shipping]]+Table1[[#This Row],[Tax]]),0)</f>
        <v>0</v>
      </c>
      <c r="W271" s="36">
        <f>IFERROR(Table1[[#This Row],[leftover material]]*(Table1[[#This Row],[Cost ]]+Table1[[#This Row],[shipping]]+Table1[[#This Row],[Tax]]),0)</f>
        <v>0</v>
      </c>
      <c r="X271" s="36"/>
      <c r="Y271" s="87"/>
      <c r="Z271" s="87"/>
      <c r="AA271" s="87"/>
      <c r="AB271" s="36"/>
      <c r="AC271" s="36">
        <f>IF(ISNA(VLOOKUP(Table1[[#This Row],[Part Number]],'Multi-level BOM'!V$4:V$449,1,FALSE)),0,Table1[[#This Row],[Remaining Extended cost]])</f>
        <v>0</v>
      </c>
    </row>
    <row r="272" spans="1:29" x14ac:dyDescent="0.25">
      <c r="A272" s="1" t="s">
        <v>275</v>
      </c>
      <c r="B272" s="4"/>
      <c r="F272" s="3">
        <f>9%*Table1[[#This Row],[Cost ]]</f>
        <v>0</v>
      </c>
      <c r="J272" s="49">
        <f>SUMIF('Multi-level BOM'!D$4:D$467,Table1[[#This Row],[Part Number]],'Multi-level BOM'!H$4:H$467)</f>
        <v>0</v>
      </c>
      <c r="K272" s="10">
        <f>Table1[[#This Row],[extended quantity]]*(Table1[[#This Row],[Cost ]]+Table1[[#This Row],[shipping]]+Table1[[#This Row],[Tax]])</f>
        <v>0</v>
      </c>
      <c r="L272" s="83" t="str">
        <f>IF(Table1[[#This Row],[Buy-now costs]]&gt;0,"X","")</f>
        <v/>
      </c>
      <c r="M272" s="83"/>
      <c r="N272" s="83"/>
      <c r="O272" s="40">
        <v>0</v>
      </c>
      <c r="P272" s="97">
        <f>Table1[[#This Row],[quantity on-hand]]*(Table1[[#This Row],[Cost ]]+Table1[[#This Row],[shipping]]+Table1[[#This Row],[Tax]])</f>
        <v>0</v>
      </c>
      <c r="Q272" s="40">
        <v>0</v>
      </c>
      <c r="R272" s="95">
        <f>Table1[[#This Row],[Quantity on order]]*(Table1[[#This Row],[Cost ]]+Table1[[#This Row],[shipping]]+Table1[[#This Row],[Tax]])</f>
        <v>0</v>
      </c>
      <c r="S2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2" s="49">
        <f>Table1[[#This Row],[Quantity  to  purchase]]+Table1[[#This Row],[Quantity purchased]]+Table1[[#This Row],[Quantity on order]]+Table1[[#This Row],[Quantity donated]]-Table1[[#This Row],[extended quantity]]</f>
        <v>0</v>
      </c>
      <c r="U2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2" s="51">
        <f>IFERROR(Table1[[#This Row],[Quantity  to  purchase]]*(Table1[[#This Row],[Cost ]]+Table1[[#This Row],[shipping]]+Table1[[#This Row],[Tax]]),0)</f>
        <v>0</v>
      </c>
      <c r="W272" s="36">
        <f>IFERROR(Table1[[#This Row],[leftover material]]*(Table1[[#This Row],[Cost ]]+Table1[[#This Row],[shipping]]+Table1[[#This Row],[Tax]]),0)</f>
        <v>0</v>
      </c>
      <c r="X272" s="36"/>
      <c r="Y272" s="87"/>
      <c r="Z272" s="87"/>
      <c r="AA272" s="87"/>
      <c r="AB272" s="36"/>
      <c r="AC272" s="36">
        <f>IF(ISNA(VLOOKUP(Table1[[#This Row],[Part Number]],'Multi-level BOM'!V$4:V$449,1,FALSE)),0,Table1[[#This Row],[Remaining Extended cost]])</f>
        <v>0</v>
      </c>
    </row>
    <row r="273" spans="1:29" x14ac:dyDescent="0.25">
      <c r="A273" s="1" t="s">
        <v>276</v>
      </c>
      <c r="B273" s="4"/>
      <c r="F273" s="3">
        <f>9%*Table1[[#This Row],[Cost ]]</f>
        <v>0</v>
      </c>
      <c r="J273" s="49">
        <f>SUMIF('Multi-level BOM'!D$4:D$467,Table1[[#This Row],[Part Number]],'Multi-level BOM'!H$4:H$467)</f>
        <v>0</v>
      </c>
      <c r="K273" s="10">
        <f>Table1[[#This Row],[extended quantity]]*(Table1[[#This Row],[Cost ]]+Table1[[#This Row],[shipping]]+Table1[[#This Row],[Tax]])</f>
        <v>0</v>
      </c>
      <c r="L273" s="83" t="str">
        <f>IF(Table1[[#This Row],[Buy-now costs]]&gt;0,"X","")</f>
        <v/>
      </c>
      <c r="M273" s="83"/>
      <c r="N273" s="83"/>
      <c r="O273" s="40">
        <v>0</v>
      </c>
      <c r="P273" s="97">
        <f>Table1[[#This Row],[quantity on-hand]]*(Table1[[#This Row],[Cost ]]+Table1[[#This Row],[shipping]]+Table1[[#This Row],[Tax]])</f>
        <v>0</v>
      </c>
      <c r="Q273" s="40">
        <v>0</v>
      </c>
      <c r="R273" s="95">
        <f>Table1[[#This Row],[Quantity on order]]*(Table1[[#This Row],[Cost ]]+Table1[[#This Row],[shipping]]+Table1[[#This Row],[Tax]])</f>
        <v>0</v>
      </c>
      <c r="S2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3" s="49">
        <f>Table1[[#This Row],[Quantity  to  purchase]]+Table1[[#This Row],[Quantity purchased]]+Table1[[#This Row],[Quantity on order]]+Table1[[#This Row],[Quantity donated]]-Table1[[#This Row],[extended quantity]]</f>
        <v>0</v>
      </c>
      <c r="U2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3" s="51">
        <f>IFERROR(Table1[[#This Row],[Quantity  to  purchase]]*(Table1[[#This Row],[Cost ]]+Table1[[#This Row],[shipping]]+Table1[[#This Row],[Tax]]),0)</f>
        <v>0</v>
      </c>
      <c r="W273" s="36">
        <f>IFERROR(Table1[[#This Row],[leftover material]]*(Table1[[#This Row],[Cost ]]+Table1[[#This Row],[shipping]]+Table1[[#This Row],[Tax]]),0)</f>
        <v>0</v>
      </c>
      <c r="X273" s="36"/>
      <c r="Y273" s="87"/>
      <c r="Z273" s="87"/>
      <c r="AA273" s="87"/>
      <c r="AB273" s="36"/>
      <c r="AC273" s="36">
        <f>IF(ISNA(VLOOKUP(Table1[[#This Row],[Part Number]],'Multi-level BOM'!V$4:V$449,1,FALSE)),0,Table1[[#This Row],[Remaining Extended cost]])</f>
        <v>0</v>
      </c>
    </row>
    <row r="274" spans="1:29" x14ac:dyDescent="0.25">
      <c r="A274" s="1" t="s">
        <v>277</v>
      </c>
      <c r="B274" s="4"/>
      <c r="F274" s="3">
        <f>9%*Table1[[#This Row],[Cost ]]</f>
        <v>0</v>
      </c>
      <c r="J274" s="49">
        <f>SUMIF('Multi-level BOM'!D$4:D$467,Table1[[#This Row],[Part Number]],'Multi-level BOM'!H$4:H$467)</f>
        <v>0</v>
      </c>
      <c r="K274" s="10">
        <f>Table1[[#This Row],[extended quantity]]*(Table1[[#This Row],[Cost ]]+Table1[[#This Row],[shipping]]+Table1[[#This Row],[Tax]])</f>
        <v>0</v>
      </c>
      <c r="L274" s="83" t="str">
        <f>IF(Table1[[#This Row],[Buy-now costs]]&gt;0,"X","")</f>
        <v/>
      </c>
      <c r="M274" s="83"/>
      <c r="N274" s="83"/>
      <c r="O274" s="40">
        <v>0</v>
      </c>
      <c r="P274" s="97">
        <f>Table1[[#This Row],[quantity on-hand]]*(Table1[[#This Row],[Cost ]]+Table1[[#This Row],[shipping]]+Table1[[#This Row],[Tax]])</f>
        <v>0</v>
      </c>
      <c r="Q274" s="40">
        <v>0</v>
      </c>
      <c r="R274" s="95">
        <f>Table1[[#This Row],[Quantity on order]]*(Table1[[#This Row],[Cost ]]+Table1[[#This Row],[shipping]]+Table1[[#This Row],[Tax]])</f>
        <v>0</v>
      </c>
      <c r="S2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4" s="49">
        <f>Table1[[#This Row],[Quantity  to  purchase]]+Table1[[#This Row],[Quantity purchased]]+Table1[[#This Row],[Quantity on order]]+Table1[[#This Row],[Quantity donated]]-Table1[[#This Row],[extended quantity]]</f>
        <v>0</v>
      </c>
      <c r="U2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4" s="51">
        <f>IFERROR(Table1[[#This Row],[Quantity  to  purchase]]*(Table1[[#This Row],[Cost ]]+Table1[[#This Row],[shipping]]+Table1[[#This Row],[Tax]]),0)</f>
        <v>0</v>
      </c>
      <c r="W274" s="36">
        <f>IFERROR(Table1[[#This Row],[leftover material]]*(Table1[[#This Row],[Cost ]]+Table1[[#This Row],[shipping]]+Table1[[#This Row],[Tax]]),0)</f>
        <v>0</v>
      </c>
      <c r="X274" s="36"/>
      <c r="Y274" s="87"/>
      <c r="Z274" s="87"/>
      <c r="AA274" s="87"/>
      <c r="AB274" s="36"/>
      <c r="AC274" s="36">
        <f>IF(ISNA(VLOOKUP(Table1[[#This Row],[Part Number]],'Multi-level BOM'!V$4:V$449,1,FALSE)),0,Table1[[#This Row],[Remaining Extended cost]])</f>
        <v>0</v>
      </c>
    </row>
    <row r="275" spans="1:29" x14ac:dyDescent="0.25">
      <c r="A275" s="1" t="s">
        <v>278</v>
      </c>
      <c r="B275" s="4"/>
      <c r="F275" s="3">
        <f>9%*Table1[[#This Row],[Cost ]]</f>
        <v>0</v>
      </c>
      <c r="J275" s="49">
        <f>SUMIF('Multi-level BOM'!D$4:D$467,Table1[[#This Row],[Part Number]],'Multi-level BOM'!H$4:H$467)</f>
        <v>0</v>
      </c>
      <c r="K275" s="10">
        <f>Table1[[#This Row],[extended quantity]]*(Table1[[#This Row],[Cost ]]+Table1[[#This Row],[shipping]]+Table1[[#This Row],[Tax]])</f>
        <v>0</v>
      </c>
      <c r="L275" s="83" t="str">
        <f>IF(Table1[[#This Row],[Buy-now costs]]&gt;0,"X","")</f>
        <v/>
      </c>
      <c r="M275" s="83"/>
      <c r="N275" s="83"/>
      <c r="O275" s="40">
        <v>0</v>
      </c>
      <c r="P275" s="97">
        <f>Table1[[#This Row],[quantity on-hand]]*(Table1[[#This Row],[Cost ]]+Table1[[#This Row],[shipping]]+Table1[[#This Row],[Tax]])</f>
        <v>0</v>
      </c>
      <c r="Q275" s="40">
        <v>0</v>
      </c>
      <c r="R275" s="95">
        <f>Table1[[#This Row],[Quantity on order]]*(Table1[[#This Row],[Cost ]]+Table1[[#This Row],[shipping]]+Table1[[#This Row],[Tax]])</f>
        <v>0</v>
      </c>
      <c r="S2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5" s="49">
        <f>Table1[[#This Row],[Quantity  to  purchase]]+Table1[[#This Row],[Quantity purchased]]+Table1[[#This Row],[Quantity on order]]+Table1[[#This Row],[Quantity donated]]-Table1[[#This Row],[extended quantity]]</f>
        <v>0</v>
      </c>
      <c r="U2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5" s="51">
        <f>IFERROR(Table1[[#This Row],[Quantity  to  purchase]]*(Table1[[#This Row],[Cost ]]+Table1[[#This Row],[shipping]]+Table1[[#This Row],[Tax]]),0)</f>
        <v>0</v>
      </c>
      <c r="W275" s="36">
        <f>IFERROR(Table1[[#This Row],[leftover material]]*(Table1[[#This Row],[Cost ]]+Table1[[#This Row],[shipping]]+Table1[[#This Row],[Tax]]),0)</f>
        <v>0</v>
      </c>
      <c r="X275" s="36"/>
      <c r="Y275" s="87"/>
      <c r="Z275" s="87"/>
      <c r="AA275" s="87"/>
      <c r="AB275" s="36"/>
      <c r="AC275" s="36">
        <f>IF(ISNA(VLOOKUP(Table1[[#This Row],[Part Number]],'Multi-level BOM'!V$4:V$449,1,FALSE)),0,Table1[[#This Row],[Remaining Extended cost]])</f>
        <v>0</v>
      </c>
    </row>
    <row r="276" spans="1:29" x14ac:dyDescent="0.25">
      <c r="A276" s="1" t="s">
        <v>279</v>
      </c>
      <c r="B276" s="4"/>
      <c r="F276" s="3">
        <f>9%*Table1[[#This Row],[Cost ]]</f>
        <v>0</v>
      </c>
      <c r="J276" s="49">
        <f>SUMIF('Multi-level BOM'!D$4:D$467,Table1[[#This Row],[Part Number]],'Multi-level BOM'!H$4:H$467)</f>
        <v>0</v>
      </c>
      <c r="K276" s="10">
        <f>Table1[[#This Row],[extended quantity]]*(Table1[[#This Row],[Cost ]]+Table1[[#This Row],[shipping]]+Table1[[#This Row],[Tax]])</f>
        <v>0</v>
      </c>
      <c r="L276" s="83" t="str">
        <f>IF(Table1[[#This Row],[Buy-now costs]]&gt;0,"X","")</f>
        <v/>
      </c>
      <c r="M276" s="83"/>
      <c r="N276" s="83"/>
      <c r="O276" s="40">
        <v>0</v>
      </c>
      <c r="P276" s="97">
        <f>Table1[[#This Row],[quantity on-hand]]*(Table1[[#This Row],[Cost ]]+Table1[[#This Row],[shipping]]+Table1[[#This Row],[Tax]])</f>
        <v>0</v>
      </c>
      <c r="Q276" s="40">
        <v>0</v>
      </c>
      <c r="R276" s="95">
        <f>Table1[[#This Row],[Quantity on order]]*(Table1[[#This Row],[Cost ]]+Table1[[#This Row],[shipping]]+Table1[[#This Row],[Tax]])</f>
        <v>0</v>
      </c>
      <c r="S2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6" s="49">
        <f>Table1[[#This Row],[Quantity  to  purchase]]+Table1[[#This Row],[Quantity purchased]]+Table1[[#This Row],[Quantity on order]]+Table1[[#This Row],[Quantity donated]]-Table1[[#This Row],[extended quantity]]</f>
        <v>0</v>
      </c>
      <c r="U2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6" s="51">
        <f>IFERROR(Table1[[#This Row],[Quantity  to  purchase]]*(Table1[[#This Row],[Cost ]]+Table1[[#This Row],[shipping]]+Table1[[#This Row],[Tax]]),0)</f>
        <v>0</v>
      </c>
      <c r="W276" s="36">
        <f>IFERROR(Table1[[#This Row],[leftover material]]*(Table1[[#This Row],[Cost ]]+Table1[[#This Row],[shipping]]+Table1[[#This Row],[Tax]]),0)</f>
        <v>0</v>
      </c>
      <c r="X276" s="36"/>
      <c r="Y276" s="87"/>
      <c r="Z276" s="87"/>
      <c r="AA276" s="87"/>
      <c r="AB276" s="36"/>
      <c r="AC276" s="36">
        <f>IF(ISNA(VLOOKUP(Table1[[#This Row],[Part Number]],'Multi-level BOM'!V$4:V$449,1,FALSE)),0,Table1[[#This Row],[Remaining Extended cost]])</f>
        <v>0</v>
      </c>
    </row>
    <row r="277" spans="1:29" x14ac:dyDescent="0.25">
      <c r="A277" s="1" t="s">
        <v>280</v>
      </c>
      <c r="B277" s="4"/>
      <c r="F277" s="3">
        <f>9%*Table1[[#This Row],[Cost ]]</f>
        <v>0</v>
      </c>
      <c r="J277" s="49">
        <f>SUMIF('Multi-level BOM'!D$4:D$467,Table1[[#This Row],[Part Number]],'Multi-level BOM'!H$4:H$467)</f>
        <v>0</v>
      </c>
      <c r="K277" s="10">
        <f>Table1[[#This Row],[extended quantity]]*(Table1[[#This Row],[Cost ]]+Table1[[#This Row],[shipping]]+Table1[[#This Row],[Tax]])</f>
        <v>0</v>
      </c>
      <c r="L277" s="83" t="str">
        <f>IF(Table1[[#This Row],[Buy-now costs]]&gt;0,"X","")</f>
        <v/>
      </c>
      <c r="M277" s="83"/>
      <c r="N277" s="83"/>
      <c r="O277" s="40">
        <v>0</v>
      </c>
      <c r="P277" s="97">
        <f>Table1[[#This Row],[quantity on-hand]]*(Table1[[#This Row],[Cost ]]+Table1[[#This Row],[shipping]]+Table1[[#This Row],[Tax]])</f>
        <v>0</v>
      </c>
      <c r="Q277" s="40">
        <v>0</v>
      </c>
      <c r="R277" s="95">
        <f>Table1[[#This Row],[Quantity on order]]*(Table1[[#This Row],[Cost ]]+Table1[[#This Row],[shipping]]+Table1[[#This Row],[Tax]])</f>
        <v>0</v>
      </c>
      <c r="S2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7" s="49">
        <f>Table1[[#This Row],[Quantity  to  purchase]]+Table1[[#This Row],[Quantity purchased]]+Table1[[#This Row],[Quantity on order]]+Table1[[#This Row],[Quantity donated]]-Table1[[#This Row],[extended quantity]]</f>
        <v>0</v>
      </c>
      <c r="U2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7" s="51">
        <f>IFERROR(Table1[[#This Row],[Quantity  to  purchase]]*(Table1[[#This Row],[Cost ]]+Table1[[#This Row],[shipping]]+Table1[[#This Row],[Tax]]),0)</f>
        <v>0</v>
      </c>
      <c r="W277" s="36">
        <f>IFERROR(Table1[[#This Row],[leftover material]]*(Table1[[#This Row],[Cost ]]+Table1[[#This Row],[shipping]]+Table1[[#This Row],[Tax]]),0)</f>
        <v>0</v>
      </c>
      <c r="X277" s="36"/>
      <c r="Y277" s="87"/>
      <c r="Z277" s="87"/>
      <c r="AA277" s="87"/>
      <c r="AB277" s="36"/>
      <c r="AC277" s="36">
        <f>IF(ISNA(VLOOKUP(Table1[[#This Row],[Part Number]],'Multi-level BOM'!V$4:V$449,1,FALSE)),0,Table1[[#This Row],[Remaining Extended cost]])</f>
        <v>0</v>
      </c>
    </row>
    <row r="278" spans="1:29" x14ac:dyDescent="0.25">
      <c r="A278" s="1" t="s">
        <v>281</v>
      </c>
      <c r="B278" s="4"/>
      <c r="F278" s="3">
        <f>9%*Table1[[#This Row],[Cost ]]</f>
        <v>0</v>
      </c>
      <c r="J278" s="49">
        <f>SUMIF('Multi-level BOM'!D$4:D$467,Table1[[#This Row],[Part Number]],'Multi-level BOM'!H$4:H$467)</f>
        <v>0</v>
      </c>
      <c r="K278" s="10">
        <f>Table1[[#This Row],[extended quantity]]*(Table1[[#This Row],[Cost ]]+Table1[[#This Row],[shipping]]+Table1[[#This Row],[Tax]])</f>
        <v>0</v>
      </c>
      <c r="L278" s="83" t="str">
        <f>IF(Table1[[#This Row],[Buy-now costs]]&gt;0,"X","")</f>
        <v/>
      </c>
      <c r="M278" s="83"/>
      <c r="N278" s="83"/>
      <c r="O278" s="40">
        <v>0</v>
      </c>
      <c r="P278" s="97">
        <f>Table1[[#This Row],[quantity on-hand]]*(Table1[[#This Row],[Cost ]]+Table1[[#This Row],[shipping]]+Table1[[#This Row],[Tax]])</f>
        <v>0</v>
      </c>
      <c r="Q278" s="40">
        <v>0</v>
      </c>
      <c r="R278" s="95">
        <f>Table1[[#This Row],[Quantity on order]]*(Table1[[#This Row],[Cost ]]+Table1[[#This Row],[shipping]]+Table1[[#This Row],[Tax]])</f>
        <v>0</v>
      </c>
      <c r="S2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8" s="49">
        <f>Table1[[#This Row],[Quantity  to  purchase]]+Table1[[#This Row],[Quantity purchased]]+Table1[[#This Row],[Quantity on order]]+Table1[[#This Row],[Quantity donated]]-Table1[[#This Row],[extended quantity]]</f>
        <v>0</v>
      </c>
      <c r="U2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8" s="51">
        <f>IFERROR(Table1[[#This Row],[Quantity  to  purchase]]*(Table1[[#This Row],[Cost ]]+Table1[[#This Row],[shipping]]+Table1[[#This Row],[Tax]]),0)</f>
        <v>0</v>
      </c>
      <c r="W278" s="36">
        <f>IFERROR(Table1[[#This Row],[leftover material]]*(Table1[[#This Row],[Cost ]]+Table1[[#This Row],[shipping]]+Table1[[#This Row],[Tax]]),0)</f>
        <v>0</v>
      </c>
      <c r="X278" s="36"/>
      <c r="Y278" s="87"/>
      <c r="Z278" s="87"/>
      <c r="AA278" s="87"/>
      <c r="AB278" s="36"/>
      <c r="AC278" s="36">
        <f>IF(ISNA(VLOOKUP(Table1[[#This Row],[Part Number]],'Multi-level BOM'!V$4:V$449,1,FALSE)),0,Table1[[#This Row],[Remaining Extended cost]])</f>
        <v>0</v>
      </c>
    </row>
    <row r="279" spans="1:29" x14ac:dyDescent="0.25">
      <c r="A279" s="1" t="s">
        <v>282</v>
      </c>
      <c r="B279" s="4"/>
      <c r="F279" s="3">
        <f>9%*Table1[[#This Row],[Cost ]]</f>
        <v>0</v>
      </c>
      <c r="J279" s="49">
        <f>SUMIF('Multi-level BOM'!D$4:D$467,Table1[[#This Row],[Part Number]],'Multi-level BOM'!H$4:H$467)</f>
        <v>0</v>
      </c>
      <c r="K279" s="10">
        <f>Table1[[#This Row],[extended quantity]]*(Table1[[#This Row],[Cost ]]+Table1[[#This Row],[shipping]]+Table1[[#This Row],[Tax]])</f>
        <v>0</v>
      </c>
      <c r="L279" s="83" t="str">
        <f>IF(Table1[[#This Row],[Buy-now costs]]&gt;0,"X","")</f>
        <v/>
      </c>
      <c r="M279" s="83"/>
      <c r="N279" s="83"/>
      <c r="O279" s="40">
        <v>0</v>
      </c>
      <c r="P279" s="97">
        <f>Table1[[#This Row],[quantity on-hand]]*(Table1[[#This Row],[Cost ]]+Table1[[#This Row],[shipping]]+Table1[[#This Row],[Tax]])</f>
        <v>0</v>
      </c>
      <c r="Q279" s="40">
        <v>0</v>
      </c>
      <c r="R279" s="95">
        <f>Table1[[#This Row],[Quantity on order]]*(Table1[[#This Row],[Cost ]]+Table1[[#This Row],[shipping]]+Table1[[#This Row],[Tax]])</f>
        <v>0</v>
      </c>
      <c r="S2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9" s="49">
        <f>Table1[[#This Row],[Quantity  to  purchase]]+Table1[[#This Row],[Quantity purchased]]+Table1[[#This Row],[Quantity on order]]+Table1[[#This Row],[Quantity donated]]-Table1[[#This Row],[extended quantity]]</f>
        <v>0</v>
      </c>
      <c r="U2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9" s="51">
        <f>IFERROR(Table1[[#This Row],[Quantity  to  purchase]]*(Table1[[#This Row],[Cost ]]+Table1[[#This Row],[shipping]]+Table1[[#This Row],[Tax]]),0)</f>
        <v>0</v>
      </c>
      <c r="W279" s="36">
        <f>IFERROR(Table1[[#This Row],[leftover material]]*(Table1[[#This Row],[Cost ]]+Table1[[#This Row],[shipping]]+Table1[[#This Row],[Tax]]),0)</f>
        <v>0</v>
      </c>
      <c r="X279" s="36"/>
      <c r="Y279" s="87"/>
      <c r="Z279" s="87"/>
      <c r="AA279" s="87"/>
      <c r="AB279" s="36"/>
      <c r="AC279" s="36">
        <f>IF(ISNA(VLOOKUP(Table1[[#This Row],[Part Number]],'Multi-level BOM'!V$4:V$449,1,FALSE)),0,Table1[[#This Row],[Remaining Extended cost]])</f>
        <v>0</v>
      </c>
    </row>
    <row r="280" spans="1:29" x14ac:dyDescent="0.25">
      <c r="A280" s="1" t="s">
        <v>283</v>
      </c>
      <c r="B280" s="4"/>
      <c r="F280" s="3">
        <f>9%*Table1[[#This Row],[Cost ]]</f>
        <v>0</v>
      </c>
      <c r="J280" s="49">
        <f>SUMIF('Multi-level BOM'!D$4:D$467,Table1[[#This Row],[Part Number]],'Multi-level BOM'!H$4:H$467)</f>
        <v>0</v>
      </c>
      <c r="K280" s="10">
        <f>Table1[[#This Row],[extended quantity]]*(Table1[[#This Row],[Cost ]]+Table1[[#This Row],[shipping]]+Table1[[#This Row],[Tax]])</f>
        <v>0</v>
      </c>
      <c r="L280" s="83" t="str">
        <f>IF(Table1[[#This Row],[Buy-now costs]]&gt;0,"X","")</f>
        <v/>
      </c>
      <c r="M280" s="83"/>
      <c r="N280" s="83"/>
      <c r="O280" s="40">
        <v>0</v>
      </c>
      <c r="P280" s="97">
        <f>Table1[[#This Row],[quantity on-hand]]*(Table1[[#This Row],[Cost ]]+Table1[[#This Row],[shipping]]+Table1[[#This Row],[Tax]])</f>
        <v>0</v>
      </c>
      <c r="Q280" s="40">
        <v>0</v>
      </c>
      <c r="R280" s="95">
        <f>Table1[[#This Row],[Quantity on order]]*(Table1[[#This Row],[Cost ]]+Table1[[#This Row],[shipping]]+Table1[[#This Row],[Tax]])</f>
        <v>0</v>
      </c>
      <c r="S2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0" s="49">
        <f>Table1[[#This Row],[Quantity  to  purchase]]+Table1[[#This Row],[Quantity purchased]]+Table1[[#This Row],[Quantity on order]]+Table1[[#This Row],[Quantity donated]]-Table1[[#This Row],[extended quantity]]</f>
        <v>0</v>
      </c>
      <c r="U2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0" s="51">
        <f>IFERROR(Table1[[#This Row],[Quantity  to  purchase]]*(Table1[[#This Row],[Cost ]]+Table1[[#This Row],[shipping]]+Table1[[#This Row],[Tax]]),0)</f>
        <v>0</v>
      </c>
      <c r="W280" s="36">
        <f>IFERROR(Table1[[#This Row],[leftover material]]*(Table1[[#This Row],[Cost ]]+Table1[[#This Row],[shipping]]+Table1[[#This Row],[Tax]]),0)</f>
        <v>0</v>
      </c>
      <c r="X280" s="36"/>
      <c r="Y280" s="87"/>
      <c r="Z280" s="87"/>
      <c r="AA280" s="87"/>
      <c r="AB280" s="36"/>
      <c r="AC280" s="36">
        <f>IF(ISNA(VLOOKUP(Table1[[#This Row],[Part Number]],'Multi-level BOM'!V$4:V$449,1,FALSE)),0,Table1[[#This Row],[Remaining Extended cost]])</f>
        <v>0</v>
      </c>
    </row>
    <row r="281" spans="1:29" x14ac:dyDescent="0.25">
      <c r="A281" s="1" t="s">
        <v>284</v>
      </c>
      <c r="B281" s="4"/>
      <c r="F281" s="3">
        <f>9%*Table1[[#This Row],[Cost ]]</f>
        <v>0</v>
      </c>
      <c r="J281" s="49">
        <f>SUMIF('Multi-level BOM'!D$4:D$467,Table1[[#This Row],[Part Number]],'Multi-level BOM'!H$4:H$467)</f>
        <v>0</v>
      </c>
      <c r="K281" s="10">
        <f>Table1[[#This Row],[extended quantity]]*(Table1[[#This Row],[Cost ]]+Table1[[#This Row],[shipping]]+Table1[[#This Row],[Tax]])</f>
        <v>0</v>
      </c>
      <c r="L281" s="83" t="str">
        <f>IF(Table1[[#This Row],[Buy-now costs]]&gt;0,"X","")</f>
        <v/>
      </c>
      <c r="M281" s="83"/>
      <c r="N281" s="83"/>
      <c r="O281" s="40">
        <v>0</v>
      </c>
      <c r="P281" s="97">
        <f>Table1[[#This Row],[quantity on-hand]]*(Table1[[#This Row],[Cost ]]+Table1[[#This Row],[shipping]]+Table1[[#This Row],[Tax]])</f>
        <v>0</v>
      </c>
      <c r="Q281" s="40">
        <v>0</v>
      </c>
      <c r="R281" s="95">
        <f>Table1[[#This Row],[Quantity on order]]*(Table1[[#This Row],[Cost ]]+Table1[[#This Row],[shipping]]+Table1[[#This Row],[Tax]])</f>
        <v>0</v>
      </c>
      <c r="S2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1" s="49">
        <f>Table1[[#This Row],[Quantity  to  purchase]]+Table1[[#This Row],[Quantity purchased]]+Table1[[#This Row],[Quantity on order]]+Table1[[#This Row],[Quantity donated]]-Table1[[#This Row],[extended quantity]]</f>
        <v>0</v>
      </c>
      <c r="U2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1" s="51">
        <f>IFERROR(Table1[[#This Row],[Quantity  to  purchase]]*(Table1[[#This Row],[Cost ]]+Table1[[#This Row],[shipping]]+Table1[[#This Row],[Tax]]),0)</f>
        <v>0</v>
      </c>
      <c r="W281" s="36">
        <f>IFERROR(Table1[[#This Row],[leftover material]]*(Table1[[#This Row],[Cost ]]+Table1[[#This Row],[shipping]]+Table1[[#This Row],[Tax]]),0)</f>
        <v>0</v>
      </c>
      <c r="X281" s="36"/>
      <c r="Y281" s="87"/>
      <c r="Z281" s="87"/>
      <c r="AA281" s="87"/>
      <c r="AB281" s="36"/>
      <c r="AC281" s="36">
        <f>IF(ISNA(VLOOKUP(Table1[[#This Row],[Part Number]],'Multi-level BOM'!V$4:V$449,1,FALSE)),0,Table1[[#This Row],[Remaining Extended cost]])</f>
        <v>0</v>
      </c>
    </row>
    <row r="282" spans="1:29" x14ac:dyDescent="0.25">
      <c r="A282" s="1" t="s">
        <v>285</v>
      </c>
      <c r="B282" s="4"/>
      <c r="F282" s="3">
        <f>9%*Table1[[#This Row],[Cost ]]</f>
        <v>0</v>
      </c>
      <c r="J282" s="49">
        <f>SUMIF('Multi-level BOM'!D$4:D$467,Table1[[#This Row],[Part Number]],'Multi-level BOM'!H$4:H$467)</f>
        <v>0</v>
      </c>
      <c r="K282" s="10">
        <f>Table1[[#This Row],[extended quantity]]*(Table1[[#This Row],[Cost ]]+Table1[[#This Row],[shipping]]+Table1[[#This Row],[Tax]])</f>
        <v>0</v>
      </c>
      <c r="L282" s="83" t="str">
        <f>IF(Table1[[#This Row],[Buy-now costs]]&gt;0,"X","")</f>
        <v/>
      </c>
      <c r="M282" s="83"/>
      <c r="N282" s="83"/>
      <c r="O282" s="40">
        <v>0</v>
      </c>
      <c r="P282" s="97">
        <f>Table1[[#This Row],[quantity on-hand]]*(Table1[[#This Row],[Cost ]]+Table1[[#This Row],[shipping]]+Table1[[#This Row],[Tax]])</f>
        <v>0</v>
      </c>
      <c r="Q282" s="40">
        <v>0</v>
      </c>
      <c r="R282" s="95">
        <f>Table1[[#This Row],[Quantity on order]]*(Table1[[#This Row],[Cost ]]+Table1[[#This Row],[shipping]]+Table1[[#This Row],[Tax]])</f>
        <v>0</v>
      </c>
      <c r="S2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2" s="49">
        <f>Table1[[#This Row],[Quantity  to  purchase]]+Table1[[#This Row],[Quantity purchased]]+Table1[[#This Row],[Quantity on order]]+Table1[[#This Row],[Quantity donated]]-Table1[[#This Row],[extended quantity]]</f>
        <v>0</v>
      </c>
      <c r="U2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2" s="51">
        <f>IFERROR(Table1[[#This Row],[Quantity  to  purchase]]*(Table1[[#This Row],[Cost ]]+Table1[[#This Row],[shipping]]+Table1[[#This Row],[Tax]]),0)</f>
        <v>0</v>
      </c>
      <c r="W282" s="36">
        <f>IFERROR(Table1[[#This Row],[leftover material]]*(Table1[[#This Row],[Cost ]]+Table1[[#This Row],[shipping]]+Table1[[#This Row],[Tax]]),0)</f>
        <v>0</v>
      </c>
      <c r="X282" s="36"/>
      <c r="Y282" s="87"/>
      <c r="Z282" s="87"/>
      <c r="AA282" s="87"/>
      <c r="AB282" s="36"/>
      <c r="AC282" s="36">
        <f>IF(ISNA(VLOOKUP(Table1[[#This Row],[Part Number]],'Multi-level BOM'!V$4:V$449,1,FALSE)),0,Table1[[#This Row],[Remaining Extended cost]])</f>
        <v>0</v>
      </c>
    </row>
    <row r="283" spans="1:29" x14ac:dyDescent="0.25">
      <c r="A283" s="1" t="s">
        <v>286</v>
      </c>
      <c r="B283" s="4"/>
      <c r="F283" s="3">
        <f>9%*Table1[[#This Row],[Cost ]]</f>
        <v>0</v>
      </c>
      <c r="J283" s="49">
        <f>SUMIF('Multi-level BOM'!D$4:D$467,Table1[[#This Row],[Part Number]],'Multi-level BOM'!H$4:H$467)</f>
        <v>0</v>
      </c>
      <c r="K283" s="10">
        <f>Table1[[#This Row],[extended quantity]]*(Table1[[#This Row],[Cost ]]+Table1[[#This Row],[shipping]]+Table1[[#This Row],[Tax]])</f>
        <v>0</v>
      </c>
      <c r="L283" s="83" t="str">
        <f>IF(Table1[[#This Row],[Buy-now costs]]&gt;0,"X","")</f>
        <v/>
      </c>
      <c r="M283" s="83"/>
      <c r="N283" s="83"/>
      <c r="O283" s="40">
        <v>0</v>
      </c>
      <c r="P283" s="97">
        <f>Table1[[#This Row],[quantity on-hand]]*(Table1[[#This Row],[Cost ]]+Table1[[#This Row],[shipping]]+Table1[[#This Row],[Tax]])</f>
        <v>0</v>
      </c>
      <c r="Q283" s="40">
        <v>0</v>
      </c>
      <c r="R283" s="95">
        <f>Table1[[#This Row],[Quantity on order]]*(Table1[[#This Row],[Cost ]]+Table1[[#This Row],[shipping]]+Table1[[#This Row],[Tax]])</f>
        <v>0</v>
      </c>
      <c r="S2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3" s="49">
        <f>Table1[[#This Row],[Quantity  to  purchase]]+Table1[[#This Row],[Quantity purchased]]+Table1[[#This Row],[Quantity on order]]+Table1[[#This Row],[Quantity donated]]-Table1[[#This Row],[extended quantity]]</f>
        <v>0</v>
      </c>
      <c r="U2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3" s="51">
        <f>IFERROR(Table1[[#This Row],[Quantity  to  purchase]]*(Table1[[#This Row],[Cost ]]+Table1[[#This Row],[shipping]]+Table1[[#This Row],[Tax]]),0)</f>
        <v>0</v>
      </c>
      <c r="W283" s="36">
        <f>IFERROR(Table1[[#This Row],[leftover material]]*(Table1[[#This Row],[Cost ]]+Table1[[#This Row],[shipping]]+Table1[[#This Row],[Tax]]),0)</f>
        <v>0</v>
      </c>
      <c r="X283" s="36"/>
      <c r="Y283" s="87"/>
      <c r="Z283" s="87"/>
      <c r="AA283" s="87"/>
      <c r="AB283" s="36"/>
      <c r="AC283" s="36">
        <f>IF(ISNA(VLOOKUP(Table1[[#This Row],[Part Number]],'Multi-level BOM'!V$4:V$449,1,FALSE)),0,Table1[[#This Row],[Remaining Extended cost]])</f>
        <v>0</v>
      </c>
    </row>
    <row r="284" spans="1:29" x14ac:dyDescent="0.25">
      <c r="A284" s="1" t="s">
        <v>287</v>
      </c>
      <c r="B284" s="4"/>
      <c r="F284" s="3">
        <f>9%*Table1[[#This Row],[Cost ]]</f>
        <v>0</v>
      </c>
      <c r="J284" s="49">
        <f>SUMIF('Multi-level BOM'!D$4:D$467,Table1[[#This Row],[Part Number]],'Multi-level BOM'!H$4:H$467)</f>
        <v>0</v>
      </c>
      <c r="K284" s="10">
        <f>Table1[[#This Row],[extended quantity]]*(Table1[[#This Row],[Cost ]]+Table1[[#This Row],[shipping]]+Table1[[#This Row],[Tax]])</f>
        <v>0</v>
      </c>
      <c r="L284" s="83" t="str">
        <f>IF(Table1[[#This Row],[Buy-now costs]]&gt;0,"X","")</f>
        <v/>
      </c>
      <c r="M284" s="83"/>
      <c r="N284" s="83"/>
      <c r="O284" s="40">
        <v>0</v>
      </c>
      <c r="P284" s="97">
        <f>Table1[[#This Row],[quantity on-hand]]*(Table1[[#This Row],[Cost ]]+Table1[[#This Row],[shipping]]+Table1[[#This Row],[Tax]])</f>
        <v>0</v>
      </c>
      <c r="Q284" s="40">
        <v>0</v>
      </c>
      <c r="R284" s="95">
        <f>Table1[[#This Row],[Quantity on order]]*(Table1[[#This Row],[Cost ]]+Table1[[#This Row],[shipping]]+Table1[[#This Row],[Tax]])</f>
        <v>0</v>
      </c>
      <c r="S2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4" s="49">
        <f>Table1[[#This Row],[Quantity  to  purchase]]+Table1[[#This Row],[Quantity purchased]]+Table1[[#This Row],[Quantity on order]]+Table1[[#This Row],[Quantity donated]]-Table1[[#This Row],[extended quantity]]</f>
        <v>0</v>
      </c>
      <c r="U2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4" s="51">
        <f>IFERROR(Table1[[#This Row],[Quantity  to  purchase]]*(Table1[[#This Row],[Cost ]]+Table1[[#This Row],[shipping]]+Table1[[#This Row],[Tax]]),0)</f>
        <v>0</v>
      </c>
      <c r="W284" s="36">
        <f>IFERROR(Table1[[#This Row],[leftover material]]*(Table1[[#This Row],[Cost ]]+Table1[[#This Row],[shipping]]+Table1[[#This Row],[Tax]]),0)</f>
        <v>0</v>
      </c>
      <c r="X284" s="36"/>
      <c r="Y284" s="87"/>
      <c r="Z284" s="87"/>
      <c r="AA284" s="87"/>
      <c r="AB284" s="36"/>
      <c r="AC284" s="36">
        <f>IF(ISNA(VLOOKUP(Table1[[#This Row],[Part Number]],'Multi-level BOM'!V$4:V$449,1,FALSE)),0,Table1[[#This Row],[Remaining Extended cost]])</f>
        <v>0</v>
      </c>
    </row>
    <row r="285" spans="1:29" x14ac:dyDescent="0.25">
      <c r="A285" s="1" t="s">
        <v>288</v>
      </c>
      <c r="B285" s="4"/>
      <c r="F285" s="3">
        <f>9%*Table1[[#This Row],[Cost ]]</f>
        <v>0</v>
      </c>
      <c r="J285" s="49">
        <f>SUMIF('Multi-level BOM'!D$4:D$467,Table1[[#This Row],[Part Number]],'Multi-level BOM'!H$4:H$467)</f>
        <v>0</v>
      </c>
      <c r="K285" s="10">
        <f>Table1[[#This Row],[extended quantity]]*(Table1[[#This Row],[Cost ]]+Table1[[#This Row],[shipping]]+Table1[[#This Row],[Tax]])</f>
        <v>0</v>
      </c>
      <c r="L285" s="83" t="str">
        <f>IF(Table1[[#This Row],[Buy-now costs]]&gt;0,"X","")</f>
        <v/>
      </c>
      <c r="M285" s="83"/>
      <c r="N285" s="83"/>
      <c r="O285" s="40">
        <v>0</v>
      </c>
      <c r="P285" s="97">
        <f>Table1[[#This Row],[quantity on-hand]]*(Table1[[#This Row],[Cost ]]+Table1[[#This Row],[shipping]]+Table1[[#This Row],[Tax]])</f>
        <v>0</v>
      </c>
      <c r="Q285" s="40">
        <v>0</v>
      </c>
      <c r="R285" s="95">
        <f>Table1[[#This Row],[Quantity on order]]*(Table1[[#This Row],[Cost ]]+Table1[[#This Row],[shipping]]+Table1[[#This Row],[Tax]])</f>
        <v>0</v>
      </c>
      <c r="S2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5" s="49">
        <f>Table1[[#This Row],[Quantity  to  purchase]]+Table1[[#This Row],[Quantity purchased]]+Table1[[#This Row],[Quantity on order]]+Table1[[#This Row],[Quantity donated]]-Table1[[#This Row],[extended quantity]]</f>
        <v>0</v>
      </c>
      <c r="U2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5" s="51">
        <f>IFERROR(Table1[[#This Row],[Quantity  to  purchase]]*(Table1[[#This Row],[Cost ]]+Table1[[#This Row],[shipping]]+Table1[[#This Row],[Tax]]),0)</f>
        <v>0</v>
      </c>
      <c r="W285" s="36">
        <f>IFERROR(Table1[[#This Row],[leftover material]]*(Table1[[#This Row],[Cost ]]+Table1[[#This Row],[shipping]]+Table1[[#This Row],[Tax]]),0)</f>
        <v>0</v>
      </c>
      <c r="X285" s="36"/>
      <c r="Y285" s="87"/>
      <c r="Z285" s="87"/>
      <c r="AA285" s="87"/>
      <c r="AB285" s="36"/>
      <c r="AC285" s="36">
        <f>IF(ISNA(VLOOKUP(Table1[[#This Row],[Part Number]],'Multi-level BOM'!V$4:V$449,1,FALSE)),0,Table1[[#This Row],[Remaining Extended cost]])</f>
        <v>0</v>
      </c>
    </row>
    <row r="286" spans="1:29" x14ac:dyDescent="0.25">
      <c r="A286" s="1" t="s">
        <v>289</v>
      </c>
      <c r="B286" s="4"/>
      <c r="F286" s="3">
        <f>9%*Table1[[#This Row],[Cost ]]</f>
        <v>0</v>
      </c>
      <c r="J286" s="49">
        <f>SUMIF('Multi-level BOM'!D$4:D$467,Table1[[#This Row],[Part Number]],'Multi-level BOM'!H$4:H$467)</f>
        <v>0</v>
      </c>
      <c r="K286" s="10">
        <f>Table1[[#This Row],[extended quantity]]*(Table1[[#This Row],[Cost ]]+Table1[[#This Row],[shipping]]+Table1[[#This Row],[Tax]])</f>
        <v>0</v>
      </c>
      <c r="L286" s="83" t="str">
        <f>IF(Table1[[#This Row],[Buy-now costs]]&gt;0,"X","")</f>
        <v/>
      </c>
      <c r="M286" s="83"/>
      <c r="N286" s="83"/>
      <c r="O286" s="40">
        <v>0</v>
      </c>
      <c r="P286" s="97">
        <f>Table1[[#This Row],[quantity on-hand]]*(Table1[[#This Row],[Cost ]]+Table1[[#This Row],[shipping]]+Table1[[#This Row],[Tax]])</f>
        <v>0</v>
      </c>
      <c r="Q286" s="40">
        <v>0</v>
      </c>
      <c r="R286" s="95">
        <f>Table1[[#This Row],[Quantity on order]]*(Table1[[#This Row],[Cost ]]+Table1[[#This Row],[shipping]]+Table1[[#This Row],[Tax]])</f>
        <v>0</v>
      </c>
      <c r="S2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6" s="49">
        <f>Table1[[#This Row],[Quantity  to  purchase]]+Table1[[#This Row],[Quantity purchased]]+Table1[[#This Row],[Quantity on order]]+Table1[[#This Row],[Quantity donated]]-Table1[[#This Row],[extended quantity]]</f>
        <v>0</v>
      </c>
      <c r="U2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6" s="51">
        <f>IFERROR(Table1[[#This Row],[Quantity  to  purchase]]*(Table1[[#This Row],[Cost ]]+Table1[[#This Row],[shipping]]+Table1[[#This Row],[Tax]]),0)</f>
        <v>0</v>
      </c>
      <c r="W286" s="36">
        <f>IFERROR(Table1[[#This Row],[leftover material]]*(Table1[[#This Row],[Cost ]]+Table1[[#This Row],[shipping]]+Table1[[#This Row],[Tax]]),0)</f>
        <v>0</v>
      </c>
      <c r="X286" s="36"/>
      <c r="Y286" s="87"/>
      <c r="Z286" s="87"/>
      <c r="AA286" s="87"/>
      <c r="AB286" s="36"/>
      <c r="AC286" s="36">
        <f>IF(ISNA(VLOOKUP(Table1[[#This Row],[Part Number]],'Multi-level BOM'!V$4:V$449,1,FALSE)),0,Table1[[#This Row],[Remaining Extended cost]])</f>
        <v>0</v>
      </c>
    </row>
    <row r="287" spans="1:29" x14ac:dyDescent="0.25">
      <c r="A287" s="1" t="s">
        <v>290</v>
      </c>
      <c r="B287" s="4"/>
      <c r="F287" s="3">
        <f>9%*Table1[[#This Row],[Cost ]]</f>
        <v>0</v>
      </c>
      <c r="J287" s="49">
        <f>SUMIF('Multi-level BOM'!D$4:D$467,Table1[[#This Row],[Part Number]],'Multi-level BOM'!H$4:H$467)</f>
        <v>0</v>
      </c>
      <c r="K287" s="10">
        <f>Table1[[#This Row],[extended quantity]]*(Table1[[#This Row],[Cost ]]+Table1[[#This Row],[shipping]]+Table1[[#This Row],[Tax]])</f>
        <v>0</v>
      </c>
      <c r="L287" s="83" t="str">
        <f>IF(Table1[[#This Row],[Buy-now costs]]&gt;0,"X","")</f>
        <v/>
      </c>
      <c r="M287" s="83"/>
      <c r="N287" s="83"/>
      <c r="O287" s="40">
        <v>0</v>
      </c>
      <c r="P287" s="97">
        <f>Table1[[#This Row],[quantity on-hand]]*(Table1[[#This Row],[Cost ]]+Table1[[#This Row],[shipping]]+Table1[[#This Row],[Tax]])</f>
        <v>0</v>
      </c>
      <c r="Q287" s="40">
        <v>0</v>
      </c>
      <c r="R287" s="95">
        <f>Table1[[#This Row],[Quantity on order]]*(Table1[[#This Row],[Cost ]]+Table1[[#This Row],[shipping]]+Table1[[#This Row],[Tax]])</f>
        <v>0</v>
      </c>
      <c r="S2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7" s="49">
        <f>Table1[[#This Row],[Quantity  to  purchase]]+Table1[[#This Row],[Quantity purchased]]+Table1[[#This Row],[Quantity on order]]+Table1[[#This Row],[Quantity donated]]-Table1[[#This Row],[extended quantity]]</f>
        <v>0</v>
      </c>
      <c r="U2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7" s="51">
        <f>IFERROR(Table1[[#This Row],[Quantity  to  purchase]]*(Table1[[#This Row],[Cost ]]+Table1[[#This Row],[shipping]]+Table1[[#This Row],[Tax]]),0)</f>
        <v>0</v>
      </c>
      <c r="W287" s="36">
        <f>IFERROR(Table1[[#This Row],[leftover material]]*(Table1[[#This Row],[Cost ]]+Table1[[#This Row],[shipping]]+Table1[[#This Row],[Tax]]),0)</f>
        <v>0</v>
      </c>
      <c r="X287" s="36"/>
      <c r="Y287" s="87"/>
      <c r="Z287" s="87"/>
      <c r="AA287" s="87"/>
      <c r="AB287" s="36"/>
      <c r="AC287" s="36">
        <f>IF(ISNA(VLOOKUP(Table1[[#This Row],[Part Number]],'Multi-level BOM'!V$4:V$449,1,FALSE)),0,Table1[[#This Row],[Remaining Extended cost]])</f>
        <v>0</v>
      </c>
    </row>
    <row r="288" spans="1:29" x14ac:dyDescent="0.25">
      <c r="A288" s="1" t="s">
        <v>291</v>
      </c>
      <c r="B288" s="4"/>
      <c r="F288" s="3">
        <f>9%*Table1[[#This Row],[Cost ]]</f>
        <v>0</v>
      </c>
      <c r="J288" s="49">
        <f>SUMIF('Multi-level BOM'!D$4:D$467,Table1[[#This Row],[Part Number]],'Multi-level BOM'!H$4:H$467)</f>
        <v>0</v>
      </c>
      <c r="K288" s="10">
        <f>Table1[[#This Row],[extended quantity]]*(Table1[[#This Row],[Cost ]]+Table1[[#This Row],[shipping]]+Table1[[#This Row],[Tax]])</f>
        <v>0</v>
      </c>
      <c r="L288" s="83" t="str">
        <f>IF(Table1[[#This Row],[Buy-now costs]]&gt;0,"X","")</f>
        <v/>
      </c>
      <c r="M288" s="83"/>
      <c r="N288" s="83"/>
      <c r="O288" s="40">
        <v>0</v>
      </c>
      <c r="P288" s="97">
        <f>Table1[[#This Row],[quantity on-hand]]*(Table1[[#This Row],[Cost ]]+Table1[[#This Row],[shipping]]+Table1[[#This Row],[Tax]])</f>
        <v>0</v>
      </c>
      <c r="Q288" s="40">
        <v>0</v>
      </c>
      <c r="R288" s="95">
        <f>Table1[[#This Row],[Quantity on order]]*(Table1[[#This Row],[Cost ]]+Table1[[#This Row],[shipping]]+Table1[[#This Row],[Tax]])</f>
        <v>0</v>
      </c>
      <c r="S2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8" s="49">
        <f>Table1[[#This Row],[Quantity  to  purchase]]+Table1[[#This Row],[Quantity purchased]]+Table1[[#This Row],[Quantity on order]]+Table1[[#This Row],[Quantity donated]]-Table1[[#This Row],[extended quantity]]</f>
        <v>0</v>
      </c>
      <c r="U2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8" s="51">
        <f>IFERROR(Table1[[#This Row],[Quantity  to  purchase]]*(Table1[[#This Row],[Cost ]]+Table1[[#This Row],[shipping]]+Table1[[#This Row],[Tax]]),0)</f>
        <v>0</v>
      </c>
      <c r="W288" s="36">
        <f>IFERROR(Table1[[#This Row],[leftover material]]*(Table1[[#This Row],[Cost ]]+Table1[[#This Row],[shipping]]+Table1[[#This Row],[Tax]]),0)</f>
        <v>0</v>
      </c>
      <c r="X288" s="36"/>
      <c r="Y288" s="87"/>
      <c r="Z288" s="87"/>
      <c r="AA288" s="87"/>
      <c r="AB288" s="36"/>
      <c r="AC288" s="36">
        <f>IF(ISNA(VLOOKUP(Table1[[#This Row],[Part Number]],'Multi-level BOM'!V$4:V$449,1,FALSE)),0,Table1[[#This Row],[Remaining Extended cost]])</f>
        <v>0</v>
      </c>
    </row>
    <row r="289" spans="1:29" x14ac:dyDescent="0.25">
      <c r="A289" s="1" t="s">
        <v>292</v>
      </c>
      <c r="B289" s="4"/>
      <c r="F289" s="3">
        <f>9%*Table1[[#This Row],[Cost ]]</f>
        <v>0</v>
      </c>
      <c r="J289" s="49">
        <f>SUMIF('Multi-level BOM'!D$4:D$467,Table1[[#This Row],[Part Number]],'Multi-level BOM'!H$4:H$467)</f>
        <v>0</v>
      </c>
      <c r="K289" s="10">
        <f>Table1[[#This Row],[extended quantity]]*(Table1[[#This Row],[Cost ]]+Table1[[#This Row],[shipping]]+Table1[[#This Row],[Tax]])</f>
        <v>0</v>
      </c>
      <c r="L289" s="83" t="str">
        <f>IF(Table1[[#This Row],[Buy-now costs]]&gt;0,"X","")</f>
        <v/>
      </c>
      <c r="M289" s="83"/>
      <c r="N289" s="83"/>
      <c r="O289" s="40">
        <v>0</v>
      </c>
      <c r="P289" s="97">
        <f>Table1[[#This Row],[quantity on-hand]]*(Table1[[#This Row],[Cost ]]+Table1[[#This Row],[shipping]]+Table1[[#This Row],[Tax]])</f>
        <v>0</v>
      </c>
      <c r="Q289" s="40">
        <v>0</v>
      </c>
      <c r="R289" s="95">
        <f>Table1[[#This Row],[Quantity on order]]*(Table1[[#This Row],[Cost ]]+Table1[[#This Row],[shipping]]+Table1[[#This Row],[Tax]])</f>
        <v>0</v>
      </c>
      <c r="S2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9" s="49">
        <f>Table1[[#This Row],[Quantity  to  purchase]]+Table1[[#This Row],[Quantity purchased]]+Table1[[#This Row],[Quantity on order]]+Table1[[#This Row],[Quantity donated]]-Table1[[#This Row],[extended quantity]]</f>
        <v>0</v>
      </c>
      <c r="U2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9" s="51">
        <f>IFERROR(Table1[[#This Row],[Quantity  to  purchase]]*(Table1[[#This Row],[Cost ]]+Table1[[#This Row],[shipping]]+Table1[[#This Row],[Tax]]),0)</f>
        <v>0</v>
      </c>
      <c r="W289" s="36">
        <f>IFERROR(Table1[[#This Row],[leftover material]]*(Table1[[#This Row],[Cost ]]+Table1[[#This Row],[shipping]]+Table1[[#This Row],[Tax]]),0)</f>
        <v>0</v>
      </c>
      <c r="X289" s="36"/>
      <c r="Y289" s="87"/>
      <c r="Z289" s="87"/>
      <c r="AA289" s="87"/>
      <c r="AB289" s="36"/>
      <c r="AC289" s="36">
        <f>IF(ISNA(VLOOKUP(Table1[[#This Row],[Part Number]],'Multi-level BOM'!V$4:V$449,1,FALSE)),0,Table1[[#This Row],[Remaining Extended cost]])</f>
        <v>0</v>
      </c>
    </row>
    <row r="290" spans="1:29" x14ac:dyDescent="0.25">
      <c r="A290" s="1" t="s">
        <v>293</v>
      </c>
      <c r="B290" s="4"/>
      <c r="F290" s="3">
        <f>9%*Table1[[#This Row],[Cost ]]</f>
        <v>0</v>
      </c>
      <c r="J290" s="49">
        <f>SUMIF('Multi-level BOM'!D$4:D$467,Table1[[#This Row],[Part Number]],'Multi-level BOM'!H$4:H$467)</f>
        <v>0</v>
      </c>
      <c r="K290" s="10">
        <f>Table1[[#This Row],[extended quantity]]*(Table1[[#This Row],[Cost ]]+Table1[[#This Row],[shipping]]+Table1[[#This Row],[Tax]])</f>
        <v>0</v>
      </c>
      <c r="L290" s="83" t="str">
        <f>IF(Table1[[#This Row],[Buy-now costs]]&gt;0,"X","")</f>
        <v/>
      </c>
      <c r="M290" s="83"/>
      <c r="N290" s="83"/>
      <c r="O290" s="40">
        <v>0</v>
      </c>
      <c r="P290" s="97">
        <f>Table1[[#This Row],[quantity on-hand]]*(Table1[[#This Row],[Cost ]]+Table1[[#This Row],[shipping]]+Table1[[#This Row],[Tax]])</f>
        <v>0</v>
      </c>
      <c r="Q290" s="40">
        <v>0</v>
      </c>
      <c r="R290" s="95">
        <f>Table1[[#This Row],[Quantity on order]]*(Table1[[#This Row],[Cost ]]+Table1[[#This Row],[shipping]]+Table1[[#This Row],[Tax]])</f>
        <v>0</v>
      </c>
      <c r="S2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0" s="49">
        <f>Table1[[#This Row],[Quantity  to  purchase]]+Table1[[#This Row],[Quantity purchased]]+Table1[[#This Row],[Quantity on order]]+Table1[[#This Row],[Quantity donated]]-Table1[[#This Row],[extended quantity]]</f>
        <v>0</v>
      </c>
      <c r="U2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0" s="51">
        <f>IFERROR(Table1[[#This Row],[Quantity  to  purchase]]*(Table1[[#This Row],[Cost ]]+Table1[[#This Row],[shipping]]+Table1[[#This Row],[Tax]]),0)</f>
        <v>0</v>
      </c>
      <c r="W290" s="36">
        <f>IFERROR(Table1[[#This Row],[leftover material]]*(Table1[[#This Row],[Cost ]]+Table1[[#This Row],[shipping]]+Table1[[#This Row],[Tax]]),0)</f>
        <v>0</v>
      </c>
      <c r="X290" s="36"/>
      <c r="Y290" s="87"/>
      <c r="Z290" s="87"/>
      <c r="AA290" s="87"/>
      <c r="AB290" s="36"/>
      <c r="AC290" s="36">
        <f>IF(ISNA(VLOOKUP(Table1[[#This Row],[Part Number]],'Multi-level BOM'!V$4:V$449,1,FALSE)),0,Table1[[#This Row],[Remaining Extended cost]])</f>
        <v>0</v>
      </c>
    </row>
    <row r="291" spans="1:29" x14ac:dyDescent="0.25">
      <c r="A291" s="1" t="s">
        <v>294</v>
      </c>
      <c r="B291" s="4"/>
      <c r="F291" s="3">
        <f>9%*Table1[[#This Row],[Cost ]]</f>
        <v>0</v>
      </c>
      <c r="J291" s="49">
        <f>SUMIF('Multi-level BOM'!D$4:D$467,Table1[[#This Row],[Part Number]],'Multi-level BOM'!H$4:H$467)</f>
        <v>0</v>
      </c>
      <c r="K291" s="10">
        <f>Table1[[#This Row],[extended quantity]]*(Table1[[#This Row],[Cost ]]+Table1[[#This Row],[shipping]]+Table1[[#This Row],[Tax]])</f>
        <v>0</v>
      </c>
      <c r="L291" s="83" t="str">
        <f>IF(Table1[[#This Row],[Buy-now costs]]&gt;0,"X","")</f>
        <v/>
      </c>
      <c r="M291" s="83"/>
      <c r="N291" s="83"/>
      <c r="O291" s="40">
        <v>0</v>
      </c>
      <c r="P291" s="97">
        <f>Table1[[#This Row],[quantity on-hand]]*(Table1[[#This Row],[Cost ]]+Table1[[#This Row],[shipping]]+Table1[[#This Row],[Tax]])</f>
        <v>0</v>
      </c>
      <c r="Q291" s="40">
        <v>0</v>
      </c>
      <c r="R291" s="95">
        <f>Table1[[#This Row],[Quantity on order]]*(Table1[[#This Row],[Cost ]]+Table1[[#This Row],[shipping]]+Table1[[#This Row],[Tax]])</f>
        <v>0</v>
      </c>
      <c r="S2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1" s="49">
        <f>Table1[[#This Row],[Quantity  to  purchase]]+Table1[[#This Row],[Quantity purchased]]+Table1[[#This Row],[Quantity on order]]+Table1[[#This Row],[Quantity donated]]-Table1[[#This Row],[extended quantity]]</f>
        <v>0</v>
      </c>
      <c r="U2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1" s="51">
        <f>IFERROR(Table1[[#This Row],[Quantity  to  purchase]]*(Table1[[#This Row],[Cost ]]+Table1[[#This Row],[shipping]]+Table1[[#This Row],[Tax]]),0)</f>
        <v>0</v>
      </c>
      <c r="W291" s="36">
        <f>IFERROR(Table1[[#This Row],[leftover material]]*(Table1[[#This Row],[Cost ]]+Table1[[#This Row],[shipping]]+Table1[[#This Row],[Tax]]),0)</f>
        <v>0</v>
      </c>
      <c r="X291" s="36"/>
      <c r="Y291" s="87"/>
      <c r="Z291" s="87"/>
      <c r="AA291" s="87"/>
      <c r="AB291" s="36"/>
      <c r="AC291" s="36">
        <f>IF(ISNA(VLOOKUP(Table1[[#This Row],[Part Number]],'Multi-level BOM'!V$4:V$449,1,FALSE)),0,Table1[[#This Row],[Remaining Extended cost]])</f>
        <v>0</v>
      </c>
    </row>
    <row r="292" spans="1:29" x14ac:dyDescent="0.25">
      <c r="A292" s="1" t="s">
        <v>295</v>
      </c>
      <c r="B292" s="4"/>
      <c r="F292" s="3">
        <f>9%*Table1[[#This Row],[Cost ]]</f>
        <v>0</v>
      </c>
      <c r="J292" s="49">
        <f>SUMIF('Multi-level BOM'!D$4:D$467,Table1[[#This Row],[Part Number]],'Multi-level BOM'!H$4:H$467)</f>
        <v>0</v>
      </c>
      <c r="K292" s="10">
        <f>Table1[[#This Row],[extended quantity]]*(Table1[[#This Row],[Cost ]]+Table1[[#This Row],[shipping]]+Table1[[#This Row],[Tax]])</f>
        <v>0</v>
      </c>
      <c r="L292" s="83" t="str">
        <f>IF(Table1[[#This Row],[Buy-now costs]]&gt;0,"X","")</f>
        <v/>
      </c>
      <c r="M292" s="83"/>
      <c r="N292" s="83"/>
      <c r="O292" s="40">
        <v>0</v>
      </c>
      <c r="P292" s="97">
        <f>Table1[[#This Row],[quantity on-hand]]*(Table1[[#This Row],[Cost ]]+Table1[[#This Row],[shipping]]+Table1[[#This Row],[Tax]])</f>
        <v>0</v>
      </c>
      <c r="Q292" s="40">
        <v>0</v>
      </c>
      <c r="R292" s="95">
        <f>Table1[[#This Row],[Quantity on order]]*(Table1[[#This Row],[Cost ]]+Table1[[#This Row],[shipping]]+Table1[[#This Row],[Tax]])</f>
        <v>0</v>
      </c>
      <c r="S2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2" s="49">
        <f>Table1[[#This Row],[Quantity  to  purchase]]+Table1[[#This Row],[Quantity purchased]]+Table1[[#This Row],[Quantity on order]]+Table1[[#This Row],[Quantity donated]]-Table1[[#This Row],[extended quantity]]</f>
        <v>0</v>
      </c>
      <c r="U2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2" s="51">
        <f>IFERROR(Table1[[#This Row],[Quantity  to  purchase]]*(Table1[[#This Row],[Cost ]]+Table1[[#This Row],[shipping]]+Table1[[#This Row],[Tax]]),0)</f>
        <v>0</v>
      </c>
      <c r="W292" s="36">
        <f>IFERROR(Table1[[#This Row],[leftover material]]*(Table1[[#This Row],[Cost ]]+Table1[[#This Row],[shipping]]+Table1[[#This Row],[Tax]]),0)</f>
        <v>0</v>
      </c>
      <c r="X292" s="36"/>
      <c r="Y292" s="87"/>
      <c r="Z292" s="87"/>
      <c r="AA292" s="87"/>
      <c r="AB292" s="36"/>
      <c r="AC292" s="36">
        <f>IF(ISNA(VLOOKUP(Table1[[#This Row],[Part Number]],'Multi-level BOM'!V$4:V$449,1,FALSE)),0,Table1[[#This Row],[Remaining Extended cost]])</f>
        <v>0</v>
      </c>
    </row>
    <row r="293" spans="1:29" x14ac:dyDescent="0.25">
      <c r="A293" s="1" t="s">
        <v>296</v>
      </c>
      <c r="B293" s="4"/>
      <c r="F293" s="3">
        <f>9%*Table1[[#This Row],[Cost ]]</f>
        <v>0</v>
      </c>
      <c r="J293" s="49">
        <f>SUMIF('Multi-level BOM'!D$4:D$467,Table1[[#This Row],[Part Number]],'Multi-level BOM'!H$4:H$467)</f>
        <v>0</v>
      </c>
      <c r="K293" s="10">
        <f>Table1[[#This Row],[extended quantity]]*(Table1[[#This Row],[Cost ]]+Table1[[#This Row],[shipping]]+Table1[[#This Row],[Tax]])</f>
        <v>0</v>
      </c>
      <c r="L293" s="83" t="str">
        <f>IF(Table1[[#This Row],[Buy-now costs]]&gt;0,"X","")</f>
        <v/>
      </c>
      <c r="M293" s="83"/>
      <c r="N293" s="83"/>
      <c r="O293" s="40">
        <v>0</v>
      </c>
      <c r="P293" s="97">
        <f>Table1[[#This Row],[quantity on-hand]]*(Table1[[#This Row],[Cost ]]+Table1[[#This Row],[shipping]]+Table1[[#This Row],[Tax]])</f>
        <v>0</v>
      </c>
      <c r="Q293" s="40">
        <v>0</v>
      </c>
      <c r="R293" s="95">
        <f>Table1[[#This Row],[Quantity on order]]*(Table1[[#This Row],[Cost ]]+Table1[[#This Row],[shipping]]+Table1[[#This Row],[Tax]])</f>
        <v>0</v>
      </c>
      <c r="S2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3" s="49">
        <f>Table1[[#This Row],[Quantity  to  purchase]]+Table1[[#This Row],[Quantity purchased]]+Table1[[#This Row],[Quantity on order]]+Table1[[#This Row],[Quantity donated]]-Table1[[#This Row],[extended quantity]]</f>
        <v>0</v>
      </c>
      <c r="U2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3" s="51">
        <f>IFERROR(Table1[[#This Row],[Quantity  to  purchase]]*(Table1[[#This Row],[Cost ]]+Table1[[#This Row],[shipping]]+Table1[[#This Row],[Tax]]),0)</f>
        <v>0</v>
      </c>
      <c r="W293" s="36">
        <f>IFERROR(Table1[[#This Row],[leftover material]]*(Table1[[#This Row],[Cost ]]+Table1[[#This Row],[shipping]]+Table1[[#This Row],[Tax]]),0)</f>
        <v>0</v>
      </c>
      <c r="X293" s="36"/>
      <c r="Y293" s="87"/>
      <c r="Z293" s="87"/>
      <c r="AA293" s="87"/>
      <c r="AB293" s="36"/>
      <c r="AC293" s="36">
        <f>IF(ISNA(VLOOKUP(Table1[[#This Row],[Part Number]],'Multi-level BOM'!V$4:V$449,1,FALSE)),0,Table1[[#This Row],[Remaining Extended cost]])</f>
        <v>0</v>
      </c>
    </row>
    <row r="294" spans="1:29" x14ac:dyDescent="0.25">
      <c r="A294" s="1" t="s">
        <v>297</v>
      </c>
      <c r="B294" s="4"/>
      <c r="F294" s="3">
        <f>9%*Table1[[#This Row],[Cost ]]</f>
        <v>0</v>
      </c>
      <c r="J294" s="49">
        <f>SUMIF('Multi-level BOM'!D$4:D$467,Table1[[#This Row],[Part Number]],'Multi-level BOM'!H$4:H$467)</f>
        <v>0</v>
      </c>
      <c r="K294" s="10">
        <f>Table1[[#This Row],[extended quantity]]*(Table1[[#This Row],[Cost ]]+Table1[[#This Row],[shipping]]+Table1[[#This Row],[Tax]])</f>
        <v>0</v>
      </c>
      <c r="L294" s="83" t="str">
        <f>IF(Table1[[#This Row],[Buy-now costs]]&gt;0,"X","")</f>
        <v/>
      </c>
      <c r="M294" s="83"/>
      <c r="N294" s="83"/>
      <c r="O294" s="40">
        <v>0</v>
      </c>
      <c r="P294" s="97">
        <f>Table1[[#This Row],[quantity on-hand]]*(Table1[[#This Row],[Cost ]]+Table1[[#This Row],[shipping]]+Table1[[#This Row],[Tax]])</f>
        <v>0</v>
      </c>
      <c r="Q294" s="40">
        <v>0</v>
      </c>
      <c r="R294" s="95">
        <f>Table1[[#This Row],[Quantity on order]]*(Table1[[#This Row],[Cost ]]+Table1[[#This Row],[shipping]]+Table1[[#This Row],[Tax]])</f>
        <v>0</v>
      </c>
      <c r="S2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4" s="49">
        <f>Table1[[#This Row],[Quantity  to  purchase]]+Table1[[#This Row],[Quantity purchased]]+Table1[[#This Row],[Quantity on order]]+Table1[[#This Row],[Quantity donated]]-Table1[[#This Row],[extended quantity]]</f>
        <v>0</v>
      </c>
      <c r="U2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4" s="51">
        <f>IFERROR(Table1[[#This Row],[Quantity  to  purchase]]*(Table1[[#This Row],[Cost ]]+Table1[[#This Row],[shipping]]+Table1[[#This Row],[Tax]]),0)</f>
        <v>0</v>
      </c>
      <c r="W294" s="36">
        <f>IFERROR(Table1[[#This Row],[leftover material]]*(Table1[[#This Row],[Cost ]]+Table1[[#This Row],[shipping]]+Table1[[#This Row],[Tax]]),0)</f>
        <v>0</v>
      </c>
      <c r="X294" s="36"/>
      <c r="Y294" s="87"/>
      <c r="Z294" s="87"/>
      <c r="AA294" s="87"/>
      <c r="AB294" s="36"/>
      <c r="AC294" s="36">
        <f>IF(ISNA(VLOOKUP(Table1[[#This Row],[Part Number]],'Multi-level BOM'!V$4:V$449,1,FALSE)),0,Table1[[#This Row],[Remaining Extended cost]])</f>
        <v>0</v>
      </c>
    </row>
    <row r="295" spans="1:29" x14ac:dyDescent="0.25">
      <c r="A295" s="1" t="s">
        <v>298</v>
      </c>
      <c r="B295" s="4"/>
      <c r="F295" s="3">
        <f>9%*Table1[[#This Row],[Cost ]]</f>
        <v>0</v>
      </c>
      <c r="J295" s="49">
        <f>SUMIF('Multi-level BOM'!D$4:D$467,Table1[[#This Row],[Part Number]],'Multi-level BOM'!H$4:H$467)</f>
        <v>0</v>
      </c>
      <c r="K295" s="10">
        <f>Table1[[#This Row],[extended quantity]]*(Table1[[#This Row],[Cost ]]+Table1[[#This Row],[shipping]]+Table1[[#This Row],[Tax]])</f>
        <v>0</v>
      </c>
      <c r="L295" s="83" t="str">
        <f>IF(Table1[[#This Row],[Buy-now costs]]&gt;0,"X","")</f>
        <v/>
      </c>
      <c r="M295" s="83"/>
      <c r="N295" s="83"/>
      <c r="O295" s="40">
        <v>0</v>
      </c>
      <c r="P295" s="97">
        <f>Table1[[#This Row],[quantity on-hand]]*(Table1[[#This Row],[Cost ]]+Table1[[#This Row],[shipping]]+Table1[[#This Row],[Tax]])</f>
        <v>0</v>
      </c>
      <c r="Q295" s="40">
        <v>0</v>
      </c>
      <c r="R295" s="95">
        <f>Table1[[#This Row],[Quantity on order]]*(Table1[[#This Row],[Cost ]]+Table1[[#This Row],[shipping]]+Table1[[#This Row],[Tax]])</f>
        <v>0</v>
      </c>
      <c r="S2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5" s="49">
        <f>Table1[[#This Row],[Quantity  to  purchase]]+Table1[[#This Row],[Quantity purchased]]+Table1[[#This Row],[Quantity on order]]+Table1[[#This Row],[Quantity donated]]-Table1[[#This Row],[extended quantity]]</f>
        <v>0</v>
      </c>
      <c r="U2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5" s="51">
        <f>IFERROR(Table1[[#This Row],[Quantity  to  purchase]]*(Table1[[#This Row],[Cost ]]+Table1[[#This Row],[shipping]]+Table1[[#This Row],[Tax]]),0)</f>
        <v>0</v>
      </c>
      <c r="W295" s="36">
        <f>IFERROR(Table1[[#This Row],[leftover material]]*(Table1[[#This Row],[Cost ]]+Table1[[#This Row],[shipping]]+Table1[[#This Row],[Tax]]),0)</f>
        <v>0</v>
      </c>
      <c r="X295" s="36"/>
      <c r="Y295" s="87"/>
      <c r="Z295" s="87"/>
      <c r="AA295" s="87"/>
      <c r="AB295" s="36"/>
      <c r="AC295" s="36">
        <f>IF(ISNA(VLOOKUP(Table1[[#This Row],[Part Number]],'Multi-level BOM'!V$4:V$449,1,FALSE)),0,Table1[[#This Row],[Remaining Extended cost]])</f>
        <v>0</v>
      </c>
    </row>
    <row r="296" spans="1:29" x14ac:dyDescent="0.25">
      <c r="A296" s="1" t="s">
        <v>299</v>
      </c>
      <c r="B296" s="4"/>
      <c r="F296" s="3">
        <f>9%*Table1[[#This Row],[Cost ]]</f>
        <v>0</v>
      </c>
      <c r="J296" s="49">
        <f>SUMIF('Multi-level BOM'!D$4:D$467,Table1[[#This Row],[Part Number]],'Multi-level BOM'!H$4:H$467)</f>
        <v>0</v>
      </c>
      <c r="K296" s="10">
        <f>Table1[[#This Row],[extended quantity]]*(Table1[[#This Row],[Cost ]]+Table1[[#This Row],[shipping]]+Table1[[#This Row],[Tax]])</f>
        <v>0</v>
      </c>
      <c r="L296" s="83" t="str">
        <f>IF(Table1[[#This Row],[Buy-now costs]]&gt;0,"X","")</f>
        <v/>
      </c>
      <c r="M296" s="83"/>
      <c r="N296" s="83"/>
      <c r="O296" s="40">
        <v>0</v>
      </c>
      <c r="P296" s="97">
        <f>Table1[[#This Row],[quantity on-hand]]*(Table1[[#This Row],[Cost ]]+Table1[[#This Row],[shipping]]+Table1[[#This Row],[Tax]])</f>
        <v>0</v>
      </c>
      <c r="Q296" s="40">
        <v>0</v>
      </c>
      <c r="R296" s="95">
        <f>Table1[[#This Row],[Quantity on order]]*(Table1[[#This Row],[Cost ]]+Table1[[#This Row],[shipping]]+Table1[[#This Row],[Tax]])</f>
        <v>0</v>
      </c>
      <c r="S2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6" s="49">
        <f>Table1[[#This Row],[Quantity  to  purchase]]+Table1[[#This Row],[Quantity purchased]]+Table1[[#This Row],[Quantity on order]]+Table1[[#This Row],[Quantity donated]]-Table1[[#This Row],[extended quantity]]</f>
        <v>0</v>
      </c>
      <c r="U2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6" s="51">
        <f>IFERROR(Table1[[#This Row],[Quantity  to  purchase]]*(Table1[[#This Row],[Cost ]]+Table1[[#This Row],[shipping]]+Table1[[#This Row],[Tax]]),0)</f>
        <v>0</v>
      </c>
      <c r="W296" s="36">
        <f>IFERROR(Table1[[#This Row],[leftover material]]*(Table1[[#This Row],[Cost ]]+Table1[[#This Row],[shipping]]+Table1[[#This Row],[Tax]]),0)</f>
        <v>0</v>
      </c>
      <c r="X296" s="36"/>
      <c r="Y296" s="87"/>
      <c r="Z296" s="87"/>
      <c r="AA296" s="87"/>
      <c r="AB296" s="36"/>
      <c r="AC296" s="36">
        <f>IF(ISNA(VLOOKUP(Table1[[#This Row],[Part Number]],'Multi-level BOM'!V$4:V$449,1,FALSE)),0,Table1[[#This Row],[Remaining Extended cost]])</f>
        <v>0</v>
      </c>
    </row>
    <row r="297" spans="1:29" x14ac:dyDescent="0.25">
      <c r="A297" s="1" t="s">
        <v>300</v>
      </c>
      <c r="B297" s="4"/>
      <c r="F297" s="3">
        <f>9%*Table1[[#This Row],[Cost ]]</f>
        <v>0</v>
      </c>
      <c r="J297" s="49">
        <f>SUMIF('Multi-level BOM'!D$4:D$467,Table1[[#This Row],[Part Number]],'Multi-level BOM'!H$4:H$467)</f>
        <v>0</v>
      </c>
      <c r="K297" s="10">
        <f>Table1[[#This Row],[extended quantity]]*(Table1[[#This Row],[Cost ]]+Table1[[#This Row],[shipping]]+Table1[[#This Row],[Tax]])</f>
        <v>0</v>
      </c>
      <c r="L297" s="83" t="str">
        <f>IF(Table1[[#This Row],[Buy-now costs]]&gt;0,"X","")</f>
        <v/>
      </c>
      <c r="M297" s="83"/>
      <c r="N297" s="83"/>
      <c r="O297" s="40">
        <v>0</v>
      </c>
      <c r="P297" s="97">
        <f>Table1[[#This Row],[quantity on-hand]]*(Table1[[#This Row],[Cost ]]+Table1[[#This Row],[shipping]]+Table1[[#This Row],[Tax]])</f>
        <v>0</v>
      </c>
      <c r="Q297" s="40">
        <v>0</v>
      </c>
      <c r="R297" s="95">
        <f>Table1[[#This Row],[Quantity on order]]*(Table1[[#This Row],[Cost ]]+Table1[[#This Row],[shipping]]+Table1[[#This Row],[Tax]])</f>
        <v>0</v>
      </c>
      <c r="S2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7" s="49">
        <f>Table1[[#This Row],[Quantity  to  purchase]]+Table1[[#This Row],[Quantity purchased]]+Table1[[#This Row],[Quantity on order]]+Table1[[#This Row],[Quantity donated]]-Table1[[#This Row],[extended quantity]]</f>
        <v>0</v>
      </c>
      <c r="U2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7" s="51">
        <f>IFERROR(Table1[[#This Row],[Quantity  to  purchase]]*(Table1[[#This Row],[Cost ]]+Table1[[#This Row],[shipping]]+Table1[[#This Row],[Tax]]),0)</f>
        <v>0</v>
      </c>
      <c r="W297" s="36">
        <f>IFERROR(Table1[[#This Row],[leftover material]]*(Table1[[#This Row],[Cost ]]+Table1[[#This Row],[shipping]]+Table1[[#This Row],[Tax]]),0)</f>
        <v>0</v>
      </c>
      <c r="X297" s="36"/>
      <c r="Y297" s="87"/>
      <c r="Z297" s="87"/>
      <c r="AA297" s="87"/>
      <c r="AB297" s="36"/>
      <c r="AC297" s="36">
        <f>IF(ISNA(VLOOKUP(Table1[[#This Row],[Part Number]],'Multi-level BOM'!V$4:V$449,1,FALSE)),0,Table1[[#This Row],[Remaining Extended cost]])</f>
        <v>0</v>
      </c>
    </row>
    <row r="298" spans="1:29" x14ac:dyDescent="0.25">
      <c r="A298" s="1" t="s">
        <v>301</v>
      </c>
      <c r="B298" s="4"/>
      <c r="F298" s="3">
        <f>9%*Table1[[#This Row],[Cost ]]</f>
        <v>0</v>
      </c>
      <c r="J298" s="49">
        <f>SUMIF('Multi-level BOM'!D$4:D$467,Table1[[#This Row],[Part Number]],'Multi-level BOM'!H$4:H$467)</f>
        <v>0</v>
      </c>
      <c r="K298" s="10">
        <f>Table1[[#This Row],[extended quantity]]*(Table1[[#This Row],[Cost ]]+Table1[[#This Row],[shipping]]+Table1[[#This Row],[Tax]])</f>
        <v>0</v>
      </c>
      <c r="L298" s="83" t="str">
        <f>IF(Table1[[#This Row],[Buy-now costs]]&gt;0,"X","")</f>
        <v/>
      </c>
      <c r="M298" s="83"/>
      <c r="N298" s="83"/>
      <c r="O298" s="40">
        <v>0</v>
      </c>
      <c r="P298" s="97">
        <f>Table1[[#This Row],[quantity on-hand]]*(Table1[[#This Row],[Cost ]]+Table1[[#This Row],[shipping]]+Table1[[#This Row],[Tax]])</f>
        <v>0</v>
      </c>
      <c r="Q298" s="40">
        <v>0</v>
      </c>
      <c r="R298" s="95">
        <f>Table1[[#This Row],[Quantity on order]]*(Table1[[#This Row],[Cost ]]+Table1[[#This Row],[shipping]]+Table1[[#This Row],[Tax]])</f>
        <v>0</v>
      </c>
      <c r="S2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8" s="49">
        <f>Table1[[#This Row],[Quantity  to  purchase]]+Table1[[#This Row],[Quantity purchased]]+Table1[[#This Row],[Quantity on order]]+Table1[[#This Row],[Quantity donated]]-Table1[[#This Row],[extended quantity]]</f>
        <v>0</v>
      </c>
      <c r="U2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8" s="51">
        <f>IFERROR(Table1[[#This Row],[Quantity  to  purchase]]*(Table1[[#This Row],[Cost ]]+Table1[[#This Row],[shipping]]+Table1[[#This Row],[Tax]]),0)</f>
        <v>0</v>
      </c>
      <c r="W298" s="36">
        <f>IFERROR(Table1[[#This Row],[leftover material]]*(Table1[[#This Row],[Cost ]]+Table1[[#This Row],[shipping]]+Table1[[#This Row],[Tax]]),0)</f>
        <v>0</v>
      </c>
      <c r="X298" s="36"/>
      <c r="Y298" s="87"/>
      <c r="Z298" s="87"/>
      <c r="AA298" s="87"/>
      <c r="AB298" s="36"/>
      <c r="AC298" s="36">
        <f>IF(ISNA(VLOOKUP(Table1[[#This Row],[Part Number]],'Multi-level BOM'!V$4:V$449,1,FALSE)),0,Table1[[#This Row],[Remaining Extended cost]])</f>
        <v>0</v>
      </c>
    </row>
    <row r="299" spans="1:29" x14ac:dyDescent="0.25">
      <c r="A299" s="1" t="s">
        <v>302</v>
      </c>
      <c r="B299" s="4"/>
      <c r="F299" s="3">
        <f>9%*Table1[[#This Row],[Cost ]]</f>
        <v>0</v>
      </c>
      <c r="J299" s="49">
        <f>SUMIF('Multi-level BOM'!D$4:D$467,Table1[[#This Row],[Part Number]],'Multi-level BOM'!H$4:H$467)</f>
        <v>0</v>
      </c>
      <c r="K299" s="10">
        <f>Table1[[#This Row],[extended quantity]]*(Table1[[#This Row],[Cost ]]+Table1[[#This Row],[shipping]]+Table1[[#This Row],[Tax]])</f>
        <v>0</v>
      </c>
      <c r="L299" s="83" t="str">
        <f>IF(Table1[[#This Row],[Buy-now costs]]&gt;0,"X","")</f>
        <v/>
      </c>
      <c r="M299" s="83"/>
      <c r="N299" s="83"/>
      <c r="O299" s="40">
        <v>0</v>
      </c>
      <c r="P299" s="97">
        <f>Table1[[#This Row],[quantity on-hand]]*(Table1[[#This Row],[Cost ]]+Table1[[#This Row],[shipping]]+Table1[[#This Row],[Tax]])</f>
        <v>0</v>
      </c>
      <c r="Q299" s="40">
        <v>0</v>
      </c>
      <c r="R299" s="95">
        <f>Table1[[#This Row],[Quantity on order]]*(Table1[[#This Row],[Cost ]]+Table1[[#This Row],[shipping]]+Table1[[#This Row],[Tax]])</f>
        <v>0</v>
      </c>
      <c r="S2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9" s="49">
        <f>Table1[[#This Row],[Quantity  to  purchase]]+Table1[[#This Row],[Quantity purchased]]+Table1[[#This Row],[Quantity on order]]+Table1[[#This Row],[Quantity donated]]-Table1[[#This Row],[extended quantity]]</f>
        <v>0</v>
      </c>
      <c r="U2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9" s="51">
        <f>IFERROR(Table1[[#This Row],[Quantity  to  purchase]]*(Table1[[#This Row],[Cost ]]+Table1[[#This Row],[shipping]]+Table1[[#This Row],[Tax]]),0)</f>
        <v>0</v>
      </c>
      <c r="W299" s="36">
        <f>IFERROR(Table1[[#This Row],[leftover material]]*(Table1[[#This Row],[Cost ]]+Table1[[#This Row],[shipping]]+Table1[[#This Row],[Tax]]),0)</f>
        <v>0</v>
      </c>
      <c r="X299" s="36"/>
      <c r="Y299" s="87"/>
      <c r="Z299" s="87"/>
      <c r="AA299" s="87"/>
      <c r="AB299" s="36"/>
      <c r="AC299" s="36">
        <f>IF(ISNA(VLOOKUP(Table1[[#This Row],[Part Number]],'Multi-level BOM'!V$4:V$449,1,FALSE)),0,Table1[[#This Row],[Remaining Extended cost]])</f>
        <v>0</v>
      </c>
    </row>
    <row r="300" spans="1:29" x14ac:dyDescent="0.25">
      <c r="A300" s="1" t="s">
        <v>303</v>
      </c>
      <c r="B300" s="4"/>
      <c r="F300" s="3">
        <f>9%*Table1[[#This Row],[Cost ]]</f>
        <v>0</v>
      </c>
      <c r="J300" s="49">
        <f>SUMIF('Multi-level BOM'!D$4:D$467,Table1[[#This Row],[Part Number]],'Multi-level BOM'!H$4:H$467)</f>
        <v>0</v>
      </c>
      <c r="K300" s="10">
        <f>Table1[[#This Row],[extended quantity]]*(Table1[[#This Row],[Cost ]]+Table1[[#This Row],[shipping]]+Table1[[#This Row],[Tax]])</f>
        <v>0</v>
      </c>
      <c r="L300" s="83" t="str">
        <f>IF(Table1[[#This Row],[Buy-now costs]]&gt;0,"X","")</f>
        <v/>
      </c>
      <c r="M300" s="83"/>
      <c r="N300" s="83"/>
      <c r="O300" s="40">
        <v>0</v>
      </c>
      <c r="P300" s="97">
        <f>Table1[[#This Row],[quantity on-hand]]*(Table1[[#This Row],[Cost ]]+Table1[[#This Row],[shipping]]+Table1[[#This Row],[Tax]])</f>
        <v>0</v>
      </c>
      <c r="Q300" s="40">
        <v>0</v>
      </c>
      <c r="R300" s="95">
        <f>Table1[[#This Row],[Quantity on order]]*(Table1[[#This Row],[Cost ]]+Table1[[#This Row],[shipping]]+Table1[[#This Row],[Tax]])</f>
        <v>0</v>
      </c>
      <c r="S3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0" s="49">
        <f>Table1[[#This Row],[Quantity  to  purchase]]+Table1[[#This Row],[Quantity purchased]]+Table1[[#This Row],[Quantity on order]]+Table1[[#This Row],[Quantity donated]]-Table1[[#This Row],[extended quantity]]</f>
        <v>0</v>
      </c>
      <c r="U3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0" s="51">
        <f>IFERROR(Table1[[#This Row],[Quantity  to  purchase]]*(Table1[[#This Row],[Cost ]]+Table1[[#This Row],[shipping]]+Table1[[#This Row],[Tax]]),0)</f>
        <v>0</v>
      </c>
      <c r="W300" s="36">
        <f>IFERROR(Table1[[#This Row],[leftover material]]*(Table1[[#This Row],[Cost ]]+Table1[[#This Row],[shipping]]+Table1[[#This Row],[Tax]]),0)</f>
        <v>0</v>
      </c>
      <c r="X300" s="36"/>
      <c r="Y300" s="87"/>
      <c r="Z300" s="87"/>
      <c r="AA300" s="87"/>
      <c r="AB300" s="36"/>
      <c r="AC300" s="36">
        <f>IF(ISNA(VLOOKUP(Table1[[#This Row],[Part Number]],'Multi-level BOM'!V$4:V$449,1,FALSE)),0,Table1[[#This Row],[Remaining Extended cost]])</f>
        <v>0</v>
      </c>
    </row>
    <row r="301" spans="1:29" x14ac:dyDescent="0.25">
      <c r="A301" s="1" t="s">
        <v>304</v>
      </c>
      <c r="B301" s="4"/>
      <c r="F301" s="3">
        <f>9%*Table1[[#This Row],[Cost ]]</f>
        <v>0</v>
      </c>
      <c r="J301" s="49">
        <f>SUMIF('Multi-level BOM'!D$4:D$467,Table1[[#This Row],[Part Number]],'Multi-level BOM'!H$4:H$467)</f>
        <v>0</v>
      </c>
      <c r="K301" s="10">
        <f>Table1[[#This Row],[extended quantity]]*(Table1[[#This Row],[Cost ]]+Table1[[#This Row],[shipping]]+Table1[[#This Row],[Tax]])</f>
        <v>0</v>
      </c>
      <c r="L301" s="83" t="str">
        <f>IF(Table1[[#This Row],[Buy-now costs]]&gt;0,"X","")</f>
        <v/>
      </c>
      <c r="M301" s="83"/>
      <c r="N301" s="83"/>
      <c r="O301" s="40">
        <v>0</v>
      </c>
      <c r="P301" s="97">
        <f>Table1[[#This Row],[quantity on-hand]]*(Table1[[#This Row],[Cost ]]+Table1[[#This Row],[shipping]]+Table1[[#This Row],[Tax]])</f>
        <v>0</v>
      </c>
      <c r="Q301" s="40">
        <v>0</v>
      </c>
      <c r="R301" s="95">
        <f>Table1[[#This Row],[Quantity on order]]*(Table1[[#This Row],[Cost ]]+Table1[[#This Row],[shipping]]+Table1[[#This Row],[Tax]])</f>
        <v>0</v>
      </c>
      <c r="S3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1" s="49">
        <f>Table1[[#This Row],[Quantity  to  purchase]]+Table1[[#This Row],[Quantity purchased]]+Table1[[#This Row],[Quantity on order]]+Table1[[#This Row],[Quantity donated]]-Table1[[#This Row],[extended quantity]]</f>
        <v>0</v>
      </c>
      <c r="U3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1" s="51">
        <f>IFERROR(Table1[[#This Row],[Quantity  to  purchase]]*(Table1[[#This Row],[Cost ]]+Table1[[#This Row],[shipping]]+Table1[[#This Row],[Tax]]),0)</f>
        <v>0</v>
      </c>
      <c r="W301" s="36">
        <f>IFERROR(Table1[[#This Row],[leftover material]]*(Table1[[#This Row],[Cost ]]+Table1[[#This Row],[shipping]]+Table1[[#This Row],[Tax]]),0)</f>
        <v>0</v>
      </c>
      <c r="X301" s="36"/>
      <c r="Y301" s="87"/>
      <c r="Z301" s="87"/>
      <c r="AA301" s="87"/>
      <c r="AB301" s="36"/>
      <c r="AC301" s="36">
        <f>IF(ISNA(VLOOKUP(Table1[[#This Row],[Part Number]],'Multi-level BOM'!V$4:V$449,1,FALSE)),0,Table1[[#This Row],[Remaining Extended cost]])</f>
        <v>0</v>
      </c>
    </row>
    <row r="302" spans="1:29" x14ac:dyDescent="0.25">
      <c r="A302" s="1" t="s">
        <v>305</v>
      </c>
      <c r="B302" s="4"/>
      <c r="F302" s="3">
        <f>9%*Table1[[#This Row],[Cost ]]</f>
        <v>0</v>
      </c>
      <c r="J302" s="49">
        <f>SUMIF('Multi-level BOM'!D$4:D$467,Table1[[#This Row],[Part Number]],'Multi-level BOM'!H$4:H$467)</f>
        <v>0</v>
      </c>
      <c r="K302" s="10">
        <f>Table1[[#This Row],[extended quantity]]*(Table1[[#This Row],[Cost ]]+Table1[[#This Row],[shipping]]+Table1[[#This Row],[Tax]])</f>
        <v>0</v>
      </c>
      <c r="L302" s="83" t="str">
        <f>IF(Table1[[#This Row],[Buy-now costs]]&gt;0,"X","")</f>
        <v/>
      </c>
      <c r="M302" s="83"/>
      <c r="N302" s="83"/>
      <c r="O302" s="40">
        <v>0</v>
      </c>
      <c r="P302" s="97">
        <f>Table1[[#This Row],[quantity on-hand]]*(Table1[[#This Row],[Cost ]]+Table1[[#This Row],[shipping]]+Table1[[#This Row],[Tax]])</f>
        <v>0</v>
      </c>
      <c r="Q302" s="40">
        <v>0</v>
      </c>
      <c r="R302" s="95">
        <f>Table1[[#This Row],[Quantity on order]]*(Table1[[#This Row],[Cost ]]+Table1[[#This Row],[shipping]]+Table1[[#This Row],[Tax]])</f>
        <v>0</v>
      </c>
      <c r="S3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2" s="49">
        <f>Table1[[#This Row],[Quantity  to  purchase]]+Table1[[#This Row],[Quantity purchased]]+Table1[[#This Row],[Quantity on order]]+Table1[[#This Row],[Quantity donated]]-Table1[[#This Row],[extended quantity]]</f>
        <v>0</v>
      </c>
      <c r="U3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2" s="51">
        <f>IFERROR(Table1[[#This Row],[Quantity  to  purchase]]*(Table1[[#This Row],[Cost ]]+Table1[[#This Row],[shipping]]+Table1[[#This Row],[Tax]]),0)</f>
        <v>0</v>
      </c>
      <c r="W302" s="36">
        <f>IFERROR(Table1[[#This Row],[leftover material]]*(Table1[[#This Row],[Cost ]]+Table1[[#This Row],[shipping]]+Table1[[#This Row],[Tax]]),0)</f>
        <v>0</v>
      </c>
      <c r="X302" s="36"/>
      <c r="Y302" s="87"/>
      <c r="Z302" s="87"/>
      <c r="AA302" s="87"/>
      <c r="AB302" s="36"/>
      <c r="AC302" s="36">
        <f>IF(ISNA(VLOOKUP(Table1[[#This Row],[Part Number]],'Multi-level BOM'!V$4:V$449,1,FALSE)),0,Table1[[#This Row],[Remaining Extended cost]])</f>
        <v>0</v>
      </c>
    </row>
    <row r="303" spans="1:29" x14ac:dyDescent="0.25">
      <c r="A303" s="1" t="s">
        <v>306</v>
      </c>
      <c r="B303" s="4"/>
      <c r="F303" s="3">
        <f>9%*Table1[[#This Row],[Cost ]]</f>
        <v>0</v>
      </c>
      <c r="J303" s="49">
        <f>SUMIF('Multi-level BOM'!D$4:D$467,Table1[[#This Row],[Part Number]],'Multi-level BOM'!H$4:H$467)</f>
        <v>0</v>
      </c>
      <c r="K303" s="10">
        <f>Table1[[#This Row],[extended quantity]]*(Table1[[#This Row],[Cost ]]+Table1[[#This Row],[shipping]]+Table1[[#This Row],[Tax]])</f>
        <v>0</v>
      </c>
      <c r="L303" s="83" t="str">
        <f>IF(Table1[[#This Row],[Buy-now costs]]&gt;0,"X","")</f>
        <v/>
      </c>
      <c r="M303" s="83"/>
      <c r="N303" s="83"/>
      <c r="O303" s="40">
        <v>0</v>
      </c>
      <c r="P303" s="97">
        <f>Table1[[#This Row],[quantity on-hand]]*(Table1[[#This Row],[Cost ]]+Table1[[#This Row],[shipping]]+Table1[[#This Row],[Tax]])</f>
        <v>0</v>
      </c>
      <c r="Q303" s="40">
        <v>0</v>
      </c>
      <c r="R303" s="95">
        <f>Table1[[#This Row],[Quantity on order]]*(Table1[[#This Row],[Cost ]]+Table1[[#This Row],[shipping]]+Table1[[#This Row],[Tax]])</f>
        <v>0</v>
      </c>
      <c r="S3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3" s="49">
        <f>Table1[[#This Row],[Quantity  to  purchase]]+Table1[[#This Row],[Quantity purchased]]+Table1[[#This Row],[Quantity on order]]+Table1[[#This Row],[Quantity donated]]-Table1[[#This Row],[extended quantity]]</f>
        <v>0</v>
      </c>
      <c r="U3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3" s="51">
        <f>IFERROR(Table1[[#This Row],[Quantity  to  purchase]]*(Table1[[#This Row],[Cost ]]+Table1[[#This Row],[shipping]]+Table1[[#This Row],[Tax]]),0)</f>
        <v>0</v>
      </c>
      <c r="W303" s="36">
        <f>IFERROR(Table1[[#This Row],[leftover material]]*(Table1[[#This Row],[Cost ]]+Table1[[#This Row],[shipping]]+Table1[[#This Row],[Tax]]),0)</f>
        <v>0</v>
      </c>
      <c r="X303" s="36"/>
      <c r="Y303" s="87"/>
      <c r="Z303" s="87"/>
      <c r="AA303" s="87"/>
      <c r="AB303" s="36"/>
      <c r="AC303" s="36">
        <f>IF(ISNA(VLOOKUP(Table1[[#This Row],[Part Number]],'Multi-level BOM'!V$4:V$449,1,FALSE)),0,Table1[[#This Row],[Remaining Extended cost]])</f>
        <v>0</v>
      </c>
    </row>
    <row r="304" spans="1:29" x14ac:dyDescent="0.25">
      <c r="A304" s="1" t="s">
        <v>307</v>
      </c>
      <c r="B304" s="4"/>
      <c r="F304" s="3">
        <f>9%*Table1[[#This Row],[Cost ]]</f>
        <v>0</v>
      </c>
      <c r="J304" s="49">
        <f>SUMIF('Multi-level BOM'!D$4:D$467,Table1[[#This Row],[Part Number]],'Multi-level BOM'!H$4:H$467)</f>
        <v>0</v>
      </c>
      <c r="K304" s="10">
        <f>Table1[[#This Row],[extended quantity]]*(Table1[[#This Row],[Cost ]]+Table1[[#This Row],[shipping]]+Table1[[#This Row],[Tax]])</f>
        <v>0</v>
      </c>
      <c r="L304" s="83" t="str">
        <f>IF(Table1[[#This Row],[Buy-now costs]]&gt;0,"X","")</f>
        <v/>
      </c>
      <c r="M304" s="83"/>
      <c r="N304" s="83"/>
      <c r="O304" s="40">
        <v>0</v>
      </c>
      <c r="P304" s="97">
        <f>Table1[[#This Row],[quantity on-hand]]*(Table1[[#This Row],[Cost ]]+Table1[[#This Row],[shipping]]+Table1[[#This Row],[Tax]])</f>
        <v>0</v>
      </c>
      <c r="Q304" s="40">
        <v>0</v>
      </c>
      <c r="R304" s="95">
        <f>Table1[[#This Row],[Quantity on order]]*(Table1[[#This Row],[Cost ]]+Table1[[#This Row],[shipping]]+Table1[[#This Row],[Tax]])</f>
        <v>0</v>
      </c>
      <c r="S3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4" s="49">
        <f>Table1[[#This Row],[Quantity  to  purchase]]+Table1[[#This Row],[Quantity purchased]]+Table1[[#This Row],[Quantity on order]]+Table1[[#This Row],[Quantity donated]]-Table1[[#This Row],[extended quantity]]</f>
        <v>0</v>
      </c>
      <c r="U3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4" s="51">
        <f>IFERROR(Table1[[#This Row],[Quantity  to  purchase]]*(Table1[[#This Row],[Cost ]]+Table1[[#This Row],[shipping]]+Table1[[#This Row],[Tax]]),0)</f>
        <v>0</v>
      </c>
      <c r="W304" s="36">
        <f>IFERROR(Table1[[#This Row],[leftover material]]*(Table1[[#This Row],[Cost ]]+Table1[[#This Row],[shipping]]+Table1[[#This Row],[Tax]]),0)</f>
        <v>0</v>
      </c>
      <c r="X304" s="36"/>
      <c r="Y304" s="87"/>
      <c r="Z304" s="87"/>
      <c r="AA304" s="87"/>
      <c r="AB304" s="36"/>
      <c r="AC304" s="36">
        <f>IF(ISNA(VLOOKUP(Table1[[#This Row],[Part Number]],'Multi-level BOM'!V$4:V$449,1,FALSE)),0,Table1[[#This Row],[Remaining Extended cost]])</f>
        <v>0</v>
      </c>
    </row>
    <row r="305" spans="1:29" x14ac:dyDescent="0.25">
      <c r="A305" s="1" t="s">
        <v>308</v>
      </c>
      <c r="B305" s="4"/>
      <c r="F305" s="3">
        <f>9%*Table1[[#This Row],[Cost ]]</f>
        <v>0</v>
      </c>
      <c r="J305" s="49">
        <f>SUMIF('Multi-level BOM'!D$4:D$467,Table1[[#This Row],[Part Number]],'Multi-level BOM'!H$4:H$467)</f>
        <v>0</v>
      </c>
      <c r="K305" s="10">
        <f>Table1[[#This Row],[extended quantity]]*(Table1[[#This Row],[Cost ]]+Table1[[#This Row],[shipping]]+Table1[[#This Row],[Tax]])</f>
        <v>0</v>
      </c>
      <c r="L305" s="83" t="str">
        <f>IF(Table1[[#This Row],[Buy-now costs]]&gt;0,"X","")</f>
        <v/>
      </c>
      <c r="M305" s="83"/>
      <c r="N305" s="83"/>
      <c r="O305" s="40">
        <v>0</v>
      </c>
      <c r="P305" s="97">
        <f>Table1[[#This Row],[quantity on-hand]]*(Table1[[#This Row],[Cost ]]+Table1[[#This Row],[shipping]]+Table1[[#This Row],[Tax]])</f>
        <v>0</v>
      </c>
      <c r="Q305" s="40">
        <v>0</v>
      </c>
      <c r="R305" s="95">
        <f>Table1[[#This Row],[Quantity on order]]*(Table1[[#This Row],[Cost ]]+Table1[[#This Row],[shipping]]+Table1[[#This Row],[Tax]])</f>
        <v>0</v>
      </c>
      <c r="S3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5" s="49">
        <f>Table1[[#This Row],[Quantity  to  purchase]]+Table1[[#This Row],[Quantity purchased]]+Table1[[#This Row],[Quantity on order]]+Table1[[#This Row],[Quantity donated]]-Table1[[#This Row],[extended quantity]]</f>
        <v>0</v>
      </c>
      <c r="U3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5" s="51">
        <f>IFERROR(Table1[[#This Row],[Quantity  to  purchase]]*(Table1[[#This Row],[Cost ]]+Table1[[#This Row],[shipping]]+Table1[[#This Row],[Tax]]),0)</f>
        <v>0</v>
      </c>
      <c r="W305" s="36">
        <f>IFERROR(Table1[[#This Row],[leftover material]]*(Table1[[#This Row],[Cost ]]+Table1[[#This Row],[shipping]]+Table1[[#This Row],[Tax]]),0)</f>
        <v>0</v>
      </c>
      <c r="X305" s="36"/>
      <c r="Y305" s="87"/>
      <c r="Z305" s="87"/>
      <c r="AA305" s="87"/>
      <c r="AB305" s="36"/>
      <c r="AC305" s="36">
        <f>IF(ISNA(VLOOKUP(Table1[[#This Row],[Part Number]],'Multi-level BOM'!V$4:V$449,1,FALSE)),0,Table1[[#This Row],[Remaining Extended cost]])</f>
        <v>0</v>
      </c>
    </row>
    <row r="306" spans="1:29" x14ac:dyDescent="0.25">
      <c r="A306" s="1" t="s">
        <v>309</v>
      </c>
      <c r="B306" s="4"/>
      <c r="F306" s="3">
        <f>9%*Table1[[#This Row],[Cost ]]</f>
        <v>0</v>
      </c>
      <c r="J306" s="49">
        <f>SUMIF('Multi-level BOM'!D$4:D$467,Table1[[#This Row],[Part Number]],'Multi-level BOM'!H$4:H$467)</f>
        <v>0</v>
      </c>
      <c r="K306" s="10">
        <f>Table1[[#This Row],[extended quantity]]*(Table1[[#This Row],[Cost ]]+Table1[[#This Row],[shipping]]+Table1[[#This Row],[Tax]])</f>
        <v>0</v>
      </c>
      <c r="L306" s="83" t="str">
        <f>IF(Table1[[#This Row],[Buy-now costs]]&gt;0,"X","")</f>
        <v/>
      </c>
      <c r="M306" s="83"/>
      <c r="N306" s="83"/>
      <c r="O306" s="40">
        <v>0</v>
      </c>
      <c r="P306" s="97">
        <f>Table1[[#This Row],[quantity on-hand]]*(Table1[[#This Row],[Cost ]]+Table1[[#This Row],[shipping]]+Table1[[#This Row],[Tax]])</f>
        <v>0</v>
      </c>
      <c r="Q306" s="40">
        <v>0</v>
      </c>
      <c r="R306" s="95">
        <f>Table1[[#This Row],[Quantity on order]]*(Table1[[#This Row],[Cost ]]+Table1[[#This Row],[shipping]]+Table1[[#This Row],[Tax]])</f>
        <v>0</v>
      </c>
      <c r="S3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6" s="49">
        <f>Table1[[#This Row],[Quantity  to  purchase]]+Table1[[#This Row],[Quantity purchased]]+Table1[[#This Row],[Quantity on order]]+Table1[[#This Row],[Quantity donated]]-Table1[[#This Row],[extended quantity]]</f>
        <v>0</v>
      </c>
      <c r="U3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6" s="51">
        <f>IFERROR(Table1[[#This Row],[Quantity  to  purchase]]*(Table1[[#This Row],[Cost ]]+Table1[[#This Row],[shipping]]+Table1[[#This Row],[Tax]]),0)</f>
        <v>0</v>
      </c>
      <c r="W306" s="36">
        <f>IFERROR(Table1[[#This Row],[leftover material]]*(Table1[[#This Row],[Cost ]]+Table1[[#This Row],[shipping]]+Table1[[#This Row],[Tax]]),0)</f>
        <v>0</v>
      </c>
      <c r="X306" s="36"/>
      <c r="Y306" s="87"/>
      <c r="Z306" s="87"/>
      <c r="AA306" s="87"/>
      <c r="AB306" s="36"/>
      <c r="AC306" s="36">
        <f>IF(ISNA(VLOOKUP(Table1[[#This Row],[Part Number]],'Multi-level BOM'!V$4:V$449,1,FALSE)),0,Table1[[#This Row],[Remaining Extended cost]])</f>
        <v>0</v>
      </c>
    </row>
    <row r="307" spans="1:29" x14ac:dyDescent="0.25">
      <c r="A307" s="1" t="s">
        <v>310</v>
      </c>
      <c r="B307" s="4"/>
      <c r="F307" s="3">
        <f>9%*Table1[[#This Row],[Cost ]]</f>
        <v>0</v>
      </c>
      <c r="J307" s="49">
        <f>SUMIF('Multi-level BOM'!D$4:D$467,Table1[[#This Row],[Part Number]],'Multi-level BOM'!H$4:H$467)</f>
        <v>0</v>
      </c>
      <c r="K307" s="10">
        <f>Table1[[#This Row],[extended quantity]]*(Table1[[#This Row],[Cost ]]+Table1[[#This Row],[shipping]]+Table1[[#This Row],[Tax]])</f>
        <v>0</v>
      </c>
      <c r="L307" s="83" t="str">
        <f>IF(Table1[[#This Row],[Buy-now costs]]&gt;0,"X","")</f>
        <v/>
      </c>
      <c r="M307" s="83"/>
      <c r="N307" s="83"/>
      <c r="O307" s="40">
        <v>0</v>
      </c>
      <c r="P307" s="97">
        <f>Table1[[#This Row],[quantity on-hand]]*(Table1[[#This Row],[Cost ]]+Table1[[#This Row],[shipping]]+Table1[[#This Row],[Tax]])</f>
        <v>0</v>
      </c>
      <c r="Q307" s="40">
        <v>0</v>
      </c>
      <c r="R307" s="95">
        <f>Table1[[#This Row],[Quantity on order]]*(Table1[[#This Row],[Cost ]]+Table1[[#This Row],[shipping]]+Table1[[#This Row],[Tax]])</f>
        <v>0</v>
      </c>
      <c r="S3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7" s="49">
        <f>Table1[[#This Row],[Quantity  to  purchase]]+Table1[[#This Row],[Quantity purchased]]+Table1[[#This Row],[Quantity on order]]+Table1[[#This Row],[Quantity donated]]-Table1[[#This Row],[extended quantity]]</f>
        <v>0</v>
      </c>
      <c r="U3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7" s="51">
        <f>IFERROR(Table1[[#This Row],[Quantity  to  purchase]]*(Table1[[#This Row],[Cost ]]+Table1[[#This Row],[shipping]]+Table1[[#This Row],[Tax]]),0)</f>
        <v>0</v>
      </c>
      <c r="W307" s="36">
        <f>IFERROR(Table1[[#This Row],[leftover material]]*(Table1[[#This Row],[Cost ]]+Table1[[#This Row],[shipping]]+Table1[[#This Row],[Tax]]),0)</f>
        <v>0</v>
      </c>
      <c r="X307" s="36"/>
      <c r="Y307" s="87"/>
      <c r="Z307" s="87"/>
      <c r="AA307" s="87"/>
      <c r="AB307" s="36"/>
      <c r="AC307" s="36">
        <f>IF(ISNA(VLOOKUP(Table1[[#This Row],[Part Number]],'Multi-level BOM'!V$4:V$449,1,FALSE)),0,Table1[[#This Row],[Remaining Extended cost]])</f>
        <v>0</v>
      </c>
    </row>
    <row r="308" spans="1:29" x14ac:dyDescent="0.25">
      <c r="A308" s="1" t="s">
        <v>311</v>
      </c>
      <c r="B308" s="4"/>
      <c r="F308" s="3">
        <f>9%*Table1[[#This Row],[Cost ]]</f>
        <v>0</v>
      </c>
      <c r="J308" s="49">
        <f>SUMIF('Multi-level BOM'!D$4:D$467,Table1[[#This Row],[Part Number]],'Multi-level BOM'!H$4:H$467)</f>
        <v>0</v>
      </c>
      <c r="K308" s="10">
        <f>Table1[[#This Row],[extended quantity]]*(Table1[[#This Row],[Cost ]]+Table1[[#This Row],[shipping]]+Table1[[#This Row],[Tax]])</f>
        <v>0</v>
      </c>
      <c r="L308" s="83" t="str">
        <f>IF(Table1[[#This Row],[Buy-now costs]]&gt;0,"X","")</f>
        <v/>
      </c>
      <c r="M308" s="83"/>
      <c r="N308" s="83"/>
      <c r="O308" s="40">
        <v>0</v>
      </c>
      <c r="P308" s="97">
        <f>Table1[[#This Row],[quantity on-hand]]*(Table1[[#This Row],[Cost ]]+Table1[[#This Row],[shipping]]+Table1[[#This Row],[Tax]])</f>
        <v>0</v>
      </c>
      <c r="Q308" s="40">
        <v>0</v>
      </c>
      <c r="R308" s="95">
        <f>Table1[[#This Row],[Quantity on order]]*(Table1[[#This Row],[Cost ]]+Table1[[#This Row],[shipping]]+Table1[[#This Row],[Tax]])</f>
        <v>0</v>
      </c>
      <c r="S3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8" s="49">
        <f>Table1[[#This Row],[Quantity  to  purchase]]+Table1[[#This Row],[Quantity purchased]]+Table1[[#This Row],[Quantity on order]]+Table1[[#This Row],[Quantity donated]]-Table1[[#This Row],[extended quantity]]</f>
        <v>0</v>
      </c>
      <c r="U3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8" s="51">
        <f>IFERROR(Table1[[#This Row],[Quantity  to  purchase]]*(Table1[[#This Row],[Cost ]]+Table1[[#This Row],[shipping]]+Table1[[#This Row],[Tax]]),0)</f>
        <v>0</v>
      </c>
      <c r="W308" s="36">
        <f>IFERROR(Table1[[#This Row],[leftover material]]*(Table1[[#This Row],[Cost ]]+Table1[[#This Row],[shipping]]+Table1[[#This Row],[Tax]]),0)</f>
        <v>0</v>
      </c>
      <c r="X308" s="36"/>
      <c r="Y308" s="87"/>
      <c r="Z308" s="87"/>
      <c r="AA308" s="87"/>
      <c r="AB308" s="36"/>
      <c r="AC308" s="36">
        <f>IF(ISNA(VLOOKUP(Table1[[#This Row],[Part Number]],'Multi-level BOM'!V$4:V$449,1,FALSE)),0,Table1[[#This Row],[Remaining Extended cost]])</f>
        <v>0</v>
      </c>
    </row>
    <row r="309" spans="1:29" x14ac:dyDescent="0.25">
      <c r="A309" s="1" t="s">
        <v>312</v>
      </c>
      <c r="B309" s="4"/>
      <c r="F309" s="3">
        <f>9%*Table1[[#This Row],[Cost ]]</f>
        <v>0</v>
      </c>
      <c r="J309" s="49">
        <f>SUMIF('Multi-level BOM'!D$4:D$467,Table1[[#This Row],[Part Number]],'Multi-level BOM'!H$4:H$467)</f>
        <v>0</v>
      </c>
      <c r="K309" s="10">
        <f>Table1[[#This Row],[extended quantity]]*(Table1[[#This Row],[Cost ]]+Table1[[#This Row],[shipping]]+Table1[[#This Row],[Tax]])</f>
        <v>0</v>
      </c>
      <c r="L309" s="83" t="str">
        <f>IF(Table1[[#This Row],[Buy-now costs]]&gt;0,"X","")</f>
        <v/>
      </c>
      <c r="M309" s="83"/>
      <c r="N309" s="83"/>
      <c r="O309" s="40">
        <v>0</v>
      </c>
      <c r="P309" s="97">
        <f>Table1[[#This Row],[quantity on-hand]]*(Table1[[#This Row],[Cost ]]+Table1[[#This Row],[shipping]]+Table1[[#This Row],[Tax]])</f>
        <v>0</v>
      </c>
      <c r="Q309" s="40">
        <v>0</v>
      </c>
      <c r="R309" s="95">
        <f>Table1[[#This Row],[Quantity on order]]*(Table1[[#This Row],[Cost ]]+Table1[[#This Row],[shipping]]+Table1[[#This Row],[Tax]])</f>
        <v>0</v>
      </c>
      <c r="S3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9" s="49">
        <f>Table1[[#This Row],[Quantity  to  purchase]]+Table1[[#This Row],[Quantity purchased]]+Table1[[#This Row],[Quantity on order]]+Table1[[#This Row],[Quantity donated]]-Table1[[#This Row],[extended quantity]]</f>
        <v>0</v>
      </c>
      <c r="U3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9" s="51">
        <f>IFERROR(Table1[[#This Row],[Quantity  to  purchase]]*(Table1[[#This Row],[Cost ]]+Table1[[#This Row],[shipping]]+Table1[[#This Row],[Tax]]),0)</f>
        <v>0</v>
      </c>
      <c r="W309" s="36">
        <f>IFERROR(Table1[[#This Row],[leftover material]]*(Table1[[#This Row],[Cost ]]+Table1[[#This Row],[shipping]]+Table1[[#This Row],[Tax]]),0)</f>
        <v>0</v>
      </c>
      <c r="X309" s="36"/>
      <c r="Y309" s="87"/>
      <c r="Z309" s="87"/>
      <c r="AA309" s="87"/>
      <c r="AB309" s="36"/>
      <c r="AC309" s="36">
        <f>IF(ISNA(VLOOKUP(Table1[[#This Row],[Part Number]],'Multi-level BOM'!V$4:V$449,1,FALSE)),0,Table1[[#This Row],[Remaining Extended cost]])</f>
        <v>0</v>
      </c>
    </row>
    <row r="310" spans="1:29" x14ac:dyDescent="0.25">
      <c r="A310" s="1" t="s">
        <v>313</v>
      </c>
      <c r="B310" s="4"/>
      <c r="F310" s="3">
        <f>9%*Table1[[#This Row],[Cost ]]</f>
        <v>0</v>
      </c>
      <c r="J310" s="49">
        <f>SUMIF('Multi-level BOM'!D$4:D$467,Table1[[#This Row],[Part Number]],'Multi-level BOM'!H$4:H$467)</f>
        <v>0</v>
      </c>
      <c r="K310" s="10">
        <f>Table1[[#This Row],[extended quantity]]*(Table1[[#This Row],[Cost ]]+Table1[[#This Row],[shipping]]+Table1[[#This Row],[Tax]])</f>
        <v>0</v>
      </c>
      <c r="L310" s="83" t="str">
        <f>IF(Table1[[#This Row],[Buy-now costs]]&gt;0,"X","")</f>
        <v/>
      </c>
      <c r="M310" s="83"/>
      <c r="N310" s="83"/>
      <c r="O310" s="40">
        <v>0</v>
      </c>
      <c r="P310" s="97">
        <f>Table1[[#This Row],[quantity on-hand]]*(Table1[[#This Row],[Cost ]]+Table1[[#This Row],[shipping]]+Table1[[#This Row],[Tax]])</f>
        <v>0</v>
      </c>
      <c r="Q310" s="40">
        <v>0</v>
      </c>
      <c r="R310" s="95">
        <f>Table1[[#This Row],[Quantity on order]]*(Table1[[#This Row],[Cost ]]+Table1[[#This Row],[shipping]]+Table1[[#This Row],[Tax]])</f>
        <v>0</v>
      </c>
      <c r="S3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0" s="49">
        <f>Table1[[#This Row],[Quantity  to  purchase]]+Table1[[#This Row],[Quantity purchased]]+Table1[[#This Row],[Quantity on order]]+Table1[[#This Row],[Quantity donated]]-Table1[[#This Row],[extended quantity]]</f>
        <v>0</v>
      </c>
      <c r="U3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0" s="51">
        <f>IFERROR(Table1[[#This Row],[Quantity  to  purchase]]*(Table1[[#This Row],[Cost ]]+Table1[[#This Row],[shipping]]+Table1[[#This Row],[Tax]]),0)</f>
        <v>0</v>
      </c>
      <c r="W310" s="36">
        <f>IFERROR(Table1[[#This Row],[leftover material]]*(Table1[[#This Row],[Cost ]]+Table1[[#This Row],[shipping]]+Table1[[#This Row],[Tax]]),0)</f>
        <v>0</v>
      </c>
      <c r="X310" s="36"/>
      <c r="Y310" s="87"/>
      <c r="Z310" s="87"/>
      <c r="AA310" s="87"/>
      <c r="AB310" s="36"/>
      <c r="AC310" s="36">
        <f>IF(ISNA(VLOOKUP(Table1[[#This Row],[Part Number]],'Multi-level BOM'!V$4:V$449,1,FALSE)),0,Table1[[#This Row],[Remaining Extended cost]])</f>
        <v>0</v>
      </c>
    </row>
    <row r="311" spans="1:29" x14ac:dyDescent="0.25">
      <c r="A311" s="1" t="s">
        <v>314</v>
      </c>
      <c r="B311" s="4"/>
      <c r="F311" s="3">
        <f>9%*Table1[[#This Row],[Cost ]]</f>
        <v>0</v>
      </c>
      <c r="J311" s="49">
        <f>SUMIF('Multi-level BOM'!D$4:D$467,Table1[[#This Row],[Part Number]],'Multi-level BOM'!H$4:H$467)</f>
        <v>0</v>
      </c>
      <c r="K311" s="10">
        <f>Table1[[#This Row],[extended quantity]]*(Table1[[#This Row],[Cost ]]+Table1[[#This Row],[shipping]]+Table1[[#This Row],[Tax]])</f>
        <v>0</v>
      </c>
      <c r="L311" s="83" t="str">
        <f>IF(Table1[[#This Row],[Buy-now costs]]&gt;0,"X","")</f>
        <v/>
      </c>
      <c r="M311" s="83"/>
      <c r="N311" s="83"/>
      <c r="O311" s="40">
        <v>0</v>
      </c>
      <c r="P311" s="97">
        <f>Table1[[#This Row],[quantity on-hand]]*(Table1[[#This Row],[Cost ]]+Table1[[#This Row],[shipping]]+Table1[[#This Row],[Tax]])</f>
        <v>0</v>
      </c>
      <c r="Q311" s="40">
        <v>0</v>
      </c>
      <c r="R311" s="95">
        <f>Table1[[#This Row],[Quantity on order]]*(Table1[[#This Row],[Cost ]]+Table1[[#This Row],[shipping]]+Table1[[#This Row],[Tax]])</f>
        <v>0</v>
      </c>
      <c r="S3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1" s="49">
        <f>Table1[[#This Row],[Quantity  to  purchase]]+Table1[[#This Row],[Quantity purchased]]+Table1[[#This Row],[Quantity on order]]+Table1[[#This Row],[Quantity donated]]-Table1[[#This Row],[extended quantity]]</f>
        <v>0</v>
      </c>
      <c r="U3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1" s="51">
        <f>IFERROR(Table1[[#This Row],[Quantity  to  purchase]]*(Table1[[#This Row],[Cost ]]+Table1[[#This Row],[shipping]]+Table1[[#This Row],[Tax]]),0)</f>
        <v>0</v>
      </c>
      <c r="W311" s="36">
        <f>IFERROR(Table1[[#This Row],[leftover material]]*(Table1[[#This Row],[Cost ]]+Table1[[#This Row],[shipping]]+Table1[[#This Row],[Tax]]),0)</f>
        <v>0</v>
      </c>
      <c r="X311" s="36"/>
      <c r="Y311" s="87"/>
      <c r="Z311" s="87"/>
      <c r="AA311" s="87"/>
      <c r="AB311" s="36"/>
      <c r="AC311" s="36">
        <f>IF(ISNA(VLOOKUP(Table1[[#This Row],[Part Number]],'Multi-level BOM'!V$4:V$449,1,FALSE)),0,Table1[[#This Row],[Remaining Extended cost]])</f>
        <v>0</v>
      </c>
    </row>
    <row r="312" spans="1:29" x14ac:dyDescent="0.25">
      <c r="A312" s="1" t="s">
        <v>315</v>
      </c>
      <c r="B312" s="4"/>
      <c r="F312" s="3">
        <f>9%*Table1[[#This Row],[Cost ]]</f>
        <v>0</v>
      </c>
      <c r="J312" s="49">
        <f>SUMIF('Multi-level BOM'!D$4:D$467,Table1[[#This Row],[Part Number]],'Multi-level BOM'!H$4:H$467)</f>
        <v>0</v>
      </c>
      <c r="K312" s="10">
        <f>Table1[[#This Row],[extended quantity]]*(Table1[[#This Row],[Cost ]]+Table1[[#This Row],[shipping]]+Table1[[#This Row],[Tax]])</f>
        <v>0</v>
      </c>
      <c r="L312" s="83" t="str">
        <f>IF(Table1[[#This Row],[Buy-now costs]]&gt;0,"X","")</f>
        <v/>
      </c>
      <c r="M312" s="83"/>
      <c r="N312" s="83"/>
      <c r="O312" s="40">
        <v>0</v>
      </c>
      <c r="P312" s="97">
        <f>Table1[[#This Row],[quantity on-hand]]*(Table1[[#This Row],[Cost ]]+Table1[[#This Row],[shipping]]+Table1[[#This Row],[Tax]])</f>
        <v>0</v>
      </c>
      <c r="Q312" s="40">
        <v>0</v>
      </c>
      <c r="R312" s="95">
        <f>Table1[[#This Row],[Quantity on order]]*(Table1[[#This Row],[Cost ]]+Table1[[#This Row],[shipping]]+Table1[[#This Row],[Tax]])</f>
        <v>0</v>
      </c>
      <c r="S3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2" s="49">
        <f>Table1[[#This Row],[Quantity  to  purchase]]+Table1[[#This Row],[Quantity purchased]]+Table1[[#This Row],[Quantity on order]]+Table1[[#This Row],[Quantity donated]]-Table1[[#This Row],[extended quantity]]</f>
        <v>0</v>
      </c>
      <c r="U3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2" s="51">
        <f>IFERROR(Table1[[#This Row],[Quantity  to  purchase]]*(Table1[[#This Row],[Cost ]]+Table1[[#This Row],[shipping]]+Table1[[#This Row],[Tax]]),0)</f>
        <v>0</v>
      </c>
      <c r="W312" s="36">
        <f>IFERROR(Table1[[#This Row],[leftover material]]*(Table1[[#This Row],[Cost ]]+Table1[[#This Row],[shipping]]+Table1[[#This Row],[Tax]]),0)</f>
        <v>0</v>
      </c>
      <c r="X312" s="36"/>
      <c r="Y312" s="87"/>
      <c r="Z312" s="87"/>
      <c r="AA312" s="87"/>
      <c r="AB312" s="36"/>
      <c r="AC312" s="36">
        <f>IF(ISNA(VLOOKUP(Table1[[#This Row],[Part Number]],'Multi-level BOM'!V$4:V$449,1,FALSE)),0,Table1[[#This Row],[Remaining Extended cost]])</f>
        <v>0</v>
      </c>
    </row>
    <row r="313" spans="1:29" x14ac:dyDescent="0.25">
      <c r="A313" s="1" t="s">
        <v>316</v>
      </c>
      <c r="B313" s="4"/>
      <c r="F313" s="3">
        <f>9%*Table1[[#This Row],[Cost ]]</f>
        <v>0</v>
      </c>
      <c r="J313" s="49">
        <f>SUMIF('Multi-level BOM'!D$4:D$467,Table1[[#This Row],[Part Number]],'Multi-level BOM'!H$4:H$467)</f>
        <v>0</v>
      </c>
      <c r="K313" s="10">
        <f>Table1[[#This Row],[extended quantity]]*(Table1[[#This Row],[Cost ]]+Table1[[#This Row],[shipping]]+Table1[[#This Row],[Tax]])</f>
        <v>0</v>
      </c>
      <c r="L313" s="83" t="str">
        <f>IF(Table1[[#This Row],[Buy-now costs]]&gt;0,"X","")</f>
        <v/>
      </c>
      <c r="M313" s="83"/>
      <c r="N313" s="83"/>
      <c r="O313" s="40">
        <v>0</v>
      </c>
      <c r="P313" s="97">
        <f>Table1[[#This Row],[quantity on-hand]]*(Table1[[#This Row],[Cost ]]+Table1[[#This Row],[shipping]]+Table1[[#This Row],[Tax]])</f>
        <v>0</v>
      </c>
      <c r="Q313" s="40">
        <v>0</v>
      </c>
      <c r="R313" s="95">
        <f>Table1[[#This Row],[Quantity on order]]*(Table1[[#This Row],[Cost ]]+Table1[[#This Row],[shipping]]+Table1[[#This Row],[Tax]])</f>
        <v>0</v>
      </c>
      <c r="S3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3" s="49">
        <f>Table1[[#This Row],[Quantity  to  purchase]]+Table1[[#This Row],[Quantity purchased]]+Table1[[#This Row],[Quantity on order]]+Table1[[#This Row],[Quantity donated]]-Table1[[#This Row],[extended quantity]]</f>
        <v>0</v>
      </c>
      <c r="U3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3" s="51">
        <f>IFERROR(Table1[[#This Row],[Quantity  to  purchase]]*(Table1[[#This Row],[Cost ]]+Table1[[#This Row],[shipping]]+Table1[[#This Row],[Tax]]),0)</f>
        <v>0</v>
      </c>
      <c r="W313" s="36">
        <f>IFERROR(Table1[[#This Row],[leftover material]]*(Table1[[#This Row],[Cost ]]+Table1[[#This Row],[shipping]]+Table1[[#This Row],[Tax]]),0)</f>
        <v>0</v>
      </c>
      <c r="X313" s="36"/>
      <c r="Y313" s="87"/>
      <c r="Z313" s="87"/>
      <c r="AA313" s="87"/>
      <c r="AB313" s="36"/>
      <c r="AC313" s="36">
        <f>IF(ISNA(VLOOKUP(Table1[[#This Row],[Part Number]],'Multi-level BOM'!V$4:V$449,1,FALSE)),0,Table1[[#This Row],[Remaining Extended cost]])</f>
        <v>0</v>
      </c>
    </row>
    <row r="314" spans="1:29" x14ac:dyDescent="0.25">
      <c r="A314" s="1" t="s">
        <v>317</v>
      </c>
      <c r="B314" s="4"/>
      <c r="F314" s="3">
        <f>9%*Table1[[#This Row],[Cost ]]</f>
        <v>0</v>
      </c>
      <c r="J314" s="49">
        <f>SUMIF('Multi-level BOM'!D$4:D$467,Table1[[#This Row],[Part Number]],'Multi-level BOM'!H$4:H$467)</f>
        <v>0</v>
      </c>
      <c r="K314" s="10">
        <f>Table1[[#This Row],[extended quantity]]*(Table1[[#This Row],[Cost ]]+Table1[[#This Row],[shipping]]+Table1[[#This Row],[Tax]])</f>
        <v>0</v>
      </c>
      <c r="L314" s="83" t="str">
        <f>IF(Table1[[#This Row],[Buy-now costs]]&gt;0,"X","")</f>
        <v/>
      </c>
      <c r="M314" s="83"/>
      <c r="N314" s="83"/>
      <c r="O314" s="40">
        <v>0</v>
      </c>
      <c r="P314" s="97">
        <f>Table1[[#This Row],[quantity on-hand]]*(Table1[[#This Row],[Cost ]]+Table1[[#This Row],[shipping]]+Table1[[#This Row],[Tax]])</f>
        <v>0</v>
      </c>
      <c r="Q314" s="40">
        <v>0</v>
      </c>
      <c r="R314" s="95">
        <f>Table1[[#This Row],[Quantity on order]]*(Table1[[#This Row],[Cost ]]+Table1[[#This Row],[shipping]]+Table1[[#This Row],[Tax]])</f>
        <v>0</v>
      </c>
      <c r="S3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4" s="49">
        <f>Table1[[#This Row],[Quantity  to  purchase]]+Table1[[#This Row],[Quantity purchased]]+Table1[[#This Row],[Quantity on order]]+Table1[[#This Row],[Quantity donated]]-Table1[[#This Row],[extended quantity]]</f>
        <v>0</v>
      </c>
      <c r="U3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4" s="51">
        <f>IFERROR(Table1[[#This Row],[Quantity  to  purchase]]*(Table1[[#This Row],[Cost ]]+Table1[[#This Row],[shipping]]+Table1[[#This Row],[Tax]]),0)</f>
        <v>0</v>
      </c>
      <c r="W314" s="36">
        <f>IFERROR(Table1[[#This Row],[leftover material]]*(Table1[[#This Row],[Cost ]]+Table1[[#This Row],[shipping]]+Table1[[#This Row],[Tax]]),0)</f>
        <v>0</v>
      </c>
      <c r="X314" s="36"/>
      <c r="Y314" s="87"/>
      <c r="Z314" s="87"/>
      <c r="AA314" s="87"/>
      <c r="AB314" s="36"/>
      <c r="AC314" s="36">
        <f>IF(ISNA(VLOOKUP(Table1[[#This Row],[Part Number]],'Multi-level BOM'!V$4:V$449,1,FALSE)),0,Table1[[#This Row],[Remaining Extended cost]])</f>
        <v>0</v>
      </c>
    </row>
    <row r="315" spans="1:29" x14ac:dyDescent="0.25">
      <c r="A315" s="1" t="s">
        <v>318</v>
      </c>
      <c r="B315" s="4"/>
      <c r="F315" s="3">
        <f>9%*Table1[[#This Row],[Cost ]]</f>
        <v>0</v>
      </c>
      <c r="J315" s="49">
        <f>SUMIF('Multi-level BOM'!D$4:D$467,Table1[[#This Row],[Part Number]],'Multi-level BOM'!H$4:H$467)</f>
        <v>0</v>
      </c>
      <c r="K315" s="10">
        <f>Table1[[#This Row],[extended quantity]]*(Table1[[#This Row],[Cost ]]+Table1[[#This Row],[shipping]]+Table1[[#This Row],[Tax]])</f>
        <v>0</v>
      </c>
      <c r="L315" s="83" t="str">
        <f>IF(Table1[[#This Row],[Buy-now costs]]&gt;0,"X","")</f>
        <v/>
      </c>
      <c r="M315" s="83"/>
      <c r="N315" s="83"/>
      <c r="O315" s="40">
        <v>0</v>
      </c>
      <c r="P315" s="97">
        <f>Table1[[#This Row],[quantity on-hand]]*(Table1[[#This Row],[Cost ]]+Table1[[#This Row],[shipping]]+Table1[[#This Row],[Tax]])</f>
        <v>0</v>
      </c>
      <c r="Q315" s="40">
        <v>0</v>
      </c>
      <c r="R315" s="95">
        <f>Table1[[#This Row],[Quantity on order]]*(Table1[[#This Row],[Cost ]]+Table1[[#This Row],[shipping]]+Table1[[#This Row],[Tax]])</f>
        <v>0</v>
      </c>
      <c r="S3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5" s="49">
        <f>Table1[[#This Row],[Quantity  to  purchase]]+Table1[[#This Row],[Quantity purchased]]+Table1[[#This Row],[Quantity on order]]+Table1[[#This Row],[Quantity donated]]-Table1[[#This Row],[extended quantity]]</f>
        <v>0</v>
      </c>
      <c r="U3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5" s="51">
        <f>IFERROR(Table1[[#This Row],[Quantity  to  purchase]]*(Table1[[#This Row],[Cost ]]+Table1[[#This Row],[shipping]]+Table1[[#This Row],[Tax]]),0)</f>
        <v>0</v>
      </c>
      <c r="W315" s="36">
        <f>IFERROR(Table1[[#This Row],[leftover material]]*(Table1[[#This Row],[Cost ]]+Table1[[#This Row],[shipping]]+Table1[[#This Row],[Tax]]),0)</f>
        <v>0</v>
      </c>
      <c r="X315" s="36"/>
      <c r="Y315" s="87"/>
      <c r="Z315" s="87"/>
      <c r="AA315" s="87"/>
      <c r="AB315" s="36"/>
      <c r="AC315" s="36">
        <f>IF(ISNA(VLOOKUP(Table1[[#This Row],[Part Number]],'Multi-level BOM'!V$4:V$449,1,FALSE)),0,Table1[[#This Row],[Remaining Extended cost]])</f>
        <v>0</v>
      </c>
    </row>
    <row r="316" spans="1:29" x14ac:dyDescent="0.25">
      <c r="A316" s="1" t="s">
        <v>319</v>
      </c>
      <c r="B316" s="4"/>
      <c r="F316" s="3">
        <f>9%*Table1[[#This Row],[Cost ]]</f>
        <v>0</v>
      </c>
      <c r="J316" s="49">
        <f>SUMIF('Multi-level BOM'!D$4:D$467,Table1[[#This Row],[Part Number]],'Multi-level BOM'!H$4:H$467)</f>
        <v>0</v>
      </c>
      <c r="K316" s="10">
        <f>Table1[[#This Row],[extended quantity]]*(Table1[[#This Row],[Cost ]]+Table1[[#This Row],[shipping]]+Table1[[#This Row],[Tax]])</f>
        <v>0</v>
      </c>
      <c r="L316" s="83" t="str">
        <f>IF(Table1[[#This Row],[Buy-now costs]]&gt;0,"X","")</f>
        <v/>
      </c>
      <c r="M316" s="83"/>
      <c r="N316" s="83"/>
      <c r="O316" s="40">
        <v>0</v>
      </c>
      <c r="P316" s="97">
        <f>Table1[[#This Row],[quantity on-hand]]*(Table1[[#This Row],[Cost ]]+Table1[[#This Row],[shipping]]+Table1[[#This Row],[Tax]])</f>
        <v>0</v>
      </c>
      <c r="Q316" s="40">
        <v>0</v>
      </c>
      <c r="R316" s="95">
        <f>Table1[[#This Row],[Quantity on order]]*(Table1[[#This Row],[Cost ]]+Table1[[#This Row],[shipping]]+Table1[[#This Row],[Tax]])</f>
        <v>0</v>
      </c>
      <c r="S3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6" s="49">
        <f>Table1[[#This Row],[Quantity  to  purchase]]+Table1[[#This Row],[Quantity purchased]]+Table1[[#This Row],[Quantity on order]]+Table1[[#This Row],[Quantity donated]]-Table1[[#This Row],[extended quantity]]</f>
        <v>0</v>
      </c>
      <c r="U3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6" s="51">
        <f>IFERROR(Table1[[#This Row],[Quantity  to  purchase]]*(Table1[[#This Row],[Cost ]]+Table1[[#This Row],[shipping]]+Table1[[#This Row],[Tax]]),0)</f>
        <v>0</v>
      </c>
      <c r="W316" s="36">
        <f>IFERROR(Table1[[#This Row],[leftover material]]*(Table1[[#This Row],[Cost ]]+Table1[[#This Row],[shipping]]+Table1[[#This Row],[Tax]]),0)</f>
        <v>0</v>
      </c>
      <c r="X316" s="36"/>
      <c r="Y316" s="87"/>
      <c r="Z316" s="87"/>
      <c r="AA316" s="87"/>
      <c r="AB316" s="36"/>
      <c r="AC316" s="36">
        <f>IF(ISNA(VLOOKUP(Table1[[#This Row],[Part Number]],'Multi-level BOM'!V$4:V$449,1,FALSE)),0,Table1[[#This Row],[Remaining Extended cost]])</f>
        <v>0</v>
      </c>
    </row>
    <row r="317" spans="1:29" x14ac:dyDescent="0.25">
      <c r="A317" s="1" t="s">
        <v>320</v>
      </c>
      <c r="B317" s="4"/>
      <c r="F317" s="3">
        <f>9%*Table1[[#This Row],[Cost ]]</f>
        <v>0</v>
      </c>
      <c r="J317" s="49">
        <f>SUMIF('Multi-level BOM'!D$4:D$467,Table1[[#This Row],[Part Number]],'Multi-level BOM'!H$4:H$467)</f>
        <v>0</v>
      </c>
      <c r="K317" s="10">
        <f>Table1[[#This Row],[extended quantity]]*(Table1[[#This Row],[Cost ]]+Table1[[#This Row],[shipping]]+Table1[[#This Row],[Tax]])</f>
        <v>0</v>
      </c>
      <c r="L317" s="83" t="str">
        <f>IF(Table1[[#This Row],[Buy-now costs]]&gt;0,"X","")</f>
        <v/>
      </c>
      <c r="M317" s="83"/>
      <c r="N317" s="83"/>
      <c r="O317" s="40">
        <v>0</v>
      </c>
      <c r="P317" s="97">
        <f>Table1[[#This Row],[quantity on-hand]]*(Table1[[#This Row],[Cost ]]+Table1[[#This Row],[shipping]]+Table1[[#This Row],[Tax]])</f>
        <v>0</v>
      </c>
      <c r="Q317" s="40">
        <v>0</v>
      </c>
      <c r="R317" s="95">
        <f>Table1[[#This Row],[Quantity on order]]*(Table1[[#This Row],[Cost ]]+Table1[[#This Row],[shipping]]+Table1[[#This Row],[Tax]])</f>
        <v>0</v>
      </c>
      <c r="S3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7" s="49">
        <f>Table1[[#This Row],[Quantity  to  purchase]]+Table1[[#This Row],[Quantity purchased]]+Table1[[#This Row],[Quantity on order]]+Table1[[#This Row],[Quantity donated]]-Table1[[#This Row],[extended quantity]]</f>
        <v>0</v>
      </c>
      <c r="U3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7" s="51">
        <f>IFERROR(Table1[[#This Row],[Quantity  to  purchase]]*(Table1[[#This Row],[Cost ]]+Table1[[#This Row],[shipping]]+Table1[[#This Row],[Tax]]),0)</f>
        <v>0</v>
      </c>
      <c r="W317" s="36">
        <f>IFERROR(Table1[[#This Row],[leftover material]]*(Table1[[#This Row],[Cost ]]+Table1[[#This Row],[shipping]]+Table1[[#This Row],[Tax]]),0)</f>
        <v>0</v>
      </c>
      <c r="X317" s="36"/>
      <c r="Y317" s="87"/>
      <c r="Z317" s="87"/>
      <c r="AA317" s="87"/>
      <c r="AB317" s="36"/>
      <c r="AC317" s="36">
        <f>IF(ISNA(VLOOKUP(Table1[[#This Row],[Part Number]],'Multi-level BOM'!V$4:V$449,1,FALSE)),0,Table1[[#This Row],[Remaining Extended cost]])</f>
        <v>0</v>
      </c>
    </row>
    <row r="318" spans="1:29" x14ac:dyDescent="0.25">
      <c r="A318" s="1" t="s">
        <v>321</v>
      </c>
      <c r="B318" s="4"/>
      <c r="F318" s="3">
        <f>9%*Table1[[#This Row],[Cost ]]</f>
        <v>0</v>
      </c>
      <c r="J318" s="49">
        <f>SUMIF('Multi-level BOM'!D$4:D$467,Table1[[#This Row],[Part Number]],'Multi-level BOM'!H$4:H$467)</f>
        <v>0</v>
      </c>
      <c r="K318" s="10">
        <f>Table1[[#This Row],[extended quantity]]*(Table1[[#This Row],[Cost ]]+Table1[[#This Row],[shipping]]+Table1[[#This Row],[Tax]])</f>
        <v>0</v>
      </c>
      <c r="L318" s="83" t="str">
        <f>IF(Table1[[#This Row],[Buy-now costs]]&gt;0,"X","")</f>
        <v/>
      </c>
      <c r="M318" s="83"/>
      <c r="N318" s="83"/>
      <c r="O318" s="40">
        <v>0</v>
      </c>
      <c r="P318" s="97">
        <f>Table1[[#This Row],[quantity on-hand]]*(Table1[[#This Row],[Cost ]]+Table1[[#This Row],[shipping]]+Table1[[#This Row],[Tax]])</f>
        <v>0</v>
      </c>
      <c r="Q318" s="40">
        <v>0</v>
      </c>
      <c r="R318" s="95">
        <f>Table1[[#This Row],[Quantity on order]]*(Table1[[#This Row],[Cost ]]+Table1[[#This Row],[shipping]]+Table1[[#This Row],[Tax]])</f>
        <v>0</v>
      </c>
      <c r="S3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8" s="49">
        <f>Table1[[#This Row],[Quantity  to  purchase]]+Table1[[#This Row],[Quantity purchased]]+Table1[[#This Row],[Quantity on order]]+Table1[[#This Row],[Quantity donated]]-Table1[[#This Row],[extended quantity]]</f>
        <v>0</v>
      </c>
      <c r="U3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8" s="51">
        <f>IFERROR(Table1[[#This Row],[Quantity  to  purchase]]*(Table1[[#This Row],[Cost ]]+Table1[[#This Row],[shipping]]+Table1[[#This Row],[Tax]]),0)</f>
        <v>0</v>
      </c>
      <c r="W318" s="36">
        <f>IFERROR(Table1[[#This Row],[leftover material]]*(Table1[[#This Row],[Cost ]]+Table1[[#This Row],[shipping]]+Table1[[#This Row],[Tax]]),0)</f>
        <v>0</v>
      </c>
      <c r="X318" s="36"/>
      <c r="Y318" s="87"/>
      <c r="Z318" s="87"/>
      <c r="AA318" s="87"/>
      <c r="AB318" s="36"/>
      <c r="AC318" s="36">
        <f>IF(ISNA(VLOOKUP(Table1[[#This Row],[Part Number]],'Multi-level BOM'!V$4:V$449,1,FALSE)),0,Table1[[#This Row],[Remaining Extended cost]])</f>
        <v>0</v>
      </c>
    </row>
    <row r="319" spans="1:29" x14ac:dyDescent="0.25">
      <c r="A319" s="1" t="s">
        <v>322</v>
      </c>
      <c r="B319" s="4"/>
      <c r="F319" s="3">
        <f>9%*Table1[[#This Row],[Cost ]]</f>
        <v>0</v>
      </c>
      <c r="J319" s="49">
        <f>SUMIF('Multi-level BOM'!D$4:D$467,Table1[[#This Row],[Part Number]],'Multi-level BOM'!H$4:H$467)</f>
        <v>0</v>
      </c>
      <c r="K319" s="10">
        <f>Table1[[#This Row],[extended quantity]]*(Table1[[#This Row],[Cost ]]+Table1[[#This Row],[shipping]]+Table1[[#This Row],[Tax]])</f>
        <v>0</v>
      </c>
      <c r="L319" s="83" t="str">
        <f>IF(Table1[[#This Row],[Buy-now costs]]&gt;0,"X","")</f>
        <v/>
      </c>
      <c r="M319" s="83"/>
      <c r="N319" s="83"/>
      <c r="O319" s="40">
        <v>0</v>
      </c>
      <c r="P319" s="97">
        <f>Table1[[#This Row],[quantity on-hand]]*(Table1[[#This Row],[Cost ]]+Table1[[#This Row],[shipping]]+Table1[[#This Row],[Tax]])</f>
        <v>0</v>
      </c>
      <c r="Q319" s="40">
        <v>0</v>
      </c>
      <c r="R319" s="95">
        <f>Table1[[#This Row],[Quantity on order]]*(Table1[[#This Row],[Cost ]]+Table1[[#This Row],[shipping]]+Table1[[#This Row],[Tax]])</f>
        <v>0</v>
      </c>
      <c r="S3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9" s="49">
        <f>Table1[[#This Row],[Quantity  to  purchase]]+Table1[[#This Row],[Quantity purchased]]+Table1[[#This Row],[Quantity on order]]+Table1[[#This Row],[Quantity donated]]-Table1[[#This Row],[extended quantity]]</f>
        <v>0</v>
      </c>
      <c r="U3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9" s="51">
        <f>IFERROR(Table1[[#This Row],[Quantity  to  purchase]]*(Table1[[#This Row],[Cost ]]+Table1[[#This Row],[shipping]]+Table1[[#This Row],[Tax]]),0)</f>
        <v>0</v>
      </c>
      <c r="W319" s="36">
        <f>IFERROR(Table1[[#This Row],[leftover material]]*(Table1[[#This Row],[Cost ]]+Table1[[#This Row],[shipping]]+Table1[[#This Row],[Tax]]),0)</f>
        <v>0</v>
      </c>
      <c r="X319" s="36"/>
      <c r="Y319" s="87"/>
      <c r="Z319" s="87"/>
      <c r="AA319" s="87"/>
      <c r="AB319" s="36"/>
      <c r="AC319" s="36">
        <f>IF(ISNA(VLOOKUP(Table1[[#This Row],[Part Number]],'Multi-level BOM'!V$4:V$449,1,FALSE)),0,Table1[[#This Row],[Remaining Extended cost]])</f>
        <v>0</v>
      </c>
    </row>
    <row r="320" spans="1:29" x14ac:dyDescent="0.25">
      <c r="A320" s="1" t="s">
        <v>323</v>
      </c>
      <c r="B320" s="4"/>
      <c r="F320" s="3">
        <f>9%*Table1[[#This Row],[Cost ]]</f>
        <v>0</v>
      </c>
      <c r="J320" s="49">
        <f>SUMIF('Multi-level BOM'!D$4:D$467,Table1[[#This Row],[Part Number]],'Multi-level BOM'!H$4:H$467)</f>
        <v>0</v>
      </c>
      <c r="K320" s="10">
        <f>Table1[[#This Row],[extended quantity]]*(Table1[[#This Row],[Cost ]]+Table1[[#This Row],[shipping]]+Table1[[#This Row],[Tax]])</f>
        <v>0</v>
      </c>
      <c r="L320" s="83" t="str">
        <f>IF(Table1[[#This Row],[Buy-now costs]]&gt;0,"X","")</f>
        <v/>
      </c>
      <c r="M320" s="83"/>
      <c r="N320" s="83"/>
      <c r="O320" s="40">
        <v>0</v>
      </c>
      <c r="P320" s="97">
        <f>Table1[[#This Row],[quantity on-hand]]*(Table1[[#This Row],[Cost ]]+Table1[[#This Row],[shipping]]+Table1[[#This Row],[Tax]])</f>
        <v>0</v>
      </c>
      <c r="Q320" s="40">
        <v>0</v>
      </c>
      <c r="R320" s="95">
        <f>Table1[[#This Row],[Quantity on order]]*(Table1[[#This Row],[Cost ]]+Table1[[#This Row],[shipping]]+Table1[[#This Row],[Tax]])</f>
        <v>0</v>
      </c>
      <c r="S3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0" s="49">
        <f>Table1[[#This Row],[Quantity  to  purchase]]+Table1[[#This Row],[Quantity purchased]]+Table1[[#This Row],[Quantity on order]]+Table1[[#This Row],[Quantity donated]]-Table1[[#This Row],[extended quantity]]</f>
        <v>0</v>
      </c>
      <c r="U3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0" s="51">
        <f>IFERROR(Table1[[#This Row],[Quantity  to  purchase]]*(Table1[[#This Row],[Cost ]]+Table1[[#This Row],[shipping]]+Table1[[#This Row],[Tax]]),0)</f>
        <v>0</v>
      </c>
      <c r="W320" s="36">
        <f>IFERROR(Table1[[#This Row],[leftover material]]*(Table1[[#This Row],[Cost ]]+Table1[[#This Row],[shipping]]+Table1[[#This Row],[Tax]]),0)</f>
        <v>0</v>
      </c>
      <c r="X320" s="36"/>
      <c r="Y320" s="87"/>
      <c r="Z320" s="87"/>
      <c r="AA320" s="87"/>
      <c r="AB320" s="36"/>
      <c r="AC320" s="36">
        <f>IF(ISNA(VLOOKUP(Table1[[#This Row],[Part Number]],'Multi-level BOM'!V$4:V$449,1,FALSE)),0,Table1[[#This Row],[Remaining Extended cost]])</f>
        <v>0</v>
      </c>
    </row>
    <row r="321" spans="1:29" x14ac:dyDescent="0.25">
      <c r="A321" s="1" t="s">
        <v>324</v>
      </c>
      <c r="B321" s="4"/>
      <c r="F321" s="3">
        <f>9%*Table1[[#This Row],[Cost ]]</f>
        <v>0</v>
      </c>
      <c r="J321" s="49">
        <f>SUMIF('Multi-level BOM'!D$4:D$467,Table1[[#This Row],[Part Number]],'Multi-level BOM'!H$4:H$467)</f>
        <v>0</v>
      </c>
      <c r="K321" s="10">
        <f>Table1[[#This Row],[extended quantity]]*(Table1[[#This Row],[Cost ]]+Table1[[#This Row],[shipping]]+Table1[[#This Row],[Tax]])</f>
        <v>0</v>
      </c>
      <c r="L321" s="83" t="str">
        <f>IF(Table1[[#This Row],[Buy-now costs]]&gt;0,"X","")</f>
        <v/>
      </c>
      <c r="M321" s="83"/>
      <c r="N321" s="83"/>
      <c r="O321" s="40">
        <v>0</v>
      </c>
      <c r="P321" s="97">
        <f>Table1[[#This Row],[quantity on-hand]]*(Table1[[#This Row],[Cost ]]+Table1[[#This Row],[shipping]]+Table1[[#This Row],[Tax]])</f>
        <v>0</v>
      </c>
      <c r="Q321" s="40">
        <v>0</v>
      </c>
      <c r="R321" s="95">
        <f>Table1[[#This Row],[Quantity on order]]*(Table1[[#This Row],[Cost ]]+Table1[[#This Row],[shipping]]+Table1[[#This Row],[Tax]])</f>
        <v>0</v>
      </c>
      <c r="S3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1" s="49">
        <f>Table1[[#This Row],[Quantity  to  purchase]]+Table1[[#This Row],[Quantity purchased]]+Table1[[#This Row],[Quantity on order]]+Table1[[#This Row],[Quantity donated]]-Table1[[#This Row],[extended quantity]]</f>
        <v>0</v>
      </c>
      <c r="U3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1" s="51">
        <f>IFERROR(Table1[[#This Row],[Quantity  to  purchase]]*(Table1[[#This Row],[Cost ]]+Table1[[#This Row],[shipping]]+Table1[[#This Row],[Tax]]),0)</f>
        <v>0</v>
      </c>
      <c r="W321" s="36">
        <f>IFERROR(Table1[[#This Row],[leftover material]]*(Table1[[#This Row],[Cost ]]+Table1[[#This Row],[shipping]]+Table1[[#This Row],[Tax]]),0)</f>
        <v>0</v>
      </c>
      <c r="X321" s="36"/>
      <c r="Y321" s="87"/>
      <c r="Z321" s="87"/>
      <c r="AA321" s="87"/>
      <c r="AB321" s="36"/>
      <c r="AC321" s="36">
        <f>IF(ISNA(VLOOKUP(Table1[[#This Row],[Part Number]],'Multi-level BOM'!V$4:V$449,1,FALSE)),0,Table1[[#This Row],[Remaining Extended cost]])</f>
        <v>0</v>
      </c>
    </row>
    <row r="322" spans="1:29" x14ac:dyDescent="0.25">
      <c r="A322" s="1" t="s">
        <v>325</v>
      </c>
      <c r="B322" s="4"/>
      <c r="F322" s="3">
        <f>9%*Table1[[#This Row],[Cost ]]</f>
        <v>0</v>
      </c>
      <c r="J322" s="49">
        <f>SUMIF('Multi-level BOM'!D$4:D$467,Table1[[#This Row],[Part Number]],'Multi-level BOM'!H$4:H$467)</f>
        <v>0</v>
      </c>
      <c r="K322" s="10">
        <f>Table1[[#This Row],[extended quantity]]*(Table1[[#This Row],[Cost ]]+Table1[[#This Row],[shipping]]+Table1[[#This Row],[Tax]])</f>
        <v>0</v>
      </c>
      <c r="L322" s="83" t="str">
        <f>IF(Table1[[#This Row],[Buy-now costs]]&gt;0,"X","")</f>
        <v/>
      </c>
      <c r="M322" s="83"/>
      <c r="N322" s="83"/>
      <c r="O322" s="40">
        <v>0</v>
      </c>
      <c r="P322" s="97">
        <f>Table1[[#This Row],[quantity on-hand]]*(Table1[[#This Row],[Cost ]]+Table1[[#This Row],[shipping]]+Table1[[#This Row],[Tax]])</f>
        <v>0</v>
      </c>
      <c r="Q322" s="40">
        <v>0</v>
      </c>
      <c r="R322" s="95">
        <f>Table1[[#This Row],[Quantity on order]]*(Table1[[#This Row],[Cost ]]+Table1[[#This Row],[shipping]]+Table1[[#This Row],[Tax]])</f>
        <v>0</v>
      </c>
      <c r="S3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2" s="49">
        <f>Table1[[#This Row],[Quantity  to  purchase]]+Table1[[#This Row],[Quantity purchased]]+Table1[[#This Row],[Quantity on order]]+Table1[[#This Row],[Quantity donated]]-Table1[[#This Row],[extended quantity]]</f>
        <v>0</v>
      </c>
      <c r="U3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2" s="51">
        <f>IFERROR(Table1[[#This Row],[Quantity  to  purchase]]*(Table1[[#This Row],[Cost ]]+Table1[[#This Row],[shipping]]+Table1[[#This Row],[Tax]]),0)</f>
        <v>0</v>
      </c>
      <c r="W322" s="36">
        <f>IFERROR(Table1[[#This Row],[leftover material]]*(Table1[[#This Row],[Cost ]]+Table1[[#This Row],[shipping]]+Table1[[#This Row],[Tax]]),0)</f>
        <v>0</v>
      </c>
      <c r="X322" s="36"/>
      <c r="Y322" s="87"/>
      <c r="Z322" s="87"/>
      <c r="AA322" s="87"/>
      <c r="AB322" s="36"/>
      <c r="AC322" s="36">
        <f>IF(ISNA(VLOOKUP(Table1[[#This Row],[Part Number]],'Multi-level BOM'!V$4:V$449,1,FALSE)),0,Table1[[#This Row],[Remaining Extended cost]])</f>
        <v>0</v>
      </c>
    </row>
    <row r="323" spans="1:29" x14ac:dyDescent="0.25">
      <c r="A323" s="1" t="s">
        <v>326</v>
      </c>
      <c r="B323" s="4"/>
      <c r="F323" s="3">
        <f>9%*Table1[[#This Row],[Cost ]]</f>
        <v>0</v>
      </c>
      <c r="J323" s="49">
        <f>SUMIF('Multi-level BOM'!D$4:D$467,Table1[[#This Row],[Part Number]],'Multi-level BOM'!H$4:H$467)</f>
        <v>0</v>
      </c>
      <c r="K323" s="10">
        <f>Table1[[#This Row],[extended quantity]]*(Table1[[#This Row],[Cost ]]+Table1[[#This Row],[shipping]]+Table1[[#This Row],[Tax]])</f>
        <v>0</v>
      </c>
      <c r="L323" s="83" t="str">
        <f>IF(Table1[[#This Row],[Buy-now costs]]&gt;0,"X","")</f>
        <v/>
      </c>
      <c r="M323" s="83"/>
      <c r="N323" s="83"/>
      <c r="O323" s="40">
        <v>0</v>
      </c>
      <c r="P323" s="97">
        <f>Table1[[#This Row],[quantity on-hand]]*(Table1[[#This Row],[Cost ]]+Table1[[#This Row],[shipping]]+Table1[[#This Row],[Tax]])</f>
        <v>0</v>
      </c>
      <c r="Q323" s="40">
        <v>0</v>
      </c>
      <c r="R323" s="95">
        <f>Table1[[#This Row],[Quantity on order]]*(Table1[[#This Row],[Cost ]]+Table1[[#This Row],[shipping]]+Table1[[#This Row],[Tax]])</f>
        <v>0</v>
      </c>
      <c r="S3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3" s="49">
        <f>Table1[[#This Row],[Quantity  to  purchase]]+Table1[[#This Row],[Quantity purchased]]+Table1[[#This Row],[Quantity on order]]+Table1[[#This Row],[Quantity donated]]-Table1[[#This Row],[extended quantity]]</f>
        <v>0</v>
      </c>
      <c r="U3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3" s="51">
        <f>IFERROR(Table1[[#This Row],[Quantity  to  purchase]]*(Table1[[#This Row],[Cost ]]+Table1[[#This Row],[shipping]]+Table1[[#This Row],[Tax]]),0)</f>
        <v>0</v>
      </c>
      <c r="W323" s="36">
        <f>IFERROR(Table1[[#This Row],[leftover material]]*(Table1[[#This Row],[Cost ]]+Table1[[#This Row],[shipping]]+Table1[[#This Row],[Tax]]),0)</f>
        <v>0</v>
      </c>
      <c r="X323" s="36"/>
      <c r="Y323" s="87"/>
      <c r="Z323" s="87"/>
      <c r="AA323" s="87"/>
      <c r="AB323" s="36"/>
      <c r="AC323" s="36">
        <f>IF(ISNA(VLOOKUP(Table1[[#This Row],[Part Number]],'Multi-level BOM'!V$4:V$449,1,FALSE)),0,Table1[[#This Row],[Remaining Extended cost]])</f>
        <v>0</v>
      </c>
    </row>
    <row r="324" spans="1:29" x14ac:dyDescent="0.25">
      <c r="A324" s="1" t="s">
        <v>327</v>
      </c>
      <c r="B324" s="4"/>
      <c r="F324" s="3">
        <f>9%*Table1[[#This Row],[Cost ]]</f>
        <v>0</v>
      </c>
      <c r="J324" s="49">
        <f>SUMIF('Multi-level BOM'!D$4:D$467,Table1[[#This Row],[Part Number]],'Multi-level BOM'!H$4:H$467)</f>
        <v>0</v>
      </c>
      <c r="K324" s="10">
        <f>Table1[[#This Row],[extended quantity]]*(Table1[[#This Row],[Cost ]]+Table1[[#This Row],[shipping]]+Table1[[#This Row],[Tax]])</f>
        <v>0</v>
      </c>
      <c r="L324" s="83" t="str">
        <f>IF(Table1[[#This Row],[Buy-now costs]]&gt;0,"X","")</f>
        <v/>
      </c>
      <c r="M324" s="83"/>
      <c r="N324" s="83"/>
      <c r="O324" s="40">
        <v>0</v>
      </c>
      <c r="P324" s="97">
        <f>Table1[[#This Row],[quantity on-hand]]*(Table1[[#This Row],[Cost ]]+Table1[[#This Row],[shipping]]+Table1[[#This Row],[Tax]])</f>
        <v>0</v>
      </c>
      <c r="Q324" s="40">
        <v>0</v>
      </c>
      <c r="R324" s="95">
        <f>Table1[[#This Row],[Quantity on order]]*(Table1[[#This Row],[Cost ]]+Table1[[#This Row],[shipping]]+Table1[[#This Row],[Tax]])</f>
        <v>0</v>
      </c>
      <c r="S3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4" s="49">
        <f>Table1[[#This Row],[Quantity  to  purchase]]+Table1[[#This Row],[Quantity purchased]]+Table1[[#This Row],[Quantity on order]]+Table1[[#This Row],[Quantity donated]]-Table1[[#This Row],[extended quantity]]</f>
        <v>0</v>
      </c>
      <c r="U3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4" s="51">
        <f>IFERROR(Table1[[#This Row],[Quantity  to  purchase]]*(Table1[[#This Row],[Cost ]]+Table1[[#This Row],[shipping]]+Table1[[#This Row],[Tax]]),0)</f>
        <v>0</v>
      </c>
      <c r="W324" s="36">
        <f>IFERROR(Table1[[#This Row],[leftover material]]*(Table1[[#This Row],[Cost ]]+Table1[[#This Row],[shipping]]+Table1[[#This Row],[Tax]]),0)</f>
        <v>0</v>
      </c>
      <c r="X324" s="36"/>
      <c r="Y324" s="87"/>
      <c r="Z324" s="87"/>
      <c r="AA324" s="87"/>
      <c r="AB324" s="36"/>
      <c r="AC324" s="36">
        <f>IF(ISNA(VLOOKUP(Table1[[#This Row],[Part Number]],'Multi-level BOM'!V$4:V$449,1,FALSE)),0,Table1[[#This Row],[Remaining Extended cost]])</f>
        <v>0</v>
      </c>
    </row>
    <row r="325" spans="1:29" x14ac:dyDescent="0.25">
      <c r="A325" s="1" t="s">
        <v>328</v>
      </c>
      <c r="B325" s="4"/>
      <c r="F325" s="3">
        <f>9%*Table1[[#This Row],[Cost ]]</f>
        <v>0</v>
      </c>
      <c r="J325" s="49">
        <f>SUMIF('Multi-level BOM'!D$4:D$467,Table1[[#This Row],[Part Number]],'Multi-level BOM'!H$4:H$467)</f>
        <v>0</v>
      </c>
      <c r="K325" s="10">
        <f>Table1[[#This Row],[extended quantity]]*(Table1[[#This Row],[Cost ]]+Table1[[#This Row],[shipping]]+Table1[[#This Row],[Tax]])</f>
        <v>0</v>
      </c>
      <c r="L325" s="83" t="str">
        <f>IF(Table1[[#This Row],[Buy-now costs]]&gt;0,"X","")</f>
        <v/>
      </c>
      <c r="M325" s="83"/>
      <c r="N325" s="83"/>
      <c r="O325" s="40">
        <v>0</v>
      </c>
      <c r="P325" s="97">
        <f>Table1[[#This Row],[quantity on-hand]]*(Table1[[#This Row],[Cost ]]+Table1[[#This Row],[shipping]]+Table1[[#This Row],[Tax]])</f>
        <v>0</v>
      </c>
      <c r="Q325" s="40">
        <v>0</v>
      </c>
      <c r="R325" s="95">
        <f>Table1[[#This Row],[Quantity on order]]*(Table1[[#This Row],[Cost ]]+Table1[[#This Row],[shipping]]+Table1[[#This Row],[Tax]])</f>
        <v>0</v>
      </c>
      <c r="S3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5" s="49">
        <f>Table1[[#This Row],[Quantity  to  purchase]]+Table1[[#This Row],[Quantity purchased]]+Table1[[#This Row],[Quantity on order]]+Table1[[#This Row],[Quantity donated]]-Table1[[#This Row],[extended quantity]]</f>
        <v>0</v>
      </c>
      <c r="U3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5" s="51">
        <f>IFERROR(Table1[[#This Row],[Quantity  to  purchase]]*(Table1[[#This Row],[Cost ]]+Table1[[#This Row],[shipping]]+Table1[[#This Row],[Tax]]),0)</f>
        <v>0</v>
      </c>
      <c r="W325" s="36">
        <f>IFERROR(Table1[[#This Row],[leftover material]]*(Table1[[#This Row],[Cost ]]+Table1[[#This Row],[shipping]]+Table1[[#This Row],[Tax]]),0)</f>
        <v>0</v>
      </c>
      <c r="X325" s="36"/>
      <c r="Y325" s="87"/>
      <c r="Z325" s="87"/>
      <c r="AA325" s="87"/>
      <c r="AB325" s="36"/>
      <c r="AC325" s="36">
        <f>IF(ISNA(VLOOKUP(Table1[[#This Row],[Part Number]],'Multi-level BOM'!V$4:V$449,1,FALSE)),0,Table1[[#This Row],[Remaining Extended cost]])</f>
        <v>0</v>
      </c>
    </row>
    <row r="326" spans="1:29" x14ac:dyDescent="0.25">
      <c r="A326" s="1" t="s">
        <v>329</v>
      </c>
      <c r="B326" s="4"/>
      <c r="F326" s="3">
        <f>9%*Table1[[#This Row],[Cost ]]</f>
        <v>0</v>
      </c>
      <c r="J326" s="49">
        <f>SUMIF('Multi-level BOM'!D$4:D$467,Table1[[#This Row],[Part Number]],'Multi-level BOM'!H$4:H$467)</f>
        <v>0</v>
      </c>
      <c r="K326" s="10">
        <f>Table1[[#This Row],[extended quantity]]*(Table1[[#This Row],[Cost ]]+Table1[[#This Row],[shipping]]+Table1[[#This Row],[Tax]])</f>
        <v>0</v>
      </c>
      <c r="L326" s="83" t="str">
        <f>IF(Table1[[#This Row],[Buy-now costs]]&gt;0,"X","")</f>
        <v/>
      </c>
      <c r="M326" s="83"/>
      <c r="N326" s="83"/>
      <c r="O326" s="40">
        <v>0</v>
      </c>
      <c r="P326" s="97">
        <f>Table1[[#This Row],[quantity on-hand]]*(Table1[[#This Row],[Cost ]]+Table1[[#This Row],[shipping]]+Table1[[#This Row],[Tax]])</f>
        <v>0</v>
      </c>
      <c r="Q326" s="40">
        <v>0</v>
      </c>
      <c r="R326" s="95">
        <f>Table1[[#This Row],[Quantity on order]]*(Table1[[#This Row],[Cost ]]+Table1[[#This Row],[shipping]]+Table1[[#This Row],[Tax]])</f>
        <v>0</v>
      </c>
      <c r="S3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6" s="49">
        <f>Table1[[#This Row],[Quantity  to  purchase]]+Table1[[#This Row],[Quantity purchased]]+Table1[[#This Row],[Quantity on order]]+Table1[[#This Row],[Quantity donated]]-Table1[[#This Row],[extended quantity]]</f>
        <v>0</v>
      </c>
      <c r="U3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6" s="51">
        <f>IFERROR(Table1[[#This Row],[Quantity  to  purchase]]*(Table1[[#This Row],[Cost ]]+Table1[[#This Row],[shipping]]+Table1[[#This Row],[Tax]]),0)</f>
        <v>0</v>
      </c>
      <c r="W326" s="36">
        <f>IFERROR(Table1[[#This Row],[leftover material]]*(Table1[[#This Row],[Cost ]]+Table1[[#This Row],[shipping]]+Table1[[#This Row],[Tax]]),0)</f>
        <v>0</v>
      </c>
      <c r="X326" s="36"/>
      <c r="Y326" s="87"/>
      <c r="Z326" s="87"/>
      <c r="AA326" s="87"/>
      <c r="AB326" s="36"/>
      <c r="AC326" s="36">
        <f>IF(ISNA(VLOOKUP(Table1[[#This Row],[Part Number]],'Multi-level BOM'!V$4:V$449,1,FALSE)),0,Table1[[#This Row],[Remaining Extended cost]])</f>
        <v>0</v>
      </c>
    </row>
    <row r="327" spans="1:29" x14ac:dyDescent="0.25">
      <c r="A327" s="1" t="s">
        <v>330</v>
      </c>
      <c r="B327" s="4"/>
      <c r="F327" s="3">
        <f>9%*Table1[[#This Row],[Cost ]]</f>
        <v>0</v>
      </c>
      <c r="J327" s="49">
        <f>SUMIF('Multi-level BOM'!D$4:D$467,Table1[[#This Row],[Part Number]],'Multi-level BOM'!H$4:H$467)</f>
        <v>0</v>
      </c>
      <c r="K327" s="10">
        <f>Table1[[#This Row],[extended quantity]]*(Table1[[#This Row],[Cost ]]+Table1[[#This Row],[shipping]]+Table1[[#This Row],[Tax]])</f>
        <v>0</v>
      </c>
      <c r="L327" s="83" t="str">
        <f>IF(Table1[[#This Row],[Buy-now costs]]&gt;0,"X","")</f>
        <v/>
      </c>
      <c r="M327" s="83"/>
      <c r="N327" s="83"/>
      <c r="O327" s="40">
        <v>0</v>
      </c>
      <c r="P327" s="97">
        <f>Table1[[#This Row],[quantity on-hand]]*(Table1[[#This Row],[Cost ]]+Table1[[#This Row],[shipping]]+Table1[[#This Row],[Tax]])</f>
        <v>0</v>
      </c>
      <c r="Q327" s="40">
        <v>0</v>
      </c>
      <c r="R327" s="95">
        <f>Table1[[#This Row],[Quantity on order]]*(Table1[[#This Row],[Cost ]]+Table1[[#This Row],[shipping]]+Table1[[#This Row],[Tax]])</f>
        <v>0</v>
      </c>
      <c r="S3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7" s="49">
        <f>Table1[[#This Row],[Quantity  to  purchase]]+Table1[[#This Row],[Quantity purchased]]+Table1[[#This Row],[Quantity on order]]+Table1[[#This Row],[Quantity donated]]-Table1[[#This Row],[extended quantity]]</f>
        <v>0</v>
      </c>
      <c r="U3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7" s="51">
        <f>IFERROR(Table1[[#This Row],[Quantity  to  purchase]]*(Table1[[#This Row],[Cost ]]+Table1[[#This Row],[shipping]]+Table1[[#This Row],[Tax]]),0)</f>
        <v>0</v>
      </c>
      <c r="W327" s="36">
        <f>IFERROR(Table1[[#This Row],[leftover material]]*(Table1[[#This Row],[Cost ]]+Table1[[#This Row],[shipping]]+Table1[[#This Row],[Tax]]),0)</f>
        <v>0</v>
      </c>
      <c r="X327" s="36"/>
      <c r="Y327" s="87"/>
      <c r="Z327" s="87"/>
      <c r="AA327" s="87"/>
      <c r="AB327" s="36"/>
      <c r="AC327" s="36">
        <f>IF(ISNA(VLOOKUP(Table1[[#This Row],[Part Number]],'Multi-level BOM'!V$4:V$449,1,FALSE)),0,Table1[[#This Row],[Remaining Extended cost]])</f>
        <v>0</v>
      </c>
    </row>
    <row r="328" spans="1:29" x14ac:dyDescent="0.25">
      <c r="A328" s="1" t="s">
        <v>331</v>
      </c>
      <c r="B328" s="4"/>
      <c r="F328" s="3">
        <f>9%*Table1[[#This Row],[Cost ]]</f>
        <v>0</v>
      </c>
      <c r="J328" s="49">
        <f>SUMIF('Multi-level BOM'!D$4:D$467,Table1[[#This Row],[Part Number]],'Multi-level BOM'!H$4:H$467)</f>
        <v>0</v>
      </c>
      <c r="K328" s="10">
        <f>Table1[[#This Row],[extended quantity]]*(Table1[[#This Row],[Cost ]]+Table1[[#This Row],[shipping]]+Table1[[#This Row],[Tax]])</f>
        <v>0</v>
      </c>
      <c r="L328" s="83" t="str">
        <f>IF(Table1[[#This Row],[Buy-now costs]]&gt;0,"X","")</f>
        <v/>
      </c>
      <c r="M328" s="83"/>
      <c r="N328" s="83"/>
      <c r="O328" s="40">
        <v>0</v>
      </c>
      <c r="P328" s="97">
        <f>Table1[[#This Row],[quantity on-hand]]*(Table1[[#This Row],[Cost ]]+Table1[[#This Row],[shipping]]+Table1[[#This Row],[Tax]])</f>
        <v>0</v>
      </c>
      <c r="Q328" s="40">
        <v>0</v>
      </c>
      <c r="R328" s="95">
        <f>Table1[[#This Row],[Quantity on order]]*(Table1[[#This Row],[Cost ]]+Table1[[#This Row],[shipping]]+Table1[[#This Row],[Tax]])</f>
        <v>0</v>
      </c>
      <c r="S3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8" s="49">
        <f>Table1[[#This Row],[Quantity  to  purchase]]+Table1[[#This Row],[Quantity purchased]]+Table1[[#This Row],[Quantity on order]]+Table1[[#This Row],[Quantity donated]]-Table1[[#This Row],[extended quantity]]</f>
        <v>0</v>
      </c>
      <c r="U3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8" s="51">
        <f>IFERROR(Table1[[#This Row],[Quantity  to  purchase]]*(Table1[[#This Row],[Cost ]]+Table1[[#This Row],[shipping]]+Table1[[#This Row],[Tax]]),0)</f>
        <v>0</v>
      </c>
      <c r="W328" s="36">
        <f>IFERROR(Table1[[#This Row],[leftover material]]*(Table1[[#This Row],[Cost ]]+Table1[[#This Row],[shipping]]+Table1[[#This Row],[Tax]]),0)</f>
        <v>0</v>
      </c>
      <c r="X328" s="36"/>
      <c r="Y328" s="87"/>
      <c r="Z328" s="87"/>
      <c r="AA328" s="87"/>
      <c r="AB328" s="36"/>
      <c r="AC328" s="36">
        <f>IF(ISNA(VLOOKUP(Table1[[#This Row],[Part Number]],'Multi-level BOM'!V$4:V$449,1,FALSE)),0,Table1[[#This Row],[Remaining Extended cost]])</f>
        <v>0</v>
      </c>
    </row>
    <row r="329" spans="1:29" x14ac:dyDescent="0.25">
      <c r="A329" s="1" t="s">
        <v>332</v>
      </c>
      <c r="B329" s="4"/>
      <c r="F329" s="3">
        <f>9%*Table1[[#This Row],[Cost ]]</f>
        <v>0</v>
      </c>
      <c r="J329" s="49">
        <f>SUMIF('Multi-level BOM'!D$4:D$467,Table1[[#This Row],[Part Number]],'Multi-level BOM'!H$4:H$467)</f>
        <v>0</v>
      </c>
      <c r="K329" s="10">
        <f>Table1[[#This Row],[extended quantity]]*(Table1[[#This Row],[Cost ]]+Table1[[#This Row],[shipping]]+Table1[[#This Row],[Tax]])</f>
        <v>0</v>
      </c>
      <c r="L329" s="83" t="str">
        <f>IF(Table1[[#This Row],[Buy-now costs]]&gt;0,"X","")</f>
        <v/>
      </c>
      <c r="M329" s="83"/>
      <c r="N329" s="83"/>
      <c r="O329" s="40">
        <v>0</v>
      </c>
      <c r="P329" s="97">
        <f>Table1[[#This Row],[quantity on-hand]]*(Table1[[#This Row],[Cost ]]+Table1[[#This Row],[shipping]]+Table1[[#This Row],[Tax]])</f>
        <v>0</v>
      </c>
      <c r="Q329" s="40">
        <v>0</v>
      </c>
      <c r="R329" s="95">
        <f>Table1[[#This Row],[Quantity on order]]*(Table1[[#This Row],[Cost ]]+Table1[[#This Row],[shipping]]+Table1[[#This Row],[Tax]])</f>
        <v>0</v>
      </c>
      <c r="S3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9" s="49">
        <f>Table1[[#This Row],[Quantity  to  purchase]]+Table1[[#This Row],[Quantity purchased]]+Table1[[#This Row],[Quantity on order]]+Table1[[#This Row],[Quantity donated]]-Table1[[#This Row],[extended quantity]]</f>
        <v>0</v>
      </c>
      <c r="U3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9" s="51">
        <f>IFERROR(Table1[[#This Row],[Quantity  to  purchase]]*(Table1[[#This Row],[Cost ]]+Table1[[#This Row],[shipping]]+Table1[[#This Row],[Tax]]),0)</f>
        <v>0</v>
      </c>
      <c r="W329" s="36">
        <f>IFERROR(Table1[[#This Row],[leftover material]]*(Table1[[#This Row],[Cost ]]+Table1[[#This Row],[shipping]]+Table1[[#This Row],[Tax]]),0)</f>
        <v>0</v>
      </c>
      <c r="X329" s="36"/>
      <c r="Y329" s="87"/>
      <c r="Z329" s="87"/>
      <c r="AA329" s="87"/>
      <c r="AB329" s="36"/>
      <c r="AC329" s="36">
        <f>IF(ISNA(VLOOKUP(Table1[[#This Row],[Part Number]],'Multi-level BOM'!V$4:V$449,1,FALSE)),0,Table1[[#This Row],[Remaining Extended cost]])</f>
        <v>0</v>
      </c>
    </row>
    <row r="330" spans="1:29" x14ac:dyDescent="0.25">
      <c r="A330" s="1" t="s">
        <v>333</v>
      </c>
      <c r="B330" s="4"/>
      <c r="F330" s="3">
        <f>9%*Table1[[#This Row],[Cost ]]</f>
        <v>0</v>
      </c>
      <c r="J330" s="49">
        <f>SUMIF('Multi-level BOM'!D$4:D$467,Table1[[#This Row],[Part Number]],'Multi-level BOM'!H$4:H$467)</f>
        <v>0</v>
      </c>
      <c r="K330" s="10">
        <f>Table1[[#This Row],[extended quantity]]*(Table1[[#This Row],[Cost ]]+Table1[[#This Row],[shipping]]+Table1[[#This Row],[Tax]])</f>
        <v>0</v>
      </c>
      <c r="L330" s="83" t="str">
        <f>IF(Table1[[#This Row],[Buy-now costs]]&gt;0,"X","")</f>
        <v/>
      </c>
      <c r="M330" s="83"/>
      <c r="N330" s="83"/>
      <c r="O330" s="40">
        <v>0</v>
      </c>
      <c r="P330" s="97">
        <f>Table1[[#This Row],[quantity on-hand]]*(Table1[[#This Row],[Cost ]]+Table1[[#This Row],[shipping]]+Table1[[#This Row],[Tax]])</f>
        <v>0</v>
      </c>
      <c r="Q330" s="40">
        <v>0</v>
      </c>
      <c r="R330" s="95">
        <f>Table1[[#This Row],[Quantity on order]]*(Table1[[#This Row],[Cost ]]+Table1[[#This Row],[shipping]]+Table1[[#This Row],[Tax]])</f>
        <v>0</v>
      </c>
      <c r="S3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0" s="49">
        <f>Table1[[#This Row],[Quantity  to  purchase]]+Table1[[#This Row],[Quantity purchased]]+Table1[[#This Row],[Quantity on order]]+Table1[[#This Row],[Quantity donated]]-Table1[[#This Row],[extended quantity]]</f>
        <v>0</v>
      </c>
      <c r="U3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0" s="51">
        <f>IFERROR(Table1[[#This Row],[Quantity  to  purchase]]*(Table1[[#This Row],[Cost ]]+Table1[[#This Row],[shipping]]+Table1[[#This Row],[Tax]]),0)</f>
        <v>0</v>
      </c>
      <c r="W330" s="36">
        <f>IFERROR(Table1[[#This Row],[leftover material]]*(Table1[[#This Row],[Cost ]]+Table1[[#This Row],[shipping]]+Table1[[#This Row],[Tax]]),0)</f>
        <v>0</v>
      </c>
      <c r="X330" s="36"/>
      <c r="Y330" s="87"/>
      <c r="Z330" s="87"/>
      <c r="AA330" s="87"/>
      <c r="AB330" s="36"/>
      <c r="AC330" s="36">
        <f>IF(ISNA(VLOOKUP(Table1[[#This Row],[Part Number]],'Multi-level BOM'!V$4:V$449,1,FALSE)),0,Table1[[#This Row],[Remaining Extended cost]])</f>
        <v>0</v>
      </c>
    </row>
    <row r="331" spans="1:29" x14ac:dyDescent="0.25">
      <c r="A331" s="1" t="s">
        <v>334</v>
      </c>
      <c r="B331" s="4"/>
      <c r="F331" s="3">
        <f>9%*Table1[[#This Row],[Cost ]]</f>
        <v>0</v>
      </c>
      <c r="J331" s="49">
        <f>SUMIF('Multi-level BOM'!D$4:D$467,Table1[[#This Row],[Part Number]],'Multi-level BOM'!H$4:H$467)</f>
        <v>0</v>
      </c>
      <c r="K331" s="10">
        <f>Table1[[#This Row],[extended quantity]]*(Table1[[#This Row],[Cost ]]+Table1[[#This Row],[shipping]]+Table1[[#This Row],[Tax]])</f>
        <v>0</v>
      </c>
      <c r="L331" s="83" t="str">
        <f>IF(Table1[[#This Row],[Buy-now costs]]&gt;0,"X","")</f>
        <v/>
      </c>
      <c r="M331" s="83"/>
      <c r="N331" s="83"/>
      <c r="O331" s="40">
        <v>0</v>
      </c>
      <c r="P331" s="97">
        <f>Table1[[#This Row],[quantity on-hand]]*(Table1[[#This Row],[Cost ]]+Table1[[#This Row],[shipping]]+Table1[[#This Row],[Tax]])</f>
        <v>0</v>
      </c>
      <c r="Q331" s="40">
        <v>0</v>
      </c>
      <c r="R331" s="95">
        <f>Table1[[#This Row],[Quantity on order]]*(Table1[[#This Row],[Cost ]]+Table1[[#This Row],[shipping]]+Table1[[#This Row],[Tax]])</f>
        <v>0</v>
      </c>
      <c r="S3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1" s="49">
        <f>Table1[[#This Row],[Quantity  to  purchase]]+Table1[[#This Row],[Quantity purchased]]+Table1[[#This Row],[Quantity on order]]+Table1[[#This Row],[Quantity donated]]-Table1[[#This Row],[extended quantity]]</f>
        <v>0</v>
      </c>
      <c r="U3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1" s="51">
        <f>IFERROR(Table1[[#This Row],[Quantity  to  purchase]]*(Table1[[#This Row],[Cost ]]+Table1[[#This Row],[shipping]]+Table1[[#This Row],[Tax]]),0)</f>
        <v>0</v>
      </c>
      <c r="W331" s="36">
        <f>IFERROR(Table1[[#This Row],[leftover material]]*(Table1[[#This Row],[Cost ]]+Table1[[#This Row],[shipping]]+Table1[[#This Row],[Tax]]),0)</f>
        <v>0</v>
      </c>
      <c r="X331" s="36"/>
      <c r="Y331" s="87"/>
      <c r="Z331" s="87"/>
      <c r="AA331" s="87"/>
      <c r="AB331" s="36"/>
      <c r="AC331" s="36">
        <f>IF(ISNA(VLOOKUP(Table1[[#This Row],[Part Number]],'Multi-level BOM'!V$4:V$449,1,FALSE)),0,Table1[[#This Row],[Remaining Extended cost]])</f>
        <v>0</v>
      </c>
    </row>
    <row r="332" spans="1:29" x14ac:dyDescent="0.25">
      <c r="A332" s="1" t="s">
        <v>335</v>
      </c>
      <c r="B332" s="4"/>
      <c r="F332" s="3">
        <f>9%*Table1[[#This Row],[Cost ]]</f>
        <v>0</v>
      </c>
      <c r="J332" s="49">
        <f>SUMIF('Multi-level BOM'!D$4:D$467,Table1[[#This Row],[Part Number]],'Multi-level BOM'!H$4:H$467)</f>
        <v>0</v>
      </c>
      <c r="K332" s="10">
        <f>Table1[[#This Row],[extended quantity]]*(Table1[[#This Row],[Cost ]]+Table1[[#This Row],[shipping]]+Table1[[#This Row],[Tax]])</f>
        <v>0</v>
      </c>
      <c r="L332" s="83" t="str">
        <f>IF(Table1[[#This Row],[Buy-now costs]]&gt;0,"X","")</f>
        <v/>
      </c>
      <c r="M332" s="83"/>
      <c r="N332" s="83"/>
      <c r="O332" s="40">
        <v>0</v>
      </c>
      <c r="P332" s="97">
        <f>Table1[[#This Row],[quantity on-hand]]*(Table1[[#This Row],[Cost ]]+Table1[[#This Row],[shipping]]+Table1[[#This Row],[Tax]])</f>
        <v>0</v>
      </c>
      <c r="Q332" s="40">
        <v>0</v>
      </c>
      <c r="R332" s="95">
        <f>Table1[[#This Row],[Quantity on order]]*(Table1[[#This Row],[Cost ]]+Table1[[#This Row],[shipping]]+Table1[[#This Row],[Tax]])</f>
        <v>0</v>
      </c>
      <c r="S3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2" s="49">
        <f>Table1[[#This Row],[Quantity  to  purchase]]+Table1[[#This Row],[Quantity purchased]]+Table1[[#This Row],[Quantity on order]]+Table1[[#This Row],[Quantity donated]]-Table1[[#This Row],[extended quantity]]</f>
        <v>0</v>
      </c>
      <c r="U3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2" s="51">
        <f>IFERROR(Table1[[#This Row],[Quantity  to  purchase]]*(Table1[[#This Row],[Cost ]]+Table1[[#This Row],[shipping]]+Table1[[#This Row],[Tax]]),0)</f>
        <v>0</v>
      </c>
      <c r="W332" s="36">
        <f>IFERROR(Table1[[#This Row],[leftover material]]*(Table1[[#This Row],[Cost ]]+Table1[[#This Row],[shipping]]+Table1[[#This Row],[Tax]]),0)</f>
        <v>0</v>
      </c>
      <c r="X332" s="36"/>
      <c r="Y332" s="87"/>
      <c r="Z332" s="87"/>
      <c r="AA332" s="87"/>
      <c r="AB332" s="36"/>
      <c r="AC332" s="36">
        <f>IF(ISNA(VLOOKUP(Table1[[#This Row],[Part Number]],'Multi-level BOM'!V$4:V$449,1,FALSE)),0,Table1[[#This Row],[Remaining Extended cost]])</f>
        <v>0</v>
      </c>
    </row>
    <row r="333" spans="1:29" x14ac:dyDescent="0.25">
      <c r="A333" s="1" t="s">
        <v>336</v>
      </c>
      <c r="B333" s="4"/>
      <c r="F333" s="3">
        <f>9%*Table1[[#This Row],[Cost ]]</f>
        <v>0</v>
      </c>
      <c r="J333" s="49">
        <f>SUMIF('Multi-level BOM'!D$4:D$467,Table1[[#This Row],[Part Number]],'Multi-level BOM'!H$4:H$467)</f>
        <v>0</v>
      </c>
      <c r="K333" s="10">
        <f>Table1[[#This Row],[extended quantity]]*(Table1[[#This Row],[Cost ]]+Table1[[#This Row],[shipping]]+Table1[[#This Row],[Tax]])</f>
        <v>0</v>
      </c>
      <c r="L333" s="83" t="str">
        <f>IF(Table1[[#This Row],[Buy-now costs]]&gt;0,"X","")</f>
        <v/>
      </c>
      <c r="M333" s="83"/>
      <c r="N333" s="83"/>
      <c r="O333" s="40">
        <v>0</v>
      </c>
      <c r="P333" s="97">
        <f>Table1[[#This Row],[quantity on-hand]]*(Table1[[#This Row],[Cost ]]+Table1[[#This Row],[shipping]]+Table1[[#This Row],[Tax]])</f>
        <v>0</v>
      </c>
      <c r="Q333" s="40">
        <v>0</v>
      </c>
      <c r="R333" s="95">
        <f>Table1[[#This Row],[Quantity on order]]*(Table1[[#This Row],[Cost ]]+Table1[[#This Row],[shipping]]+Table1[[#This Row],[Tax]])</f>
        <v>0</v>
      </c>
      <c r="S3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3" s="49">
        <f>Table1[[#This Row],[Quantity  to  purchase]]+Table1[[#This Row],[Quantity purchased]]+Table1[[#This Row],[Quantity on order]]+Table1[[#This Row],[Quantity donated]]-Table1[[#This Row],[extended quantity]]</f>
        <v>0</v>
      </c>
      <c r="U3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3" s="51">
        <f>IFERROR(Table1[[#This Row],[Quantity  to  purchase]]*(Table1[[#This Row],[Cost ]]+Table1[[#This Row],[shipping]]+Table1[[#This Row],[Tax]]),0)</f>
        <v>0</v>
      </c>
      <c r="W333" s="36">
        <f>IFERROR(Table1[[#This Row],[leftover material]]*(Table1[[#This Row],[Cost ]]+Table1[[#This Row],[shipping]]+Table1[[#This Row],[Tax]]),0)</f>
        <v>0</v>
      </c>
      <c r="X333" s="36"/>
      <c r="Y333" s="87"/>
      <c r="Z333" s="87"/>
      <c r="AA333" s="87"/>
      <c r="AB333" s="36"/>
      <c r="AC333" s="36">
        <f>IF(ISNA(VLOOKUP(Table1[[#This Row],[Part Number]],'Multi-level BOM'!V$4:V$449,1,FALSE)),0,Table1[[#This Row],[Remaining Extended cost]])</f>
        <v>0</v>
      </c>
    </row>
    <row r="334" spans="1:29" x14ac:dyDescent="0.25">
      <c r="A334" s="1" t="s">
        <v>337</v>
      </c>
      <c r="B334" s="4"/>
      <c r="F334" s="3">
        <f>9%*Table1[[#This Row],[Cost ]]</f>
        <v>0</v>
      </c>
      <c r="J334" s="49">
        <f>SUMIF('Multi-level BOM'!D$4:D$467,Table1[[#This Row],[Part Number]],'Multi-level BOM'!H$4:H$467)</f>
        <v>0</v>
      </c>
      <c r="K334" s="10">
        <f>Table1[[#This Row],[extended quantity]]*(Table1[[#This Row],[Cost ]]+Table1[[#This Row],[shipping]]+Table1[[#This Row],[Tax]])</f>
        <v>0</v>
      </c>
      <c r="L334" s="83" t="str">
        <f>IF(Table1[[#This Row],[Buy-now costs]]&gt;0,"X","")</f>
        <v/>
      </c>
      <c r="M334" s="83"/>
      <c r="N334" s="83"/>
      <c r="O334" s="40">
        <v>0</v>
      </c>
      <c r="P334" s="97">
        <f>Table1[[#This Row],[quantity on-hand]]*(Table1[[#This Row],[Cost ]]+Table1[[#This Row],[shipping]]+Table1[[#This Row],[Tax]])</f>
        <v>0</v>
      </c>
      <c r="Q334" s="40">
        <v>0</v>
      </c>
      <c r="R334" s="95">
        <f>Table1[[#This Row],[Quantity on order]]*(Table1[[#This Row],[Cost ]]+Table1[[#This Row],[shipping]]+Table1[[#This Row],[Tax]])</f>
        <v>0</v>
      </c>
      <c r="S3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4" s="49">
        <f>Table1[[#This Row],[Quantity  to  purchase]]+Table1[[#This Row],[Quantity purchased]]+Table1[[#This Row],[Quantity on order]]+Table1[[#This Row],[Quantity donated]]-Table1[[#This Row],[extended quantity]]</f>
        <v>0</v>
      </c>
      <c r="U3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4" s="51">
        <f>IFERROR(Table1[[#This Row],[Quantity  to  purchase]]*(Table1[[#This Row],[Cost ]]+Table1[[#This Row],[shipping]]+Table1[[#This Row],[Tax]]),0)</f>
        <v>0</v>
      </c>
      <c r="W334" s="36">
        <f>IFERROR(Table1[[#This Row],[leftover material]]*(Table1[[#This Row],[Cost ]]+Table1[[#This Row],[shipping]]+Table1[[#This Row],[Tax]]),0)</f>
        <v>0</v>
      </c>
      <c r="X334" s="36"/>
      <c r="Y334" s="87"/>
      <c r="Z334" s="87"/>
      <c r="AA334" s="87"/>
      <c r="AB334" s="36"/>
      <c r="AC334" s="36">
        <f>IF(ISNA(VLOOKUP(Table1[[#This Row],[Part Number]],'Multi-level BOM'!V$4:V$449,1,FALSE)),0,Table1[[#This Row],[Remaining Extended cost]])</f>
        <v>0</v>
      </c>
    </row>
    <row r="335" spans="1:29" x14ac:dyDescent="0.25">
      <c r="A335" s="1" t="s">
        <v>338</v>
      </c>
      <c r="B335" s="4"/>
      <c r="F335" s="3">
        <f>9%*Table1[[#This Row],[Cost ]]</f>
        <v>0</v>
      </c>
      <c r="J335" s="49">
        <f>SUMIF('Multi-level BOM'!D$4:D$467,Table1[[#This Row],[Part Number]],'Multi-level BOM'!H$4:H$467)</f>
        <v>0</v>
      </c>
      <c r="K335" s="10">
        <f>Table1[[#This Row],[extended quantity]]*(Table1[[#This Row],[Cost ]]+Table1[[#This Row],[shipping]]+Table1[[#This Row],[Tax]])</f>
        <v>0</v>
      </c>
      <c r="L335" s="83" t="str">
        <f>IF(Table1[[#This Row],[Buy-now costs]]&gt;0,"X","")</f>
        <v/>
      </c>
      <c r="M335" s="83"/>
      <c r="N335" s="83"/>
      <c r="O335" s="40">
        <v>0</v>
      </c>
      <c r="P335" s="97">
        <f>Table1[[#This Row],[quantity on-hand]]*(Table1[[#This Row],[Cost ]]+Table1[[#This Row],[shipping]]+Table1[[#This Row],[Tax]])</f>
        <v>0</v>
      </c>
      <c r="Q335" s="40">
        <v>0</v>
      </c>
      <c r="R335" s="95">
        <f>Table1[[#This Row],[Quantity on order]]*(Table1[[#This Row],[Cost ]]+Table1[[#This Row],[shipping]]+Table1[[#This Row],[Tax]])</f>
        <v>0</v>
      </c>
      <c r="S3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5" s="49">
        <f>Table1[[#This Row],[Quantity  to  purchase]]+Table1[[#This Row],[Quantity purchased]]+Table1[[#This Row],[Quantity on order]]+Table1[[#This Row],[Quantity donated]]-Table1[[#This Row],[extended quantity]]</f>
        <v>0</v>
      </c>
      <c r="U3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5" s="51">
        <f>IFERROR(Table1[[#This Row],[Quantity  to  purchase]]*(Table1[[#This Row],[Cost ]]+Table1[[#This Row],[shipping]]+Table1[[#This Row],[Tax]]),0)</f>
        <v>0</v>
      </c>
      <c r="W335" s="36">
        <f>IFERROR(Table1[[#This Row],[leftover material]]*(Table1[[#This Row],[Cost ]]+Table1[[#This Row],[shipping]]+Table1[[#This Row],[Tax]]),0)</f>
        <v>0</v>
      </c>
      <c r="X335" s="36"/>
      <c r="Y335" s="87"/>
      <c r="Z335" s="87"/>
      <c r="AA335" s="87"/>
      <c r="AB335" s="36"/>
      <c r="AC335" s="36">
        <f>IF(ISNA(VLOOKUP(Table1[[#This Row],[Part Number]],'Multi-level BOM'!V$4:V$449,1,FALSE)),0,Table1[[#This Row],[Remaining Extended cost]])</f>
        <v>0</v>
      </c>
    </row>
    <row r="336" spans="1:29" x14ac:dyDescent="0.25">
      <c r="A336" s="1" t="s">
        <v>339</v>
      </c>
      <c r="B336" s="4"/>
      <c r="F336" s="3">
        <f>9%*Table1[[#This Row],[Cost ]]</f>
        <v>0</v>
      </c>
      <c r="J336" s="49">
        <f>SUMIF('Multi-level BOM'!D$4:D$467,Table1[[#This Row],[Part Number]],'Multi-level BOM'!H$4:H$467)</f>
        <v>0</v>
      </c>
      <c r="K336" s="10">
        <f>Table1[[#This Row],[extended quantity]]*(Table1[[#This Row],[Cost ]]+Table1[[#This Row],[shipping]]+Table1[[#This Row],[Tax]])</f>
        <v>0</v>
      </c>
      <c r="L336" s="83" t="str">
        <f>IF(Table1[[#This Row],[Buy-now costs]]&gt;0,"X","")</f>
        <v/>
      </c>
      <c r="M336" s="83"/>
      <c r="N336" s="83"/>
      <c r="O336" s="40">
        <v>0</v>
      </c>
      <c r="P336" s="97">
        <f>Table1[[#This Row],[quantity on-hand]]*(Table1[[#This Row],[Cost ]]+Table1[[#This Row],[shipping]]+Table1[[#This Row],[Tax]])</f>
        <v>0</v>
      </c>
      <c r="Q336" s="40">
        <v>0</v>
      </c>
      <c r="R336" s="95">
        <f>Table1[[#This Row],[Quantity on order]]*(Table1[[#This Row],[Cost ]]+Table1[[#This Row],[shipping]]+Table1[[#This Row],[Tax]])</f>
        <v>0</v>
      </c>
      <c r="S3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6" s="49">
        <f>Table1[[#This Row],[Quantity  to  purchase]]+Table1[[#This Row],[Quantity purchased]]+Table1[[#This Row],[Quantity on order]]+Table1[[#This Row],[Quantity donated]]-Table1[[#This Row],[extended quantity]]</f>
        <v>0</v>
      </c>
      <c r="U3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6" s="51">
        <f>IFERROR(Table1[[#This Row],[Quantity  to  purchase]]*(Table1[[#This Row],[Cost ]]+Table1[[#This Row],[shipping]]+Table1[[#This Row],[Tax]]),0)</f>
        <v>0</v>
      </c>
      <c r="W336" s="36">
        <f>IFERROR(Table1[[#This Row],[leftover material]]*(Table1[[#This Row],[Cost ]]+Table1[[#This Row],[shipping]]+Table1[[#This Row],[Tax]]),0)</f>
        <v>0</v>
      </c>
      <c r="X336" s="36"/>
      <c r="Y336" s="87"/>
      <c r="Z336" s="87"/>
      <c r="AA336" s="87"/>
      <c r="AB336" s="36"/>
      <c r="AC336" s="36">
        <f>IF(ISNA(VLOOKUP(Table1[[#This Row],[Part Number]],'Multi-level BOM'!V$4:V$449,1,FALSE)),0,Table1[[#This Row],[Remaining Extended cost]])</f>
        <v>0</v>
      </c>
    </row>
    <row r="337" spans="1:29" x14ac:dyDescent="0.25">
      <c r="A337" s="1" t="s">
        <v>340</v>
      </c>
      <c r="B337" s="4"/>
      <c r="F337" s="3">
        <f>9%*Table1[[#This Row],[Cost ]]</f>
        <v>0</v>
      </c>
      <c r="J337" s="49">
        <f>SUMIF('Multi-level BOM'!D$4:D$467,Table1[[#This Row],[Part Number]],'Multi-level BOM'!H$4:H$467)</f>
        <v>0</v>
      </c>
      <c r="K337" s="10">
        <f>Table1[[#This Row],[extended quantity]]*(Table1[[#This Row],[Cost ]]+Table1[[#This Row],[shipping]]+Table1[[#This Row],[Tax]])</f>
        <v>0</v>
      </c>
      <c r="L337" s="83" t="str">
        <f>IF(Table1[[#This Row],[Buy-now costs]]&gt;0,"X","")</f>
        <v/>
      </c>
      <c r="M337" s="83"/>
      <c r="N337" s="83"/>
      <c r="O337" s="40">
        <v>0</v>
      </c>
      <c r="P337" s="97">
        <f>Table1[[#This Row],[quantity on-hand]]*(Table1[[#This Row],[Cost ]]+Table1[[#This Row],[shipping]]+Table1[[#This Row],[Tax]])</f>
        <v>0</v>
      </c>
      <c r="Q337" s="40">
        <v>0</v>
      </c>
      <c r="R337" s="95">
        <f>Table1[[#This Row],[Quantity on order]]*(Table1[[#This Row],[Cost ]]+Table1[[#This Row],[shipping]]+Table1[[#This Row],[Tax]])</f>
        <v>0</v>
      </c>
      <c r="S3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7" s="49">
        <f>Table1[[#This Row],[Quantity  to  purchase]]+Table1[[#This Row],[Quantity purchased]]+Table1[[#This Row],[Quantity on order]]+Table1[[#This Row],[Quantity donated]]-Table1[[#This Row],[extended quantity]]</f>
        <v>0</v>
      </c>
      <c r="U3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7" s="51">
        <f>IFERROR(Table1[[#This Row],[Quantity  to  purchase]]*(Table1[[#This Row],[Cost ]]+Table1[[#This Row],[shipping]]+Table1[[#This Row],[Tax]]),0)</f>
        <v>0</v>
      </c>
      <c r="W337" s="36">
        <f>IFERROR(Table1[[#This Row],[leftover material]]*(Table1[[#This Row],[Cost ]]+Table1[[#This Row],[shipping]]+Table1[[#This Row],[Tax]]),0)</f>
        <v>0</v>
      </c>
      <c r="X337" s="36"/>
      <c r="Y337" s="87"/>
      <c r="Z337" s="87"/>
      <c r="AA337" s="87"/>
      <c r="AB337" s="36"/>
      <c r="AC337" s="36">
        <f>IF(ISNA(VLOOKUP(Table1[[#This Row],[Part Number]],'Multi-level BOM'!V$4:V$449,1,FALSE)),0,Table1[[#This Row],[Remaining Extended cost]])</f>
        <v>0</v>
      </c>
    </row>
    <row r="338" spans="1:29" x14ac:dyDescent="0.25">
      <c r="A338" s="1" t="s">
        <v>341</v>
      </c>
      <c r="B338" s="4"/>
      <c r="F338" s="3">
        <f>9%*Table1[[#This Row],[Cost ]]</f>
        <v>0</v>
      </c>
      <c r="J338" s="49">
        <f>SUMIF('Multi-level BOM'!D$4:D$467,Table1[[#This Row],[Part Number]],'Multi-level BOM'!H$4:H$467)</f>
        <v>0</v>
      </c>
      <c r="K338" s="10">
        <f>Table1[[#This Row],[extended quantity]]*(Table1[[#This Row],[Cost ]]+Table1[[#This Row],[shipping]]+Table1[[#This Row],[Tax]])</f>
        <v>0</v>
      </c>
      <c r="L338" s="83" t="str">
        <f>IF(Table1[[#This Row],[Buy-now costs]]&gt;0,"X","")</f>
        <v/>
      </c>
      <c r="M338" s="83"/>
      <c r="N338" s="83"/>
      <c r="O338" s="40">
        <v>0</v>
      </c>
      <c r="P338" s="97">
        <f>Table1[[#This Row],[quantity on-hand]]*(Table1[[#This Row],[Cost ]]+Table1[[#This Row],[shipping]]+Table1[[#This Row],[Tax]])</f>
        <v>0</v>
      </c>
      <c r="Q338" s="40">
        <v>0</v>
      </c>
      <c r="R338" s="95">
        <f>Table1[[#This Row],[Quantity on order]]*(Table1[[#This Row],[Cost ]]+Table1[[#This Row],[shipping]]+Table1[[#This Row],[Tax]])</f>
        <v>0</v>
      </c>
      <c r="S3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8" s="49">
        <f>Table1[[#This Row],[Quantity  to  purchase]]+Table1[[#This Row],[Quantity purchased]]+Table1[[#This Row],[Quantity on order]]+Table1[[#This Row],[Quantity donated]]-Table1[[#This Row],[extended quantity]]</f>
        <v>0</v>
      </c>
      <c r="U3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8" s="51">
        <f>IFERROR(Table1[[#This Row],[Quantity  to  purchase]]*(Table1[[#This Row],[Cost ]]+Table1[[#This Row],[shipping]]+Table1[[#This Row],[Tax]]),0)</f>
        <v>0</v>
      </c>
      <c r="W338" s="36">
        <f>IFERROR(Table1[[#This Row],[leftover material]]*(Table1[[#This Row],[Cost ]]+Table1[[#This Row],[shipping]]+Table1[[#This Row],[Tax]]),0)</f>
        <v>0</v>
      </c>
      <c r="X338" s="36"/>
      <c r="Y338" s="87"/>
      <c r="Z338" s="87"/>
      <c r="AA338" s="87"/>
      <c r="AB338" s="36"/>
      <c r="AC338" s="36">
        <f>IF(ISNA(VLOOKUP(Table1[[#This Row],[Part Number]],'Multi-level BOM'!V$4:V$449,1,FALSE)),0,Table1[[#This Row],[Remaining Extended cost]])</f>
        <v>0</v>
      </c>
    </row>
    <row r="339" spans="1:29" x14ac:dyDescent="0.25">
      <c r="A339" s="1" t="s">
        <v>342</v>
      </c>
      <c r="B339" s="4"/>
      <c r="F339" s="3">
        <f>9%*Table1[[#This Row],[Cost ]]</f>
        <v>0</v>
      </c>
      <c r="J339" s="49">
        <f>SUMIF('Multi-level BOM'!D$4:D$467,Table1[[#This Row],[Part Number]],'Multi-level BOM'!H$4:H$467)</f>
        <v>0</v>
      </c>
      <c r="K339" s="10">
        <f>Table1[[#This Row],[extended quantity]]*(Table1[[#This Row],[Cost ]]+Table1[[#This Row],[shipping]]+Table1[[#This Row],[Tax]])</f>
        <v>0</v>
      </c>
      <c r="L339" s="83" t="str">
        <f>IF(Table1[[#This Row],[Buy-now costs]]&gt;0,"X","")</f>
        <v/>
      </c>
      <c r="M339" s="83"/>
      <c r="N339" s="83"/>
      <c r="O339" s="40">
        <v>0</v>
      </c>
      <c r="P339" s="97">
        <f>Table1[[#This Row],[quantity on-hand]]*(Table1[[#This Row],[Cost ]]+Table1[[#This Row],[shipping]]+Table1[[#This Row],[Tax]])</f>
        <v>0</v>
      </c>
      <c r="Q339" s="40">
        <v>0</v>
      </c>
      <c r="R339" s="95">
        <f>Table1[[#This Row],[Quantity on order]]*(Table1[[#This Row],[Cost ]]+Table1[[#This Row],[shipping]]+Table1[[#This Row],[Tax]])</f>
        <v>0</v>
      </c>
      <c r="S3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9" s="49">
        <f>Table1[[#This Row],[Quantity  to  purchase]]+Table1[[#This Row],[Quantity purchased]]+Table1[[#This Row],[Quantity on order]]+Table1[[#This Row],[Quantity donated]]-Table1[[#This Row],[extended quantity]]</f>
        <v>0</v>
      </c>
      <c r="U3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9" s="51">
        <f>IFERROR(Table1[[#This Row],[Quantity  to  purchase]]*(Table1[[#This Row],[Cost ]]+Table1[[#This Row],[shipping]]+Table1[[#This Row],[Tax]]),0)</f>
        <v>0</v>
      </c>
      <c r="W339" s="36">
        <f>IFERROR(Table1[[#This Row],[leftover material]]*(Table1[[#This Row],[Cost ]]+Table1[[#This Row],[shipping]]+Table1[[#This Row],[Tax]]),0)</f>
        <v>0</v>
      </c>
      <c r="X339" s="36"/>
      <c r="Y339" s="87"/>
      <c r="Z339" s="87"/>
      <c r="AA339" s="87"/>
      <c r="AB339" s="36"/>
      <c r="AC339" s="36">
        <f>IF(ISNA(VLOOKUP(Table1[[#This Row],[Part Number]],'Multi-level BOM'!V$4:V$449,1,FALSE)),0,Table1[[#This Row],[Remaining Extended cost]])</f>
        <v>0</v>
      </c>
    </row>
    <row r="340" spans="1:29" x14ac:dyDescent="0.25">
      <c r="A340" s="1" t="s">
        <v>343</v>
      </c>
      <c r="B340" s="4"/>
      <c r="F340" s="3">
        <f>9%*Table1[[#This Row],[Cost ]]</f>
        <v>0</v>
      </c>
      <c r="J340" s="49">
        <f>SUMIF('Multi-level BOM'!D$4:D$467,Table1[[#This Row],[Part Number]],'Multi-level BOM'!H$4:H$467)</f>
        <v>0</v>
      </c>
      <c r="K340" s="10">
        <f>Table1[[#This Row],[extended quantity]]*(Table1[[#This Row],[Cost ]]+Table1[[#This Row],[shipping]]+Table1[[#This Row],[Tax]])</f>
        <v>0</v>
      </c>
      <c r="L340" s="83" t="str">
        <f>IF(Table1[[#This Row],[Buy-now costs]]&gt;0,"X","")</f>
        <v/>
      </c>
      <c r="M340" s="83"/>
      <c r="N340" s="83"/>
      <c r="O340" s="40">
        <v>0</v>
      </c>
      <c r="P340" s="97">
        <f>Table1[[#This Row],[quantity on-hand]]*(Table1[[#This Row],[Cost ]]+Table1[[#This Row],[shipping]]+Table1[[#This Row],[Tax]])</f>
        <v>0</v>
      </c>
      <c r="Q340" s="40">
        <v>0</v>
      </c>
      <c r="R340" s="95">
        <f>Table1[[#This Row],[Quantity on order]]*(Table1[[#This Row],[Cost ]]+Table1[[#This Row],[shipping]]+Table1[[#This Row],[Tax]])</f>
        <v>0</v>
      </c>
      <c r="S3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0" s="49">
        <f>Table1[[#This Row],[Quantity  to  purchase]]+Table1[[#This Row],[Quantity purchased]]+Table1[[#This Row],[Quantity on order]]+Table1[[#This Row],[Quantity donated]]-Table1[[#This Row],[extended quantity]]</f>
        <v>0</v>
      </c>
      <c r="U3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0" s="51">
        <f>IFERROR(Table1[[#This Row],[Quantity  to  purchase]]*(Table1[[#This Row],[Cost ]]+Table1[[#This Row],[shipping]]+Table1[[#This Row],[Tax]]),0)</f>
        <v>0</v>
      </c>
      <c r="W340" s="36">
        <f>IFERROR(Table1[[#This Row],[leftover material]]*(Table1[[#This Row],[Cost ]]+Table1[[#This Row],[shipping]]+Table1[[#This Row],[Tax]]),0)</f>
        <v>0</v>
      </c>
      <c r="X340" s="36"/>
      <c r="Y340" s="87"/>
      <c r="Z340" s="87"/>
      <c r="AA340" s="87"/>
      <c r="AB340" s="36"/>
      <c r="AC340" s="36">
        <f>IF(ISNA(VLOOKUP(Table1[[#This Row],[Part Number]],'Multi-level BOM'!V$4:V$449,1,FALSE)),0,Table1[[#This Row],[Remaining Extended cost]])</f>
        <v>0</v>
      </c>
    </row>
    <row r="341" spans="1:29" x14ac:dyDescent="0.25">
      <c r="A341" s="1" t="s">
        <v>344</v>
      </c>
      <c r="B341" s="4"/>
      <c r="F341" s="3">
        <f>9%*Table1[[#This Row],[Cost ]]</f>
        <v>0</v>
      </c>
      <c r="J341" s="49">
        <f>SUMIF('Multi-level BOM'!D$4:D$467,Table1[[#This Row],[Part Number]],'Multi-level BOM'!H$4:H$467)</f>
        <v>0</v>
      </c>
      <c r="K341" s="10">
        <f>Table1[[#This Row],[extended quantity]]*(Table1[[#This Row],[Cost ]]+Table1[[#This Row],[shipping]]+Table1[[#This Row],[Tax]])</f>
        <v>0</v>
      </c>
      <c r="L341" s="83" t="str">
        <f>IF(Table1[[#This Row],[Buy-now costs]]&gt;0,"X","")</f>
        <v/>
      </c>
      <c r="M341" s="83"/>
      <c r="N341" s="83"/>
      <c r="O341" s="40">
        <v>0</v>
      </c>
      <c r="P341" s="97">
        <f>Table1[[#This Row],[quantity on-hand]]*(Table1[[#This Row],[Cost ]]+Table1[[#This Row],[shipping]]+Table1[[#This Row],[Tax]])</f>
        <v>0</v>
      </c>
      <c r="Q341" s="40">
        <v>0</v>
      </c>
      <c r="R341" s="95">
        <f>Table1[[#This Row],[Quantity on order]]*(Table1[[#This Row],[Cost ]]+Table1[[#This Row],[shipping]]+Table1[[#This Row],[Tax]])</f>
        <v>0</v>
      </c>
      <c r="S3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1" s="49">
        <f>Table1[[#This Row],[Quantity  to  purchase]]+Table1[[#This Row],[Quantity purchased]]+Table1[[#This Row],[Quantity on order]]+Table1[[#This Row],[Quantity donated]]-Table1[[#This Row],[extended quantity]]</f>
        <v>0</v>
      </c>
      <c r="U3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1" s="51">
        <f>IFERROR(Table1[[#This Row],[Quantity  to  purchase]]*(Table1[[#This Row],[Cost ]]+Table1[[#This Row],[shipping]]+Table1[[#This Row],[Tax]]),0)</f>
        <v>0</v>
      </c>
      <c r="W341" s="36">
        <f>IFERROR(Table1[[#This Row],[leftover material]]*(Table1[[#This Row],[Cost ]]+Table1[[#This Row],[shipping]]+Table1[[#This Row],[Tax]]),0)</f>
        <v>0</v>
      </c>
      <c r="X341" s="36"/>
      <c r="Y341" s="87"/>
      <c r="Z341" s="87"/>
      <c r="AA341" s="87"/>
      <c r="AB341" s="36"/>
      <c r="AC341" s="36">
        <f>IF(ISNA(VLOOKUP(Table1[[#This Row],[Part Number]],'Multi-level BOM'!V$4:V$449,1,FALSE)),0,Table1[[#This Row],[Remaining Extended cost]])</f>
        <v>0</v>
      </c>
    </row>
    <row r="342" spans="1:29" x14ac:dyDescent="0.25">
      <c r="A342" s="1" t="s">
        <v>345</v>
      </c>
      <c r="B342" s="4"/>
      <c r="F342" s="3">
        <f>9%*Table1[[#This Row],[Cost ]]</f>
        <v>0</v>
      </c>
      <c r="J342" s="49">
        <f>SUMIF('Multi-level BOM'!D$4:D$467,Table1[[#This Row],[Part Number]],'Multi-level BOM'!H$4:H$467)</f>
        <v>0</v>
      </c>
      <c r="K342" s="10">
        <f>Table1[[#This Row],[extended quantity]]*(Table1[[#This Row],[Cost ]]+Table1[[#This Row],[shipping]]+Table1[[#This Row],[Tax]])</f>
        <v>0</v>
      </c>
      <c r="L342" s="83" t="str">
        <f>IF(Table1[[#This Row],[Buy-now costs]]&gt;0,"X","")</f>
        <v/>
      </c>
      <c r="M342" s="83"/>
      <c r="N342" s="83"/>
      <c r="O342" s="40">
        <v>0</v>
      </c>
      <c r="P342" s="97">
        <f>Table1[[#This Row],[quantity on-hand]]*(Table1[[#This Row],[Cost ]]+Table1[[#This Row],[shipping]]+Table1[[#This Row],[Tax]])</f>
        <v>0</v>
      </c>
      <c r="Q342" s="40">
        <v>0</v>
      </c>
      <c r="R342" s="95">
        <f>Table1[[#This Row],[Quantity on order]]*(Table1[[#This Row],[Cost ]]+Table1[[#This Row],[shipping]]+Table1[[#This Row],[Tax]])</f>
        <v>0</v>
      </c>
      <c r="S3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2" s="49">
        <f>Table1[[#This Row],[Quantity  to  purchase]]+Table1[[#This Row],[Quantity purchased]]+Table1[[#This Row],[Quantity on order]]+Table1[[#This Row],[Quantity donated]]-Table1[[#This Row],[extended quantity]]</f>
        <v>0</v>
      </c>
      <c r="U3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2" s="51">
        <f>IFERROR(Table1[[#This Row],[Quantity  to  purchase]]*(Table1[[#This Row],[Cost ]]+Table1[[#This Row],[shipping]]+Table1[[#This Row],[Tax]]),0)</f>
        <v>0</v>
      </c>
      <c r="W342" s="36">
        <f>IFERROR(Table1[[#This Row],[leftover material]]*(Table1[[#This Row],[Cost ]]+Table1[[#This Row],[shipping]]+Table1[[#This Row],[Tax]]),0)</f>
        <v>0</v>
      </c>
      <c r="X342" s="36"/>
      <c r="Y342" s="87"/>
      <c r="Z342" s="87"/>
      <c r="AA342" s="87"/>
      <c r="AB342" s="36"/>
      <c r="AC342" s="36">
        <f>IF(ISNA(VLOOKUP(Table1[[#This Row],[Part Number]],'Multi-level BOM'!V$4:V$449,1,FALSE)),0,Table1[[#This Row],[Remaining Extended cost]])</f>
        <v>0</v>
      </c>
    </row>
    <row r="343" spans="1:29" x14ac:dyDescent="0.25">
      <c r="A343" s="1" t="s">
        <v>346</v>
      </c>
      <c r="B343" s="4"/>
      <c r="F343" s="3">
        <f>9%*Table1[[#This Row],[Cost ]]</f>
        <v>0</v>
      </c>
      <c r="J343" s="49">
        <f>SUMIF('Multi-level BOM'!D$4:D$467,Table1[[#This Row],[Part Number]],'Multi-level BOM'!H$4:H$467)</f>
        <v>0</v>
      </c>
      <c r="K343" s="10">
        <f>Table1[[#This Row],[extended quantity]]*(Table1[[#This Row],[Cost ]]+Table1[[#This Row],[shipping]]+Table1[[#This Row],[Tax]])</f>
        <v>0</v>
      </c>
      <c r="L343" s="83" t="str">
        <f>IF(Table1[[#This Row],[Buy-now costs]]&gt;0,"X","")</f>
        <v/>
      </c>
      <c r="M343" s="83"/>
      <c r="N343" s="83"/>
      <c r="O343" s="40">
        <v>0</v>
      </c>
      <c r="P343" s="97">
        <f>Table1[[#This Row],[quantity on-hand]]*(Table1[[#This Row],[Cost ]]+Table1[[#This Row],[shipping]]+Table1[[#This Row],[Tax]])</f>
        <v>0</v>
      </c>
      <c r="Q343" s="40">
        <v>0</v>
      </c>
      <c r="R343" s="95">
        <f>Table1[[#This Row],[Quantity on order]]*(Table1[[#This Row],[Cost ]]+Table1[[#This Row],[shipping]]+Table1[[#This Row],[Tax]])</f>
        <v>0</v>
      </c>
      <c r="S3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3" s="49">
        <f>Table1[[#This Row],[Quantity  to  purchase]]+Table1[[#This Row],[Quantity purchased]]+Table1[[#This Row],[Quantity on order]]+Table1[[#This Row],[Quantity donated]]-Table1[[#This Row],[extended quantity]]</f>
        <v>0</v>
      </c>
      <c r="U3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3" s="51">
        <f>IFERROR(Table1[[#This Row],[Quantity  to  purchase]]*(Table1[[#This Row],[Cost ]]+Table1[[#This Row],[shipping]]+Table1[[#This Row],[Tax]]),0)</f>
        <v>0</v>
      </c>
      <c r="W343" s="36">
        <f>IFERROR(Table1[[#This Row],[leftover material]]*(Table1[[#This Row],[Cost ]]+Table1[[#This Row],[shipping]]+Table1[[#This Row],[Tax]]),0)</f>
        <v>0</v>
      </c>
      <c r="X343" s="36"/>
      <c r="Y343" s="87"/>
      <c r="Z343" s="87"/>
      <c r="AA343" s="87"/>
      <c r="AB343" s="36"/>
      <c r="AC343" s="36">
        <f>IF(ISNA(VLOOKUP(Table1[[#This Row],[Part Number]],'Multi-level BOM'!V$4:V$449,1,FALSE)),0,Table1[[#This Row],[Remaining Extended cost]])</f>
        <v>0</v>
      </c>
    </row>
    <row r="344" spans="1:29" x14ac:dyDescent="0.25">
      <c r="A344" s="1" t="s">
        <v>347</v>
      </c>
      <c r="B344" s="4"/>
      <c r="F344" s="3">
        <f>9%*Table1[[#This Row],[Cost ]]</f>
        <v>0</v>
      </c>
      <c r="J344" s="49">
        <f>SUMIF('Multi-level BOM'!D$4:D$467,Table1[[#This Row],[Part Number]],'Multi-level BOM'!H$4:H$467)</f>
        <v>0</v>
      </c>
      <c r="K344" s="10">
        <f>Table1[[#This Row],[extended quantity]]*(Table1[[#This Row],[Cost ]]+Table1[[#This Row],[shipping]]+Table1[[#This Row],[Tax]])</f>
        <v>0</v>
      </c>
      <c r="L344" s="83" t="str">
        <f>IF(Table1[[#This Row],[Buy-now costs]]&gt;0,"X","")</f>
        <v/>
      </c>
      <c r="M344" s="83"/>
      <c r="N344" s="83"/>
      <c r="O344" s="40">
        <v>0</v>
      </c>
      <c r="P344" s="97">
        <f>Table1[[#This Row],[quantity on-hand]]*(Table1[[#This Row],[Cost ]]+Table1[[#This Row],[shipping]]+Table1[[#This Row],[Tax]])</f>
        <v>0</v>
      </c>
      <c r="Q344" s="40">
        <v>0</v>
      </c>
      <c r="R344" s="95">
        <f>Table1[[#This Row],[Quantity on order]]*(Table1[[#This Row],[Cost ]]+Table1[[#This Row],[shipping]]+Table1[[#This Row],[Tax]])</f>
        <v>0</v>
      </c>
      <c r="S3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4" s="49">
        <f>Table1[[#This Row],[Quantity  to  purchase]]+Table1[[#This Row],[Quantity purchased]]+Table1[[#This Row],[Quantity on order]]+Table1[[#This Row],[Quantity donated]]-Table1[[#This Row],[extended quantity]]</f>
        <v>0</v>
      </c>
      <c r="U3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4" s="51">
        <f>IFERROR(Table1[[#This Row],[Quantity  to  purchase]]*(Table1[[#This Row],[Cost ]]+Table1[[#This Row],[shipping]]+Table1[[#This Row],[Tax]]),0)</f>
        <v>0</v>
      </c>
      <c r="W344" s="36">
        <f>IFERROR(Table1[[#This Row],[leftover material]]*(Table1[[#This Row],[Cost ]]+Table1[[#This Row],[shipping]]+Table1[[#This Row],[Tax]]),0)</f>
        <v>0</v>
      </c>
      <c r="X344" s="36"/>
      <c r="Y344" s="87"/>
      <c r="Z344" s="87"/>
      <c r="AA344" s="87"/>
      <c r="AB344" s="36"/>
      <c r="AC344" s="36">
        <f>IF(ISNA(VLOOKUP(Table1[[#This Row],[Part Number]],'Multi-level BOM'!V$4:V$449,1,FALSE)),0,Table1[[#This Row],[Remaining Extended cost]])</f>
        <v>0</v>
      </c>
    </row>
    <row r="345" spans="1:29" x14ac:dyDescent="0.25">
      <c r="A345" s="1" t="s">
        <v>348</v>
      </c>
      <c r="B345" s="4"/>
      <c r="F345" s="3">
        <f>9%*Table1[[#This Row],[Cost ]]</f>
        <v>0</v>
      </c>
      <c r="J345" s="49">
        <f>SUMIF('Multi-level BOM'!D$4:D$467,Table1[[#This Row],[Part Number]],'Multi-level BOM'!H$4:H$467)</f>
        <v>0</v>
      </c>
      <c r="K345" s="10">
        <f>Table1[[#This Row],[extended quantity]]*(Table1[[#This Row],[Cost ]]+Table1[[#This Row],[shipping]]+Table1[[#This Row],[Tax]])</f>
        <v>0</v>
      </c>
      <c r="L345" s="83" t="str">
        <f>IF(Table1[[#This Row],[Buy-now costs]]&gt;0,"X","")</f>
        <v/>
      </c>
      <c r="M345" s="83"/>
      <c r="N345" s="83"/>
      <c r="O345" s="40">
        <v>0</v>
      </c>
      <c r="P345" s="97">
        <f>Table1[[#This Row],[quantity on-hand]]*(Table1[[#This Row],[Cost ]]+Table1[[#This Row],[shipping]]+Table1[[#This Row],[Tax]])</f>
        <v>0</v>
      </c>
      <c r="Q345" s="40">
        <v>0</v>
      </c>
      <c r="R345" s="95">
        <f>Table1[[#This Row],[Quantity on order]]*(Table1[[#This Row],[Cost ]]+Table1[[#This Row],[shipping]]+Table1[[#This Row],[Tax]])</f>
        <v>0</v>
      </c>
      <c r="S3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5" s="49">
        <f>Table1[[#This Row],[Quantity  to  purchase]]+Table1[[#This Row],[Quantity purchased]]+Table1[[#This Row],[Quantity on order]]+Table1[[#This Row],[Quantity donated]]-Table1[[#This Row],[extended quantity]]</f>
        <v>0</v>
      </c>
      <c r="U3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5" s="51">
        <f>IFERROR(Table1[[#This Row],[Quantity  to  purchase]]*(Table1[[#This Row],[Cost ]]+Table1[[#This Row],[shipping]]+Table1[[#This Row],[Tax]]),0)</f>
        <v>0</v>
      </c>
      <c r="W345" s="36">
        <f>IFERROR(Table1[[#This Row],[leftover material]]*(Table1[[#This Row],[Cost ]]+Table1[[#This Row],[shipping]]+Table1[[#This Row],[Tax]]),0)</f>
        <v>0</v>
      </c>
      <c r="X345" s="36"/>
      <c r="Y345" s="87"/>
      <c r="Z345" s="87"/>
      <c r="AA345" s="87"/>
      <c r="AB345" s="36"/>
      <c r="AC345" s="36">
        <f>IF(ISNA(VLOOKUP(Table1[[#This Row],[Part Number]],'Multi-level BOM'!V$4:V$449,1,FALSE)),0,Table1[[#This Row],[Remaining Extended cost]])</f>
        <v>0</v>
      </c>
    </row>
    <row r="346" spans="1:29" x14ac:dyDescent="0.25">
      <c r="A346" s="1" t="s">
        <v>349</v>
      </c>
      <c r="B346" s="4"/>
      <c r="F346" s="3">
        <f>9%*Table1[[#This Row],[Cost ]]</f>
        <v>0</v>
      </c>
      <c r="J346" s="49">
        <f>SUMIF('Multi-level BOM'!D$4:D$467,Table1[[#This Row],[Part Number]],'Multi-level BOM'!H$4:H$467)</f>
        <v>0</v>
      </c>
      <c r="K346" s="10">
        <f>Table1[[#This Row],[extended quantity]]*(Table1[[#This Row],[Cost ]]+Table1[[#This Row],[shipping]]+Table1[[#This Row],[Tax]])</f>
        <v>0</v>
      </c>
      <c r="L346" s="83" t="str">
        <f>IF(Table1[[#This Row],[Buy-now costs]]&gt;0,"X","")</f>
        <v/>
      </c>
      <c r="M346" s="83"/>
      <c r="N346" s="83"/>
      <c r="O346" s="40">
        <v>0</v>
      </c>
      <c r="P346" s="97">
        <f>Table1[[#This Row],[quantity on-hand]]*(Table1[[#This Row],[Cost ]]+Table1[[#This Row],[shipping]]+Table1[[#This Row],[Tax]])</f>
        <v>0</v>
      </c>
      <c r="Q346" s="40">
        <v>0</v>
      </c>
      <c r="R346" s="95">
        <f>Table1[[#This Row],[Quantity on order]]*(Table1[[#This Row],[Cost ]]+Table1[[#This Row],[shipping]]+Table1[[#This Row],[Tax]])</f>
        <v>0</v>
      </c>
      <c r="S3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6" s="49">
        <f>Table1[[#This Row],[Quantity  to  purchase]]+Table1[[#This Row],[Quantity purchased]]+Table1[[#This Row],[Quantity on order]]+Table1[[#This Row],[Quantity donated]]-Table1[[#This Row],[extended quantity]]</f>
        <v>0</v>
      </c>
      <c r="U3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6" s="51">
        <f>IFERROR(Table1[[#This Row],[Quantity  to  purchase]]*(Table1[[#This Row],[Cost ]]+Table1[[#This Row],[shipping]]+Table1[[#This Row],[Tax]]),0)</f>
        <v>0</v>
      </c>
      <c r="W346" s="36">
        <f>IFERROR(Table1[[#This Row],[leftover material]]*(Table1[[#This Row],[Cost ]]+Table1[[#This Row],[shipping]]+Table1[[#This Row],[Tax]]),0)</f>
        <v>0</v>
      </c>
      <c r="X346" s="36"/>
      <c r="Y346" s="87"/>
      <c r="Z346" s="87"/>
      <c r="AA346" s="87"/>
      <c r="AB346" s="36"/>
      <c r="AC346" s="36">
        <f>IF(ISNA(VLOOKUP(Table1[[#This Row],[Part Number]],'Multi-level BOM'!V$4:V$449,1,FALSE)),0,Table1[[#This Row],[Remaining Extended cost]])</f>
        <v>0</v>
      </c>
    </row>
    <row r="347" spans="1:29" x14ac:dyDescent="0.25">
      <c r="A347" s="1" t="s">
        <v>350</v>
      </c>
      <c r="B347" s="4"/>
      <c r="F347" s="3">
        <f>9%*Table1[[#This Row],[Cost ]]</f>
        <v>0</v>
      </c>
      <c r="J347" s="49">
        <f>SUMIF('Multi-level BOM'!D$4:D$467,Table1[[#This Row],[Part Number]],'Multi-level BOM'!H$4:H$467)</f>
        <v>0</v>
      </c>
      <c r="K347" s="10">
        <f>Table1[[#This Row],[extended quantity]]*(Table1[[#This Row],[Cost ]]+Table1[[#This Row],[shipping]]+Table1[[#This Row],[Tax]])</f>
        <v>0</v>
      </c>
      <c r="L347" s="83" t="str">
        <f>IF(Table1[[#This Row],[Buy-now costs]]&gt;0,"X","")</f>
        <v/>
      </c>
      <c r="M347" s="83"/>
      <c r="N347" s="83"/>
      <c r="O347" s="40">
        <v>0</v>
      </c>
      <c r="P347" s="97">
        <f>Table1[[#This Row],[quantity on-hand]]*(Table1[[#This Row],[Cost ]]+Table1[[#This Row],[shipping]]+Table1[[#This Row],[Tax]])</f>
        <v>0</v>
      </c>
      <c r="Q347" s="40">
        <v>0</v>
      </c>
      <c r="R347" s="95">
        <f>Table1[[#This Row],[Quantity on order]]*(Table1[[#This Row],[Cost ]]+Table1[[#This Row],[shipping]]+Table1[[#This Row],[Tax]])</f>
        <v>0</v>
      </c>
      <c r="S3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7" s="49">
        <f>Table1[[#This Row],[Quantity  to  purchase]]+Table1[[#This Row],[Quantity purchased]]+Table1[[#This Row],[Quantity on order]]+Table1[[#This Row],[Quantity donated]]-Table1[[#This Row],[extended quantity]]</f>
        <v>0</v>
      </c>
      <c r="U3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7" s="51">
        <f>IFERROR(Table1[[#This Row],[Quantity  to  purchase]]*(Table1[[#This Row],[Cost ]]+Table1[[#This Row],[shipping]]+Table1[[#This Row],[Tax]]),0)</f>
        <v>0</v>
      </c>
      <c r="W347" s="36">
        <f>IFERROR(Table1[[#This Row],[leftover material]]*(Table1[[#This Row],[Cost ]]+Table1[[#This Row],[shipping]]+Table1[[#This Row],[Tax]]),0)</f>
        <v>0</v>
      </c>
      <c r="X347" s="36"/>
      <c r="Y347" s="87"/>
      <c r="Z347" s="87"/>
      <c r="AA347" s="87"/>
      <c r="AB347" s="36"/>
      <c r="AC347" s="36">
        <f>IF(ISNA(VLOOKUP(Table1[[#This Row],[Part Number]],'Multi-level BOM'!V$4:V$449,1,FALSE)),0,Table1[[#This Row],[Remaining Extended cost]])</f>
        <v>0</v>
      </c>
    </row>
    <row r="348" spans="1:29" x14ac:dyDescent="0.25">
      <c r="A348" s="1" t="s">
        <v>351</v>
      </c>
      <c r="B348" s="4"/>
      <c r="F348" s="3">
        <f>9%*Table1[[#This Row],[Cost ]]</f>
        <v>0</v>
      </c>
      <c r="J348" s="49">
        <f>SUMIF('Multi-level BOM'!D$4:D$467,Table1[[#This Row],[Part Number]],'Multi-level BOM'!H$4:H$467)</f>
        <v>0</v>
      </c>
      <c r="K348" s="10">
        <f>Table1[[#This Row],[extended quantity]]*(Table1[[#This Row],[Cost ]]+Table1[[#This Row],[shipping]]+Table1[[#This Row],[Tax]])</f>
        <v>0</v>
      </c>
      <c r="L348" s="83" t="str">
        <f>IF(Table1[[#This Row],[Buy-now costs]]&gt;0,"X","")</f>
        <v/>
      </c>
      <c r="M348" s="83"/>
      <c r="N348" s="83"/>
      <c r="O348" s="40">
        <v>0</v>
      </c>
      <c r="P348" s="97">
        <f>Table1[[#This Row],[quantity on-hand]]*(Table1[[#This Row],[Cost ]]+Table1[[#This Row],[shipping]]+Table1[[#This Row],[Tax]])</f>
        <v>0</v>
      </c>
      <c r="Q348" s="40">
        <v>0</v>
      </c>
      <c r="R348" s="95">
        <f>Table1[[#This Row],[Quantity on order]]*(Table1[[#This Row],[Cost ]]+Table1[[#This Row],[shipping]]+Table1[[#This Row],[Tax]])</f>
        <v>0</v>
      </c>
      <c r="S3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8" s="49">
        <f>Table1[[#This Row],[Quantity  to  purchase]]+Table1[[#This Row],[Quantity purchased]]+Table1[[#This Row],[Quantity on order]]+Table1[[#This Row],[Quantity donated]]-Table1[[#This Row],[extended quantity]]</f>
        <v>0</v>
      </c>
      <c r="U3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8" s="51">
        <f>IFERROR(Table1[[#This Row],[Quantity  to  purchase]]*(Table1[[#This Row],[Cost ]]+Table1[[#This Row],[shipping]]+Table1[[#This Row],[Tax]]),0)</f>
        <v>0</v>
      </c>
      <c r="W348" s="36">
        <f>IFERROR(Table1[[#This Row],[leftover material]]*(Table1[[#This Row],[Cost ]]+Table1[[#This Row],[shipping]]+Table1[[#This Row],[Tax]]),0)</f>
        <v>0</v>
      </c>
      <c r="X348" s="36"/>
      <c r="Y348" s="87"/>
      <c r="Z348" s="87"/>
      <c r="AA348" s="87"/>
      <c r="AB348" s="36"/>
      <c r="AC348" s="36">
        <f>IF(ISNA(VLOOKUP(Table1[[#This Row],[Part Number]],'Multi-level BOM'!V$4:V$449,1,FALSE)),0,Table1[[#This Row],[Remaining Extended cost]])</f>
        <v>0</v>
      </c>
    </row>
    <row r="349" spans="1:29" x14ac:dyDescent="0.25">
      <c r="A349" s="1" t="s">
        <v>352</v>
      </c>
      <c r="B349" s="4"/>
      <c r="F349" s="3">
        <f>9%*Table1[[#This Row],[Cost ]]</f>
        <v>0</v>
      </c>
      <c r="J349" s="49">
        <f>SUMIF('Multi-level BOM'!D$4:D$467,Table1[[#This Row],[Part Number]],'Multi-level BOM'!H$4:H$467)</f>
        <v>0</v>
      </c>
      <c r="K349" s="10">
        <f>Table1[[#This Row],[extended quantity]]*(Table1[[#This Row],[Cost ]]+Table1[[#This Row],[shipping]]+Table1[[#This Row],[Tax]])</f>
        <v>0</v>
      </c>
      <c r="L349" s="83" t="str">
        <f>IF(Table1[[#This Row],[Buy-now costs]]&gt;0,"X","")</f>
        <v/>
      </c>
      <c r="M349" s="83"/>
      <c r="N349" s="83"/>
      <c r="O349" s="40">
        <v>0</v>
      </c>
      <c r="P349" s="97">
        <f>Table1[[#This Row],[quantity on-hand]]*(Table1[[#This Row],[Cost ]]+Table1[[#This Row],[shipping]]+Table1[[#This Row],[Tax]])</f>
        <v>0</v>
      </c>
      <c r="Q349" s="40">
        <v>0</v>
      </c>
      <c r="R349" s="95">
        <f>Table1[[#This Row],[Quantity on order]]*(Table1[[#This Row],[Cost ]]+Table1[[#This Row],[shipping]]+Table1[[#This Row],[Tax]])</f>
        <v>0</v>
      </c>
      <c r="S3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9" s="49">
        <f>Table1[[#This Row],[Quantity  to  purchase]]+Table1[[#This Row],[Quantity purchased]]+Table1[[#This Row],[Quantity on order]]+Table1[[#This Row],[Quantity donated]]-Table1[[#This Row],[extended quantity]]</f>
        <v>0</v>
      </c>
      <c r="U3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9" s="51">
        <f>IFERROR(Table1[[#This Row],[Quantity  to  purchase]]*(Table1[[#This Row],[Cost ]]+Table1[[#This Row],[shipping]]+Table1[[#This Row],[Tax]]),0)</f>
        <v>0</v>
      </c>
      <c r="W349" s="36">
        <f>IFERROR(Table1[[#This Row],[leftover material]]*(Table1[[#This Row],[Cost ]]+Table1[[#This Row],[shipping]]+Table1[[#This Row],[Tax]]),0)</f>
        <v>0</v>
      </c>
      <c r="X349" s="36"/>
      <c r="Y349" s="87"/>
      <c r="Z349" s="87"/>
      <c r="AA349" s="87"/>
      <c r="AB349" s="36"/>
      <c r="AC349" s="36">
        <f>IF(ISNA(VLOOKUP(Table1[[#This Row],[Part Number]],'Multi-level BOM'!V$4:V$449,1,FALSE)),0,Table1[[#This Row],[Remaining Extended cost]])</f>
        <v>0</v>
      </c>
    </row>
    <row r="350" spans="1:29" x14ac:dyDescent="0.25">
      <c r="A350" s="1" t="s">
        <v>353</v>
      </c>
      <c r="B350" s="4"/>
      <c r="F350" s="3">
        <f>9%*Table1[[#This Row],[Cost ]]</f>
        <v>0</v>
      </c>
      <c r="J350" s="49">
        <f>SUMIF('Multi-level BOM'!D$4:D$467,Table1[[#This Row],[Part Number]],'Multi-level BOM'!H$4:H$467)</f>
        <v>0</v>
      </c>
      <c r="K350" s="10">
        <f>Table1[[#This Row],[extended quantity]]*(Table1[[#This Row],[Cost ]]+Table1[[#This Row],[shipping]]+Table1[[#This Row],[Tax]])</f>
        <v>0</v>
      </c>
      <c r="L350" s="83" t="str">
        <f>IF(Table1[[#This Row],[Buy-now costs]]&gt;0,"X","")</f>
        <v/>
      </c>
      <c r="M350" s="83"/>
      <c r="N350" s="83"/>
      <c r="O350" s="40">
        <v>0</v>
      </c>
      <c r="P350" s="97">
        <f>Table1[[#This Row],[quantity on-hand]]*(Table1[[#This Row],[Cost ]]+Table1[[#This Row],[shipping]]+Table1[[#This Row],[Tax]])</f>
        <v>0</v>
      </c>
      <c r="Q350" s="40">
        <v>0</v>
      </c>
      <c r="R350" s="95">
        <f>Table1[[#This Row],[Quantity on order]]*(Table1[[#This Row],[Cost ]]+Table1[[#This Row],[shipping]]+Table1[[#This Row],[Tax]])</f>
        <v>0</v>
      </c>
      <c r="S3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0" s="49">
        <f>Table1[[#This Row],[Quantity  to  purchase]]+Table1[[#This Row],[Quantity purchased]]+Table1[[#This Row],[Quantity on order]]+Table1[[#This Row],[Quantity donated]]-Table1[[#This Row],[extended quantity]]</f>
        <v>0</v>
      </c>
      <c r="U3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0" s="51">
        <f>IFERROR(Table1[[#This Row],[Quantity  to  purchase]]*(Table1[[#This Row],[Cost ]]+Table1[[#This Row],[shipping]]+Table1[[#This Row],[Tax]]),0)</f>
        <v>0</v>
      </c>
      <c r="W350" s="36">
        <f>IFERROR(Table1[[#This Row],[leftover material]]*(Table1[[#This Row],[Cost ]]+Table1[[#This Row],[shipping]]+Table1[[#This Row],[Tax]]),0)</f>
        <v>0</v>
      </c>
      <c r="X350" s="36"/>
      <c r="Y350" s="87"/>
      <c r="Z350" s="87"/>
      <c r="AA350" s="87"/>
      <c r="AB350" s="36"/>
      <c r="AC350" s="36">
        <f>IF(ISNA(VLOOKUP(Table1[[#This Row],[Part Number]],'Multi-level BOM'!V$4:V$449,1,FALSE)),0,Table1[[#This Row],[Remaining Extended cost]])</f>
        <v>0</v>
      </c>
    </row>
    <row r="351" spans="1:29" x14ac:dyDescent="0.25">
      <c r="A351" s="1" t="s">
        <v>354</v>
      </c>
      <c r="B351" s="4"/>
      <c r="F351" s="3">
        <f>9%*Table1[[#This Row],[Cost ]]</f>
        <v>0</v>
      </c>
      <c r="J351" s="49">
        <f>SUMIF('Multi-level BOM'!D$4:D$467,Table1[[#This Row],[Part Number]],'Multi-level BOM'!H$4:H$467)</f>
        <v>0</v>
      </c>
      <c r="K351" s="10">
        <f>Table1[[#This Row],[extended quantity]]*(Table1[[#This Row],[Cost ]]+Table1[[#This Row],[shipping]]+Table1[[#This Row],[Tax]])</f>
        <v>0</v>
      </c>
      <c r="L351" s="83" t="str">
        <f>IF(Table1[[#This Row],[Buy-now costs]]&gt;0,"X","")</f>
        <v/>
      </c>
      <c r="M351" s="83"/>
      <c r="N351" s="83"/>
      <c r="O351" s="40">
        <v>0</v>
      </c>
      <c r="P351" s="97">
        <f>Table1[[#This Row],[quantity on-hand]]*(Table1[[#This Row],[Cost ]]+Table1[[#This Row],[shipping]]+Table1[[#This Row],[Tax]])</f>
        <v>0</v>
      </c>
      <c r="Q351" s="40">
        <v>0</v>
      </c>
      <c r="R351" s="95">
        <f>Table1[[#This Row],[Quantity on order]]*(Table1[[#This Row],[Cost ]]+Table1[[#This Row],[shipping]]+Table1[[#This Row],[Tax]])</f>
        <v>0</v>
      </c>
      <c r="S3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1" s="49">
        <f>Table1[[#This Row],[Quantity  to  purchase]]+Table1[[#This Row],[Quantity purchased]]+Table1[[#This Row],[Quantity on order]]+Table1[[#This Row],[Quantity donated]]-Table1[[#This Row],[extended quantity]]</f>
        <v>0</v>
      </c>
      <c r="U3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1" s="51">
        <f>IFERROR(Table1[[#This Row],[Quantity  to  purchase]]*(Table1[[#This Row],[Cost ]]+Table1[[#This Row],[shipping]]+Table1[[#This Row],[Tax]]),0)</f>
        <v>0</v>
      </c>
      <c r="W351" s="36">
        <f>IFERROR(Table1[[#This Row],[leftover material]]*(Table1[[#This Row],[Cost ]]+Table1[[#This Row],[shipping]]+Table1[[#This Row],[Tax]]),0)</f>
        <v>0</v>
      </c>
      <c r="X351" s="36"/>
      <c r="Y351" s="87"/>
      <c r="Z351" s="87"/>
      <c r="AA351" s="87"/>
      <c r="AB351" s="36"/>
      <c r="AC351" s="36">
        <f>IF(ISNA(VLOOKUP(Table1[[#This Row],[Part Number]],'Multi-level BOM'!V$4:V$449,1,FALSE)),0,Table1[[#This Row],[Remaining Extended cost]])</f>
        <v>0</v>
      </c>
    </row>
    <row r="352" spans="1:29" x14ac:dyDescent="0.25">
      <c r="A352" s="1" t="s">
        <v>355</v>
      </c>
      <c r="B352" s="4"/>
      <c r="F352" s="3">
        <f>9%*Table1[[#This Row],[Cost ]]</f>
        <v>0</v>
      </c>
      <c r="J352" s="49">
        <f>SUMIF('Multi-level BOM'!D$4:D$467,Table1[[#This Row],[Part Number]],'Multi-level BOM'!H$4:H$467)</f>
        <v>0</v>
      </c>
      <c r="K352" s="10">
        <f>Table1[[#This Row],[extended quantity]]*(Table1[[#This Row],[Cost ]]+Table1[[#This Row],[shipping]]+Table1[[#This Row],[Tax]])</f>
        <v>0</v>
      </c>
      <c r="L352" s="83" t="str">
        <f>IF(Table1[[#This Row],[Buy-now costs]]&gt;0,"X","")</f>
        <v/>
      </c>
      <c r="M352" s="83"/>
      <c r="N352" s="83"/>
      <c r="O352" s="40">
        <v>0</v>
      </c>
      <c r="P352" s="97">
        <f>Table1[[#This Row],[quantity on-hand]]*(Table1[[#This Row],[Cost ]]+Table1[[#This Row],[shipping]]+Table1[[#This Row],[Tax]])</f>
        <v>0</v>
      </c>
      <c r="Q352" s="40">
        <v>0</v>
      </c>
      <c r="R352" s="95">
        <f>Table1[[#This Row],[Quantity on order]]*(Table1[[#This Row],[Cost ]]+Table1[[#This Row],[shipping]]+Table1[[#This Row],[Tax]])</f>
        <v>0</v>
      </c>
      <c r="S3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2" s="49">
        <f>Table1[[#This Row],[Quantity  to  purchase]]+Table1[[#This Row],[Quantity purchased]]+Table1[[#This Row],[Quantity on order]]+Table1[[#This Row],[Quantity donated]]-Table1[[#This Row],[extended quantity]]</f>
        <v>0</v>
      </c>
      <c r="U3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2" s="51">
        <f>IFERROR(Table1[[#This Row],[Quantity  to  purchase]]*(Table1[[#This Row],[Cost ]]+Table1[[#This Row],[shipping]]+Table1[[#This Row],[Tax]]),0)</f>
        <v>0</v>
      </c>
      <c r="W352" s="36">
        <f>IFERROR(Table1[[#This Row],[leftover material]]*(Table1[[#This Row],[Cost ]]+Table1[[#This Row],[shipping]]+Table1[[#This Row],[Tax]]),0)</f>
        <v>0</v>
      </c>
      <c r="X352" s="36"/>
      <c r="Y352" s="87"/>
      <c r="Z352" s="87"/>
      <c r="AA352" s="87"/>
      <c r="AB352" s="36"/>
      <c r="AC352" s="36">
        <f>IF(ISNA(VLOOKUP(Table1[[#This Row],[Part Number]],'Multi-level BOM'!V$4:V$449,1,FALSE)),0,Table1[[#This Row],[Remaining Extended cost]])</f>
        <v>0</v>
      </c>
    </row>
    <row r="353" spans="1:29" x14ac:dyDescent="0.25">
      <c r="A353" s="1" t="s">
        <v>356</v>
      </c>
      <c r="B353" s="4"/>
      <c r="F353" s="3">
        <f>9%*Table1[[#This Row],[Cost ]]</f>
        <v>0</v>
      </c>
      <c r="J353" s="49">
        <f>SUMIF('Multi-level BOM'!D$4:D$467,Table1[[#This Row],[Part Number]],'Multi-level BOM'!H$4:H$467)</f>
        <v>0</v>
      </c>
      <c r="K353" s="10">
        <f>Table1[[#This Row],[extended quantity]]*(Table1[[#This Row],[Cost ]]+Table1[[#This Row],[shipping]]+Table1[[#This Row],[Tax]])</f>
        <v>0</v>
      </c>
      <c r="L353" s="83" t="str">
        <f>IF(Table1[[#This Row],[Buy-now costs]]&gt;0,"X","")</f>
        <v/>
      </c>
      <c r="M353" s="83"/>
      <c r="N353" s="83"/>
      <c r="O353" s="40">
        <v>0</v>
      </c>
      <c r="P353" s="97">
        <f>Table1[[#This Row],[quantity on-hand]]*(Table1[[#This Row],[Cost ]]+Table1[[#This Row],[shipping]]+Table1[[#This Row],[Tax]])</f>
        <v>0</v>
      </c>
      <c r="Q353" s="40">
        <v>0</v>
      </c>
      <c r="R353" s="95">
        <f>Table1[[#This Row],[Quantity on order]]*(Table1[[#This Row],[Cost ]]+Table1[[#This Row],[shipping]]+Table1[[#This Row],[Tax]])</f>
        <v>0</v>
      </c>
      <c r="S3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3" s="49">
        <f>Table1[[#This Row],[Quantity  to  purchase]]+Table1[[#This Row],[Quantity purchased]]+Table1[[#This Row],[Quantity on order]]+Table1[[#This Row],[Quantity donated]]-Table1[[#This Row],[extended quantity]]</f>
        <v>0</v>
      </c>
      <c r="U3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3" s="51">
        <f>IFERROR(Table1[[#This Row],[Quantity  to  purchase]]*(Table1[[#This Row],[Cost ]]+Table1[[#This Row],[shipping]]+Table1[[#This Row],[Tax]]),0)</f>
        <v>0</v>
      </c>
      <c r="W353" s="36">
        <f>IFERROR(Table1[[#This Row],[leftover material]]*(Table1[[#This Row],[Cost ]]+Table1[[#This Row],[shipping]]+Table1[[#This Row],[Tax]]),0)</f>
        <v>0</v>
      </c>
      <c r="X353" s="36"/>
      <c r="Y353" s="87"/>
      <c r="Z353" s="87"/>
      <c r="AA353" s="87"/>
      <c r="AB353" s="36"/>
      <c r="AC353" s="36">
        <f>IF(ISNA(VLOOKUP(Table1[[#This Row],[Part Number]],'Multi-level BOM'!V$4:V$449,1,FALSE)),0,Table1[[#This Row],[Remaining Extended cost]])</f>
        <v>0</v>
      </c>
    </row>
    <row r="354" spans="1:29" x14ac:dyDescent="0.25">
      <c r="A354" s="1" t="s">
        <v>357</v>
      </c>
      <c r="B354" s="4"/>
      <c r="F354" s="3">
        <f>9%*Table1[[#This Row],[Cost ]]</f>
        <v>0</v>
      </c>
      <c r="J354" s="49">
        <f>SUMIF('Multi-level BOM'!D$4:D$467,Table1[[#This Row],[Part Number]],'Multi-level BOM'!H$4:H$467)</f>
        <v>0</v>
      </c>
      <c r="K354" s="10">
        <f>Table1[[#This Row],[extended quantity]]*(Table1[[#This Row],[Cost ]]+Table1[[#This Row],[shipping]]+Table1[[#This Row],[Tax]])</f>
        <v>0</v>
      </c>
      <c r="L354" s="83" t="str">
        <f>IF(Table1[[#This Row],[Buy-now costs]]&gt;0,"X","")</f>
        <v/>
      </c>
      <c r="M354" s="83"/>
      <c r="N354" s="83"/>
      <c r="O354" s="40">
        <v>0</v>
      </c>
      <c r="P354" s="97">
        <f>Table1[[#This Row],[quantity on-hand]]*(Table1[[#This Row],[Cost ]]+Table1[[#This Row],[shipping]]+Table1[[#This Row],[Tax]])</f>
        <v>0</v>
      </c>
      <c r="Q354" s="40">
        <v>0</v>
      </c>
      <c r="R354" s="95">
        <f>Table1[[#This Row],[Quantity on order]]*(Table1[[#This Row],[Cost ]]+Table1[[#This Row],[shipping]]+Table1[[#This Row],[Tax]])</f>
        <v>0</v>
      </c>
      <c r="S3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4" s="49">
        <f>Table1[[#This Row],[Quantity  to  purchase]]+Table1[[#This Row],[Quantity purchased]]+Table1[[#This Row],[Quantity on order]]+Table1[[#This Row],[Quantity donated]]-Table1[[#This Row],[extended quantity]]</f>
        <v>0</v>
      </c>
      <c r="U3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4" s="51">
        <f>IFERROR(Table1[[#This Row],[Quantity  to  purchase]]*(Table1[[#This Row],[Cost ]]+Table1[[#This Row],[shipping]]+Table1[[#This Row],[Tax]]),0)</f>
        <v>0</v>
      </c>
      <c r="W354" s="36">
        <f>IFERROR(Table1[[#This Row],[leftover material]]*(Table1[[#This Row],[Cost ]]+Table1[[#This Row],[shipping]]+Table1[[#This Row],[Tax]]),0)</f>
        <v>0</v>
      </c>
      <c r="X354" s="36"/>
      <c r="Y354" s="87"/>
      <c r="Z354" s="87"/>
      <c r="AA354" s="87"/>
      <c r="AB354" s="36"/>
      <c r="AC354" s="36">
        <f>IF(ISNA(VLOOKUP(Table1[[#This Row],[Part Number]],'Multi-level BOM'!V$4:V$449,1,FALSE)),0,Table1[[#This Row],[Remaining Extended cost]])</f>
        <v>0</v>
      </c>
    </row>
    <row r="355" spans="1:29" x14ac:dyDescent="0.25">
      <c r="A355" s="1" t="s">
        <v>358</v>
      </c>
      <c r="B355" s="4"/>
      <c r="F355" s="3">
        <f>9%*Table1[[#This Row],[Cost ]]</f>
        <v>0</v>
      </c>
      <c r="J355" s="49">
        <f>SUMIF('Multi-level BOM'!D$4:D$467,Table1[[#This Row],[Part Number]],'Multi-level BOM'!H$4:H$467)</f>
        <v>0</v>
      </c>
      <c r="K355" s="10">
        <f>Table1[[#This Row],[extended quantity]]*(Table1[[#This Row],[Cost ]]+Table1[[#This Row],[shipping]]+Table1[[#This Row],[Tax]])</f>
        <v>0</v>
      </c>
      <c r="L355" s="83" t="str">
        <f>IF(Table1[[#This Row],[Buy-now costs]]&gt;0,"X","")</f>
        <v/>
      </c>
      <c r="M355" s="83"/>
      <c r="N355" s="83"/>
      <c r="O355" s="40">
        <v>0</v>
      </c>
      <c r="P355" s="97">
        <f>Table1[[#This Row],[quantity on-hand]]*(Table1[[#This Row],[Cost ]]+Table1[[#This Row],[shipping]]+Table1[[#This Row],[Tax]])</f>
        <v>0</v>
      </c>
      <c r="Q355" s="40">
        <v>0</v>
      </c>
      <c r="R355" s="95">
        <f>Table1[[#This Row],[Quantity on order]]*(Table1[[#This Row],[Cost ]]+Table1[[#This Row],[shipping]]+Table1[[#This Row],[Tax]])</f>
        <v>0</v>
      </c>
      <c r="S3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5" s="49">
        <f>Table1[[#This Row],[Quantity  to  purchase]]+Table1[[#This Row],[Quantity purchased]]+Table1[[#This Row],[Quantity on order]]+Table1[[#This Row],[Quantity donated]]-Table1[[#This Row],[extended quantity]]</f>
        <v>0</v>
      </c>
      <c r="U3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5" s="51">
        <f>IFERROR(Table1[[#This Row],[Quantity  to  purchase]]*(Table1[[#This Row],[Cost ]]+Table1[[#This Row],[shipping]]+Table1[[#This Row],[Tax]]),0)</f>
        <v>0</v>
      </c>
      <c r="W355" s="36">
        <f>IFERROR(Table1[[#This Row],[leftover material]]*(Table1[[#This Row],[Cost ]]+Table1[[#This Row],[shipping]]+Table1[[#This Row],[Tax]]),0)</f>
        <v>0</v>
      </c>
      <c r="X355" s="36"/>
      <c r="Y355" s="87"/>
      <c r="Z355" s="87"/>
      <c r="AA355" s="87"/>
      <c r="AB355" s="36"/>
      <c r="AC355" s="36">
        <f>IF(ISNA(VLOOKUP(Table1[[#This Row],[Part Number]],'Multi-level BOM'!V$4:V$449,1,FALSE)),0,Table1[[#This Row],[Remaining Extended cost]])</f>
        <v>0</v>
      </c>
    </row>
    <row r="356" spans="1:29" x14ac:dyDescent="0.25">
      <c r="A356" s="1" t="s">
        <v>359</v>
      </c>
      <c r="B356" s="4"/>
      <c r="F356" s="3">
        <f>9%*Table1[[#This Row],[Cost ]]</f>
        <v>0</v>
      </c>
      <c r="J356" s="49">
        <f>SUMIF('Multi-level BOM'!D$4:D$467,Table1[[#This Row],[Part Number]],'Multi-level BOM'!H$4:H$467)</f>
        <v>0</v>
      </c>
      <c r="K356" s="10">
        <f>Table1[[#This Row],[extended quantity]]*(Table1[[#This Row],[Cost ]]+Table1[[#This Row],[shipping]]+Table1[[#This Row],[Tax]])</f>
        <v>0</v>
      </c>
      <c r="L356" s="83" t="str">
        <f>IF(Table1[[#This Row],[Buy-now costs]]&gt;0,"X","")</f>
        <v/>
      </c>
      <c r="M356" s="83"/>
      <c r="N356" s="83"/>
      <c r="O356" s="40">
        <v>0</v>
      </c>
      <c r="P356" s="97">
        <f>Table1[[#This Row],[quantity on-hand]]*(Table1[[#This Row],[Cost ]]+Table1[[#This Row],[shipping]]+Table1[[#This Row],[Tax]])</f>
        <v>0</v>
      </c>
      <c r="Q356" s="40">
        <v>0</v>
      </c>
      <c r="R356" s="95">
        <f>Table1[[#This Row],[Quantity on order]]*(Table1[[#This Row],[Cost ]]+Table1[[#This Row],[shipping]]+Table1[[#This Row],[Tax]])</f>
        <v>0</v>
      </c>
      <c r="S3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6" s="49">
        <f>Table1[[#This Row],[Quantity  to  purchase]]+Table1[[#This Row],[Quantity purchased]]+Table1[[#This Row],[Quantity on order]]+Table1[[#This Row],[Quantity donated]]-Table1[[#This Row],[extended quantity]]</f>
        <v>0</v>
      </c>
      <c r="U3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6" s="51">
        <f>IFERROR(Table1[[#This Row],[Quantity  to  purchase]]*(Table1[[#This Row],[Cost ]]+Table1[[#This Row],[shipping]]+Table1[[#This Row],[Tax]]),0)</f>
        <v>0</v>
      </c>
      <c r="W356" s="36">
        <f>IFERROR(Table1[[#This Row],[leftover material]]*(Table1[[#This Row],[Cost ]]+Table1[[#This Row],[shipping]]+Table1[[#This Row],[Tax]]),0)</f>
        <v>0</v>
      </c>
      <c r="X356" s="36"/>
      <c r="Y356" s="87"/>
      <c r="Z356" s="87"/>
      <c r="AA356" s="87"/>
      <c r="AB356" s="36"/>
      <c r="AC356" s="36">
        <f>IF(ISNA(VLOOKUP(Table1[[#This Row],[Part Number]],'Multi-level BOM'!V$4:V$449,1,FALSE)),0,Table1[[#This Row],[Remaining Extended cost]])</f>
        <v>0</v>
      </c>
    </row>
    <row r="357" spans="1:29" x14ac:dyDescent="0.25">
      <c r="A357" s="1" t="s">
        <v>360</v>
      </c>
      <c r="B357" s="4"/>
      <c r="F357" s="3">
        <f>9%*Table1[[#This Row],[Cost ]]</f>
        <v>0</v>
      </c>
      <c r="J357" s="49">
        <f>SUMIF('Multi-level BOM'!D$4:D$467,Table1[[#This Row],[Part Number]],'Multi-level BOM'!H$4:H$467)</f>
        <v>0</v>
      </c>
      <c r="K357" s="10">
        <f>Table1[[#This Row],[extended quantity]]*(Table1[[#This Row],[Cost ]]+Table1[[#This Row],[shipping]]+Table1[[#This Row],[Tax]])</f>
        <v>0</v>
      </c>
      <c r="L357" s="83" t="str">
        <f>IF(Table1[[#This Row],[Buy-now costs]]&gt;0,"X","")</f>
        <v/>
      </c>
      <c r="M357" s="83"/>
      <c r="N357" s="83"/>
      <c r="O357" s="40">
        <v>0</v>
      </c>
      <c r="P357" s="97">
        <f>Table1[[#This Row],[quantity on-hand]]*(Table1[[#This Row],[Cost ]]+Table1[[#This Row],[shipping]]+Table1[[#This Row],[Tax]])</f>
        <v>0</v>
      </c>
      <c r="Q357" s="40">
        <v>0</v>
      </c>
      <c r="R357" s="95">
        <f>Table1[[#This Row],[Quantity on order]]*(Table1[[#This Row],[Cost ]]+Table1[[#This Row],[shipping]]+Table1[[#This Row],[Tax]])</f>
        <v>0</v>
      </c>
      <c r="S3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7" s="49">
        <f>Table1[[#This Row],[Quantity  to  purchase]]+Table1[[#This Row],[Quantity purchased]]+Table1[[#This Row],[Quantity on order]]+Table1[[#This Row],[Quantity donated]]-Table1[[#This Row],[extended quantity]]</f>
        <v>0</v>
      </c>
      <c r="U3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7" s="51">
        <f>IFERROR(Table1[[#This Row],[Quantity  to  purchase]]*(Table1[[#This Row],[Cost ]]+Table1[[#This Row],[shipping]]+Table1[[#This Row],[Tax]]),0)</f>
        <v>0</v>
      </c>
      <c r="W357" s="36">
        <f>IFERROR(Table1[[#This Row],[leftover material]]*(Table1[[#This Row],[Cost ]]+Table1[[#This Row],[shipping]]+Table1[[#This Row],[Tax]]),0)</f>
        <v>0</v>
      </c>
      <c r="X357" s="36"/>
      <c r="Y357" s="87"/>
      <c r="Z357" s="87"/>
      <c r="AA357" s="87"/>
      <c r="AB357" s="36"/>
      <c r="AC357" s="36">
        <f>IF(ISNA(VLOOKUP(Table1[[#This Row],[Part Number]],'Multi-level BOM'!V$4:V$449,1,FALSE)),0,Table1[[#This Row],[Remaining Extended cost]])</f>
        <v>0</v>
      </c>
    </row>
    <row r="358" spans="1:29" x14ac:dyDescent="0.25">
      <c r="A358" s="1" t="s">
        <v>361</v>
      </c>
      <c r="B358" s="4"/>
      <c r="F358" s="3">
        <f>9%*Table1[[#This Row],[Cost ]]</f>
        <v>0</v>
      </c>
      <c r="J358" s="49">
        <f>SUMIF('Multi-level BOM'!D$4:D$467,Table1[[#This Row],[Part Number]],'Multi-level BOM'!H$4:H$467)</f>
        <v>0</v>
      </c>
      <c r="K358" s="10">
        <f>Table1[[#This Row],[extended quantity]]*(Table1[[#This Row],[Cost ]]+Table1[[#This Row],[shipping]]+Table1[[#This Row],[Tax]])</f>
        <v>0</v>
      </c>
      <c r="L358" s="83" t="str">
        <f>IF(Table1[[#This Row],[Buy-now costs]]&gt;0,"X","")</f>
        <v/>
      </c>
      <c r="M358" s="83"/>
      <c r="N358" s="83"/>
      <c r="O358" s="40">
        <v>0</v>
      </c>
      <c r="P358" s="97">
        <f>Table1[[#This Row],[quantity on-hand]]*(Table1[[#This Row],[Cost ]]+Table1[[#This Row],[shipping]]+Table1[[#This Row],[Tax]])</f>
        <v>0</v>
      </c>
      <c r="Q358" s="40">
        <v>0</v>
      </c>
      <c r="R358" s="95">
        <f>Table1[[#This Row],[Quantity on order]]*(Table1[[#This Row],[Cost ]]+Table1[[#This Row],[shipping]]+Table1[[#This Row],[Tax]])</f>
        <v>0</v>
      </c>
      <c r="S3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8" s="49">
        <f>Table1[[#This Row],[Quantity  to  purchase]]+Table1[[#This Row],[Quantity purchased]]+Table1[[#This Row],[Quantity on order]]+Table1[[#This Row],[Quantity donated]]-Table1[[#This Row],[extended quantity]]</f>
        <v>0</v>
      </c>
      <c r="U3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8" s="51">
        <f>IFERROR(Table1[[#This Row],[Quantity  to  purchase]]*(Table1[[#This Row],[Cost ]]+Table1[[#This Row],[shipping]]+Table1[[#This Row],[Tax]]),0)</f>
        <v>0</v>
      </c>
      <c r="W358" s="36">
        <f>IFERROR(Table1[[#This Row],[leftover material]]*(Table1[[#This Row],[Cost ]]+Table1[[#This Row],[shipping]]+Table1[[#This Row],[Tax]]),0)</f>
        <v>0</v>
      </c>
      <c r="X358" s="36"/>
      <c r="Y358" s="87"/>
      <c r="Z358" s="87"/>
      <c r="AA358" s="87"/>
      <c r="AB358" s="36"/>
      <c r="AC358" s="36">
        <f>IF(ISNA(VLOOKUP(Table1[[#This Row],[Part Number]],'Multi-level BOM'!V$4:V$449,1,FALSE)),0,Table1[[#This Row],[Remaining Extended cost]])</f>
        <v>0</v>
      </c>
    </row>
    <row r="359" spans="1:29" x14ac:dyDescent="0.25">
      <c r="A359" s="1" t="s">
        <v>362</v>
      </c>
      <c r="B359" s="4"/>
      <c r="F359" s="3">
        <f>9%*Table1[[#This Row],[Cost ]]</f>
        <v>0</v>
      </c>
      <c r="J359" s="49">
        <f>SUMIF('Multi-level BOM'!D$4:D$467,Table1[[#This Row],[Part Number]],'Multi-level BOM'!H$4:H$467)</f>
        <v>0</v>
      </c>
      <c r="K359" s="10">
        <f>Table1[[#This Row],[extended quantity]]*(Table1[[#This Row],[Cost ]]+Table1[[#This Row],[shipping]]+Table1[[#This Row],[Tax]])</f>
        <v>0</v>
      </c>
      <c r="L359" s="83" t="str">
        <f>IF(Table1[[#This Row],[Buy-now costs]]&gt;0,"X","")</f>
        <v/>
      </c>
      <c r="M359" s="83"/>
      <c r="N359" s="83"/>
      <c r="O359" s="40">
        <v>0</v>
      </c>
      <c r="P359" s="97">
        <f>Table1[[#This Row],[quantity on-hand]]*(Table1[[#This Row],[Cost ]]+Table1[[#This Row],[shipping]]+Table1[[#This Row],[Tax]])</f>
        <v>0</v>
      </c>
      <c r="Q359" s="40">
        <v>0</v>
      </c>
      <c r="R359" s="95">
        <f>Table1[[#This Row],[Quantity on order]]*(Table1[[#This Row],[Cost ]]+Table1[[#This Row],[shipping]]+Table1[[#This Row],[Tax]])</f>
        <v>0</v>
      </c>
      <c r="S3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9" s="49">
        <f>Table1[[#This Row],[Quantity  to  purchase]]+Table1[[#This Row],[Quantity purchased]]+Table1[[#This Row],[Quantity on order]]+Table1[[#This Row],[Quantity donated]]-Table1[[#This Row],[extended quantity]]</f>
        <v>0</v>
      </c>
      <c r="U3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9" s="51">
        <f>IFERROR(Table1[[#This Row],[Quantity  to  purchase]]*(Table1[[#This Row],[Cost ]]+Table1[[#This Row],[shipping]]+Table1[[#This Row],[Tax]]),0)</f>
        <v>0</v>
      </c>
      <c r="W359" s="36">
        <f>IFERROR(Table1[[#This Row],[leftover material]]*(Table1[[#This Row],[Cost ]]+Table1[[#This Row],[shipping]]+Table1[[#This Row],[Tax]]),0)</f>
        <v>0</v>
      </c>
      <c r="X359" s="36"/>
      <c r="Y359" s="87"/>
      <c r="Z359" s="87"/>
      <c r="AA359" s="87"/>
      <c r="AB359" s="36"/>
      <c r="AC359" s="36">
        <f>IF(ISNA(VLOOKUP(Table1[[#This Row],[Part Number]],'Multi-level BOM'!V$4:V$449,1,FALSE)),0,Table1[[#This Row],[Remaining Extended cost]])</f>
        <v>0</v>
      </c>
    </row>
    <row r="360" spans="1:29" x14ac:dyDescent="0.25">
      <c r="A360" s="1" t="s">
        <v>363</v>
      </c>
      <c r="B360" s="4"/>
      <c r="F360" s="3">
        <f>9%*Table1[[#This Row],[Cost ]]</f>
        <v>0</v>
      </c>
      <c r="J360" s="49">
        <f>SUMIF('Multi-level BOM'!D$4:D$467,Table1[[#This Row],[Part Number]],'Multi-level BOM'!H$4:H$467)</f>
        <v>0</v>
      </c>
      <c r="K360" s="10">
        <f>Table1[[#This Row],[extended quantity]]*(Table1[[#This Row],[Cost ]]+Table1[[#This Row],[shipping]]+Table1[[#This Row],[Tax]])</f>
        <v>0</v>
      </c>
      <c r="L360" s="83" t="str">
        <f>IF(Table1[[#This Row],[Buy-now costs]]&gt;0,"X","")</f>
        <v/>
      </c>
      <c r="M360" s="83"/>
      <c r="N360" s="83"/>
      <c r="O360" s="40">
        <v>0</v>
      </c>
      <c r="P360" s="97">
        <f>Table1[[#This Row],[quantity on-hand]]*(Table1[[#This Row],[Cost ]]+Table1[[#This Row],[shipping]]+Table1[[#This Row],[Tax]])</f>
        <v>0</v>
      </c>
      <c r="Q360" s="40">
        <v>0</v>
      </c>
      <c r="R360" s="95">
        <f>Table1[[#This Row],[Quantity on order]]*(Table1[[#This Row],[Cost ]]+Table1[[#This Row],[shipping]]+Table1[[#This Row],[Tax]])</f>
        <v>0</v>
      </c>
      <c r="S3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0" s="49">
        <f>Table1[[#This Row],[Quantity  to  purchase]]+Table1[[#This Row],[Quantity purchased]]+Table1[[#This Row],[Quantity on order]]+Table1[[#This Row],[Quantity donated]]-Table1[[#This Row],[extended quantity]]</f>
        <v>0</v>
      </c>
      <c r="U3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0" s="51">
        <f>IFERROR(Table1[[#This Row],[Quantity  to  purchase]]*(Table1[[#This Row],[Cost ]]+Table1[[#This Row],[shipping]]+Table1[[#This Row],[Tax]]),0)</f>
        <v>0</v>
      </c>
      <c r="W360" s="36">
        <f>IFERROR(Table1[[#This Row],[leftover material]]*(Table1[[#This Row],[Cost ]]+Table1[[#This Row],[shipping]]+Table1[[#This Row],[Tax]]),0)</f>
        <v>0</v>
      </c>
      <c r="X360" s="36"/>
      <c r="Y360" s="87"/>
      <c r="Z360" s="87"/>
      <c r="AA360" s="87"/>
      <c r="AB360" s="36"/>
      <c r="AC360" s="36">
        <f>IF(ISNA(VLOOKUP(Table1[[#This Row],[Part Number]],'Multi-level BOM'!V$4:V$449,1,FALSE)),0,Table1[[#This Row],[Remaining Extended cost]])</f>
        <v>0</v>
      </c>
    </row>
    <row r="361" spans="1:29" x14ac:dyDescent="0.25">
      <c r="A361" s="1" t="s">
        <v>364</v>
      </c>
      <c r="B361" s="4"/>
      <c r="F361" s="3">
        <f>9%*Table1[[#This Row],[Cost ]]</f>
        <v>0</v>
      </c>
      <c r="J361" s="49">
        <f>SUMIF('Multi-level BOM'!D$4:D$467,Table1[[#This Row],[Part Number]],'Multi-level BOM'!H$4:H$467)</f>
        <v>0</v>
      </c>
      <c r="K361" s="10">
        <f>Table1[[#This Row],[extended quantity]]*(Table1[[#This Row],[Cost ]]+Table1[[#This Row],[shipping]]+Table1[[#This Row],[Tax]])</f>
        <v>0</v>
      </c>
      <c r="L361" s="83" t="str">
        <f>IF(Table1[[#This Row],[Buy-now costs]]&gt;0,"X","")</f>
        <v/>
      </c>
      <c r="M361" s="83"/>
      <c r="N361" s="83"/>
      <c r="O361" s="40">
        <v>0</v>
      </c>
      <c r="P361" s="97">
        <f>Table1[[#This Row],[quantity on-hand]]*(Table1[[#This Row],[Cost ]]+Table1[[#This Row],[shipping]]+Table1[[#This Row],[Tax]])</f>
        <v>0</v>
      </c>
      <c r="Q361" s="40">
        <v>0</v>
      </c>
      <c r="R361" s="95">
        <f>Table1[[#This Row],[Quantity on order]]*(Table1[[#This Row],[Cost ]]+Table1[[#This Row],[shipping]]+Table1[[#This Row],[Tax]])</f>
        <v>0</v>
      </c>
      <c r="S3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1" s="49">
        <f>Table1[[#This Row],[Quantity  to  purchase]]+Table1[[#This Row],[Quantity purchased]]+Table1[[#This Row],[Quantity on order]]+Table1[[#This Row],[Quantity donated]]-Table1[[#This Row],[extended quantity]]</f>
        <v>0</v>
      </c>
      <c r="U3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1" s="51">
        <f>IFERROR(Table1[[#This Row],[Quantity  to  purchase]]*(Table1[[#This Row],[Cost ]]+Table1[[#This Row],[shipping]]+Table1[[#This Row],[Tax]]),0)</f>
        <v>0</v>
      </c>
      <c r="W361" s="36">
        <f>IFERROR(Table1[[#This Row],[leftover material]]*(Table1[[#This Row],[Cost ]]+Table1[[#This Row],[shipping]]+Table1[[#This Row],[Tax]]),0)</f>
        <v>0</v>
      </c>
      <c r="X361" s="36"/>
      <c r="Y361" s="87"/>
      <c r="Z361" s="87"/>
      <c r="AA361" s="87"/>
      <c r="AB361" s="36"/>
      <c r="AC361" s="36">
        <f>IF(ISNA(VLOOKUP(Table1[[#This Row],[Part Number]],'Multi-level BOM'!V$4:V$449,1,FALSE)),0,Table1[[#This Row],[Remaining Extended cost]])</f>
        <v>0</v>
      </c>
    </row>
    <row r="362" spans="1:29" x14ac:dyDescent="0.25">
      <c r="A362" s="1" t="s">
        <v>365</v>
      </c>
      <c r="B362" s="4"/>
      <c r="F362" s="3">
        <f>9%*Table1[[#This Row],[Cost ]]</f>
        <v>0</v>
      </c>
      <c r="J362" s="49">
        <f>SUMIF('Multi-level BOM'!D$4:D$467,Table1[[#This Row],[Part Number]],'Multi-level BOM'!H$4:H$467)</f>
        <v>0</v>
      </c>
      <c r="K362" s="10">
        <f>Table1[[#This Row],[extended quantity]]*(Table1[[#This Row],[Cost ]]+Table1[[#This Row],[shipping]]+Table1[[#This Row],[Tax]])</f>
        <v>0</v>
      </c>
      <c r="L362" s="83" t="str">
        <f>IF(Table1[[#This Row],[Buy-now costs]]&gt;0,"X","")</f>
        <v/>
      </c>
      <c r="M362" s="83"/>
      <c r="N362" s="83"/>
      <c r="O362" s="40">
        <v>0</v>
      </c>
      <c r="P362" s="97">
        <f>Table1[[#This Row],[quantity on-hand]]*(Table1[[#This Row],[Cost ]]+Table1[[#This Row],[shipping]]+Table1[[#This Row],[Tax]])</f>
        <v>0</v>
      </c>
      <c r="Q362" s="40">
        <v>0</v>
      </c>
      <c r="R362" s="95">
        <f>Table1[[#This Row],[Quantity on order]]*(Table1[[#This Row],[Cost ]]+Table1[[#This Row],[shipping]]+Table1[[#This Row],[Tax]])</f>
        <v>0</v>
      </c>
      <c r="S3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2" s="49">
        <f>Table1[[#This Row],[Quantity  to  purchase]]+Table1[[#This Row],[Quantity purchased]]+Table1[[#This Row],[Quantity on order]]+Table1[[#This Row],[Quantity donated]]-Table1[[#This Row],[extended quantity]]</f>
        <v>0</v>
      </c>
      <c r="U3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2" s="51">
        <f>IFERROR(Table1[[#This Row],[Quantity  to  purchase]]*(Table1[[#This Row],[Cost ]]+Table1[[#This Row],[shipping]]+Table1[[#This Row],[Tax]]),0)</f>
        <v>0</v>
      </c>
      <c r="W362" s="36">
        <f>IFERROR(Table1[[#This Row],[leftover material]]*(Table1[[#This Row],[Cost ]]+Table1[[#This Row],[shipping]]+Table1[[#This Row],[Tax]]),0)</f>
        <v>0</v>
      </c>
      <c r="X362" s="36"/>
      <c r="Y362" s="87"/>
      <c r="Z362" s="87"/>
      <c r="AA362" s="87"/>
      <c r="AB362" s="36"/>
      <c r="AC362" s="36">
        <f>IF(ISNA(VLOOKUP(Table1[[#This Row],[Part Number]],'Multi-level BOM'!V$4:V$449,1,FALSE)),0,Table1[[#This Row],[Remaining Extended cost]])</f>
        <v>0</v>
      </c>
    </row>
    <row r="363" spans="1:29" x14ac:dyDescent="0.25">
      <c r="A363" s="1" t="s">
        <v>366</v>
      </c>
      <c r="B363" s="4"/>
      <c r="F363" s="3">
        <f>9%*Table1[[#This Row],[Cost ]]</f>
        <v>0</v>
      </c>
      <c r="J363" s="49">
        <f>SUMIF('Multi-level BOM'!D$4:D$467,Table1[[#This Row],[Part Number]],'Multi-level BOM'!H$4:H$467)</f>
        <v>0</v>
      </c>
      <c r="K363" s="10">
        <f>Table1[[#This Row],[extended quantity]]*(Table1[[#This Row],[Cost ]]+Table1[[#This Row],[shipping]]+Table1[[#This Row],[Tax]])</f>
        <v>0</v>
      </c>
      <c r="L363" s="83" t="str">
        <f>IF(Table1[[#This Row],[Buy-now costs]]&gt;0,"X","")</f>
        <v/>
      </c>
      <c r="M363" s="83"/>
      <c r="N363" s="83"/>
      <c r="O363" s="40">
        <v>0</v>
      </c>
      <c r="P363" s="97">
        <f>Table1[[#This Row],[quantity on-hand]]*(Table1[[#This Row],[Cost ]]+Table1[[#This Row],[shipping]]+Table1[[#This Row],[Tax]])</f>
        <v>0</v>
      </c>
      <c r="Q363" s="40">
        <v>0</v>
      </c>
      <c r="R363" s="95">
        <f>Table1[[#This Row],[Quantity on order]]*(Table1[[#This Row],[Cost ]]+Table1[[#This Row],[shipping]]+Table1[[#This Row],[Tax]])</f>
        <v>0</v>
      </c>
      <c r="S3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3" s="49">
        <f>Table1[[#This Row],[Quantity  to  purchase]]+Table1[[#This Row],[Quantity purchased]]+Table1[[#This Row],[Quantity on order]]+Table1[[#This Row],[Quantity donated]]-Table1[[#This Row],[extended quantity]]</f>
        <v>0</v>
      </c>
      <c r="U3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3" s="51">
        <f>IFERROR(Table1[[#This Row],[Quantity  to  purchase]]*(Table1[[#This Row],[Cost ]]+Table1[[#This Row],[shipping]]+Table1[[#This Row],[Tax]]),0)</f>
        <v>0</v>
      </c>
      <c r="W363" s="36">
        <f>IFERROR(Table1[[#This Row],[leftover material]]*(Table1[[#This Row],[Cost ]]+Table1[[#This Row],[shipping]]+Table1[[#This Row],[Tax]]),0)</f>
        <v>0</v>
      </c>
      <c r="X363" s="36"/>
      <c r="Y363" s="87"/>
      <c r="Z363" s="87"/>
      <c r="AA363" s="87"/>
      <c r="AB363" s="36"/>
      <c r="AC363" s="36">
        <f>IF(ISNA(VLOOKUP(Table1[[#This Row],[Part Number]],'Multi-level BOM'!V$4:V$449,1,FALSE)),0,Table1[[#This Row],[Remaining Extended cost]])</f>
        <v>0</v>
      </c>
    </row>
    <row r="364" spans="1:29" x14ac:dyDescent="0.25">
      <c r="A364" s="1" t="s">
        <v>367</v>
      </c>
      <c r="B364" s="4"/>
      <c r="F364" s="3">
        <f>9%*Table1[[#This Row],[Cost ]]</f>
        <v>0</v>
      </c>
      <c r="J364" s="49">
        <f>SUMIF('Multi-level BOM'!D$4:D$467,Table1[[#This Row],[Part Number]],'Multi-level BOM'!H$4:H$467)</f>
        <v>0</v>
      </c>
      <c r="K364" s="10">
        <f>Table1[[#This Row],[extended quantity]]*(Table1[[#This Row],[Cost ]]+Table1[[#This Row],[shipping]]+Table1[[#This Row],[Tax]])</f>
        <v>0</v>
      </c>
      <c r="L364" s="83" t="str">
        <f>IF(Table1[[#This Row],[Buy-now costs]]&gt;0,"X","")</f>
        <v/>
      </c>
      <c r="M364" s="83"/>
      <c r="N364" s="83"/>
      <c r="O364" s="40">
        <v>0</v>
      </c>
      <c r="P364" s="97">
        <f>Table1[[#This Row],[quantity on-hand]]*(Table1[[#This Row],[Cost ]]+Table1[[#This Row],[shipping]]+Table1[[#This Row],[Tax]])</f>
        <v>0</v>
      </c>
      <c r="Q364" s="40">
        <v>0</v>
      </c>
      <c r="R364" s="95">
        <f>Table1[[#This Row],[Quantity on order]]*(Table1[[#This Row],[Cost ]]+Table1[[#This Row],[shipping]]+Table1[[#This Row],[Tax]])</f>
        <v>0</v>
      </c>
      <c r="S3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4" s="49">
        <f>Table1[[#This Row],[Quantity  to  purchase]]+Table1[[#This Row],[Quantity purchased]]+Table1[[#This Row],[Quantity on order]]+Table1[[#This Row],[Quantity donated]]-Table1[[#This Row],[extended quantity]]</f>
        <v>0</v>
      </c>
      <c r="U3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4" s="51">
        <f>IFERROR(Table1[[#This Row],[Quantity  to  purchase]]*(Table1[[#This Row],[Cost ]]+Table1[[#This Row],[shipping]]+Table1[[#This Row],[Tax]]),0)</f>
        <v>0</v>
      </c>
      <c r="W364" s="36">
        <f>IFERROR(Table1[[#This Row],[leftover material]]*(Table1[[#This Row],[Cost ]]+Table1[[#This Row],[shipping]]+Table1[[#This Row],[Tax]]),0)</f>
        <v>0</v>
      </c>
      <c r="X364" s="36"/>
      <c r="Y364" s="87"/>
      <c r="Z364" s="87"/>
      <c r="AA364" s="87"/>
      <c r="AB364" s="36"/>
      <c r="AC364" s="36">
        <f>IF(ISNA(VLOOKUP(Table1[[#This Row],[Part Number]],'Multi-level BOM'!V$4:V$449,1,FALSE)),0,Table1[[#This Row],[Remaining Extended cost]])</f>
        <v>0</v>
      </c>
    </row>
    <row r="365" spans="1:29" x14ac:dyDescent="0.25">
      <c r="A365" s="1" t="s">
        <v>368</v>
      </c>
      <c r="B365" s="4"/>
      <c r="F365" s="3">
        <f>9%*Table1[[#This Row],[Cost ]]</f>
        <v>0</v>
      </c>
      <c r="J365" s="49">
        <f>SUMIF('Multi-level BOM'!D$4:D$467,Table1[[#This Row],[Part Number]],'Multi-level BOM'!H$4:H$467)</f>
        <v>0</v>
      </c>
      <c r="K365" s="10">
        <f>Table1[[#This Row],[extended quantity]]*(Table1[[#This Row],[Cost ]]+Table1[[#This Row],[shipping]]+Table1[[#This Row],[Tax]])</f>
        <v>0</v>
      </c>
      <c r="L365" s="83" t="str">
        <f>IF(Table1[[#This Row],[Buy-now costs]]&gt;0,"X","")</f>
        <v/>
      </c>
      <c r="M365" s="83"/>
      <c r="N365" s="83"/>
      <c r="O365" s="40">
        <v>0</v>
      </c>
      <c r="P365" s="97">
        <f>Table1[[#This Row],[quantity on-hand]]*(Table1[[#This Row],[Cost ]]+Table1[[#This Row],[shipping]]+Table1[[#This Row],[Tax]])</f>
        <v>0</v>
      </c>
      <c r="Q365" s="40">
        <v>0</v>
      </c>
      <c r="R365" s="95">
        <f>Table1[[#This Row],[Quantity on order]]*(Table1[[#This Row],[Cost ]]+Table1[[#This Row],[shipping]]+Table1[[#This Row],[Tax]])</f>
        <v>0</v>
      </c>
      <c r="S3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5" s="49">
        <f>Table1[[#This Row],[Quantity  to  purchase]]+Table1[[#This Row],[Quantity purchased]]+Table1[[#This Row],[Quantity on order]]+Table1[[#This Row],[Quantity donated]]-Table1[[#This Row],[extended quantity]]</f>
        <v>0</v>
      </c>
      <c r="U3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5" s="51">
        <f>IFERROR(Table1[[#This Row],[Quantity  to  purchase]]*(Table1[[#This Row],[Cost ]]+Table1[[#This Row],[shipping]]+Table1[[#This Row],[Tax]]),0)</f>
        <v>0</v>
      </c>
      <c r="W365" s="36">
        <f>IFERROR(Table1[[#This Row],[leftover material]]*(Table1[[#This Row],[Cost ]]+Table1[[#This Row],[shipping]]+Table1[[#This Row],[Tax]]),0)</f>
        <v>0</v>
      </c>
      <c r="X365" s="36"/>
      <c r="Y365" s="87"/>
      <c r="Z365" s="87"/>
      <c r="AA365" s="87"/>
      <c r="AB365" s="36"/>
      <c r="AC365" s="36">
        <f>IF(ISNA(VLOOKUP(Table1[[#This Row],[Part Number]],'Multi-level BOM'!V$4:V$449,1,FALSE)),0,Table1[[#This Row],[Remaining Extended cost]])</f>
        <v>0</v>
      </c>
    </row>
    <row r="366" spans="1:29" x14ac:dyDescent="0.25">
      <c r="A366" s="1" t="s">
        <v>369</v>
      </c>
      <c r="B366" s="4"/>
      <c r="F366" s="3">
        <f>9%*Table1[[#This Row],[Cost ]]</f>
        <v>0</v>
      </c>
      <c r="J366" s="49">
        <f>SUMIF('Multi-level BOM'!D$4:D$467,Table1[[#This Row],[Part Number]],'Multi-level BOM'!H$4:H$467)</f>
        <v>0</v>
      </c>
      <c r="K366" s="10">
        <f>Table1[[#This Row],[extended quantity]]*(Table1[[#This Row],[Cost ]]+Table1[[#This Row],[shipping]]+Table1[[#This Row],[Tax]])</f>
        <v>0</v>
      </c>
      <c r="L366" s="83" t="str">
        <f>IF(Table1[[#This Row],[Buy-now costs]]&gt;0,"X","")</f>
        <v/>
      </c>
      <c r="M366" s="83"/>
      <c r="N366" s="83"/>
      <c r="O366" s="40">
        <v>0</v>
      </c>
      <c r="P366" s="97">
        <f>Table1[[#This Row],[quantity on-hand]]*(Table1[[#This Row],[Cost ]]+Table1[[#This Row],[shipping]]+Table1[[#This Row],[Tax]])</f>
        <v>0</v>
      </c>
      <c r="Q366" s="40">
        <v>0</v>
      </c>
      <c r="R366" s="95">
        <f>Table1[[#This Row],[Quantity on order]]*(Table1[[#This Row],[Cost ]]+Table1[[#This Row],[shipping]]+Table1[[#This Row],[Tax]])</f>
        <v>0</v>
      </c>
      <c r="S3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6" s="49">
        <f>Table1[[#This Row],[Quantity  to  purchase]]+Table1[[#This Row],[Quantity purchased]]+Table1[[#This Row],[Quantity on order]]+Table1[[#This Row],[Quantity donated]]-Table1[[#This Row],[extended quantity]]</f>
        <v>0</v>
      </c>
      <c r="U3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6" s="51">
        <f>IFERROR(Table1[[#This Row],[Quantity  to  purchase]]*(Table1[[#This Row],[Cost ]]+Table1[[#This Row],[shipping]]+Table1[[#This Row],[Tax]]),0)</f>
        <v>0</v>
      </c>
      <c r="W366" s="36">
        <f>IFERROR(Table1[[#This Row],[leftover material]]*(Table1[[#This Row],[Cost ]]+Table1[[#This Row],[shipping]]+Table1[[#This Row],[Tax]]),0)</f>
        <v>0</v>
      </c>
      <c r="X366" s="36"/>
      <c r="Y366" s="87"/>
      <c r="Z366" s="87"/>
      <c r="AA366" s="87"/>
      <c r="AB366" s="36"/>
      <c r="AC366" s="36">
        <f>IF(ISNA(VLOOKUP(Table1[[#This Row],[Part Number]],'Multi-level BOM'!V$4:V$449,1,FALSE)),0,Table1[[#This Row],[Remaining Extended cost]])</f>
        <v>0</v>
      </c>
    </row>
    <row r="367" spans="1:29" x14ac:dyDescent="0.25">
      <c r="A367" s="1" t="s">
        <v>370</v>
      </c>
      <c r="B367" s="4"/>
      <c r="F367" s="3">
        <f>9%*Table1[[#This Row],[Cost ]]</f>
        <v>0</v>
      </c>
      <c r="J367" s="49">
        <f>SUMIF('Multi-level BOM'!D$4:D$467,Table1[[#This Row],[Part Number]],'Multi-level BOM'!H$4:H$467)</f>
        <v>0</v>
      </c>
      <c r="K367" s="10">
        <f>Table1[[#This Row],[extended quantity]]*(Table1[[#This Row],[Cost ]]+Table1[[#This Row],[shipping]]+Table1[[#This Row],[Tax]])</f>
        <v>0</v>
      </c>
      <c r="L367" s="83" t="str">
        <f>IF(Table1[[#This Row],[Buy-now costs]]&gt;0,"X","")</f>
        <v/>
      </c>
      <c r="M367" s="83"/>
      <c r="N367" s="83"/>
      <c r="O367" s="40">
        <v>0</v>
      </c>
      <c r="P367" s="97">
        <f>Table1[[#This Row],[quantity on-hand]]*(Table1[[#This Row],[Cost ]]+Table1[[#This Row],[shipping]]+Table1[[#This Row],[Tax]])</f>
        <v>0</v>
      </c>
      <c r="Q367" s="40">
        <v>0</v>
      </c>
      <c r="R367" s="95">
        <f>Table1[[#This Row],[Quantity on order]]*(Table1[[#This Row],[Cost ]]+Table1[[#This Row],[shipping]]+Table1[[#This Row],[Tax]])</f>
        <v>0</v>
      </c>
      <c r="S3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7" s="49">
        <f>Table1[[#This Row],[Quantity  to  purchase]]+Table1[[#This Row],[Quantity purchased]]+Table1[[#This Row],[Quantity on order]]+Table1[[#This Row],[Quantity donated]]-Table1[[#This Row],[extended quantity]]</f>
        <v>0</v>
      </c>
      <c r="U3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7" s="51">
        <f>IFERROR(Table1[[#This Row],[Quantity  to  purchase]]*(Table1[[#This Row],[Cost ]]+Table1[[#This Row],[shipping]]+Table1[[#This Row],[Tax]]),0)</f>
        <v>0</v>
      </c>
      <c r="W367" s="36">
        <f>IFERROR(Table1[[#This Row],[leftover material]]*(Table1[[#This Row],[Cost ]]+Table1[[#This Row],[shipping]]+Table1[[#This Row],[Tax]]),0)</f>
        <v>0</v>
      </c>
      <c r="X367" s="36"/>
      <c r="Y367" s="87"/>
      <c r="Z367" s="87"/>
      <c r="AA367" s="87"/>
      <c r="AB367" s="36"/>
      <c r="AC367" s="36">
        <f>IF(ISNA(VLOOKUP(Table1[[#This Row],[Part Number]],'Multi-level BOM'!V$4:V$449,1,FALSE)),0,Table1[[#This Row],[Remaining Extended cost]])</f>
        <v>0</v>
      </c>
    </row>
    <row r="368" spans="1:29" x14ac:dyDescent="0.25">
      <c r="A368" s="1" t="s">
        <v>371</v>
      </c>
      <c r="B368" s="4"/>
      <c r="F368" s="3">
        <f>9%*Table1[[#This Row],[Cost ]]</f>
        <v>0</v>
      </c>
      <c r="J368" s="49">
        <f>SUMIF('Multi-level BOM'!D$4:D$467,Table1[[#This Row],[Part Number]],'Multi-level BOM'!H$4:H$467)</f>
        <v>0</v>
      </c>
      <c r="K368" s="10">
        <f>Table1[[#This Row],[extended quantity]]*(Table1[[#This Row],[Cost ]]+Table1[[#This Row],[shipping]]+Table1[[#This Row],[Tax]])</f>
        <v>0</v>
      </c>
      <c r="L368" s="83" t="str">
        <f>IF(Table1[[#This Row],[Buy-now costs]]&gt;0,"X","")</f>
        <v/>
      </c>
      <c r="M368" s="83"/>
      <c r="N368" s="83"/>
      <c r="O368" s="40">
        <v>0</v>
      </c>
      <c r="P368" s="97">
        <f>Table1[[#This Row],[quantity on-hand]]*(Table1[[#This Row],[Cost ]]+Table1[[#This Row],[shipping]]+Table1[[#This Row],[Tax]])</f>
        <v>0</v>
      </c>
      <c r="Q368" s="40">
        <v>0</v>
      </c>
      <c r="R368" s="95">
        <f>Table1[[#This Row],[Quantity on order]]*(Table1[[#This Row],[Cost ]]+Table1[[#This Row],[shipping]]+Table1[[#This Row],[Tax]])</f>
        <v>0</v>
      </c>
      <c r="S3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8" s="49">
        <f>Table1[[#This Row],[Quantity  to  purchase]]+Table1[[#This Row],[Quantity purchased]]+Table1[[#This Row],[Quantity on order]]+Table1[[#This Row],[Quantity donated]]-Table1[[#This Row],[extended quantity]]</f>
        <v>0</v>
      </c>
      <c r="U3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8" s="51">
        <f>IFERROR(Table1[[#This Row],[Quantity  to  purchase]]*(Table1[[#This Row],[Cost ]]+Table1[[#This Row],[shipping]]+Table1[[#This Row],[Tax]]),0)</f>
        <v>0</v>
      </c>
      <c r="W368" s="36">
        <f>IFERROR(Table1[[#This Row],[leftover material]]*(Table1[[#This Row],[Cost ]]+Table1[[#This Row],[shipping]]+Table1[[#This Row],[Tax]]),0)</f>
        <v>0</v>
      </c>
      <c r="X368" s="36"/>
      <c r="Y368" s="87"/>
      <c r="Z368" s="87"/>
      <c r="AA368" s="87"/>
      <c r="AB368" s="36"/>
      <c r="AC368" s="36">
        <f>IF(ISNA(VLOOKUP(Table1[[#This Row],[Part Number]],'Multi-level BOM'!V$4:V$449,1,FALSE)),0,Table1[[#This Row],[Remaining Extended cost]])</f>
        <v>0</v>
      </c>
    </row>
    <row r="369" spans="1:29" x14ac:dyDescent="0.25">
      <c r="A369" s="1" t="s">
        <v>372</v>
      </c>
      <c r="B369" s="4"/>
      <c r="F369" s="3">
        <f>9%*Table1[[#This Row],[Cost ]]</f>
        <v>0</v>
      </c>
      <c r="J369" s="49">
        <f>SUMIF('Multi-level BOM'!D$4:D$467,Table1[[#This Row],[Part Number]],'Multi-level BOM'!H$4:H$467)</f>
        <v>0</v>
      </c>
      <c r="K369" s="10">
        <f>Table1[[#This Row],[extended quantity]]*(Table1[[#This Row],[Cost ]]+Table1[[#This Row],[shipping]]+Table1[[#This Row],[Tax]])</f>
        <v>0</v>
      </c>
      <c r="L369" s="83" t="str">
        <f>IF(Table1[[#This Row],[Buy-now costs]]&gt;0,"X","")</f>
        <v/>
      </c>
      <c r="M369" s="83"/>
      <c r="N369" s="83"/>
      <c r="O369" s="40">
        <v>0</v>
      </c>
      <c r="P369" s="97">
        <f>Table1[[#This Row],[quantity on-hand]]*(Table1[[#This Row],[Cost ]]+Table1[[#This Row],[shipping]]+Table1[[#This Row],[Tax]])</f>
        <v>0</v>
      </c>
      <c r="Q369" s="40">
        <v>0</v>
      </c>
      <c r="R369" s="95">
        <f>Table1[[#This Row],[Quantity on order]]*(Table1[[#This Row],[Cost ]]+Table1[[#This Row],[shipping]]+Table1[[#This Row],[Tax]])</f>
        <v>0</v>
      </c>
      <c r="S3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9" s="49">
        <f>Table1[[#This Row],[Quantity  to  purchase]]+Table1[[#This Row],[Quantity purchased]]+Table1[[#This Row],[Quantity on order]]+Table1[[#This Row],[Quantity donated]]-Table1[[#This Row],[extended quantity]]</f>
        <v>0</v>
      </c>
      <c r="U3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9" s="51">
        <f>IFERROR(Table1[[#This Row],[Quantity  to  purchase]]*(Table1[[#This Row],[Cost ]]+Table1[[#This Row],[shipping]]+Table1[[#This Row],[Tax]]),0)</f>
        <v>0</v>
      </c>
      <c r="W369" s="36">
        <f>IFERROR(Table1[[#This Row],[leftover material]]*(Table1[[#This Row],[Cost ]]+Table1[[#This Row],[shipping]]+Table1[[#This Row],[Tax]]),0)</f>
        <v>0</v>
      </c>
      <c r="X369" s="36"/>
      <c r="Y369" s="87"/>
      <c r="Z369" s="87"/>
      <c r="AA369" s="87"/>
      <c r="AB369" s="36"/>
      <c r="AC369" s="36">
        <f>IF(ISNA(VLOOKUP(Table1[[#This Row],[Part Number]],'Multi-level BOM'!V$4:V$449,1,FALSE)),0,Table1[[#This Row],[Remaining Extended cost]])</f>
        <v>0</v>
      </c>
    </row>
    <row r="370" spans="1:29" x14ac:dyDescent="0.25">
      <c r="A370" s="1" t="s">
        <v>373</v>
      </c>
      <c r="B370" s="4"/>
      <c r="F370" s="3">
        <f>9%*Table1[[#This Row],[Cost ]]</f>
        <v>0</v>
      </c>
      <c r="J370" s="49">
        <f>SUMIF('Multi-level BOM'!D$4:D$467,Table1[[#This Row],[Part Number]],'Multi-level BOM'!H$4:H$467)</f>
        <v>0</v>
      </c>
      <c r="K370" s="10">
        <f>Table1[[#This Row],[extended quantity]]*(Table1[[#This Row],[Cost ]]+Table1[[#This Row],[shipping]]+Table1[[#This Row],[Tax]])</f>
        <v>0</v>
      </c>
      <c r="L370" s="83" t="str">
        <f>IF(Table1[[#This Row],[Buy-now costs]]&gt;0,"X","")</f>
        <v/>
      </c>
      <c r="M370" s="83"/>
      <c r="N370" s="83"/>
      <c r="O370" s="40">
        <v>0</v>
      </c>
      <c r="P370" s="97">
        <f>Table1[[#This Row],[quantity on-hand]]*(Table1[[#This Row],[Cost ]]+Table1[[#This Row],[shipping]]+Table1[[#This Row],[Tax]])</f>
        <v>0</v>
      </c>
      <c r="Q370" s="40">
        <v>0</v>
      </c>
      <c r="R370" s="95">
        <f>Table1[[#This Row],[Quantity on order]]*(Table1[[#This Row],[Cost ]]+Table1[[#This Row],[shipping]]+Table1[[#This Row],[Tax]])</f>
        <v>0</v>
      </c>
      <c r="S3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0" s="49">
        <f>Table1[[#This Row],[Quantity  to  purchase]]+Table1[[#This Row],[Quantity purchased]]+Table1[[#This Row],[Quantity on order]]+Table1[[#This Row],[Quantity donated]]-Table1[[#This Row],[extended quantity]]</f>
        <v>0</v>
      </c>
      <c r="U3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0" s="51">
        <f>IFERROR(Table1[[#This Row],[Quantity  to  purchase]]*(Table1[[#This Row],[Cost ]]+Table1[[#This Row],[shipping]]+Table1[[#This Row],[Tax]]),0)</f>
        <v>0</v>
      </c>
      <c r="W370" s="36">
        <f>IFERROR(Table1[[#This Row],[leftover material]]*(Table1[[#This Row],[Cost ]]+Table1[[#This Row],[shipping]]+Table1[[#This Row],[Tax]]),0)</f>
        <v>0</v>
      </c>
      <c r="X370" s="36"/>
      <c r="Y370" s="87"/>
      <c r="Z370" s="87"/>
      <c r="AA370" s="87"/>
      <c r="AB370" s="36"/>
      <c r="AC370" s="36">
        <f>IF(ISNA(VLOOKUP(Table1[[#This Row],[Part Number]],'Multi-level BOM'!V$4:V$449,1,FALSE)),0,Table1[[#This Row],[Remaining Extended cost]])</f>
        <v>0</v>
      </c>
    </row>
    <row r="371" spans="1:29" x14ac:dyDescent="0.25">
      <c r="A371" s="1" t="s">
        <v>374</v>
      </c>
      <c r="B371" s="4"/>
      <c r="F371" s="3">
        <f>9%*Table1[[#This Row],[Cost ]]</f>
        <v>0</v>
      </c>
      <c r="J371" s="49">
        <f>SUMIF('Multi-level BOM'!D$4:D$467,Table1[[#This Row],[Part Number]],'Multi-level BOM'!H$4:H$467)</f>
        <v>0</v>
      </c>
      <c r="K371" s="10">
        <f>Table1[[#This Row],[extended quantity]]*(Table1[[#This Row],[Cost ]]+Table1[[#This Row],[shipping]]+Table1[[#This Row],[Tax]])</f>
        <v>0</v>
      </c>
      <c r="L371" s="83" t="str">
        <f>IF(Table1[[#This Row],[Buy-now costs]]&gt;0,"X","")</f>
        <v/>
      </c>
      <c r="M371" s="83"/>
      <c r="N371" s="83"/>
      <c r="O371" s="40">
        <v>0</v>
      </c>
      <c r="P371" s="97">
        <f>Table1[[#This Row],[quantity on-hand]]*(Table1[[#This Row],[Cost ]]+Table1[[#This Row],[shipping]]+Table1[[#This Row],[Tax]])</f>
        <v>0</v>
      </c>
      <c r="Q371" s="40">
        <v>0</v>
      </c>
      <c r="R371" s="95">
        <f>Table1[[#This Row],[Quantity on order]]*(Table1[[#This Row],[Cost ]]+Table1[[#This Row],[shipping]]+Table1[[#This Row],[Tax]])</f>
        <v>0</v>
      </c>
      <c r="S3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1" s="49">
        <f>Table1[[#This Row],[Quantity  to  purchase]]+Table1[[#This Row],[Quantity purchased]]+Table1[[#This Row],[Quantity on order]]+Table1[[#This Row],[Quantity donated]]-Table1[[#This Row],[extended quantity]]</f>
        <v>0</v>
      </c>
      <c r="U3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1" s="51">
        <f>IFERROR(Table1[[#This Row],[Quantity  to  purchase]]*(Table1[[#This Row],[Cost ]]+Table1[[#This Row],[shipping]]+Table1[[#This Row],[Tax]]),0)</f>
        <v>0</v>
      </c>
      <c r="W371" s="36">
        <f>IFERROR(Table1[[#This Row],[leftover material]]*(Table1[[#This Row],[Cost ]]+Table1[[#This Row],[shipping]]+Table1[[#This Row],[Tax]]),0)</f>
        <v>0</v>
      </c>
      <c r="X371" s="36"/>
      <c r="Y371" s="87"/>
      <c r="Z371" s="87"/>
      <c r="AA371" s="87"/>
      <c r="AB371" s="36"/>
      <c r="AC371" s="36">
        <f>IF(ISNA(VLOOKUP(Table1[[#This Row],[Part Number]],'Multi-level BOM'!V$4:V$449,1,FALSE)),0,Table1[[#This Row],[Remaining Extended cost]])</f>
        <v>0</v>
      </c>
    </row>
    <row r="372" spans="1:29" x14ac:dyDescent="0.25">
      <c r="A372" s="1" t="s">
        <v>375</v>
      </c>
      <c r="B372" s="4"/>
      <c r="F372" s="3">
        <f>9%*Table1[[#This Row],[Cost ]]</f>
        <v>0</v>
      </c>
      <c r="J372" s="49">
        <f>SUMIF('Multi-level BOM'!D$4:D$467,Table1[[#This Row],[Part Number]],'Multi-level BOM'!H$4:H$467)</f>
        <v>0</v>
      </c>
      <c r="K372" s="10">
        <f>Table1[[#This Row],[extended quantity]]*(Table1[[#This Row],[Cost ]]+Table1[[#This Row],[shipping]]+Table1[[#This Row],[Tax]])</f>
        <v>0</v>
      </c>
      <c r="L372" s="83" t="str">
        <f>IF(Table1[[#This Row],[Buy-now costs]]&gt;0,"X","")</f>
        <v/>
      </c>
      <c r="M372" s="83"/>
      <c r="N372" s="83"/>
      <c r="O372" s="40">
        <v>0</v>
      </c>
      <c r="P372" s="97">
        <f>Table1[[#This Row],[quantity on-hand]]*(Table1[[#This Row],[Cost ]]+Table1[[#This Row],[shipping]]+Table1[[#This Row],[Tax]])</f>
        <v>0</v>
      </c>
      <c r="Q372" s="40">
        <v>0</v>
      </c>
      <c r="R372" s="95">
        <f>Table1[[#This Row],[Quantity on order]]*(Table1[[#This Row],[Cost ]]+Table1[[#This Row],[shipping]]+Table1[[#This Row],[Tax]])</f>
        <v>0</v>
      </c>
      <c r="S3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2" s="49">
        <f>Table1[[#This Row],[Quantity  to  purchase]]+Table1[[#This Row],[Quantity purchased]]+Table1[[#This Row],[Quantity on order]]+Table1[[#This Row],[Quantity donated]]-Table1[[#This Row],[extended quantity]]</f>
        <v>0</v>
      </c>
      <c r="U3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2" s="51">
        <f>IFERROR(Table1[[#This Row],[Quantity  to  purchase]]*(Table1[[#This Row],[Cost ]]+Table1[[#This Row],[shipping]]+Table1[[#This Row],[Tax]]),0)</f>
        <v>0</v>
      </c>
      <c r="W372" s="36">
        <f>IFERROR(Table1[[#This Row],[leftover material]]*(Table1[[#This Row],[Cost ]]+Table1[[#This Row],[shipping]]+Table1[[#This Row],[Tax]]),0)</f>
        <v>0</v>
      </c>
      <c r="X372" s="36"/>
      <c r="Y372" s="87"/>
      <c r="Z372" s="87"/>
      <c r="AA372" s="87"/>
      <c r="AB372" s="36"/>
      <c r="AC372" s="36">
        <f>IF(ISNA(VLOOKUP(Table1[[#This Row],[Part Number]],'Multi-level BOM'!V$4:V$449,1,FALSE)),0,Table1[[#This Row],[Remaining Extended cost]])</f>
        <v>0</v>
      </c>
    </row>
    <row r="373" spans="1:29" x14ac:dyDescent="0.25">
      <c r="A373" s="1" t="s">
        <v>376</v>
      </c>
      <c r="B373" s="4"/>
      <c r="F373" s="3">
        <f>9%*Table1[[#This Row],[Cost ]]</f>
        <v>0</v>
      </c>
      <c r="J373" s="49">
        <f>SUMIF('Multi-level BOM'!D$4:D$467,Table1[[#This Row],[Part Number]],'Multi-level BOM'!H$4:H$467)</f>
        <v>0</v>
      </c>
      <c r="K373" s="10">
        <f>Table1[[#This Row],[extended quantity]]*(Table1[[#This Row],[Cost ]]+Table1[[#This Row],[shipping]]+Table1[[#This Row],[Tax]])</f>
        <v>0</v>
      </c>
      <c r="L373" s="83" t="str">
        <f>IF(Table1[[#This Row],[Buy-now costs]]&gt;0,"X","")</f>
        <v/>
      </c>
      <c r="M373" s="83"/>
      <c r="N373" s="83"/>
      <c r="O373" s="40">
        <v>0</v>
      </c>
      <c r="P373" s="97">
        <f>Table1[[#This Row],[quantity on-hand]]*(Table1[[#This Row],[Cost ]]+Table1[[#This Row],[shipping]]+Table1[[#This Row],[Tax]])</f>
        <v>0</v>
      </c>
      <c r="Q373" s="40">
        <v>0</v>
      </c>
      <c r="R373" s="95">
        <f>Table1[[#This Row],[Quantity on order]]*(Table1[[#This Row],[Cost ]]+Table1[[#This Row],[shipping]]+Table1[[#This Row],[Tax]])</f>
        <v>0</v>
      </c>
      <c r="S3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3" s="49">
        <f>Table1[[#This Row],[Quantity  to  purchase]]+Table1[[#This Row],[Quantity purchased]]+Table1[[#This Row],[Quantity on order]]+Table1[[#This Row],[Quantity donated]]-Table1[[#This Row],[extended quantity]]</f>
        <v>0</v>
      </c>
      <c r="U3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3" s="51">
        <f>IFERROR(Table1[[#This Row],[Quantity  to  purchase]]*(Table1[[#This Row],[Cost ]]+Table1[[#This Row],[shipping]]+Table1[[#This Row],[Tax]]),0)</f>
        <v>0</v>
      </c>
      <c r="W373" s="36">
        <f>IFERROR(Table1[[#This Row],[leftover material]]*(Table1[[#This Row],[Cost ]]+Table1[[#This Row],[shipping]]+Table1[[#This Row],[Tax]]),0)</f>
        <v>0</v>
      </c>
      <c r="X373" s="36"/>
      <c r="Y373" s="87"/>
      <c r="Z373" s="87"/>
      <c r="AA373" s="87"/>
      <c r="AB373" s="36"/>
      <c r="AC373" s="36">
        <f>IF(ISNA(VLOOKUP(Table1[[#This Row],[Part Number]],'Multi-level BOM'!V$4:V$449,1,FALSE)),0,Table1[[#This Row],[Remaining Extended cost]])</f>
        <v>0</v>
      </c>
    </row>
    <row r="374" spans="1:29" x14ac:dyDescent="0.25">
      <c r="A374" s="1" t="s">
        <v>377</v>
      </c>
      <c r="B374" s="4"/>
      <c r="F374" s="3">
        <f>9%*Table1[[#This Row],[Cost ]]</f>
        <v>0</v>
      </c>
      <c r="J374" s="49">
        <f>SUMIF('Multi-level BOM'!D$4:D$467,Table1[[#This Row],[Part Number]],'Multi-level BOM'!H$4:H$467)</f>
        <v>0</v>
      </c>
      <c r="K374" s="10">
        <f>Table1[[#This Row],[extended quantity]]*(Table1[[#This Row],[Cost ]]+Table1[[#This Row],[shipping]]+Table1[[#This Row],[Tax]])</f>
        <v>0</v>
      </c>
      <c r="L374" s="83" t="str">
        <f>IF(Table1[[#This Row],[Buy-now costs]]&gt;0,"X","")</f>
        <v/>
      </c>
      <c r="M374" s="83"/>
      <c r="N374" s="83"/>
      <c r="O374" s="40">
        <v>0</v>
      </c>
      <c r="P374" s="97">
        <f>Table1[[#This Row],[quantity on-hand]]*(Table1[[#This Row],[Cost ]]+Table1[[#This Row],[shipping]]+Table1[[#This Row],[Tax]])</f>
        <v>0</v>
      </c>
      <c r="Q374" s="40">
        <v>0</v>
      </c>
      <c r="R374" s="95">
        <f>Table1[[#This Row],[Quantity on order]]*(Table1[[#This Row],[Cost ]]+Table1[[#This Row],[shipping]]+Table1[[#This Row],[Tax]])</f>
        <v>0</v>
      </c>
      <c r="S3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4" s="49">
        <f>Table1[[#This Row],[Quantity  to  purchase]]+Table1[[#This Row],[Quantity purchased]]+Table1[[#This Row],[Quantity on order]]+Table1[[#This Row],[Quantity donated]]-Table1[[#This Row],[extended quantity]]</f>
        <v>0</v>
      </c>
      <c r="U3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4" s="51">
        <f>IFERROR(Table1[[#This Row],[Quantity  to  purchase]]*(Table1[[#This Row],[Cost ]]+Table1[[#This Row],[shipping]]+Table1[[#This Row],[Tax]]),0)</f>
        <v>0</v>
      </c>
      <c r="W374" s="36">
        <f>IFERROR(Table1[[#This Row],[leftover material]]*(Table1[[#This Row],[Cost ]]+Table1[[#This Row],[shipping]]+Table1[[#This Row],[Tax]]),0)</f>
        <v>0</v>
      </c>
      <c r="X374" s="36"/>
      <c r="Y374" s="87"/>
      <c r="Z374" s="87"/>
      <c r="AA374" s="87"/>
      <c r="AB374" s="36"/>
      <c r="AC374" s="36">
        <f>IF(ISNA(VLOOKUP(Table1[[#This Row],[Part Number]],'Multi-level BOM'!V$4:V$449,1,FALSE)),0,Table1[[#This Row],[Remaining Extended cost]])</f>
        <v>0</v>
      </c>
    </row>
    <row r="375" spans="1:29" x14ac:dyDescent="0.25">
      <c r="A375" s="1" t="s">
        <v>378</v>
      </c>
      <c r="B375" s="4"/>
      <c r="F375" s="3">
        <f>9%*Table1[[#This Row],[Cost ]]</f>
        <v>0</v>
      </c>
      <c r="J375" s="49">
        <f>SUMIF('Multi-level BOM'!D$4:D$467,Table1[[#This Row],[Part Number]],'Multi-level BOM'!H$4:H$467)</f>
        <v>0</v>
      </c>
      <c r="K375" s="10">
        <f>Table1[[#This Row],[extended quantity]]*(Table1[[#This Row],[Cost ]]+Table1[[#This Row],[shipping]]+Table1[[#This Row],[Tax]])</f>
        <v>0</v>
      </c>
      <c r="L375" s="83" t="str">
        <f>IF(Table1[[#This Row],[Buy-now costs]]&gt;0,"X","")</f>
        <v/>
      </c>
      <c r="M375" s="83"/>
      <c r="N375" s="83"/>
      <c r="O375" s="40">
        <v>0</v>
      </c>
      <c r="P375" s="97">
        <f>Table1[[#This Row],[quantity on-hand]]*(Table1[[#This Row],[Cost ]]+Table1[[#This Row],[shipping]]+Table1[[#This Row],[Tax]])</f>
        <v>0</v>
      </c>
      <c r="Q375" s="40">
        <v>0</v>
      </c>
      <c r="R375" s="95">
        <f>Table1[[#This Row],[Quantity on order]]*(Table1[[#This Row],[Cost ]]+Table1[[#This Row],[shipping]]+Table1[[#This Row],[Tax]])</f>
        <v>0</v>
      </c>
      <c r="S3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5" s="49">
        <f>Table1[[#This Row],[Quantity  to  purchase]]+Table1[[#This Row],[Quantity purchased]]+Table1[[#This Row],[Quantity on order]]+Table1[[#This Row],[Quantity donated]]-Table1[[#This Row],[extended quantity]]</f>
        <v>0</v>
      </c>
      <c r="U3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5" s="51">
        <f>IFERROR(Table1[[#This Row],[Quantity  to  purchase]]*(Table1[[#This Row],[Cost ]]+Table1[[#This Row],[shipping]]+Table1[[#This Row],[Tax]]),0)</f>
        <v>0</v>
      </c>
      <c r="W375" s="36">
        <f>IFERROR(Table1[[#This Row],[leftover material]]*(Table1[[#This Row],[Cost ]]+Table1[[#This Row],[shipping]]+Table1[[#This Row],[Tax]]),0)</f>
        <v>0</v>
      </c>
      <c r="X375" s="36"/>
      <c r="Y375" s="87"/>
      <c r="Z375" s="87"/>
      <c r="AA375" s="87"/>
      <c r="AB375" s="36"/>
      <c r="AC375" s="36">
        <f>IF(ISNA(VLOOKUP(Table1[[#This Row],[Part Number]],'Multi-level BOM'!V$4:V$449,1,FALSE)),0,Table1[[#This Row],[Remaining Extended cost]])</f>
        <v>0</v>
      </c>
    </row>
    <row r="376" spans="1:29" x14ac:dyDescent="0.25">
      <c r="A376" s="1" t="s">
        <v>379</v>
      </c>
      <c r="B376" s="4"/>
      <c r="F376" s="3">
        <f>9%*Table1[[#This Row],[Cost ]]</f>
        <v>0</v>
      </c>
      <c r="J376" s="49">
        <f>SUMIF('Multi-level BOM'!D$4:D$467,Table1[[#This Row],[Part Number]],'Multi-level BOM'!H$4:H$467)</f>
        <v>0</v>
      </c>
      <c r="K376" s="10">
        <f>Table1[[#This Row],[extended quantity]]*(Table1[[#This Row],[Cost ]]+Table1[[#This Row],[shipping]]+Table1[[#This Row],[Tax]])</f>
        <v>0</v>
      </c>
      <c r="L376" s="83" t="str">
        <f>IF(Table1[[#This Row],[Buy-now costs]]&gt;0,"X","")</f>
        <v/>
      </c>
      <c r="M376" s="83"/>
      <c r="N376" s="83"/>
      <c r="O376" s="40">
        <v>0</v>
      </c>
      <c r="P376" s="97">
        <f>Table1[[#This Row],[quantity on-hand]]*(Table1[[#This Row],[Cost ]]+Table1[[#This Row],[shipping]]+Table1[[#This Row],[Tax]])</f>
        <v>0</v>
      </c>
      <c r="Q376" s="40">
        <v>0</v>
      </c>
      <c r="R376" s="95">
        <f>Table1[[#This Row],[Quantity on order]]*(Table1[[#This Row],[Cost ]]+Table1[[#This Row],[shipping]]+Table1[[#This Row],[Tax]])</f>
        <v>0</v>
      </c>
      <c r="S3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6" s="49">
        <f>Table1[[#This Row],[Quantity  to  purchase]]+Table1[[#This Row],[Quantity purchased]]+Table1[[#This Row],[Quantity on order]]+Table1[[#This Row],[Quantity donated]]-Table1[[#This Row],[extended quantity]]</f>
        <v>0</v>
      </c>
      <c r="U3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6" s="51">
        <f>IFERROR(Table1[[#This Row],[Quantity  to  purchase]]*(Table1[[#This Row],[Cost ]]+Table1[[#This Row],[shipping]]+Table1[[#This Row],[Tax]]),0)</f>
        <v>0</v>
      </c>
      <c r="W376" s="36">
        <f>IFERROR(Table1[[#This Row],[leftover material]]*(Table1[[#This Row],[Cost ]]+Table1[[#This Row],[shipping]]+Table1[[#This Row],[Tax]]),0)</f>
        <v>0</v>
      </c>
      <c r="X376" s="36"/>
      <c r="Y376" s="87"/>
      <c r="Z376" s="87"/>
      <c r="AA376" s="87"/>
      <c r="AB376" s="36"/>
      <c r="AC376" s="36">
        <f>IF(ISNA(VLOOKUP(Table1[[#This Row],[Part Number]],'Multi-level BOM'!V$4:V$449,1,FALSE)),0,Table1[[#This Row],[Remaining Extended cost]])</f>
        <v>0</v>
      </c>
    </row>
    <row r="377" spans="1:29" x14ac:dyDescent="0.25">
      <c r="A377" s="1" t="s">
        <v>380</v>
      </c>
      <c r="B377" s="4"/>
      <c r="F377" s="3">
        <f>9%*Table1[[#This Row],[Cost ]]</f>
        <v>0</v>
      </c>
      <c r="J377" s="49">
        <f>SUMIF('Multi-level BOM'!D$4:D$467,Table1[[#This Row],[Part Number]],'Multi-level BOM'!H$4:H$467)</f>
        <v>0</v>
      </c>
      <c r="K377" s="10">
        <f>Table1[[#This Row],[extended quantity]]*(Table1[[#This Row],[Cost ]]+Table1[[#This Row],[shipping]]+Table1[[#This Row],[Tax]])</f>
        <v>0</v>
      </c>
      <c r="L377" s="83" t="str">
        <f>IF(Table1[[#This Row],[Buy-now costs]]&gt;0,"X","")</f>
        <v/>
      </c>
      <c r="M377" s="83"/>
      <c r="N377" s="83"/>
      <c r="O377" s="40">
        <v>0</v>
      </c>
      <c r="P377" s="97">
        <f>Table1[[#This Row],[quantity on-hand]]*(Table1[[#This Row],[Cost ]]+Table1[[#This Row],[shipping]]+Table1[[#This Row],[Tax]])</f>
        <v>0</v>
      </c>
      <c r="Q377" s="40">
        <v>0</v>
      </c>
      <c r="R377" s="95">
        <f>Table1[[#This Row],[Quantity on order]]*(Table1[[#This Row],[Cost ]]+Table1[[#This Row],[shipping]]+Table1[[#This Row],[Tax]])</f>
        <v>0</v>
      </c>
      <c r="S3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7" s="49">
        <f>Table1[[#This Row],[Quantity  to  purchase]]+Table1[[#This Row],[Quantity purchased]]+Table1[[#This Row],[Quantity on order]]+Table1[[#This Row],[Quantity donated]]-Table1[[#This Row],[extended quantity]]</f>
        <v>0</v>
      </c>
      <c r="U3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7" s="51">
        <f>IFERROR(Table1[[#This Row],[Quantity  to  purchase]]*(Table1[[#This Row],[Cost ]]+Table1[[#This Row],[shipping]]+Table1[[#This Row],[Tax]]),0)</f>
        <v>0</v>
      </c>
      <c r="W377" s="36">
        <f>IFERROR(Table1[[#This Row],[leftover material]]*(Table1[[#This Row],[Cost ]]+Table1[[#This Row],[shipping]]+Table1[[#This Row],[Tax]]),0)</f>
        <v>0</v>
      </c>
      <c r="X377" s="36"/>
      <c r="Y377" s="87"/>
      <c r="Z377" s="87"/>
      <c r="AA377" s="87"/>
      <c r="AB377" s="36"/>
      <c r="AC377" s="36">
        <f>IF(ISNA(VLOOKUP(Table1[[#This Row],[Part Number]],'Multi-level BOM'!V$4:V$449,1,FALSE)),0,Table1[[#This Row],[Remaining Extended cost]])</f>
        <v>0</v>
      </c>
    </row>
    <row r="378" spans="1:29" x14ac:dyDescent="0.25">
      <c r="A378" s="1" t="s">
        <v>381</v>
      </c>
      <c r="B378" s="4"/>
      <c r="F378" s="3">
        <f>9%*Table1[[#This Row],[Cost ]]</f>
        <v>0</v>
      </c>
      <c r="J378" s="49">
        <f>SUMIF('Multi-level BOM'!D$4:D$467,Table1[[#This Row],[Part Number]],'Multi-level BOM'!H$4:H$467)</f>
        <v>0</v>
      </c>
      <c r="K378" s="10">
        <f>Table1[[#This Row],[extended quantity]]*(Table1[[#This Row],[Cost ]]+Table1[[#This Row],[shipping]]+Table1[[#This Row],[Tax]])</f>
        <v>0</v>
      </c>
      <c r="L378" s="83" t="str">
        <f>IF(Table1[[#This Row],[Buy-now costs]]&gt;0,"X","")</f>
        <v/>
      </c>
      <c r="M378" s="83"/>
      <c r="N378" s="83"/>
      <c r="O378" s="40">
        <v>0</v>
      </c>
      <c r="P378" s="97">
        <f>Table1[[#This Row],[quantity on-hand]]*(Table1[[#This Row],[Cost ]]+Table1[[#This Row],[shipping]]+Table1[[#This Row],[Tax]])</f>
        <v>0</v>
      </c>
      <c r="Q378" s="40">
        <v>0</v>
      </c>
      <c r="R378" s="95">
        <f>Table1[[#This Row],[Quantity on order]]*(Table1[[#This Row],[Cost ]]+Table1[[#This Row],[shipping]]+Table1[[#This Row],[Tax]])</f>
        <v>0</v>
      </c>
      <c r="S3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8" s="49">
        <f>Table1[[#This Row],[Quantity  to  purchase]]+Table1[[#This Row],[Quantity purchased]]+Table1[[#This Row],[Quantity on order]]+Table1[[#This Row],[Quantity donated]]-Table1[[#This Row],[extended quantity]]</f>
        <v>0</v>
      </c>
      <c r="U3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8" s="51">
        <f>IFERROR(Table1[[#This Row],[Quantity  to  purchase]]*(Table1[[#This Row],[Cost ]]+Table1[[#This Row],[shipping]]+Table1[[#This Row],[Tax]]),0)</f>
        <v>0</v>
      </c>
      <c r="W378" s="36">
        <f>IFERROR(Table1[[#This Row],[leftover material]]*(Table1[[#This Row],[Cost ]]+Table1[[#This Row],[shipping]]+Table1[[#This Row],[Tax]]),0)</f>
        <v>0</v>
      </c>
      <c r="X378" s="36"/>
      <c r="Y378" s="87"/>
      <c r="Z378" s="87"/>
      <c r="AA378" s="87"/>
      <c r="AB378" s="36"/>
      <c r="AC378" s="36">
        <f>IF(ISNA(VLOOKUP(Table1[[#This Row],[Part Number]],'Multi-level BOM'!V$4:V$449,1,FALSE)),0,Table1[[#This Row],[Remaining Extended cost]])</f>
        <v>0</v>
      </c>
    </row>
    <row r="379" spans="1:29" x14ac:dyDescent="0.25">
      <c r="A379" s="1" t="s">
        <v>382</v>
      </c>
      <c r="B379" s="4"/>
      <c r="F379" s="3">
        <f>9%*Table1[[#This Row],[Cost ]]</f>
        <v>0</v>
      </c>
      <c r="J379" s="49">
        <f>SUMIF('Multi-level BOM'!D$4:D$467,Table1[[#This Row],[Part Number]],'Multi-level BOM'!H$4:H$467)</f>
        <v>0</v>
      </c>
      <c r="K379" s="10">
        <f>Table1[[#This Row],[extended quantity]]*(Table1[[#This Row],[Cost ]]+Table1[[#This Row],[shipping]]+Table1[[#This Row],[Tax]])</f>
        <v>0</v>
      </c>
      <c r="L379" s="83" t="str">
        <f>IF(Table1[[#This Row],[Buy-now costs]]&gt;0,"X","")</f>
        <v/>
      </c>
      <c r="M379" s="83"/>
      <c r="N379" s="83"/>
      <c r="O379" s="40">
        <v>0</v>
      </c>
      <c r="P379" s="97">
        <f>Table1[[#This Row],[quantity on-hand]]*(Table1[[#This Row],[Cost ]]+Table1[[#This Row],[shipping]]+Table1[[#This Row],[Tax]])</f>
        <v>0</v>
      </c>
      <c r="Q379" s="40">
        <v>0</v>
      </c>
      <c r="R379" s="95">
        <f>Table1[[#This Row],[Quantity on order]]*(Table1[[#This Row],[Cost ]]+Table1[[#This Row],[shipping]]+Table1[[#This Row],[Tax]])</f>
        <v>0</v>
      </c>
      <c r="S3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9" s="49">
        <f>Table1[[#This Row],[Quantity  to  purchase]]+Table1[[#This Row],[Quantity purchased]]+Table1[[#This Row],[Quantity on order]]+Table1[[#This Row],[Quantity donated]]-Table1[[#This Row],[extended quantity]]</f>
        <v>0</v>
      </c>
      <c r="U3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9" s="51">
        <f>IFERROR(Table1[[#This Row],[Quantity  to  purchase]]*(Table1[[#This Row],[Cost ]]+Table1[[#This Row],[shipping]]+Table1[[#This Row],[Tax]]),0)</f>
        <v>0</v>
      </c>
      <c r="W379" s="36">
        <f>IFERROR(Table1[[#This Row],[leftover material]]*(Table1[[#This Row],[Cost ]]+Table1[[#This Row],[shipping]]+Table1[[#This Row],[Tax]]),0)</f>
        <v>0</v>
      </c>
      <c r="X379" s="36"/>
      <c r="Y379" s="87"/>
      <c r="Z379" s="87"/>
      <c r="AA379" s="87"/>
      <c r="AB379" s="36"/>
      <c r="AC379" s="36">
        <f>IF(ISNA(VLOOKUP(Table1[[#This Row],[Part Number]],'Multi-level BOM'!V$4:V$449,1,FALSE)),0,Table1[[#This Row],[Remaining Extended cost]])</f>
        <v>0</v>
      </c>
    </row>
    <row r="380" spans="1:29" x14ac:dyDescent="0.25">
      <c r="A380" s="1" t="s">
        <v>383</v>
      </c>
      <c r="B380" s="4"/>
      <c r="F380" s="3">
        <f>9%*Table1[[#This Row],[Cost ]]</f>
        <v>0</v>
      </c>
      <c r="J380" s="49">
        <f>SUMIF('Multi-level BOM'!D$4:D$467,Table1[[#This Row],[Part Number]],'Multi-level BOM'!H$4:H$467)</f>
        <v>0</v>
      </c>
      <c r="K380" s="10">
        <f>Table1[[#This Row],[extended quantity]]*(Table1[[#This Row],[Cost ]]+Table1[[#This Row],[shipping]]+Table1[[#This Row],[Tax]])</f>
        <v>0</v>
      </c>
      <c r="L380" s="83" t="str">
        <f>IF(Table1[[#This Row],[Buy-now costs]]&gt;0,"X","")</f>
        <v/>
      </c>
      <c r="M380" s="83"/>
      <c r="N380" s="83"/>
      <c r="O380" s="40">
        <v>0</v>
      </c>
      <c r="P380" s="97">
        <f>Table1[[#This Row],[quantity on-hand]]*(Table1[[#This Row],[Cost ]]+Table1[[#This Row],[shipping]]+Table1[[#This Row],[Tax]])</f>
        <v>0</v>
      </c>
      <c r="Q380" s="40">
        <v>0</v>
      </c>
      <c r="R380" s="95">
        <f>Table1[[#This Row],[Quantity on order]]*(Table1[[#This Row],[Cost ]]+Table1[[#This Row],[shipping]]+Table1[[#This Row],[Tax]])</f>
        <v>0</v>
      </c>
      <c r="S3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0" s="49">
        <f>Table1[[#This Row],[Quantity  to  purchase]]+Table1[[#This Row],[Quantity purchased]]+Table1[[#This Row],[Quantity on order]]+Table1[[#This Row],[Quantity donated]]-Table1[[#This Row],[extended quantity]]</f>
        <v>0</v>
      </c>
      <c r="U3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0" s="51">
        <f>IFERROR(Table1[[#This Row],[Quantity  to  purchase]]*(Table1[[#This Row],[Cost ]]+Table1[[#This Row],[shipping]]+Table1[[#This Row],[Tax]]),0)</f>
        <v>0</v>
      </c>
      <c r="W380" s="36">
        <f>IFERROR(Table1[[#This Row],[leftover material]]*(Table1[[#This Row],[Cost ]]+Table1[[#This Row],[shipping]]+Table1[[#This Row],[Tax]]),0)</f>
        <v>0</v>
      </c>
      <c r="X380" s="36"/>
      <c r="Y380" s="87"/>
      <c r="Z380" s="87"/>
      <c r="AA380" s="87"/>
      <c r="AB380" s="36"/>
      <c r="AC380" s="36">
        <f>IF(ISNA(VLOOKUP(Table1[[#This Row],[Part Number]],'Multi-level BOM'!V$4:V$449,1,FALSE)),0,Table1[[#This Row],[Remaining Extended cost]])</f>
        <v>0</v>
      </c>
    </row>
    <row r="381" spans="1:29" x14ac:dyDescent="0.25">
      <c r="A381" s="1" t="s">
        <v>384</v>
      </c>
      <c r="B381" s="4"/>
      <c r="F381" s="3">
        <f>9%*Table1[[#This Row],[Cost ]]</f>
        <v>0</v>
      </c>
      <c r="J381" s="49">
        <f>SUMIF('Multi-level BOM'!D$4:D$467,Table1[[#This Row],[Part Number]],'Multi-level BOM'!H$4:H$467)</f>
        <v>0</v>
      </c>
      <c r="K381" s="10">
        <f>Table1[[#This Row],[extended quantity]]*(Table1[[#This Row],[Cost ]]+Table1[[#This Row],[shipping]]+Table1[[#This Row],[Tax]])</f>
        <v>0</v>
      </c>
      <c r="L381" s="83" t="str">
        <f>IF(Table1[[#This Row],[Buy-now costs]]&gt;0,"X","")</f>
        <v/>
      </c>
      <c r="M381" s="83"/>
      <c r="N381" s="83"/>
      <c r="O381" s="40">
        <v>0</v>
      </c>
      <c r="P381" s="97">
        <f>Table1[[#This Row],[quantity on-hand]]*(Table1[[#This Row],[Cost ]]+Table1[[#This Row],[shipping]]+Table1[[#This Row],[Tax]])</f>
        <v>0</v>
      </c>
      <c r="Q381" s="40">
        <v>0</v>
      </c>
      <c r="R381" s="95">
        <f>Table1[[#This Row],[Quantity on order]]*(Table1[[#This Row],[Cost ]]+Table1[[#This Row],[shipping]]+Table1[[#This Row],[Tax]])</f>
        <v>0</v>
      </c>
      <c r="S3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1" s="49">
        <f>Table1[[#This Row],[Quantity  to  purchase]]+Table1[[#This Row],[Quantity purchased]]+Table1[[#This Row],[Quantity on order]]+Table1[[#This Row],[Quantity donated]]-Table1[[#This Row],[extended quantity]]</f>
        <v>0</v>
      </c>
      <c r="U3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1" s="51">
        <f>IFERROR(Table1[[#This Row],[Quantity  to  purchase]]*(Table1[[#This Row],[Cost ]]+Table1[[#This Row],[shipping]]+Table1[[#This Row],[Tax]]),0)</f>
        <v>0</v>
      </c>
      <c r="W381" s="36">
        <f>IFERROR(Table1[[#This Row],[leftover material]]*(Table1[[#This Row],[Cost ]]+Table1[[#This Row],[shipping]]+Table1[[#This Row],[Tax]]),0)</f>
        <v>0</v>
      </c>
      <c r="X381" s="36"/>
      <c r="Y381" s="87"/>
      <c r="Z381" s="87"/>
      <c r="AA381" s="87"/>
      <c r="AB381" s="36"/>
      <c r="AC381" s="36">
        <f>IF(ISNA(VLOOKUP(Table1[[#This Row],[Part Number]],'Multi-level BOM'!V$4:V$449,1,FALSE)),0,Table1[[#This Row],[Remaining Extended cost]])</f>
        <v>0</v>
      </c>
    </row>
    <row r="382" spans="1:29" x14ac:dyDescent="0.25">
      <c r="A382" s="1" t="s">
        <v>385</v>
      </c>
      <c r="B382" s="4"/>
      <c r="F382" s="3">
        <f>9%*Table1[[#This Row],[Cost ]]</f>
        <v>0</v>
      </c>
      <c r="J382" s="49">
        <f>SUMIF('Multi-level BOM'!D$4:D$467,Table1[[#This Row],[Part Number]],'Multi-level BOM'!H$4:H$467)</f>
        <v>0</v>
      </c>
      <c r="K382" s="10">
        <f>Table1[[#This Row],[extended quantity]]*(Table1[[#This Row],[Cost ]]+Table1[[#This Row],[shipping]]+Table1[[#This Row],[Tax]])</f>
        <v>0</v>
      </c>
      <c r="L382" s="83" t="str">
        <f>IF(Table1[[#This Row],[Buy-now costs]]&gt;0,"X","")</f>
        <v/>
      </c>
      <c r="M382" s="83"/>
      <c r="N382" s="83"/>
      <c r="O382" s="40">
        <v>0</v>
      </c>
      <c r="P382" s="97">
        <f>Table1[[#This Row],[quantity on-hand]]*(Table1[[#This Row],[Cost ]]+Table1[[#This Row],[shipping]]+Table1[[#This Row],[Tax]])</f>
        <v>0</v>
      </c>
      <c r="Q382" s="40">
        <v>0</v>
      </c>
      <c r="R382" s="95">
        <f>Table1[[#This Row],[Quantity on order]]*(Table1[[#This Row],[Cost ]]+Table1[[#This Row],[shipping]]+Table1[[#This Row],[Tax]])</f>
        <v>0</v>
      </c>
      <c r="S3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2" s="49">
        <f>Table1[[#This Row],[Quantity  to  purchase]]+Table1[[#This Row],[Quantity purchased]]+Table1[[#This Row],[Quantity on order]]+Table1[[#This Row],[Quantity donated]]-Table1[[#This Row],[extended quantity]]</f>
        <v>0</v>
      </c>
      <c r="U3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2" s="51">
        <f>IFERROR(Table1[[#This Row],[Quantity  to  purchase]]*(Table1[[#This Row],[Cost ]]+Table1[[#This Row],[shipping]]+Table1[[#This Row],[Tax]]),0)</f>
        <v>0</v>
      </c>
      <c r="W382" s="36">
        <f>IFERROR(Table1[[#This Row],[leftover material]]*(Table1[[#This Row],[Cost ]]+Table1[[#This Row],[shipping]]+Table1[[#This Row],[Tax]]),0)</f>
        <v>0</v>
      </c>
      <c r="X382" s="36"/>
      <c r="Y382" s="87"/>
      <c r="Z382" s="87"/>
      <c r="AA382" s="87"/>
      <c r="AB382" s="36"/>
      <c r="AC382" s="36">
        <f>IF(ISNA(VLOOKUP(Table1[[#This Row],[Part Number]],'Multi-level BOM'!V$4:V$449,1,FALSE)),0,Table1[[#This Row],[Remaining Extended cost]])</f>
        <v>0</v>
      </c>
    </row>
    <row r="383" spans="1:29" x14ac:dyDescent="0.25">
      <c r="A383" s="1" t="s">
        <v>386</v>
      </c>
      <c r="B383" s="4"/>
      <c r="F383" s="3">
        <f>9%*Table1[[#This Row],[Cost ]]</f>
        <v>0</v>
      </c>
      <c r="J383" s="49">
        <f>SUMIF('Multi-level BOM'!D$4:D$467,Table1[[#This Row],[Part Number]],'Multi-level BOM'!H$4:H$467)</f>
        <v>0</v>
      </c>
      <c r="K383" s="10">
        <f>Table1[[#This Row],[extended quantity]]*(Table1[[#This Row],[Cost ]]+Table1[[#This Row],[shipping]]+Table1[[#This Row],[Tax]])</f>
        <v>0</v>
      </c>
      <c r="L383" s="83" t="str">
        <f>IF(Table1[[#This Row],[Buy-now costs]]&gt;0,"X","")</f>
        <v/>
      </c>
      <c r="M383" s="83"/>
      <c r="N383" s="83"/>
      <c r="O383" s="40">
        <v>0</v>
      </c>
      <c r="P383" s="97">
        <f>Table1[[#This Row],[quantity on-hand]]*(Table1[[#This Row],[Cost ]]+Table1[[#This Row],[shipping]]+Table1[[#This Row],[Tax]])</f>
        <v>0</v>
      </c>
      <c r="Q383" s="40">
        <v>0</v>
      </c>
      <c r="R383" s="95">
        <f>Table1[[#This Row],[Quantity on order]]*(Table1[[#This Row],[Cost ]]+Table1[[#This Row],[shipping]]+Table1[[#This Row],[Tax]])</f>
        <v>0</v>
      </c>
      <c r="S3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3" s="49">
        <f>Table1[[#This Row],[Quantity  to  purchase]]+Table1[[#This Row],[Quantity purchased]]+Table1[[#This Row],[Quantity on order]]+Table1[[#This Row],[Quantity donated]]-Table1[[#This Row],[extended quantity]]</f>
        <v>0</v>
      </c>
      <c r="U3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3" s="51">
        <f>IFERROR(Table1[[#This Row],[Quantity  to  purchase]]*(Table1[[#This Row],[Cost ]]+Table1[[#This Row],[shipping]]+Table1[[#This Row],[Tax]]),0)</f>
        <v>0</v>
      </c>
      <c r="W383" s="36">
        <f>IFERROR(Table1[[#This Row],[leftover material]]*(Table1[[#This Row],[Cost ]]+Table1[[#This Row],[shipping]]+Table1[[#This Row],[Tax]]),0)</f>
        <v>0</v>
      </c>
      <c r="X383" s="36"/>
      <c r="Y383" s="87"/>
      <c r="Z383" s="87"/>
      <c r="AA383" s="87"/>
      <c r="AB383" s="36"/>
      <c r="AC383" s="36">
        <f>IF(ISNA(VLOOKUP(Table1[[#This Row],[Part Number]],'Multi-level BOM'!V$4:V$449,1,FALSE)),0,Table1[[#This Row],[Remaining Extended cost]])</f>
        <v>0</v>
      </c>
    </row>
    <row r="384" spans="1:29" x14ac:dyDescent="0.25">
      <c r="A384" s="1" t="s">
        <v>387</v>
      </c>
      <c r="B384" s="4"/>
      <c r="F384" s="3">
        <f>9%*Table1[[#This Row],[Cost ]]</f>
        <v>0</v>
      </c>
      <c r="J384" s="49">
        <f>SUMIF('Multi-level BOM'!D$4:D$467,Table1[[#This Row],[Part Number]],'Multi-level BOM'!H$4:H$467)</f>
        <v>0</v>
      </c>
      <c r="K384" s="10">
        <f>Table1[[#This Row],[extended quantity]]*(Table1[[#This Row],[Cost ]]+Table1[[#This Row],[shipping]]+Table1[[#This Row],[Tax]])</f>
        <v>0</v>
      </c>
      <c r="L384" s="83" t="str">
        <f>IF(Table1[[#This Row],[Buy-now costs]]&gt;0,"X","")</f>
        <v/>
      </c>
      <c r="M384" s="83"/>
      <c r="N384" s="83"/>
      <c r="O384" s="40">
        <v>0</v>
      </c>
      <c r="P384" s="97">
        <f>Table1[[#This Row],[quantity on-hand]]*(Table1[[#This Row],[Cost ]]+Table1[[#This Row],[shipping]]+Table1[[#This Row],[Tax]])</f>
        <v>0</v>
      </c>
      <c r="Q384" s="40">
        <v>0</v>
      </c>
      <c r="R384" s="95">
        <f>Table1[[#This Row],[Quantity on order]]*(Table1[[#This Row],[Cost ]]+Table1[[#This Row],[shipping]]+Table1[[#This Row],[Tax]])</f>
        <v>0</v>
      </c>
      <c r="S3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4" s="49">
        <f>Table1[[#This Row],[Quantity  to  purchase]]+Table1[[#This Row],[Quantity purchased]]+Table1[[#This Row],[Quantity on order]]+Table1[[#This Row],[Quantity donated]]-Table1[[#This Row],[extended quantity]]</f>
        <v>0</v>
      </c>
      <c r="U3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4" s="51">
        <f>IFERROR(Table1[[#This Row],[Quantity  to  purchase]]*(Table1[[#This Row],[Cost ]]+Table1[[#This Row],[shipping]]+Table1[[#This Row],[Tax]]),0)</f>
        <v>0</v>
      </c>
      <c r="W384" s="36">
        <f>IFERROR(Table1[[#This Row],[leftover material]]*(Table1[[#This Row],[Cost ]]+Table1[[#This Row],[shipping]]+Table1[[#This Row],[Tax]]),0)</f>
        <v>0</v>
      </c>
      <c r="X384" s="36"/>
      <c r="Y384" s="87"/>
      <c r="Z384" s="87"/>
      <c r="AA384" s="87"/>
      <c r="AB384" s="36"/>
      <c r="AC384" s="36">
        <f>IF(ISNA(VLOOKUP(Table1[[#This Row],[Part Number]],'Multi-level BOM'!V$4:V$449,1,FALSE)),0,Table1[[#This Row],[Remaining Extended cost]])</f>
        <v>0</v>
      </c>
    </row>
    <row r="385" spans="1:29" x14ac:dyDescent="0.25">
      <c r="A385" s="1" t="s">
        <v>388</v>
      </c>
      <c r="B385" s="4"/>
      <c r="F385" s="3">
        <f>9%*Table1[[#This Row],[Cost ]]</f>
        <v>0</v>
      </c>
      <c r="J385" s="49">
        <f>SUMIF('Multi-level BOM'!D$4:D$467,Table1[[#This Row],[Part Number]],'Multi-level BOM'!H$4:H$467)</f>
        <v>0</v>
      </c>
      <c r="K385" s="10">
        <f>Table1[[#This Row],[extended quantity]]*(Table1[[#This Row],[Cost ]]+Table1[[#This Row],[shipping]]+Table1[[#This Row],[Tax]])</f>
        <v>0</v>
      </c>
      <c r="L385" s="83" t="str">
        <f>IF(Table1[[#This Row],[Buy-now costs]]&gt;0,"X","")</f>
        <v/>
      </c>
      <c r="M385" s="83"/>
      <c r="N385" s="83"/>
      <c r="O385" s="40">
        <v>0</v>
      </c>
      <c r="P385" s="97">
        <f>Table1[[#This Row],[quantity on-hand]]*(Table1[[#This Row],[Cost ]]+Table1[[#This Row],[shipping]]+Table1[[#This Row],[Tax]])</f>
        <v>0</v>
      </c>
      <c r="Q385" s="40">
        <v>0</v>
      </c>
      <c r="R385" s="95">
        <f>Table1[[#This Row],[Quantity on order]]*(Table1[[#This Row],[Cost ]]+Table1[[#This Row],[shipping]]+Table1[[#This Row],[Tax]])</f>
        <v>0</v>
      </c>
      <c r="S3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5" s="49">
        <f>Table1[[#This Row],[Quantity  to  purchase]]+Table1[[#This Row],[Quantity purchased]]+Table1[[#This Row],[Quantity on order]]+Table1[[#This Row],[Quantity donated]]-Table1[[#This Row],[extended quantity]]</f>
        <v>0</v>
      </c>
      <c r="U3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5" s="51">
        <f>IFERROR(Table1[[#This Row],[Quantity  to  purchase]]*(Table1[[#This Row],[Cost ]]+Table1[[#This Row],[shipping]]+Table1[[#This Row],[Tax]]),0)</f>
        <v>0</v>
      </c>
      <c r="W385" s="36">
        <f>IFERROR(Table1[[#This Row],[leftover material]]*(Table1[[#This Row],[Cost ]]+Table1[[#This Row],[shipping]]+Table1[[#This Row],[Tax]]),0)</f>
        <v>0</v>
      </c>
      <c r="X385" s="36"/>
      <c r="Y385" s="87"/>
      <c r="Z385" s="87"/>
      <c r="AA385" s="87"/>
      <c r="AB385" s="36"/>
      <c r="AC385" s="36">
        <f>IF(ISNA(VLOOKUP(Table1[[#This Row],[Part Number]],'Multi-level BOM'!V$4:V$449,1,FALSE)),0,Table1[[#This Row],[Remaining Extended cost]])</f>
        <v>0</v>
      </c>
    </row>
    <row r="386" spans="1:29" x14ac:dyDescent="0.25">
      <c r="A386" s="1" t="s">
        <v>389</v>
      </c>
      <c r="B386" s="4"/>
      <c r="F386" s="3">
        <f>9%*Table1[[#This Row],[Cost ]]</f>
        <v>0</v>
      </c>
      <c r="J386" s="49">
        <f>SUMIF('Multi-level BOM'!D$4:D$467,Table1[[#This Row],[Part Number]],'Multi-level BOM'!H$4:H$467)</f>
        <v>0</v>
      </c>
      <c r="K386" s="10">
        <f>Table1[[#This Row],[extended quantity]]*(Table1[[#This Row],[Cost ]]+Table1[[#This Row],[shipping]]+Table1[[#This Row],[Tax]])</f>
        <v>0</v>
      </c>
      <c r="L386" s="83" t="str">
        <f>IF(Table1[[#This Row],[Buy-now costs]]&gt;0,"X","")</f>
        <v/>
      </c>
      <c r="M386" s="83"/>
      <c r="N386" s="83"/>
      <c r="O386" s="40">
        <v>0</v>
      </c>
      <c r="P386" s="97">
        <f>Table1[[#This Row],[quantity on-hand]]*(Table1[[#This Row],[Cost ]]+Table1[[#This Row],[shipping]]+Table1[[#This Row],[Tax]])</f>
        <v>0</v>
      </c>
      <c r="Q386" s="40">
        <v>0</v>
      </c>
      <c r="R386" s="95">
        <f>Table1[[#This Row],[Quantity on order]]*(Table1[[#This Row],[Cost ]]+Table1[[#This Row],[shipping]]+Table1[[#This Row],[Tax]])</f>
        <v>0</v>
      </c>
      <c r="S3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6" s="49">
        <f>Table1[[#This Row],[Quantity  to  purchase]]+Table1[[#This Row],[Quantity purchased]]+Table1[[#This Row],[Quantity on order]]+Table1[[#This Row],[Quantity donated]]-Table1[[#This Row],[extended quantity]]</f>
        <v>0</v>
      </c>
      <c r="U3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6" s="51">
        <f>IFERROR(Table1[[#This Row],[Quantity  to  purchase]]*(Table1[[#This Row],[Cost ]]+Table1[[#This Row],[shipping]]+Table1[[#This Row],[Tax]]),0)</f>
        <v>0</v>
      </c>
      <c r="W386" s="36">
        <f>IFERROR(Table1[[#This Row],[leftover material]]*(Table1[[#This Row],[Cost ]]+Table1[[#This Row],[shipping]]+Table1[[#This Row],[Tax]]),0)</f>
        <v>0</v>
      </c>
      <c r="X386" s="36"/>
      <c r="Y386" s="87"/>
      <c r="Z386" s="87"/>
      <c r="AA386" s="87"/>
      <c r="AB386" s="36"/>
      <c r="AC386" s="36">
        <f>IF(ISNA(VLOOKUP(Table1[[#This Row],[Part Number]],'Multi-level BOM'!V$4:V$449,1,FALSE)),0,Table1[[#This Row],[Remaining Extended cost]])</f>
        <v>0</v>
      </c>
    </row>
    <row r="387" spans="1:29" x14ac:dyDescent="0.25">
      <c r="A387" s="1" t="s">
        <v>390</v>
      </c>
      <c r="B387" s="4"/>
      <c r="F387" s="3">
        <f>9%*Table1[[#This Row],[Cost ]]</f>
        <v>0</v>
      </c>
      <c r="J387" s="49">
        <f>SUMIF('Multi-level BOM'!D$4:D$467,Table1[[#This Row],[Part Number]],'Multi-level BOM'!H$4:H$467)</f>
        <v>0</v>
      </c>
      <c r="K387" s="10">
        <f>Table1[[#This Row],[extended quantity]]*(Table1[[#This Row],[Cost ]]+Table1[[#This Row],[shipping]]+Table1[[#This Row],[Tax]])</f>
        <v>0</v>
      </c>
      <c r="L387" s="83" t="str">
        <f>IF(Table1[[#This Row],[Buy-now costs]]&gt;0,"X","")</f>
        <v/>
      </c>
      <c r="M387" s="83"/>
      <c r="N387" s="83"/>
      <c r="O387" s="40">
        <v>0</v>
      </c>
      <c r="P387" s="97">
        <f>Table1[[#This Row],[quantity on-hand]]*(Table1[[#This Row],[Cost ]]+Table1[[#This Row],[shipping]]+Table1[[#This Row],[Tax]])</f>
        <v>0</v>
      </c>
      <c r="Q387" s="40">
        <v>0</v>
      </c>
      <c r="R387" s="95">
        <f>Table1[[#This Row],[Quantity on order]]*(Table1[[#This Row],[Cost ]]+Table1[[#This Row],[shipping]]+Table1[[#This Row],[Tax]])</f>
        <v>0</v>
      </c>
      <c r="S3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7" s="49">
        <f>Table1[[#This Row],[Quantity  to  purchase]]+Table1[[#This Row],[Quantity purchased]]+Table1[[#This Row],[Quantity on order]]+Table1[[#This Row],[Quantity donated]]-Table1[[#This Row],[extended quantity]]</f>
        <v>0</v>
      </c>
      <c r="U3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7" s="51">
        <f>IFERROR(Table1[[#This Row],[Quantity  to  purchase]]*(Table1[[#This Row],[Cost ]]+Table1[[#This Row],[shipping]]+Table1[[#This Row],[Tax]]),0)</f>
        <v>0</v>
      </c>
      <c r="W387" s="36">
        <f>IFERROR(Table1[[#This Row],[leftover material]]*(Table1[[#This Row],[Cost ]]+Table1[[#This Row],[shipping]]+Table1[[#This Row],[Tax]]),0)</f>
        <v>0</v>
      </c>
      <c r="X387" s="36"/>
      <c r="Y387" s="87"/>
      <c r="Z387" s="87"/>
      <c r="AA387" s="87"/>
      <c r="AB387" s="36"/>
      <c r="AC387" s="36">
        <f>IF(ISNA(VLOOKUP(Table1[[#This Row],[Part Number]],'Multi-level BOM'!V$4:V$449,1,FALSE)),0,Table1[[#This Row],[Remaining Extended cost]])</f>
        <v>0</v>
      </c>
    </row>
    <row r="388" spans="1:29" x14ac:dyDescent="0.25">
      <c r="A388" s="1" t="s">
        <v>391</v>
      </c>
      <c r="B388" s="4"/>
      <c r="F388" s="3">
        <f>9%*Table1[[#This Row],[Cost ]]</f>
        <v>0</v>
      </c>
      <c r="J388" s="49">
        <f>SUMIF('Multi-level BOM'!D$4:D$467,Table1[[#This Row],[Part Number]],'Multi-level BOM'!H$4:H$467)</f>
        <v>0</v>
      </c>
      <c r="K388" s="10">
        <f>Table1[[#This Row],[extended quantity]]*(Table1[[#This Row],[Cost ]]+Table1[[#This Row],[shipping]]+Table1[[#This Row],[Tax]])</f>
        <v>0</v>
      </c>
      <c r="L388" s="83" t="str">
        <f>IF(Table1[[#This Row],[Buy-now costs]]&gt;0,"X","")</f>
        <v/>
      </c>
      <c r="M388" s="83"/>
      <c r="N388" s="83"/>
      <c r="O388" s="40">
        <v>0</v>
      </c>
      <c r="P388" s="97">
        <f>Table1[[#This Row],[quantity on-hand]]*(Table1[[#This Row],[Cost ]]+Table1[[#This Row],[shipping]]+Table1[[#This Row],[Tax]])</f>
        <v>0</v>
      </c>
      <c r="Q388" s="40">
        <v>0</v>
      </c>
      <c r="R388" s="95">
        <f>Table1[[#This Row],[Quantity on order]]*(Table1[[#This Row],[Cost ]]+Table1[[#This Row],[shipping]]+Table1[[#This Row],[Tax]])</f>
        <v>0</v>
      </c>
      <c r="S3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8" s="49">
        <f>Table1[[#This Row],[Quantity  to  purchase]]+Table1[[#This Row],[Quantity purchased]]+Table1[[#This Row],[Quantity on order]]+Table1[[#This Row],[Quantity donated]]-Table1[[#This Row],[extended quantity]]</f>
        <v>0</v>
      </c>
      <c r="U3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8" s="51">
        <f>IFERROR(Table1[[#This Row],[Quantity  to  purchase]]*(Table1[[#This Row],[Cost ]]+Table1[[#This Row],[shipping]]+Table1[[#This Row],[Tax]]),0)</f>
        <v>0</v>
      </c>
      <c r="W388" s="36">
        <f>IFERROR(Table1[[#This Row],[leftover material]]*(Table1[[#This Row],[Cost ]]+Table1[[#This Row],[shipping]]+Table1[[#This Row],[Tax]]),0)</f>
        <v>0</v>
      </c>
      <c r="X388" s="36"/>
      <c r="Y388" s="87"/>
      <c r="Z388" s="87"/>
      <c r="AA388" s="87"/>
      <c r="AB388" s="36"/>
      <c r="AC388" s="36">
        <f>IF(ISNA(VLOOKUP(Table1[[#This Row],[Part Number]],'Multi-level BOM'!V$4:V$449,1,FALSE)),0,Table1[[#This Row],[Remaining Extended cost]])</f>
        <v>0</v>
      </c>
    </row>
    <row r="389" spans="1:29" x14ac:dyDescent="0.25">
      <c r="A389" s="1" t="s">
        <v>392</v>
      </c>
      <c r="B389" s="4"/>
      <c r="F389" s="3">
        <f>9%*Table1[[#This Row],[Cost ]]</f>
        <v>0</v>
      </c>
      <c r="J389" s="49">
        <f>SUMIF('Multi-level BOM'!D$4:D$467,Table1[[#This Row],[Part Number]],'Multi-level BOM'!H$4:H$467)</f>
        <v>0</v>
      </c>
      <c r="K389" s="10">
        <f>Table1[[#This Row],[extended quantity]]*(Table1[[#This Row],[Cost ]]+Table1[[#This Row],[shipping]]+Table1[[#This Row],[Tax]])</f>
        <v>0</v>
      </c>
      <c r="L389" s="83" t="str">
        <f>IF(Table1[[#This Row],[Buy-now costs]]&gt;0,"X","")</f>
        <v/>
      </c>
      <c r="M389" s="83"/>
      <c r="N389" s="83"/>
      <c r="O389" s="40">
        <v>0</v>
      </c>
      <c r="P389" s="97">
        <f>Table1[[#This Row],[quantity on-hand]]*(Table1[[#This Row],[Cost ]]+Table1[[#This Row],[shipping]]+Table1[[#This Row],[Tax]])</f>
        <v>0</v>
      </c>
      <c r="Q389" s="40">
        <v>0</v>
      </c>
      <c r="R389" s="95">
        <f>Table1[[#This Row],[Quantity on order]]*(Table1[[#This Row],[Cost ]]+Table1[[#This Row],[shipping]]+Table1[[#This Row],[Tax]])</f>
        <v>0</v>
      </c>
      <c r="S3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9" s="49">
        <f>Table1[[#This Row],[Quantity  to  purchase]]+Table1[[#This Row],[Quantity purchased]]+Table1[[#This Row],[Quantity on order]]+Table1[[#This Row],[Quantity donated]]-Table1[[#This Row],[extended quantity]]</f>
        <v>0</v>
      </c>
      <c r="U3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9" s="51">
        <f>IFERROR(Table1[[#This Row],[Quantity  to  purchase]]*(Table1[[#This Row],[Cost ]]+Table1[[#This Row],[shipping]]+Table1[[#This Row],[Tax]]),0)</f>
        <v>0</v>
      </c>
      <c r="W389" s="36">
        <f>IFERROR(Table1[[#This Row],[leftover material]]*(Table1[[#This Row],[Cost ]]+Table1[[#This Row],[shipping]]+Table1[[#This Row],[Tax]]),0)</f>
        <v>0</v>
      </c>
      <c r="X389" s="36"/>
      <c r="Y389" s="87"/>
      <c r="Z389" s="87"/>
      <c r="AA389" s="87"/>
      <c r="AB389" s="36"/>
      <c r="AC389" s="36">
        <f>IF(ISNA(VLOOKUP(Table1[[#This Row],[Part Number]],'Multi-level BOM'!V$4:V$449,1,FALSE)),0,Table1[[#This Row],[Remaining Extended cost]])</f>
        <v>0</v>
      </c>
    </row>
    <row r="390" spans="1:29" x14ac:dyDescent="0.25">
      <c r="A390" s="1" t="s">
        <v>393</v>
      </c>
      <c r="B390" s="4"/>
      <c r="F390" s="3">
        <f>9%*Table1[[#This Row],[Cost ]]</f>
        <v>0</v>
      </c>
      <c r="J390" s="49">
        <f>SUMIF('Multi-level BOM'!D$4:D$467,Table1[[#This Row],[Part Number]],'Multi-level BOM'!H$4:H$467)</f>
        <v>0</v>
      </c>
      <c r="K390" s="10">
        <f>Table1[[#This Row],[extended quantity]]*(Table1[[#This Row],[Cost ]]+Table1[[#This Row],[shipping]]+Table1[[#This Row],[Tax]])</f>
        <v>0</v>
      </c>
      <c r="L390" s="83" t="str">
        <f>IF(Table1[[#This Row],[Buy-now costs]]&gt;0,"X","")</f>
        <v/>
      </c>
      <c r="M390" s="83"/>
      <c r="N390" s="83"/>
      <c r="O390" s="40">
        <v>0</v>
      </c>
      <c r="P390" s="97">
        <f>Table1[[#This Row],[quantity on-hand]]*(Table1[[#This Row],[Cost ]]+Table1[[#This Row],[shipping]]+Table1[[#This Row],[Tax]])</f>
        <v>0</v>
      </c>
      <c r="Q390" s="40">
        <v>0</v>
      </c>
      <c r="R390" s="95">
        <f>Table1[[#This Row],[Quantity on order]]*(Table1[[#This Row],[Cost ]]+Table1[[#This Row],[shipping]]+Table1[[#This Row],[Tax]])</f>
        <v>0</v>
      </c>
      <c r="S3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0" s="49">
        <f>Table1[[#This Row],[Quantity  to  purchase]]+Table1[[#This Row],[Quantity purchased]]+Table1[[#This Row],[Quantity on order]]+Table1[[#This Row],[Quantity donated]]-Table1[[#This Row],[extended quantity]]</f>
        <v>0</v>
      </c>
      <c r="U3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0" s="51">
        <f>IFERROR(Table1[[#This Row],[Quantity  to  purchase]]*(Table1[[#This Row],[Cost ]]+Table1[[#This Row],[shipping]]+Table1[[#This Row],[Tax]]),0)</f>
        <v>0</v>
      </c>
      <c r="W390" s="36">
        <f>IFERROR(Table1[[#This Row],[leftover material]]*(Table1[[#This Row],[Cost ]]+Table1[[#This Row],[shipping]]+Table1[[#This Row],[Tax]]),0)</f>
        <v>0</v>
      </c>
      <c r="X390" s="36"/>
      <c r="Y390" s="87"/>
      <c r="Z390" s="87"/>
      <c r="AA390" s="87"/>
      <c r="AB390" s="36"/>
      <c r="AC390" s="36">
        <f>IF(ISNA(VLOOKUP(Table1[[#This Row],[Part Number]],'Multi-level BOM'!V$4:V$449,1,FALSE)),0,Table1[[#This Row],[Remaining Extended cost]])</f>
        <v>0</v>
      </c>
    </row>
    <row r="391" spans="1:29" x14ac:dyDescent="0.25">
      <c r="A391" s="1" t="s">
        <v>394</v>
      </c>
      <c r="B391" s="4"/>
      <c r="F391" s="3">
        <f>9%*Table1[[#This Row],[Cost ]]</f>
        <v>0</v>
      </c>
      <c r="J391" s="49">
        <f>SUMIF('Multi-level BOM'!D$4:D$467,Table1[[#This Row],[Part Number]],'Multi-level BOM'!H$4:H$467)</f>
        <v>0</v>
      </c>
      <c r="K391" s="10">
        <f>Table1[[#This Row],[extended quantity]]*(Table1[[#This Row],[Cost ]]+Table1[[#This Row],[shipping]]+Table1[[#This Row],[Tax]])</f>
        <v>0</v>
      </c>
      <c r="L391" s="83" t="str">
        <f>IF(Table1[[#This Row],[Buy-now costs]]&gt;0,"X","")</f>
        <v/>
      </c>
      <c r="M391" s="83"/>
      <c r="N391" s="83"/>
      <c r="O391" s="40">
        <v>0</v>
      </c>
      <c r="P391" s="97">
        <f>Table1[[#This Row],[quantity on-hand]]*(Table1[[#This Row],[Cost ]]+Table1[[#This Row],[shipping]]+Table1[[#This Row],[Tax]])</f>
        <v>0</v>
      </c>
      <c r="Q391" s="40">
        <v>0</v>
      </c>
      <c r="R391" s="95">
        <f>Table1[[#This Row],[Quantity on order]]*(Table1[[#This Row],[Cost ]]+Table1[[#This Row],[shipping]]+Table1[[#This Row],[Tax]])</f>
        <v>0</v>
      </c>
      <c r="S3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1" s="49">
        <f>Table1[[#This Row],[Quantity  to  purchase]]+Table1[[#This Row],[Quantity purchased]]+Table1[[#This Row],[Quantity on order]]+Table1[[#This Row],[Quantity donated]]-Table1[[#This Row],[extended quantity]]</f>
        <v>0</v>
      </c>
      <c r="U3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1" s="51">
        <f>IFERROR(Table1[[#This Row],[Quantity  to  purchase]]*(Table1[[#This Row],[Cost ]]+Table1[[#This Row],[shipping]]+Table1[[#This Row],[Tax]]),0)</f>
        <v>0</v>
      </c>
      <c r="W391" s="36">
        <f>IFERROR(Table1[[#This Row],[leftover material]]*(Table1[[#This Row],[Cost ]]+Table1[[#This Row],[shipping]]+Table1[[#This Row],[Tax]]),0)</f>
        <v>0</v>
      </c>
      <c r="X391" s="36"/>
      <c r="Y391" s="87"/>
      <c r="Z391" s="87"/>
      <c r="AA391" s="87"/>
      <c r="AB391" s="36"/>
      <c r="AC391" s="36">
        <f>IF(ISNA(VLOOKUP(Table1[[#This Row],[Part Number]],'Multi-level BOM'!V$4:V$449,1,FALSE)),0,Table1[[#This Row],[Remaining Extended cost]])</f>
        <v>0</v>
      </c>
    </row>
    <row r="392" spans="1:29" x14ac:dyDescent="0.25">
      <c r="A392" s="1" t="s">
        <v>395</v>
      </c>
      <c r="B392" s="4"/>
      <c r="F392" s="3">
        <f>9%*Table1[[#This Row],[Cost ]]</f>
        <v>0</v>
      </c>
      <c r="J392" s="49">
        <f>SUMIF('Multi-level BOM'!D$4:D$467,Table1[[#This Row],[Part Number]],'Multi-level BOM'!H$4:H$467)</f>
        <v>0</v>
      </c>
      <c r="K392" s="10">
        <f>Table1[[#This Row],[extended quantity]]*(Table1[[#This Row],[Cost ]]+Table1[[#This Row],[shipping]]+Table1[[#This Row],[Tax]])</f>
        <v>0</v>
      </c>
      <c r="L392" s="83" t="str">
        <f>IF(Table1[[#This Row],[Buy-now costs]]&gt;0,"X","")</f>
        <v/>
      </c>
      <c r="M392" s="83"/>
      <c r="N392" s="83"/>
      <c r="O392" s="40">
        <v>0</v>
      </c>
      <c r="P392" s="97">
        <f>Table1[[#This Row],[quantity on-hand]]*(Table1[[#This Row],[Cost ]]+Table1[[#This Row],[shipping]]+Table1[[#This Row],[Tax]])</f>
        <v>0</v>
      </c>
      <c r="Q392" s="40">
        <v>0</v>
      </c>
      <c r="R392" s="95">
        <f>Table1[[#This Row],[Quantity on order]]*(Table1[[#This Row],[Cost ]]+Table1[[#This Row],[shipping]]+Table1[[#This Row],[Tax]])</f>
        <v>0</v>
      </c>
      <c r="S3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2" s="49">
        <f>Table1[[#This Row],[Quantity  to  purchase]]+Table1[[#This Row],[Quantity purchased]]+Table1[[#This Row],[Quantity on order]]+Table1[[#This Row],[Quantity donated]]-Table1[[#This Row],[extended quantity]]</f>
        <v>0</v>
      </c>
      <c r="U3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2" s="51">
        <f>IFERROR(Table1[[#This Row],[Quantity  to  purchase]]*(Table1[[#This Row],[Cost ]]+Table1[[#This Row],[shipping]]+Table1[[#This Row],[Tax]]),0)</f>
        <v>0</v>
      </c>
      <c r="W392" s="36">
        <f>IFERROR(Table1[[#This Row],[leftover material]]*(Table1[[#This Row],[Cost ]]+Table1[[#This Row],[shipping]]+Table1[[#This Row],[Tax]]),0)</f>
        <v>0</v>
      </c>
      <c r="X392" s="36"/>
      <c r="Y392" s="87"/>
      <c r="Z392" s="87"/>
      <c r="AA392" s="87"/>
      <c r="AB392" s="36"/>
      <c r="AC392" s="36">
        <f>IF(ISNA(VLOOKUP(Table1[[#This Row],[Part Number]],'Multi-level BOM'!V$4:V$449,1,FALSE)),0,Table1[[#This Row],[Remaining Extended cost]])</f>
        <v>0</v>
      </c>
    </row>
    <row r="393" spans="1:29" x14ac:dyDescent="0.25">
      <c r="A393" s="1" t="s">
        <v>396</v>
      </c>
      <c r="B393" s="4"/>
      <c r="F393" s="3">
        <f>9%*Table1[[#This Row],[Cost ]]</f>
        <v>0</v>
      </c>
      <c r="J393" s="49">
        <f>SUMIF('Multi-level BOM'!D$4:D$467,Table1[[#This Row],[Part Number]],'Multi-level BOM'!H$4:H$467)</f>
        <v>0</v>
      </c>
      <c r="K393" s="10">
        <f>Table1[[#This Row],[extended quantity]]*(Table1[[#This Row],[Cost ]]+Table1[[#This Row],[shipping]]+Table1[[#This Row],[Tax]])</f>
        <v>0</v>
      </c>
      <c r="L393" s="83" t="str">
        <f>IF(Table1[[#This Row],[Buy-now costs]]&gt;0,"X","")</f>
        <v/>
      </c>
      <c r="M393" s="83"/>
      <c r="N393" s="83"/>
      <c r="O393" s="40">
        <v>0</v>
      </c>
      <c r="P393" s="97">
        <f>Table1[[#This Row],[quantity on-hand]]*(Table1[[#This Row],[Cost ]]+Table1[[#This Row],[shipping]]+Table1[[#This Row],[Tax]])</f>
        <v>0</v>
      </c>
      <c r="Q393" s="40">
        <v>0</v>
      </c>
      <c r="R393" s="95">
        <f>Table1[[#This Row],[Quantity on order]]*(Table1[[#This Row],[Cost ]]+Table1[[#This Row],[shipping]]+Table1[[#This Row],[Tax]])</f>
        <v>0</v>
      </c>
      <c r="S3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3" s="49">
        <f>Table1[[#This Row],[Quantity  to  purchase]]+Table1[[#This Row],[Quantity purchased]]+Table1[[#This Row],[Quantity on order]]+Table1[[#This Row],[Quantity donated]]-Table1[[#This Row],[extended quantity]]</f>
        <v>0</v>
      </c>
      <c r="U3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3" s="51">
        <f>IFERROR(Table1[[#This Row],[Quantity  to  purchase]]*(Table1[[#This Row],[Cost ]]+Table1[[#This Row],[shipping]]+Table1[[#This Row],[Tax]]),0)</f>
        <v>0</v>
      </c>
      <c r="W393" s="36">
        <f>IFERROR(Table1[[#This Row],[leftover material]]*(Table1[[#This Row],[Cost ]]+Table1[[#This Row],[shipping]]+Table1[[#This Row],[Tax]]),0)</f>
        <v>0</v>
      </c>
      <c r="X393" s="36"/>
      <c r="Y393" s="87"/>
      <c r="Z393" s="87"/>
      <c r="AA393" s="87"/>
      <c r="AB393" s="36"/>
      <c r="AC393" s="36">
        <f>IF(ISNA(VLOOKUP(Table1[[#This Row],[Part Number]],'Multi-level BOM'!V$4:V$449,1,FALSE)),0,Table1[[#This Row],[Remaining Extended cost]])</f>
        <v>0</v>
      </c>
    </row>
    <row r="394" spans="1:29" x14ac:dyDescent="0.25">
      <c r="A394" s="1" t="s">
        <v>397</v>
      </c>
      <c r="B394" s="4"/>
      <c r="F394" s="3">
        <f>9%*Table1[[#This Row],[Cost ]]</f>
        <v>0</v>
      </c>
      <c r="J394" s="49">
        <f>SUMIF('Multi-level BOM'!D$4:D$467,Table1[[#This Row],[Part Number]],'Multi-level BOM'!H$4:H$467)</f>
        <v>0</v>
      </c>
      <c r="K394" s="10">
        <f>Table1[[#This Row],[extended quantity]]*(Table1[[#This Row],[Cost ]]+Table1[[#This Row],[shipping]]+Table1[[#This Row],[Tax]])</f>
        <v>0</v>
      </c>
      <c r="L394" s="83" t="str">
        <f>IF(Table1[[#This Row],[Buy-now costs]]&gt;0,"X","")</f>
        <v/>
      </c>
      <c r="M394" s="83"/>
      <c r="N394" s="83"/>
      <c r="O394" s="40">
        <v>0</v>
      </c>
      <c r="P394" s="97">
        <f>Table1[[#This Row],[quantity on-hand]]*(Table1[[#This Row],[Cost ]]+Table1[[#This Row],[shipping]]+Table1[[#This Row],[Tax]])</f>
        <v>0</v>
      </c>
      <c r="Q394" s="40">
        <v>0</v>
      </c>
      <c r="R394" s="95">
        <f>Table1[[#This Row],[Quantity on order]]*(Table1[[#This Row],[Cost ]]+Table1[[#This Row],[shipping]]+Table1[[#This Row],[Tax]])</f>
        <v>0</v>
      </c>
      <c r="S3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4" s="49">
        <f>Table1[[#This Row],[Quantity  to  purchase]]+Table1[[#This Row],[Quantity purchased]]+Table1[[#This Row],[Quantity on order]]+Table1[[#This Row],[Quantity donated]]-Table1[[#This Row],[extended quantity]]</f>
        <v>0</v>
      </c>
      <c r="U3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4" s="51">
        <f>IFERROR(Table1[[#This Row],[Quantity  to  purchase]]*(Table1[[#This Row],[Cost ]]+Table1[[#This Row],[shipping]]+Table1[[#This Row],[Tax]]),0)</f>
        <v>0</v>
      </c>
      <c r="W394" s="36">
        <f>IFERROR(Table1[[#This Row],[leftover material]]*(Table1[[#This Row],[Cost ]]+Table1[[#This Row],[shipping]]+Table1[[#This Row],[Tax]]),0)</f>
        <v>0</v>
      </c>
      <c r="X394" s="36"/>
      <c r="Y394" s="87"/>
      <c r="Z394" s="87"/>
      <c r="AA394" s="87"/>
      <c r="AB394" s="36"/>
      <c r="AC394" s="36">
        <f>IF(ISNA(VLOOKUP(Table1[[#This Row],[Part Number]],'Multi-level BOM'!V$4:V$449,1,FALSE)),0,Table1[[#This Row],[Remaining Extended cost]])</f>
        <v>0</v>
      </c>
    </row>
    <row r="395" spans="1:29" x14ac:dyDescent="0.25">
      <c r="A395" s="1" t="s">
        <v>398</v>
      </c>
      <c r="B395" s="4"/>
      <c r="F395" s="3">
        <f>9%*Table1[[#This Row],[Cost ]]</f>
        <v>0</v>
      </c>
      <c r="J395" s="49">
        <f>SUMIF('Multi-level BOM'!D$4:D$467,Table1[[#This Row],[Part Number]],'Multi-level BOM'!H$4:H$467)</f>
        <v>0</v>
      </c>
      <c r="K395" s="10">
        <f>Table1[[#This Row],[extended quantity]]*(Table1[[#This Row],[Cost ]]+Table1[[#This Row],[shipping]]+Table1[[#This Row],[Tax]])</f>
        <v>0</v>
      </c>
      <c r="L395" s="83" t="str">
        <f>IF(Table1[[#This Row],[Buy-now costs]]&gt;0,"X","")</f>
        <v/>
      </c>
      <c r="M395" s="83"/>
      <c r="N395" s="83"/>
      <c r="O395" s="40">
        <v>0</v>
      </c>
      <c r="P395" s="97">
        <f>Table1[[#This Row],[quantity on-hand]]*(Table1[[#This Row],[Cost ]]+Table1[[#This Row],[shipping]]+Table1[[#This Row],[Tax]])</f>
        <v>0</v>
      </c>
      <c r="Q395" s="40">
        <v>0</v>
      </c>
      <c r="R395" s="95">
        <f>Table1[[#This Row],[Quantity on order]]*(Table1[[#This Row],[Cost ]]+Table1[[#This Row],[shipping]]+Table1[[#This Row],[Tax]])</f>
        <v>0</v>
      </c>
      <c r="S3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5" s="49">
        <f>Table1[[#This Row],[Quantity  to  purchase]]+Table1[[#This Row],[Quantity purchased]]+Table1[[#This Row],[Quantity on order]]+Table1[[#This Row],[Quantity donated]]-Table1[[#This Row],[extended quantity]]</f>
        <v>0</v>
      </c>
      <c r="U3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5" s="51">
        <f>IFERROR(Table1[[#This Row],[Quantity  to  purchase]]*(Table1[[#This Row],[Cost ]]+Table1[[#This Row],[shipping]]+Table1[[#This Row],[Tax]]),0)</f>
        <v>0</v>
      </c>
      <c r="W395" s="36">
        <f>IFERROR(Table1[[#This Row],[leftover material]]*(Table1[[#This Row],[Cost ]]+Table1[[#This Row],[shipping]]+Table1[[#This Row],[Tax]]),0)</f>
        <v>0</v>
      </c>
      <c r="X395" s="36"/>
      <c r="Y395" s="87"/>
      <c r="Z395" s="87"/>
      <c r="AA395" s="87"/>
      <c r="AB395" s="36"/>
      <c r="AC395" s="36">
        <f>IF(ISNA(VLOOKUP(Table1[[#This Row],[Part Number]],'Multi-level BOM'!V$4:V$449,1,FALSE)),0,Table1[[#This Row],[Remaining Extended cost]])</f>
        <v>0</v>
      </c>
    </row>
    <row r="396" spans="1:29" x14ac:dyDescent="0.25">
      <c r="A396" s="1" t="s">
        <v>399</v>
      </c>
      <c r="B396" s="4"/>
      <c r="F396" s="3">
        <f>9%*Table1[[#This Row],[Cost ]]</f>
        <v>0</v>
      </c>
      <c r="J396" s="49">
        <f>SUMIF('Multi-level BOM'!D$4:D$467,Table1[[#This Row],[Part Number]],'Multi-level BOM'!H$4:H$467)</f>
        <v>0</v>
      </c>
      <c r="K396" s="10">
        <f>Table1[[#This Row],[extended quantity]]*(Table1[[#This Row],[Cost ]]+Table1[[#This Row],[shipping]]+Table1[[#This Row],[Tax]])</f>
        <v>0</v>
      </c>
      <c r="L396" s="83" t="str">
        <f>IF(Table1[[#This Row],[Buy-now costs]]&gt;0,"X","")</f>
        <v/>
      </c>
      <c r="M396" s="83"/>
      <c r="N396" s="83"/>
      <c r="O396" s="40">
        <v>0</v>
      </c>
      <c r="P396" s="97">
        <f>Table1[[#This Row],[quantity on-hand]]*(Table1[[#This Row],[Cost ]]+Table1[[#This Row],[shipping]]+Table1[[#This Row],[Tax]])</f>
        <v>0</v>
      </c>
      <c r="Q396" s="40">
        <v>0</v>
      </c>
      <c r="R396" s="95">
        <f>Table1[[#This Row],[Quantity on order]]*(Table1[[#This Row],[Cost ]]+Table1[[#This Row],[shipping]]+Table1[[#This Row],[Tax]])</f>
        <v>0</v>
      </c>
      <c r="S3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6" s="49">
        <f>Table1[[#This Row],[Quantity  to  purchase]]+Table1[[#This Row],[Quantity purchased]]+Table1[[#This Row],[Quantity on order]]+Table1[[#This Row],[Quantity donated]]-Table1[[#This Row],[extended quantity]]</f>
        <v>0</v>
      </c>
      <c r="U3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6" s="51">
        <f>IFERROR(Table1[[#This Row],[Quantity  to  purchase]]*(Table1[[#This Row],[Cost ]]+Table1[[#This Row],[shipping]]+Table1[[#This Row],[Tax]]),0)</f>
        <v>0</v>
      </c>
      <c r="W396" s="36">
        <f>IFERROR(Table1[[#This Row],[leftover material]]*(Table1[[#This Row],[Cost ]]+Table1[[#This Row],[shipping]]+Table1[[#This Row],[Tax]]),0)</f>
        <v>0</v>
      </c>
      <c r="X396" s="36"/>
      <c r="Y396" s="87"/>
      <c r="Z396" s="87"/>
      <c r="AA396" s="87"/>
      <c r="AB396" s="36"/>
      <c r="AC396" s="36">
        <f>IF(ISNA(VLOOKUP(Table1[[#This Row],[Part Number]],'Multi-level BOM'!V$4:V$449,1,FALSE)),0,Table1[[#This Row],[Remaining Extended cost]])</f>
        <v>0</v>
      </c>
    </row>
    <row r="397" spans="1:29" x14ac:dyDescent="0.25">
      <c r="A397" s="1" t="s">
        <v>400</v>
      </c>
      <c r="B397" s="4"/>
      <c r="F397" s="3">
        <f>9%*Table1[[#This Row],[Cost ]]</f>
        <v>0</v>
      </c>
      <c r="J397" s="49">
        <f>SUMIF('Multi-level BOM'!D$4:D$467,Table1[[#This Row],[Part Number]],'Multi-level BOM'!H$4:H$467)</f>
        <v>0</v>
      </c>
      <c r="K397" s="10">
        <f>Table1[[#This Row],[extended quantity]]*(Table1[[#This Row],[Cost ]]+Table1[[#This Row],[shipping]]+Table1[[#This Row],[Tax]])</f>
        <v>0</v>
      </c>
      <c r="L397" s="83" t="str">
        <f>IF(Table1[[#This Row],[Buy-now costs]]&gt;0,"X","")</f>
        <v/>
      </c>
      <c r="M397" s="83"/>
      <c r="N397" s="83"/>
      <c r="O397" s="40">
        <v>0</v>
      </c>
      <c r="P397" s="97">
        <f>Table1[[#This Row],[quantity on-hand]]*(Table1[[#This Row],[Cost ]]+Table1[[#This Row],[shipping]]+Table1[[#This Row],[Tax]])</f>
        <v>0</v>
      </c>
      <c r="Q397" s="40">
        <v>0</v>
      </c>
      <c r="R397" s="95">
        <f>Table1[[#This Row],[Quantity on order]]*(Table1[[#This Row],[Cost ]]+Table1[[#This Row],[shipping]]+Table1[[#This Row],[Tax]])</f>
        <v>0</v>
      </c>
      <c r="S3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7" s="49">
        <f>Table1[[#This Row],[Quantity  to  purchase]]+Table1[[#This Row],[Quantity purchased]]+Table1[[#This Row],[Quantity on order]]+Table1[[#This Row],[Quantity donated]]-Table1[[#This Row],[extended quantity]]</f>
        <v>0</v>
      </c>
      <c r="U3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7" s="51">
        <f>IFERROR(Table1[[#This Row],[Quantity  to  purchase]]*(Table1[[#This Row],[Cost ]]+Table1[[#This Row],[shipping]]+Table1[[#This Row],[Tax]]),0)</f>
        <v>0</v>
      </c>
      <c r="W397" s="36">
        <f>IFERROR(Table1[[#This Row],[leftover material]]*(Table1[[#This Row],[Cost ]]+Table1[[#This Row],[shipping]]+Table1[[#This Row],[Tax]]),0)</f>
        <v>0</v>
      </c>
      <c r="X397" s="36"/>
      <c r="Y397" s="87"/>
      <c r="Z397" s="87"/>
      <c r="AA397" s="87"/>
      <c r="AB397" s="36"/>
      <c r="AC397" s="36">
        <f>IF(ISNA(VLOOKUP(Table1[[#This Row],[Part Number]],'Multi-level BOM'!V$4:V$449,1,FALSE)),0,Table1[[#This Row],[Remaining Extended cost]])</f>
        <v>0</v>
      </c>
    </row>
    <row r="398" spans="1:29" x14ac:dyDescent="0.25">
      <c r="A398" s="1" t="s">
        <v>401</v>
      </c>
      <c r="B398" s="4"/>
      <c r="F398" s="3">
        <f>9%*Table1[[#This Row],[Cost ]]</f>
        <v>0</v>
      </c>
      <c r="J398" s="49">
        <f>SUMIF('Multi-level BOM'!D$4:D$467,Table1[[#This Row],[Part Number]],'Multi-level BOM'!H$4:H$467)</f>
        <v>0</v>
      </c>
      <c r="K398" s="10">
        <f>Table1[[#This Row],[extended quantity]]*(Table1[[#This Row],[Cost ]]+Table1[[#This Row],[shipping]]+Table1[[#This Row],[Tax]])</f>
        <v>0</v>
      </c>
      <c r="L398" s="83" t="str">
        <f>IF(Table1[[#This Row],[Buy-now costs]]&gt;0,"X","")</f>
        <v/>
      </c>
      <c r="M398" s="83"/>
      <c r="N398" s="83"/>
      <c r="O398" s="40">
        <v>0</v>
      </c>
      <c r="P398" s="97">
        <f>Table1[[#This Row],[quantity on-hand]]*(Table1[[#This Row],[Cost ]]+Table1[[#This Row],[shipping]]+Table1[[#This Row],[Tax]])</f>
        <v>0</v>
      </c>
      <c r="Q398" s="40">
        <v>0</v>
      </c>
      <c r="R398" s="95">
        <f>Table1[[#This Row],[Quantity on order]]*(Table1[[#This Row],[Cost ]]+Table1[[#This Row],[shipping]]+Table1[[#This Row],[Tax]])</f>
        <v>0</v>
      </c>
      <c r="S3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8" s="49">
        <f>Table1[[#This Row],[Quantity  to  purchase]]+Table1[[#This Row],[Quantity purchased]]+Table1[[#This Row],[Quantity on order]]+Table1[[#This Row],[Quantity donated]]-Table1[[#This Row],[extended quantity]]</f>
        <v>0</v>
      </c>
      <c r="U3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8" s="51">
        <f>IFERROR(Table1[[#This Row],[Quantity  to  purchase]]*(Table1[[#This Row],[Cost ]]+Table1[[#This Row],[shipping]]+Table1[[#This Row],[Tax]]),0)</f>
        <v>0</v>
      </c>
      <c r="W398" s="36">
        <f>IFERROR(Table1[[#This Row],[leftover material]]*(Table1[[#This Row],[Cost ]]+Table1[[#This Row],[shipping]]+Table1[[#This Row],[Tax]]),0)</f>
        <v>0</v>
      </c>
      <c r="X398" s="36"/>
      <c r="Y398" s="87"/>
      <c r="Z398" s="87"/>
      <c r="AA398" s="87"/>
      <c r="AB398" s="36"/>
      <c r="AC398" s="36">
        <f>IF(ISNA(VLOOKUP(Table1[[#This Row],[Part Number]],'Multi-level BOM'!V$4:V$449,1,FALSE)),0,Table1[[#This Row],[Remaining Extended cost]])</f>
        <v>0</v>
      </c>
    </row>
    <row r="399" spans="1:29" x14ac:dyDescent="0.25">
      <c r="A399" s="1" t="s">
        <v>402</v>
      </c>
      <c r="B399" s="4"/>
      <c r="F399" s="3">
        <f>9%*Table1[[#This Row],[Cost ]]</f>
        <v>0</v>
      </c>
      <c r="J399" s="49">
        <f>SUMIF('Multi-level BOM'!D$4:D$467,Table1[[#This Row],[Part Number]],'Multi-level BOM'!H$4:H$467)</f>
        <v>0</v>
      </c>
      <c r="K399" s="10">
        <f>Table1[[#This Row],[extended quantity]]*(Table1[[#This Row],[Cost ]]+Table1[[#This Row],[shipping]]+Table1[[#This Row],[Tax]])</f>
        <v>0</v>
      </c>
      <c r="L399" s="83" t="str">
        <f>IF(Table1[[#This Row],[Buy-now costs]]&gt;0,"X","")</f>
        <v/>
      </c>
      <c r="M399" s="83"/>
      <c r="N399" s="83"/>
      <c r="O399" s="40">
        <v>0</v>
      </c>
      <c r="P399" s="97">
        <f>Table1[[#This Row],[quantity on-hand]]*(Table1[[#This Row],[Cost ]]+Table1[[#This Row],[shipping]]+Table1[[#This Row],[Tax]])</f>
        <v>0</v>
      </c>
      <c r="Q399" s="40">
        <v>0</v>
      </c>
      <c r="R399" s="95">
        <f>Table1[[#This Row],[Quantity on order]]*(Table1[[#This Row],[Cost ]]+Table1[[#This Row],[shipping]]+Table1[[#This Row],[Tax]])</f>
        <v>0</v>
      </c>
      <c r="S3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9" s="49">
        <f>Table1[[#This Row],[Quantity  to  purchase]]+Table1[[#This Row],[Quantity purchased]]+Table1[[#This Row],[Quantity on order]]+Table1[[#This Row],[Quantity donated]]-Table1[[#This Row],[extended quantity]]</f>
        <v>0</v>
      </c>
      <c r="U3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9" s="51">
        <f>IFERROR(Table1[[#This Row],[Quantity  to  purchase]]*(Table1[[#This Row],[Cost ]]+Table1[[#This Row],[shipping]]+Table1[[#This Row],[Tax]]),0)</f>
        <v>0</v>
      </c>
      <c r="W399" s="36">
        <f>IFERROR(Table1[[#This Row],[leftover material]]*(Table1[[#This Row],[Cost ]]+Table1[[#This Row],[shipping]]+Table1[[#This Row],[Tax]]),0)</f>
        <v>0</v>
      </c>
      <c r="X399" s="36"/>
      <c r="Y399" s="87"/>
      <c r="Z399" s="87"/>
      <c r="AA399" s="87"/>
      <c r="AB399" s="36"/>
      <c r="AC399" s="36">
        <f>IF(ISNA(VLOOKUP(Table1[[#This Row],[Part Number]],'Multi-level BOM'!V$4:V$449,1,FALSE)),0,Table1[[#This Row],[Remaining Extended cost]])</f>
        <v>0</v>
      </c>
    </row>
    <row r="400" spans="1:29" x14ac:dyDescent="0.25">
      <c r="A400" s="1" t="s">
        <v>403</v>
      </c>
      <c r="B400" s="4"/>
      <c r="F400" s="3">
        <f>9%*Table1[[#This Row],[Cost ]]</f>
        <v>0</v>
      </c>
      <c r="J400" s="49">
        <f>SUMIF('Multi-level BOM'!D$4:D$467,Table1[[#This Row],[Part Number]],'Multi-level BOM'!H$4:H$467)</f>
        <v>0</v>
      </c>
      <c r="K400" s="10">
        <f>Table1[[#This Row],[extended quantity]]*(Table1[[#This Row],[Cost ]]+Table1[[#This Row],[shipping]]+Table1[[#This Row],[Tax]])</f>
        <v>0</v>
      </c>
      <c r="L400" s="83" t="str">
        <f>IF(Table1[[#This Row],[Buy-now costs]]&gt;0,"X","")</f>
        <v/>
      </c>
      <c r="M400" s="83"/>
      <c r="N400" s="83"/>
      <c r="O400" s="40">
        <v>0</v>
      </c>
      <c r="P400" s="97">
        <f>Table1[[#This Row],[quantity on-hand]]*(Table1[[#This Row],[Cost ]]+Table1[[#This Row],[shipping]]+Table1[[#This Row],[Tax]])</f>
        <v>0</v>
      </c>
      <c r="Q400" s="40">
        <v>0</v>
      </c>
      <c r="R400" s="95">
        <f>Table1[[#This Row],[Quantity on order]]*(Table1[[#This Row],[Cost ]]+Table1[[#This Row],[shipping]]+Table1[[#This Row],[Tax]])</f>
        <v>0</v>
      </c>
      <c r="S4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0" s="49">
        <f>Table1[[#This Row],[Quantity  to  purchase]]+Table1[[#This Row],[Quantity purchased]]+Table1[[#This Row],[Quantity on order]]+Table1[[#This Row],[Quantity donated]]-Table1[[#This Row],[extended quantity]]</f>
        <v>0</v>
      </c>
      <c r="U4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0" s="51">
        <f>IFERROR(Table1[[#This Row],[Quantity  to  purchase]]*(Table1[[#This Row],[Cost ]]+Table1[[#This Row],[shipping]]+Table1[[#This Row],[Tax]]),0)</f>
        <v>0</v>
      </c>
      <c r="W400" s="36">
        <f>IFERROR(Table1[[#This Row],[leftover material]]*(Table1[[#This Row],[Cost ]]+Table1[[#This Row],[shipping]]+Table1[[#This Row],[Tax]]),0)</f>
        <v>0</v>
      </c>
      <c r="X400" s="36"/>
      <c r="Y400" s="87"/>
      <c r="Z400" s="87"/>
      <c r="AA400" s="87"/>
      <c r="AB400" s="36"/>
      <c r="AC400" s="36">
        <f>IF(ISNA(VLOOKUP(Table1[[#This Row],[Part Number]],'Multi-level BOM'!V$4:V$449,1,FALSE)),0,Table1[[#This Row],[Remaining Extended cost]])</f>
        <v>0</v>
      </c>
    </row>
    <row r="401" spans="1:29" x14ac:dyDescent="0.25">
      <c r="A401" s="1" t="s">
        <v>404</v>
      </c>
      <c r="B401" s="4"/>
      <c r="F401" s="3">
        <f>9%*Table1[[#This Row],[Cost ]]</f>
        <v>0</v>
      </c>
      <c r="J401" s="49">
        <f>SUMIF('Multi-level BOM'!D$4:D$467,Table1[[#This Row],[Part Number]],'Multi-level BOM'!H$4:H$467)</f>
        <v>0</v>
      </c>
      <c r="K401" s="10">
        <f>Table1[[#This Row],[extended quantity]]*(Table1[[#This Row],[Cost ]]+Table1[[#This Row],[shipping]]+Table1[[#This Row],[Tax]])</f>
        <v>0</v>
      </c>
      <c r="L401" s="83" t="str">
        <f>IF(Table1[[#This Row],[Buy-now costs]]&gt;0,"X","")</f>
        <v/>
      </c>
      <c r="M401" s="83"/>
      <c r="N401" s="83"/>
      <c r="O401" s="40">
        <v>0</v>
      </c>
      <c r="P401" s="97">
        <f>Table1[[#This Row],[quantity on-hand]]*(Table1[[#This Row],[Cost ]]+Table1[[#This Row],[shipping]]+Table1[[#This Row],[Tax]])</f>
        <v>0</v>
      </c>
      <c r="Q401" s="40">
        <v>0</v>
      </c>
      <c r="R401" s="95">
        <f>Table1[[#This Row],[Quantity on order]]*(Table1[[#This Row],[Cost ]]+Table1[[#This Row],[shipping]]+Table1[[#This Row],[Tax]])</f>
        <v>0</v>
      </c>
      <c r="S4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1" s="49">
        <f>Table1[[#This Row],[Quantity  to  purchase]]+Table1[[#This Row],[Quantity purchased]]+Table1[[#This Row],[Quantity on order]]+Table1[[#This Row],[Quantity donated]]-Table1[[#This Row],[extended quantity]]</f>
        <v>0</v>
      </c>
      <c r="U4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1" s="51">
        <f>IFERROR(Table1[[#This Row],[Quantity  to  purchase]]*(Table1[[#This Row],[Cost ]]+Table1[[#This Row],[shipping]]+Table1[[#This Row],[Tax]]),0)</f>
        <v>0</v>
      </c>
      <c r="W401" s="36">
        <f>IFERROR(Table1[[#This Row],[leftover material]]*(Table1[[#This Row],[Cost ]]+Table1[[#This Row],[shipping]]+Table1[[#This Row],[Tax]]),0)</f>
        <v>0</v>
      </c>
      <c r="X401" s="36"/>
      <c r="Y401" s="87"/>
      <c r="Z401" s="87"/>
      <c r="AA401" s="87"/>
      <c r="AB401" s="36"/>
      <c r="AC401" s="36">
        <f>IF(ISNA(VLOOKUP(Table1[[#This Row],[Part Number]],'Multi-level BOM'!V$4:V$449,1,FALSE)),0,Table1[[#This Row],[Remaining Extended cost]])</f>
        <v>0</v>
      </c>
    </row>
    <row r="402" spans="1:29" x14ac:dyDescent="0.25">
      <c r="A402" s="1" t="s">
        <v>405</v>
      </c>
      <c r="B402" s="4"/>
      <c r="F402" s="3">
        <f>9%*Table1[[#This Row],[Cost ]]</f>
        <v>0</v>
      </c>
      <c r="J402" s="49">
        <f>SUMIF('Multi-level BOM'!D$4:D$467,Table1[[#This Row],[Part Number]],'Multi-level BOM'!H$4:H$467)</f>
        <v>0</v>
      </c>
      <c r="K402" s="10">
        <f>Table1[[#This Row],[extended quantity]]*(Table1[[#This Row],[Cost ]]+Table1[[#This Row],[shipping]]+Table1[[#This Row],[Tax]])</f>
        <v>0</v>
      </c>
      <c r="L402" s="83" t="str">
        <f>IF(Table1[[#This Row],[Buy-now costs]]&gt;0,"X","")</f>
        <v/>
      </c>
      <c r="M402" s="83"/>
      <c r="N402" s="83"/>
      <c r="O402" s="40">
        <v>0</v>
      </c>
      <c r="P402" s="97">
        <f>Table1[[#This Row],[quantity on-hand]]*(Table1[[#This Row],[Cost ]]+Table1[[#This Row],[shipping]]+Table1[[#This Row],[Tax]])</f>
        <v>0</v>
      </c>
      <c r="Q402" s="40">
        <v>0</v>
      </c>
      <c r="R402" s="95">
        <f>Table1[[#This Row],[Quantity on order]]*(Table1[[#This Row],[Cost ]]+Table1[[#This Row],[shipping]]+Table1[[#This Row],[Tax]])</f>
        <v>0</v>
      </c>
      <c r="S4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2" s="49">
        <f>Table1[[#This Row],[Quantity  to  purchase]]+Table1[[#This Row],[Quantity purchased]]+Table1[[#This Row],[Quantity on order]]+Table1[[#This Row],[Quantity donated]]-Table1[[#This Row],[extended quantity]]</f>
        <v>0</v>
      </c>
      <c r="U4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2" s="51">
        <f>IFERROR(Table1[[#This Row],[Quantity  to  purchase]]*(Table1[[#This Row],[Cost ]]+Table1[[#This Row],[shipping]]+Table1[[#This Row],[Tax]]),0)</f>
        <v>0</v>
      </c>
      <c r="W402" s="36">
        <f>IFERROR(Table1[[#This Row],[leftover material]]*(Table1[[#This Row],[Cost ]]+Table1[[#This Row],[shipping]]+Table1[[#This Row],[Tax]]),0)</f>
        <v>0</v>
      </c>
      <c r="X402" s="36"/>
      <c r="Y402" s="87"/>
      <c r="Z402" s="87"/>
      <c r="AA402" s="87"/>
      <c r="AB402" s="36"/>
      <c r="AC402" s="36">
        <f>IF(ISNA(VLOOKUP(Table1[[#This Row],[Part Number]],'Multi-level BOM'!V$4:V$449,1,FALSE)),0,Table1[[#This Row],[Remaining Extended cost]])</f>
        <v>0</v>
      </c>
    </row>
    <row r="403" spans="1:29" x14ac:dyDescent="0.25">
      <c r="A403" s="1" t="s">
        <v>406</v>
      </c>
      <c r="B403" s="4"/>
      <c r="F403" s="3">
        <f>9%*Table1[[#This Row],[Cost ]]</f>
        <v>0</v>
      </c>
      <c r="J403" s="49">
        <f>SUMIF('Multi-level BOM'!D$4:D$467,Table1[[#This Row],[Part Number]],'Multi-level BOM'!H$4:H$467)</f>
        <v>0</v>
      </c>
      <c r="K403" s="10">
        <f>Table1[[#This Row],[extended quantity]]*(Table1[[#This Row],[Cost ]]+Table1[[#This Row],[shipping]]+Table1[[#This Row],[Tax]])</f>
        <v>0</v>
      </c>
      <c r="L403" s="83" t="str">
        <f>IF(Table1[[#This Row],[Buy-now costs]]&gt;0,"X","")</f>
        <v/>
      </c>
      <c r="M403" s="83"/>
      <c r="N403" s="83"/>
      <c r="O403" s="40">
        <v>0</v>
      </c>
      <c r="P403" s="97">
        <f>Table1[[#This Row],[quantity on-hand]]*(Table1[[#This Row],[Cost ]]+Table1[[#This Row],[shipping]]+Table1[[#This Row],[Tax]])</f>
        <v>0</v>
      </c>
      <c r="Q403" s="40">
        <v>0</v>
      </c>
      <c r="R403" s="95">
        <f>Table1[[#This Row],[Quantity on order]]*(Table1[[#This Row],[Cost ]]+Table1[[#This Row],[shipping]]+Table1[[#This Row],[Tax]])</f>
        <v>0</v>
      </c>
      <c r="S4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3" s="49">
        <f>Table1[[#This Row],[Quantity  to  purchase]]+Table1[[#This Row],[Quantity purchased]]+Table1[[#This Row],[Quantity on order]]+Table1[[#This Row],[Quantity donated]]-Table1[[#This Row],[extended quantity]]</f>
        <v>0</v>
      </c>
      <c r="U4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3" s="51">
        <f>IFERROR(Table1[[#This Row],[Quantity  to  purchase]]*(Table1[[#This Row],[Cost ]]+Table1[[#This Row],[shipping]]+Table1[[#This Row],[Tax]]),0)</f>
        <v>0</v>
      </c>
      <c r="W403" s="36">
        <f>IFERROR(Table1[[#This Row],[leftover material]]*(Table1[[#This Row],[Cost ]]+Table1[[#This Row],[shipping]]+Table1[[#This Row],[Tax]]),0)</f>
        <v>0</v>
      </c>
      <c r="X403" s="36"/>
      <c r="Y403" s="87"/>
      <c r="Z403" s="87"/>
      <c r="AA403" s="87"/>
      <c r="AB403" s="36"/>
      <c r="AC403" s="36">
        <f>IF(ISNA(VLOOKUP(Table1[[#This Row],[Part Number]],'Multi-level BOM'!V$4:V$449,1,FALSE)),0,Table1[[#This Row],[Remaining Extended cost]])</f>
        <v>0</v>
      </c>
    </row>
    <row r="404" spans="1:29" x14ac:dyDescent="0.25">
      <c r="A404" s="1" t="s">
        <v>407</v>
      </c>
      <c r="B404" s="4"/>
      <c r="F404" s="3">
        <f>9%*Table1[[#This Row],[Cost ]]</f>
        <v>0</v>
      </c>
      <c r="J404" s="49">
        <f>SUMIF('Multi-level BOM'!D$4:D$467,Table1[[#This Row],[Part Number]],'Multi-level BOM'!H$4:H$467)</f>
        <v>0</v>
      </c>
      <c r="K404" s="10">
        <f>Table1[[#This Row],[extended quantity]]*(Table1[[#This Row],[Cost ]]+Table1[[#This Row],[shipping]]+Table1[[#This Row],[Tax]])</f>
        <v>0</v>
      </c>
      <c r="L404" s="83" t="str">
        <f>IF(Table1[[#This Row],[Buy-now costs]]&gt;0,"X","")</f>
        <v/>
      </c>
      <c r="M404" s="83"/>
      <c r="N404" s="83"/>
      <c r="O404" s="40">
        <v>0</v>
      </c>
      <c r="P404" s="97">
        <f>Table1[[#This Row],[quantity on-hand]]*(Table1[[#This Row],[Cost ]]+Table1[[#This Row],[shipping]]+Table1[[#This Row],[Tax]])</f>
        <v>0</v>
      </c>
      <c r="Q404" s="40">
        <v>0</v>
      </c>
      <c r="R404" s="95">
        <f>Table1[[#This Row],[Quantity on order]]*(Table1[[#This Row],[Cost ]]+Table1[[#This Row],[shipping]]+Table1[[#This Row],[Tax]])</f>
        <v>0</v>
      </c>
      <c r="S4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4" s="49">
        <f>Table1[[#This Row],[Quantity  to  purchase]]+Table1[[#This Row],[Quantity purchased]]+Table1[[#This Row],[Quantity on order]]+Table1[[#This Row],[Quantity donated]]-Table1[[#This Row],[extended quantity]]</f>
        <v>0</v>
      </c>
      <c r="U4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4" s="51">
        <f>IFERROR(Table1[[#This Row],[Quantity  to  purchase]]*(Table1[[#This Row],[Cost ]]+Table1[[#This Row],[shipping]]+Table1[[#This Row],[Tax]]),0)</f>
        <v>0</v>
      </c>
      <c r="W404" s="36">
        <f>IFERROR(Table1[[#This Row],[leftover material]]*(Table1[[#This Row],[Cost ]]+Table1[[#This Row],[shipping]]+Table1[[#This Row],[Tax]]),0)</f>
        <v>0</v>
      </c>
      <c r="X404" s="36"/>
      <c r="Y404" s="87"/>
      <c r="Z404" s="87"/>
      <c r="AA404" s="87"/>
      <c r="AB404" s="36"/>
      <c r="AC404" s="36">
        <f>IF(ISNA(VLOOKUP(Table1[[#This Row],[Part Number]],'Multi-level BOM'!V$4:V$449,1,FALSE)),0,Table1[[#This Row],[Remaining Extended cost]])</f>
        <v>0</v>
      </c>
    </row>
    <row r="405" spans="1:29" x14ac:dyDescent="0.25">
      <c r="A405" s="1" t="s">
        <v>408</v>
      </c>
      <c r="B405" s="4"/>
      <c r="F405" s="3">
        <f>9%*Table1[[#This Row],[Cost ]]</f>
        <v>0</v>
      </c>
      <c r="J405" s="49">
        <f>SUMIF('Multi-level BOM'!D$4:D$467,Table1[[#This Row],[Part Number]],'Multi-level BOM'!H$4:H$467)</f>
        <v>0</v>
      </c>
      <c r="K405" s="10">
        <f>Table1[[#This Row],[extended quantity]]*(Table1[[#This Row],[Cost ]]+Table1[[#This Row],[shipping]]+Table1[[#This Row],[Tax]])</f>
        <v>0</v>
      </c>
      <c r="L405" s="83" t="str">
        <f>IF(Table1[[#This Row],[Buy-now costs]]&gt;0,"X","")</f>
        <v/>
      </c>
      <c r="M405" s="83"/>
      <c r="N405" s="83"/>
      <c r="O405" s="40">
        <v>0</v>
      </c>
      <c r="P405" s="97">
        <f>Table1[[#This Row],[quantity on-hand]]*(Table1[[#This Row],[Cost ]]+Table1[[#This Row],[shipping]]+Table1[[#This Row],[Tax]])</f>
        <v>0</v>
      </c>
      <c r="Q405" s="40">
        <v>0</v>
      </c>
      <c r="R405" s="95">
        <f>Table1[[#This Row],[Quantity on order]]*(Table1[[#This Row],[Cost ]]+Table1[[#This Row],[shipping]]+Table1[[#This Row],[Tax]])</f>
        <v>0</v>
      </c>
      <c r="S4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5" s="49">
        <f>Table1[[#This Row],[Quantity  to  purchase]]+Table1[[#This Row],[Quantity purchased]]+Table1[[#This Row],[Quantity on order]]+Table1[[#This Row],[Quantity donated]]-Table1[[#This Row],[extended quantity]]</f>
        <v>0</v>
      </c>
      <c r="U4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5" s="51">
        <f>IFERROR(Table1[[#This Row],[Quantity  to  purchase]]*(Table1[[#This Row],[Cost ]]+Table1[[#This Row],[shipping]]+Table1[[#This Row],[Tax]]),0)</f>
        <v>0</v>
      </c>
      <c r="W405" s="36">
        <f>IFERROR(Table1[[#This Row],[leftover material]]*(Table1[[#This Row],[Cost ]]+Table1[[#This Row],[shipping]]+Table1[[#This Row],[Tax]]),0)</f>
        <v>0</v>
      </c>
      <c r="X405" s="36"/>
      <c r="Y405" s="87"/>
      <c r="Z405" s="87"/>
      <c r="AA405" s="87"/>
      <c r="AB405" s="36"/>
      <c r="AC405" s="36">
        <f>IF(ISNA(VLOOKUP(Table1[[#This Row],[Part Number]],'Multi-level BOM'!V$4:V$449,1,FALSE)),0,Table1[[#This Row],[Remaining Extended cost]])</f>
        <v>0</v>
      </c>
    </row>
    <row r="406" spans="1:29" x14ac:dyDescent="0.25">
      <c r="A406" s="1" t="s">
        <v>409</v>
      </c>
      <c r="B406" s="4"/>
      <c r="F406" s="3">
        <f>9%*Table1[[#This Row],[Cost ]]</f>
        <v>0</v>
      </c>
      <c r="J406" s="49">
        <f>SUMIF('Multi-level BOM'!D$4:D$467,Table1[[#This Row],[Part Number]],'Multi-level BOM'!H$4:H$467)</f>
        <v>0</v>
      </c>
      <c r="K406" s="10">
        <f>Table1[[#This Row],[extended quantity]]*(Table1[[#This Row],[Cost ]]+Table1[[#This Row],[shipping]]+Table1[[#This Row],[Tax]])</f>
        <v>0</v>
      </c>
      <c r="L406" s="83" t="str">
        <f>IF(Table1[[#This Row],[Buy-now costs]]&gt;0,"X","")</f>
        <v/>
      </c>
      <c r="M406" s="83"/>
      <c r="N406" s="83"/>
      <c r="O406" s="40">
        <v>0</v>
      </c>
      <c r="P406" s="97">
        <f>Table1[[#This Row],[quantity on-hand]]*(Table1[[#This Row],[Cost ]]+Table1[[#This Row],[shipping]]+Table1[[#This Row],[Tax]])</f>
        <v>0</v>
      </c>
      <c r="Q406" s="40">
        <v>0</v>
      </c>
      <c r="R406" s="95">
        <f>Table1[[#This Row],[Quantity on order]]*(Table1[[#This Row],[Cost ]]+Table1[[#This Row],[shipping]]+Table1[[#This Row],[Tax]])</f>
        <v>0</v>
      </c>
      <c r="S4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6" s="49">
        <f>Table1[[#This Row],[Quantity  to  purchase]]+Table1[[#This Row],[Quantity purchased]]+Table1[[#This Row],[Quantity on order]]+Table1[[#This Row],[Quantity donated]]-Table1[[#This Row],[extended quantity]]</f>
        <v>0</v>
      </c>
      <c r="U4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6" s="51">
        <f>IFERROR(Table1[[#This Row],[Quantity  to  purchase]]*(Table1[[#This Row],[Cost ]]+Table1[[#This Row],[shipping]]+Table1[[#This Row],[Tax]]),0)</f>
        <v>0</v>
      </c>
      <c r="W406" s="36">
        <f>IFERROR(Table1[[#This Row],[leftover material]]*(Table1[[#This Row],[Cost ]]+Table1[[#This Row],[shipping]]+Table1[[#This Row],[Tax]]),0)</f>
        <v>0</v>
      </c>
      <c r="X406" s="36"/>
      <c r="Y406" s="87"/>
      <c r="Z406" s="87"/>
      <c r="AA406" s="87"/>
      <c r="AB406" s="36"/>
      <c r="AC406" s="36">
        <f>IF(ISNA(VLOOKUP(Table1[[#This Row],[Part Number]],'Multi-level BOM'!V$4:V$449,1,FALSE)),0,Table1[[#This Row],[Remaining Extended cost]])</f>
        <v>0</v>
      </c>
    </row>
    <row r="407" spans="1:29" x14ac:dyDescent="0.25">
      <c r="A407" s="1" t="s">
        <v>410</v>
      </c>
      <c r="B407" s="4"/>
      <c r="F407" s="3">
        <f>9%*Table1[[#This Row],[Cost ]]</f>
        <v>0</v>
      </c>
      <c r="J407" s="49">
        <f>SUMIF('Multi-level BOM'!D$4:D$467,Table1[[#This Row],[Part Number]],'Multi-level BOM'!H$4:H$467)</f>
        <v>0</v>
      </c>
      <c r="K407" s="10">
        <f>Table1[[#This Row],[extended quantity]]*(Table1[[#This Row],[Cost ]]+Table1[[#This Row],[shipping]]+Table1[[#This Row],[Tax]])</f>
        <v>0</v>
      </c>
      <c r="L407" s="83" t="str">
        <f>IF(Table1[[#This Row],[Buy-now costs]]&gt;0,"X","")</f>
        <v/>
      </c>
      <c r="M407" s="83"/>
      <c r="N407" s="83"/>
      <c r="O407" s="40">
        <v>0</v>
      </c>
      <c r="P407" s="97">
        <f>Table1[[#This Row],[quantity on-hand]]*(Table1[[#This Row],[Cost ]]+Table1[[#This Row],[shipping]]+Table1[[#This Row],[Tax]])</f>
        <v>0</v>
      </c>
      <c r="Q407" s="40">
        <v>0</v>
      </c>
      <c r="R407" s="95">
        <f>Table1[[#This Row],[Quantity on order]]*(Table1[[#This Row],[Cost ]]+Table1[[#This Row],[shipping]]+Table1[[#This Row],[Tax]])</f>
        <v>0</v>
      </c>
      <c r="S4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7" s="49">
        <f>Table1[[#This Row],[Quantity  to  purchase]]+Table1[[#This Row],[Quantity purchased]]+Table1[[#This Row],[Quantity on order]]+Table1[[#This Row],[Quantity donated]]-Table1[[#This Row],[extended quantity]]</f>
        <v>0</v>
      </c>
      <c r="U4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7" s="51">
        <f>IFERROR(Table1[[#This Row],[Quantity  to  purchase]]*(Table1[[#This Row],[Cost ]]+Table1[[#This Row],[shipping]]+Table1[[#This Row],[Tax]]),0)</f>
        <v>0</v>
      </c>
      <c r="W407" s="36">
        <f>IFERROR(Table1[[#This Row],[leftover material]]*(Table1[[#This Row],[Cost ]]+Table1[[#This Row],[shipping]]+Table1[[#This Row],[Tax]]),0)</f>
        <v>0</v>
      </c>
      <c r="X407" s="36"/>
      <c r="Y407" s="87"/>
      <c r="Z407" s="87"/>
      <c r="AA407" s="87"/>
      <c r="AB407" s="36"/>
      <c r="AC407" s="36">
        <f>IF(ISNA(VLOOKUP(Table1[[#This Row],[Part Number]],'Multi-level BOM'!V$4:V$449,1,FALSE)),0,Table1[[#This Row],[Remaining Extended cost]])</f>
        <v>0</v>
      </c>
    </row>
    <row r="408" spans="1:29" x14ac:dyDescent="0.25">
      <c r="A408" s="1" t="s">
        <v>411</v>
      </c>
      <c r="B408" s="4"/>
      <c r="F408" s="3">
        <f>9%*Table1[[#This Row],[Cost ]]</f>
        <v>0</v>
      </c>
      <c r="J408" s="49">
        <f>SUMIF('Multi-level BOM'!D$4:D$467,Table1[[#This Row],[Part Number]],'Multi-level BOM'!H$4:H$467)</f>
        <v>0</v>
      </c>
      <c r="K408" s="10">
        <f>Table1[[#This Row],[extended quantity]]*(Table1[[#This Row],[Cost ]]+Table1[[#This Row],[shipping]]+Table1[[#This Row],[Tax]])</f>
        <v>0</v>
      </c>
      <c r="L408" s="83" t="str">
        <f>IF(Table1[[#This Row],[Buy-now costs]]&gt;0,"X","")</f>
        <v/>
      </c>
      <c r="M408" s="83"/>
      <c r="N408" s="83"/>
      <c r="O408" s="40">
        <v>0</v>
      </c>
      <c r="P408" s="97">
        <f>Table1[[#This Row],[quantity on-hand]]*(Table1[[#This Row],[Cost ]]+Table1[[#This Row],[shipping]]+Table1[[#This Row],[Tax]])</f>
        <v>0</v>
      </c>
      <c r="Q408" s="40">
        <v>0</v>
      </c>
      <c r="R408" s="95">
        <f>Table1[[#This Row],[Quantity on order]]*(Table1[[#This Row],[Cost ]]+Table1[[#This Row],[shipping]]+Table1[[#This Row],[Tax]])</f>
        <v>0</v>
      </c>
      <c r="S4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8" s="49">
        <f>Table1[[#This Row],[Quantity  to  purchase]]+Table1[[#This Row],[Quantity purchased]]+Table1[[#This Row],[Quantity on order]]+Table1[[#This Row],[Quantity donated]]-Table1[[#This Row],[extended quantity]]</f>
        <v>0</v>
      </c>
      <c r="U4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8" s="51">
        <f>IFERROR(Table1[[#This Row],[Quantity  to  purchase]]*(Table1[[#This Row],[Cost ]]+Table1[[#This Row],[shipping]]+Table1[[#This Row],[Tax]]),0)</f>
        <v>0</v>
      </c>
      <c r="W408" s="36">
        <f>IFERROR(Table1[[#This Row],[leftover material]]*(Table1[[#This Row],[Cost ]]+Table1[[#This Row],[shipping]]+Table1[[#This Row],[Tax]]),0)</f>
        <v>0</v>
      </c>
      <c r="X408" s="36"/>
      <c r="Y408" s="87"/>
      <c r="Z408" s="87"/>
      <c r="AA408" s="87"/>
      <c r="AB408" s="36"/>
      <c r="AC408" s="36">
        <f>IF(ISNA(VLOOKUP(Table1[[#This Row],[Part Number]],'Multi-level BOM'!V$4:V$449,1,FALSE)),0,Table1[[#This Row],[Remaining Extended cost]])</f>
        <v>0</v>
      </c>
    </row>
    <row r="409" spans="1:29" x14ac:dyDescent="0.25">
      <c r="A409" s="1" t="s">
        <v>412</v>
      </c>
      <c r="B409" s="4"/>
      <c r="F409" s="3">
        <f>9%*Table1[[#This Row],[Cost ]]</f>
        <v>0</v>
      </c>
      <c r="J409" s="49">
        <f>SUMIF('Multi-level BOM'!D$4:D$467,Table1[[#This Row],[Part Number]],'Multi-level BOM'!H$4:H$467)</f>
        <v>0</v>
      </c>
      <c r="K409" s="10">
        <f>Table1[[#This Row],[extended quantity]]*(Table1[[#This Row],[Cost ]]+Table1[[#This Row],[shipping]]+Table1[[#This Row],[Tax]])</f>
        <v>0</v>
      </c>
      <c r="L409" s="83" t="str">
        <f>IF(Table1[[#This Row],[Buy-now costs]]&gt;0,"X","")</f>
        <v/>
      </c>
      <c r="M409" s="83"/>
      <c r="N409" s="83"/>
      <c r="O409" s="40">
        <v>0</v>
      </c>
      <c r="P409" s="97">
        <f>Table1[[#This Row],[quantity on-hand]]*(Table1[[#This Row],[Cost ]]+Table1[[#This Row],[shipping]]+Table1[[#This Row],[Tax]])</f>
        <v>0</v>
      </c>
      <c r="Q409" s="40">
        <v>0</v>
      </c>
      <c r="R409" s="95">
        <f>Table1[[#This Row],[Quantity on order]]*(Table1[[#This Row],[Cost ]]+Table1[[#This Row],[shipping]]+Table1[[#This Row],[Tax]])</f>
        <v>0</v>
      </c>
      <c r="S4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9" s="49">
        <f>Table1[[#This Row],[Quantity  to  purchase]]+Table1[[#This Row],[Quantity purchased]]+Table1[[#This Row],[Quantity on order]]+Table1[[#This Row],[Quantity donated]]-Table1[[#This Row],[extended quantity]]</f>
        <v>0</v>
      </c>
      <c r="U4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9" s="51">
        <f>IFERROR(Table1[[#This Row],[Quantity  to  purchase]]*(Table1[[#This Row],[Cost ]]+Table1[[#This Row],[shipping]]+Table1[[#This Row],[Tax]]),0)</f>
        <v>0</v>
      </c>
      <c r="W409" s="36">
        <f>IFERROR(Table1[[#This Row],[leftover material]]*(Table1[[#This Row],[Cost ]]+Table1[[#This Row],[shipping]]+Table1[[#This Row],[Tax]]),0)</f>
        <v>0</v>
      </c>
      <c r="X409" s="36"/>
      <c r="Y409" s="87"/>
      <c r="Z409" s="87"/>
      <c r="AA409" s="87"/>
      <c r="AB409" s="36"/>
      <c r="AC409" s="36">
        <f>IF(ISNA(VLOOKUP(Table1[[#This Row],[Part Number]],'Multi-level BOM'!V$4:V$449,1,FALSE)),0,Table1[[#This Row],[Remaining Extended cost]])</f>
        <v>0</v>
      </c>
    </row>
    <row r="410" spans="1:29" x14ac:dyDescent="0.25">
      <c r="A410" s="1" t="s">
        <v>413</v>
      </c>
      <c r="B410" s="4"/>
      <c r="F410" s="3">
        <f>9%*Table1[[#This Row],[Cost ]]</f>
        <v>0</v>
      </c>
      <c r="J410" s="49">
        <f>SUMIF('Multi-level BOM'!D$4:D$467,Table1[[#This Row],[Part Number]],'Multi-level BOM'!H$4:H$467)</f>
        <v>0</v>
      </c>
      <c r="K410" s="10">
        <f>Table1[[#This Row],[extended quantity]]*(Table1[[#This Row],[Cost ]]+Table1[[#This Row],[shipping]]+Table1[[#This Row],[Tax]])</f>
        <v>0</v>
      </c>
      <c r="L410" s="83" t="str">
        <f>IF(Table1[[#This Row],[Buy-now costs]]&gt;0,"X","")</f>
        <v/>
      </c>
      <c r="M410" s="83"/>
      <c r="N410" s="83"/>
      <c r="O410" s="40">
        <v>0</v>
      </c>
      <c r="P410" s="97">
        <f>Table1[[#This Row],[quantity on-hand]]*(Table1[[#This Row],[Cost ]]+Table1[[#This Row],[shipping]]+Table1[[#This Row],[Tax]])</f>
        <v>0</v>
      </c>
      <c r="Q410" s="40">
        <v>0</v>
      </c>
      <c r="R410" s="95">
        <f>Table1[[#This Row],[Quantity on order]]*(Table1[[#This Row],[Cost ]]+Table1[[#This Row],[shipping]]+Table1[[#This Row],[Tax]])</f>
        <v>0</v>
      </c>
      <c r="S4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0" s="49">
        <f>Table1[[#This Row],[Quantity  to  purchase]]+Table1[[#This Row],[Quantity purchased]]+Table1[[#This Row],[Quantity on order]]+Table1[[#This Row],[Quantity donated]]-Table1[[#This Row],[extended quantity]]</f>
        <v>0</v>
      </c>
      <c r="U4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0" s="51">
        <f>IFERROR(Table1[[#This Row],[Quantity  to  purchase]]*(Table1[[#This Row],[Cost ]]+Table1[[#This Row],[shipping]]+Table1[[#This Row],[Tax]]),0)</f>
        <v>0</v>
      </c>
      <c r="W410" s="36">
        <f>IFERROR(Table1[[#This Row],[leftover material]]*(Table1[[#This Row],[Cost ]]+Table1[[#This Row],[shipping]]+Table1[[#This Row],[Tax]]),0)</f>
        <v>0</v>
      </c>
      <c r="X410" s="36"/>
      <c r="Y410" s="87"/>
      <c r="Z410" s="87"/>
      <c r="AA410" s="87"/>
      <c r="AB410" s="36"/>
      <c r="AC410" s="36">
        <f>IF(ISNA(VLOOKUP(Table1[[#This Row],[Part Number]],'Multi-level BOM'!V$4:V$449,1,FALSE)),0,Table1[[#This Row],[Remaining Extended cost]])</f>
        <v>0</v>
      </c>
    </row>
    <row r="411" spans="1:29" x14ac:dyDescent="0.25">
      <c r="A411" s="1" t="s">
        <v>414</v>
      </c>
      <c r="B411" s="4"/>
      <c r="F411" s="3">
        <f>9%*Table1[[#This Row],[Cost ]]</f>
        <v>0</v>
      </c>
      <c r="J411" s="49">
        <f>SUMIF('Multi-level BOM'!D$4:D$467,Table1[[#This Row],[Part Number]],'Multi-level BOM'!H$4:H$467)</f>
        <v>0</v>
      </c>
      <c r="K411" s="10">
        <f>Table1[[#This Row],[extended quantity]]*(Table1[[#This Row],[Cost ]]+Table1[[#This Row],[shipping]]+Table1[[#This Row],[Tax]])</f>
        <v>0</v>
      </c>
      <c r="L411" s="83" t="str">
        <f>IF(Table1[[#This Row],[Buy-now costs]]&gt;0,"X","")</f>
        <v/>
      </c>
      <c r="M411" s="83"/>
      <c r="N411" s="83"/>
      <c r="O411" s="40">
        <v>0</v>
      </c>
      <c r="P411" s="97">
        <f>Table1[[#This Row],[quantity on-hand]]*(Table1[[#This Row],[Cost ]]+Table1[[#This Row],[shipping]]+Table1[[#This Row],[Tax]])</f>
        <v>0</v>
      </c>
      <c r="Q411" s="40">
        <v>0</v>
      </c>
      <c r="R411" s="95">
        <f>Table1[[#This Row],[Quantity on order]]*(Table1[[#This Row],[Cost ]]+Table1[[#This Row],[shipping]]+Table1[[#This Row],[Tax]])</f>
        <v>0</v>
      </c>
      <c r="S4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1" s="49">
        <f>Table1[[#This Row],[Quantity  to  purchase]]+Table1[[#This Row],[Quantity purchased]]+Table1[[#This Row],[Quantity on order]]+Table1[[#This Row],[Quantity donated]]-Table1[[#This Row],[extended quantity]]</f>
        <v>0</v>
      </c>
      <c r="U4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1" s="51">
        <f>IFERROR(Table1[[#This Row],[Quantity  to  purchase]]*(Table1[[#This Row],[Cost ]]+Table1[[#This Row],[shipping]]+Table1[[#This Row],[Tax]]),0)</f>
        <v>0</v>
      </c>
      <c r="W411" s="36">
        <f>IFERROR(Table1[[#This Row],[leftover material]]*(Table1[[#This Row],[Cost ]]+Table1[[#This Row],[shipping]]+Table1[[#This Row],[Tax]]),0)</f>
        <v>0</v>
      </c>
      <c r="X411" s="36"/>
      <c r="Y411" s="87"/>
      <c r="Z411" s="87"/>
      <c r="AA411" s="87"/>
      <c r="AB411" s="36"/>
      <c r="AC411" s="36">
        <f>IF(ISNA(VLOOKUP(Table1[[#This Row],[Part Number]],'Multi-level BOM'!V$4:V$449,1,FALSE)),0,Table1[[#This Row],[Remaining Extended cost]])</f>
        <v>0</v>
      </c>
    </row>
    <row r="412" spans="1:29" x14ac:dyDescent="0.25">
      <c r="A412" s="1" t="s">
        <v>415</v>
      </c>
      <c r="B412" s="4"/>
      <c r="F412" s="3">
        <f>9%*Table1[[#This Row],[Cost ]]</f>
        <v>0</v>
      </c>
      <c r="J412" s="49">
        <f>SUMIF('Multi-level BOM'!D$4:D$467,Table1[[#This Row],[Part Number]],'Multi-level BOM'!H$4:H$467)</f>
        <v>0</v>
      </c>
      <c r="K412" s="10">
        <f>Table1[[#This Row],[extended quantity]]*(Table1[[#This Row],[Cost ]]+Table1[[#This Row],[shipping]]+Table1[[#This Row],[Tax]])</f>
        <v>0</v>
      </c>
      <c r="L412" s="83" t="str">
        <f>IF(Table1[[#This Row],[Buy-now costs]]&gt;0,"X","")</f>
        <v/>
      </c>
      <c r="M412" s="83"/>
      <c r="N412" s="83"/>
      <c r="O412" s="40">
        <v>0</v>
      </c>
      <c r="P412" s="97">
        <f>Table1[[#This Row],[quantity on-hand]]*(Table1[[#This Row],[Cost ]]+Table1[[#This Row],[shipping]]+Table1[[#This Row],[Tax]])</f>
        <v>0</v>
      </c>
      <c r="Q412" s="40">
        <v>0</v>
      </c>
      <c r="R412" s="95">
        <f>Table1[[#This Row],[Quantity on order]]*(Table1[[#This Row],[Cost ]]+Table1[[#This Row],[shipping]]+Table1[[#This Row],[Tax]])</f>
        <v>0</v>
      </c>
      <c r="S4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2" s="49">
        <f>Table1[[#This Row],[Quantity  to  purchase]]+Table1[[#This Row],[Quantity purchased]]+Table1[[#This Row],[Quantity on order]]+Table1[[#This Row],[Quantity donated]]-Table1[[#This Row],[extended quantity]]</f>
        <v>0</v>
      </c>
      <c r="U4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2" s="51">
        <f>IFERROR(Table1[[#This Row],[Quantity  to  purchase]]*(Table1[[#This Row],[Cost ]]+Table1[[#This Row],[shipping]]+Table1[[#This Row],[Tax]]),0)</f>
        <v>0</v>
      </c>
      <c r="W412" s="36">
        <f>IFERROR(Table1[[#This Row],[leftover material]]*(Table1[[#This Row],[Cost ]]+Table1[[#This Row],[shipping]]+Table1[[#This Row],[Tax]]),0)</f>
        <v>0</v>
      </c>
      <c r="X412" s="36"/>
      <c r="Y412" s="87"/>
      <c r="Z412" s="87"/>
      <c r="AA412" s="87"/>
      <c r="AB412" s="36"/>
      <c r="AC412" s="36">
        <f>IF(ISNA(VLOOKUP(Table1[[#This Row],[Part Number]],'Multi-level BOM'!V$4:V$449,1,FALSE)),0,Table1[[#This Row],[Remaining Extended cost]])</f>
        <v>0</v>
      </c>
    </row>
    <row r="413" spans="1:29" x14ac:dyDescent="0.25">
      <c r="A413" s="1" t="s">
        <v>416</v>
      </c>
      <c r="B413" s="4"/>
      <c r="F413" s="3">
        <f>9%*Table1[[#This Row],[Cost ]]</f>
        <v>0</v>
      </c>
      <c r="J413" s="49">
        <f>SUMIF('Multi-level BOM'!D$4:D$467,Table1[[#This Row],[Part Number]],'Multi-level BOM'!H$4:H$467)</f>
        <v>0</v>
      </c>
      <c r="K413" s="10">
        <f>Table1[[#This Row],[extended quantity]]*(Table1[[#This Row],[Cost ]]+Table1[[#This Row],[shipping]]+Table1[[#This Row],[Tax]])</f>
        <v>0</v>
      </c>
      <c r="L413" s="83" t="str">
        <f>IF(Table1[[#This Row],[Buy-now costs]]&gt;0,"X","")</f>
        <v/>
      </c>
      <c r="M413" s="83"/>
      <c r="N413" s="83"/>
      <c r="O413" s="40">
        <v>0</v>
      </c>
      <c r="P413" s="97">
        <f>Table1[[#This Row],[quantity on-hand]]*(Table1[[#This Row],[Cost ]]+Table1[[#This Row],[shipping]]+Table1[[#This Row],[Tax]])</f>
        <v>0</v>
      </c>
      <c r="Q413" s="40">
        <v>0</v>
      </c>
      <c r="R413" s="95">
        <f>Table1[[#This Row],[Quantity on order]]*(Table1[[#This Row],[Cost ]]+Table1[[#This Row],[shipping]]+Table1[[#This Row],[Tax]])</f>
        <v>0</v>
      </c>
      <c r="S4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3" s="49">
        <f>Table1[[#This Row],[Quantity  to  purchase]]+Table1[[#This Row],[Quantity purchased]]+Table1[[#This Row],[Quantity on order]]+Table1[[#This Row],[Quantity donated]]-Table1[[#This Row],[extended quantity]]</f>
        <v>0</v>
      </c>
      <c r="U4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3" s="51">
        <f>IFERROR(Table1[[#This Row],[Quantity  to  purchase]]*(Table1[[#This Row],[Cost ]]+Table1[[#This Row],[shipping]]+Table1[[#This Row],[Tax]]),0)</f>
        <v>0</v>
      </c>
      <c r="W413" s="36">
        <f>IFERROR(Table1[[#This Row],[leftover material]]*(Table1[[#This Row],[Cost ]]+Table1[[#This Row],[shipping]]+Table1[[#This Row],[Tax]]),0)</f>
        <v>0</v>
      </c>
      <c r="X413" s="36"/>
      <c r="Y413" s="87"/>
      <c r="Z413" s="87"/>
      <c r="AA413" s="87"/>
      <c r="AB413" s="36"/>
      <c r="AC413" s="36">
        <f>IF(ISNA(VLOOKUP(Table1[[#This Row],[Part Number]],'Multi-level BOM'!V$4:V$449,1,FALSE)),0,Table1[[#This Row],[Remaining Extended cost]])</f>
        <v>0</v>
      </c>
    </row>
    <row r="414" spans="1:29" x14ac:dyDescent="0.25">
      <c r="A414" s="1" t="s">
        <v>417</v>
      </c>
      <c r="B414" s="4"/>
      <c r="F414" s="3">
        <f>9%*Table1[[#This Row],[Cost ]]</f>
        <v>0</v>
      </c>
      <c r="J414" s="49">
        <f>SUMIF('Multi-level BOM'!D$4:D$467,Table1[[#This Row],[Part Number]],'Multi-level BOM'!H$4:H$467)</f>
        <v>0</v>
      </c>
      <c r="K414" s="10">
        <f>Table1[[#This Row],[extended quantity]]*(Table1[[#This Row],[Cost ]]+Table1[[#This Row],[shipping]]+Table1[[#This Row],[Tax]])</f>
        <v>0</v>
      </c>
      <c r="L414" s="83" t="str">
        <f>IF(Table1[[#This Row],[Buy-now costs]]&gt;0,"X","")</f>
        <v/>
      </c>
      <c r="M414" s="83"/>
      <c r="N414" s="83"/>
      <c r="O414" s="40">
        <v>0</v>
      </c>
      <c r="P414" s="97">
        <f>Table1[[#This Row],[quantity on-hand]]*(Table1[[#This Row],[Cost ]]+Table1[[#This Row],[shipping]]+Table1[[#This Row],[Tax]])</f>
        <v>0</v>
      </c>
      <c r="Q414" s="40">
        <v>0</v>
      </c>
      <c r="R414" s="95">
        <f>Table1[[#This Row],[Quantity on order]]*(Table1[[#This Row],[Cost ]]+Table1[[#This Row],[shipping]]+Table1[[#This Row],[Tax]])</f>
        <v>0</v>
      </c>
      <c r="S4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4" s="49">
        <f>Table1[[#This Row],[Quantity  to  purchase]]+Table1[[#This Row],[Quantity purchased]]+Table1[[#This Row],[Quantity on order]]+Table1[[#This Row],[Quantity donated]]-Table1[[#This Row],[extended quantity]]</f>
        <v>0</v>
      </c>
      <c r="U4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4" s="51">
        <f>IFERROR(Table1[[#This Row],[Quantity  to  purchase]]*(Table1[[#This Row],[Cost ]]+Table1[[#This Row],[shipping]]+Table1[[#This Row],[Tax]]),0)</f>
        <v>0</v>
      </c>
      <c r="W414" s="36">
        <f>IFERROR(Table1[[#This Row],[leftover material]]*(Table1[[#This Row],[Cost ]]+Table1[[#This Row],[shipping]]+Table1[[#This Row],[Tax]]),0)</f>
        <v>0</v>
      </c>
      <c r="X414" s="36"/>
      <c r="Y414" s="87"/>
      <c r="Z414" s="87"/>
      <c r="AA414" s="87"/>
      <c r="AB414" s="36"/>
      <c r="AC414" s="36">
        <f>IF(ISNA(VLOOKUP(Table1[[#This Row],[Part Number]],'Multi-level BOM'!V$4:V$449,1,FALSE)),0,Table1[[#This Row],[Remaining Extended cost]])</f>
        <v>0</v>
      </c>
    </row>
    <row r="415" spans="1:29" x14ac:dyDescent="0.25">
      <c r="A415" s="1" t="s">
        <v>418</v>
      </c>
      <c r="B415" s="4"/>
      <c r="F415" s="3">
        <f>9%*Table1[[#This Row],[Cost ]]</f>
        <v>0</v>
      </c>
      <c r="J415" s="49">
        <f>SUMIF('Multi-level BOM'!D$4:D$467,Table1[[#This Row],[Part Number]],'Multi-level BOM'!H$4:H$467)</f>
        <v>0</v>
      </c>
      <c r="K415" s="10">
        <f>Table1[[#This Row],[extended quantity]]*(Table1[[#This Row],[Cost ]]+Table1[[#This Row],[shipping]]+Table1[[#This Row],[Tax]])</f>
        <v>0</v>
      </c>
      <c r="L415" s="83" t="str">
        <f>IF(Table1[[#This Row],[Buy-now costs]]&gt;0,"X","")</f>
        <v/>
      </c>
      <c r="M415" s="83"/>
      <c r="N415" s="83"/>
      <c r="O415" s="40">
        <v>0</v>
      </c>
      <c r="P415" s="97">
        <f>Table1[[#This Row],[quantity on-hand]]*(Table1[[#This Row],[Cost ]]+Table1[[#This Row],[shipping]]+Table1[[#This Row],[Tax]])</f>
        <v>0</v>
      </c>
      <c r="Q415" s="40">
        <v>0</v>
      </c>
      <c r="R415" s="95">
        <f>Table1[[#This Row],[Quantity on order]]*(Table1[[#This Row],[Cost ]]+Table1[[#This Row],[shipping]]+Table1[[#This Row],[Tax]])</f>
        <v>0</v>
      </c>
      <c r="S4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5" s="49">
        <f>Table1[[#This Row],[Quantity  to  purchase]]+Table1[[#This Row],[Quantity purchased]]+Table1[[#This Row],[Quantity on order]]+Table1[[#This Row],[Quantity donated]]-Table1[[#This Row],[extended quantity]]</f>
        <v>0</v>
      </c>
      <c r="U4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5" s="51">
        <f>IFERROR(Table1[[#This Row],[Quantity  to  purchase]]*(Table1[[#This Row],[Cost ]]+Table1[[#This Row],[shipping]]+Table1[[#This Row],[Tax]]),0)</f>
        <v>0</v>
      </c>
      <c r="W415" s="36">
        <f>IFERROR(Table1[[#This Row],[leftover material]]*(Table1[[#This Row],[Cost ]]+Table1[[#This Row],[shipping]]+Table1[[#This Row],[Tax]]),0)</f>
        <v>0</v>
      </c>
      <c r="X415" s="36"/>
      <c r="Y415" s="87"/>
      <c r="Z415" s="87"/>
      <c r="AA415" s="87"/>
      <c r="AB415" s="36"/>
      <c r="AC415" s="36">
        <f>IF(ISNA(VLOOKUP(Table1[[#This Row],[Part Number]],'Multi-level BOM'!V$4:V$449,1,FALSE)),0,Table1[[#This Row],[Remaining Extended cost]])</f>
        <v>0</v>
      </c>
    </row>
    <row r="416" spans="1:29" x14ac:dyDescent="0.25">
      <c r="A416" s="1" t="s">
        <v>419</v>
      </c>
      <c r="B416" s="4"/>
      <c r="F416" s="3">
        <f>9%*Table1[[#This Row],[Cost ]]</f>
        <v>0</v>
      </c>
      <c r="J416" s="49">
        <f>SUMIF('Multi-level BOM'!D$4:D$467,Table1[[#This Row],[Part Number]],'Multi-level BOM'!H$4:H$467)</f>
        <v>0</v>
      </c>
      <c r="K416" s="10">
        <f>Table1[[#This Row],[extended quantity]]*(Table1[[#This Row],[Cost ]]+Table1[[#This Row],[shipping]]+Table1[[#This Row],[Tax]])</f>
        <v>0</v>
      </c>
      <c r="L416" s="83" t="str">
        <f>IF(Table1[[#This Row],[Buy-now costs]]&gt;0,"X","")</f>
        <v/>
      </c>
      <c r="M416" s="83"/>
      <c r="N416" s="83"/>
      <c r="O416" s="40">
        <v>0</v>
      </c>
      <c r="P416" s="97">
        <f>Table1[[#This Row],[quantity on-hand]]*(Table1[[#This Row],[Cost ]]+Table1[[#This Row],[shipping]]+Table1[[#This Row],[Tax]])</f>
        <v>0</v>
      </c>
      <c r="Q416" s="40">
        <v>0</v>
      </c>
      <c r="R416" s="95">
        <f>Table1[[#This Row],[Quantity on order]]*(Table1[[#This Row],[Cost ]]+Table1[[#This Row],[shipping]]+Table1[[#This Row],[Tax]])</f>
        <v>0</v>
      </c>
      <c r="S4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6" s="49">
        <f>Table1[[#This Row],[Quantity  to  purchase]]+Table1[[#This Row],[Quantity purchased]]+Table1[[#This Row],[Quantity on order]]+Table1[[#This Row],[Quantity donated]]-Table1[[#This Row],[extended quantity]]</f>
        <v>0</v>
      </c>
      <c r="U4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6" s="51">
        <f>IFERROR(Table1[[#This Row],[Quantity  to  purchase]]*(Table1[[#This Row],[Cost ]]+Table1[[#This Row],[shipping]]+Table1[[#This Row],[Tax]]),0)</f>
        <v>0</v>
      </c>
      <c r="W416" s="36">
        <f>IFERROR(Table1[[#This Row],[leftover material]]*(Table1[[#This Row],[Cost ]]+Table1[[#This Row],[shipping]]+Table1[[#This Row],[Tax]]),0)</f>
        <v>0</v>
      </c>
      <c r="X416" s="36"/>
      <c r="Y416" s="87"/>
      <c r="Z416" s="87"/>
      <c r="AA416" s="87"/>
      <c r="AB416" s="36"/>
      <c r="AC416" s="36">
        <f>IF(ISNA(VLOOKUP(Table1[[#This Row],[Part Number]],'Multi-level BOM'!V$4:V$449,1,FALSE)),0,Table1[[#This Row],[Remaining Extended cost]])</f>
        <v>0</v>
      </c>
    </row>
    <row r="417" spans="1:29" x14ac:dyDescent="0.25">
      <c r="A417" s="1" t="s">
        <v>420</v>
      </c>
      <c r="B417" s="4"/>
      <c r="F417" s="3">
        <f>9%*Table1[[#This Row],[Cost ]]</f>
        <v>0</v>
      </c>
      <c r="J417" s="49">
        <f>SUMIF('Multi-level BOM'!D$4:D$467,Table1[[#This Row],[Part Number]],'Multi-level BOM'!H$4:H$467)</f>
        <v>0</v>
      </c>
      <c r="K417" s="10">
        <f>Table1[[#This Row],[extended quantity]]*(Table1[[#This Row],[Cost ]]+Table1[[#This Row],[shipping]]+Table1[[#This Row],[Tax]])</f>
        <v>0</v>
      </c>
      <c r="L417" s="83" t="str">
        <f>IF(Table1[[#This Row],[Buy-now costs]]&gt;0,"X","")</f>
        <v/>
      </c>
      <c r="M417" s="83"/>
      <c r="N417" s="83"/>
      <c r="O417" s="40">
        <v>0</v>
      </c>
      <c r="P417" s="97">
        <f>Table1[[#This Row],[quantity on-hand]]*(Table1[[#This Row],[Cost ]]+Table1[[#This Row],[shipping]]+Table1[[#This Row],[Tax]])</f>
        <v>0</v>
      </c>
      <c r="Q417" s="40">
        <v>0</v>
      </c>
      <c r="R417" s="95">
        <f>Table1[[#This Row],[Quantity on order]]*(Table1[[#This Row],[Cost ]]+Table1[[#This Row],[shipping]]+Table1[[#This Row],[Tax]])</f>
        <v>0</v>
      </c>
      <c r="S4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7" s="49">
        <f>Table1[[#This Row],[Quantity  to  purchase]]+Table1[[#This Row],[Quantity purchased]]+Table1[[#This Row],[Quantity on order]]+Table1[[#This Row],[Quantity donated]]-Table1[[#This Row],[extended quantity]]</f>
        <v>0</v>
      </c>
      <c r="U4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7" s="51">
        <f>IFERROR(Table1[[#This Row],[Quantity  to  purchase]]*(Table1[[#This Row],[Cost ]]+Table1[[#This Row],[shipping]]+Table1[[#This Row],[Tax]]),0)</f>
        <v>0</v>
      </c>
      <c r="W417" s="36">
        <f>IFERROR(Table1[[#This Row],[leftover material]]*(Table1[[#This Row],[Cost ]]+Table1[[#This Row],[shipping]]+Table1[[#This Row],[Tax]]),0)</f>
        <v>0</v>
      </c>
      <c r="X417" s="36"/>
      <c r="Y417" s="87"/>
      <c r="Z417" s="87"/>
      <c r="AA417" s="87"/>
      <c r="AB417" s="36"/>
      <c r="AC417" s="36">
        <f>IF(ISNA(VLOOKUP(Table1[[#This Row],[Part Number]],'Multi-level BOM'!V$4:V$449,1,FALSE)),0,Table1[[#This Row],[Remaining Extended cost]])</f>
        <v>0</v>
      </c>
    </row>
    <row r="418" spans="1:29" x14ac:dyDescent="0.25">
      <c r="A418" s="1" t="s">
        <v>421</v>
      </c>
      <c r="B418" s="4"/>
      <c r="F418" s="3">
        <f>9%*Table1[[#This Row],[Cost ]]</f>
        <v>0</v>
      </c>
      <c r="J418" s="49">
        <f>SUMIF('Multi-level BOM'!D$4:D$467,Table1[[#This Row],[Part Number]],'Multi-level BOM'!H$4:H$467)</f>
        <v>0</v>
      </c>
      <c r="K418" s="10">
        <f>Table1[[#This Row],[extended quantity]]*(Table1[[#This Row],[Cost ]]+Table1[[#This Row],[shipping]]+Table1[[#This Row],[Tax]])</f>
        <v>0</v>
      </c>
      <c r="L418" s="83" t="str">
        <f>IF(Table1[[#This Row],[Buy-now costs]]&gt;0,"X","")</f>
        <v/>
      </c>
      <c r="M418" s="83"/>
      <c r="N418" s="83"/>
      <c r="O418" s="40">
        <v>0</v>
      </c>
      <c r="P418" s="97">
        <f>Table1[[#This Row],[quantity on-hand]]*(Table1[[#This Row],[Cost ]]+Table1[[#This Row],[shipping]]+Table1[[#This Row],[Tax]])</f>
        <v>0</v>
      </c>
      <c r="Q418" s="40">
        <v>0</v>
      </c>
      <c r="R418" s="95">
        <f>Table1[[#This Row],[Quantity on order]]*(Table1[[#This Row],[Cost ]]+Table1[[#This Row],[shipping]]+Table1[[#This Row],[Tax]])</f>
        <v>0</v>
      </c>
      <c r="S4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8" s="49">
        <f>Table1[[#This Row],[Quantity  to  purchase]]+Table1[[#This Row],[Quantity purchased]]+Table1[[#This Row],[Quantity on order]]+Table1[[#This Row],[Quantity donated]]-Table1[[#This Row],[extended quantity]]</f>
        <v>0</v>
      </c>
      <c r="U4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8" s="51">
        <f>IFERROR(Table1[[#This Row],[Quantity  to  purchase]]*(Table1[[#This Row],[Cost ]]+Table1[[#This Row],[shipping]]+Table1[[#This Row],[Tax]]),0)</f>
        <v>0</v>
      </c>
      <c r="W418" s="36">
        <f>IFERROR(Table1[[#This Row],[leftover material]]*(Table1[[#This Row],[Cost ]]+Table1[[#This Row],[shipping]]+Table1[[#This Row],[Tax]]),0)</f>
        <v>0</v>
      </c>
      <c r="X418" s="36"/>
      <c r="Y418" s="87"/>
      <c r="Z418" s="87"/>
      <c r="AA418" s="87"/>
      <c r="AB418" s="36"/>
      <c r="AC418" s="36">
        <f>IF(ISNA(VLOOKUP(Table1[[#This Row],[Part Number]],'Multi-level BOM'!V$4:V$449,1,FALSE)),0,Table1[[#This Row],[Remaining Extended cost]])</f>
        <v>0</v>
      </c>
    </row>
    <row r="419" spans="1:29" x14ac:dyDescent="0.25">
      <c r="A419" s="1" t="s">
        <v>422</v>
      </c>
      <c r="B419" s="4"/>
      <c r="F419" s="3">
        <f>9%*Table1[[#This Row],[Cost ]]</f>
        <v>0</v>
      </c>
      <c r="J419" s="49">
        <f>SUMIF('Multi-level BOM'!D$4:D$467,Table1[[#This Row],[Part Number]],'Multi-level BOM'!H$4:H$467)</f>
        <v>0</v>
      </c>
      <c r="K419" s="10">
        <f>Table1[[#This Row],[extended quantity]]*(Table1[[#This Row],[Cost ]]+Table1[[#This Row],[shipping]]+Table1[[#This Row],[Tax]])</f>
        <v>0</v>
      </c>
      <c r="L419" s="83" t="str">
        <f>IF(Table1[[#This Row],[Buy-now costs]]&gt;0,"X","")</f>
        <v/>
      </c>
      <c r="M419" s="83"/>
      <c r="N419" s="83"/>
      <c r="O419" s="40">
        <v>0</v>
      </c>
      <c r="P419" s="97">
        <f>Table1[[#This Row],[quantity on-hand]]*(Table1[[#This Row],[Cost ]]+Table1[[#This Row],[shipping]]+Table1[[#This Row],[Tax]])</f>
        <v>0</v>
      </c>
      <c r="Q419" s="40">
        <v>0</v>
      </c>
      <c r="R419" s="95">
        <f>Table1[[#This Row],[Quantity on order]]*(Table1[[#This Row],[Cost ]]+Table1[[#This Row],[shipping]]+Table1[[#This Row],[Tax]])</f>
        <v>0</v>
      </c>
      <c r="S4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9" s="49">
        <f>Table1[[#This Row],[Quantity  to  purchase]]+Table1[[#This Row],[Quantity purchased]]+Table1[[#This Row],[Quantity on order]]+Table1[[#This Row],[Quantity donated]]-Table1[[#This Row],[extended quantity]]</f>
        <v>0</v>
      </c>
      <c r="U4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9" s="51">
        <f>IFERROR(Table1[[#This Row],[Quantity  to  purchase]]*(Table1[[#This Row],[Cost ]]+Table1[[#This Row],[shipping]]+Table1[[#This Row],[Tax]]),0)</f>
        <v>0</v>
      </c>
      <c r="W419" s="36">
        <f>IFERROR(Table1[[#This Row],[leftover material]]*(Table1[[#This Row],[Cost ]]+Table1[[#This Row],[shipping]]+Table1[[#This Row],[Tax]]),0)</f>
        <v>0</v>
      </c>
      <c r="X419" s="36"/>
      <c r="Y419" s="87"/>
      <c r="Z419" s="87"/>
      <c r="AA419" s="87"/>
      <c r="AB419" s="36"/>
      <c r="AC419" s="36">
        <f>IF(ISNA(VLOOKUP(Table1[[#This Row],[Part Number]],'Multi-level BOM'!V$4:V$449,1,FALSE)),0,Table1[[#This Row],[Remaining Extended cost]])</f>
        <v>0</v>
      </c>
    </row>
    <row r="420" spans="1:29" x14ac:dyDescent="0.25">
      <c r="A420" s="1" t="s">
        <v>423</v>
      </c>
      <c r="B420" s="4"/>
      <c r="F420" s="3">
        <f>9%*Table1[[#This Row],[Cost ]]</f>
        <v>0</v>
      </c>
      <c r="J420" s="49">
        <f>SUMIF('Multi-level BOM'!D$4:D$467,Table1[[#This Row],[Part Number]],'Multi-level BOM'!H$4:H$467)</f>
        <v>0</v>
      </c>
      <c r="K420" s="10">
        <f>Table1[[#This Row],[extended quantity]]*(Table1[[#This Row],[Cost ]]+Table1[[#This Row],[shipping]]+Table1[[#This Row],[Tax]])</f>
        <v>0</v>
      </c>
      <c r="L420" s="83" t="str">
        <f>IF(Table1[[#This Row],[Buy-now costs]]&gt;0,"X","")</f>
        <v/>
      </c>
      <c r="M420" s="83"/>
      <c r="N420" s="83"/>
      <c r="O420" s="40">
        <v>0</v>
      </c>
      <c r="P420" s="97">
        <f>Table1[[#This Row],[quantity on-hand]]*(Table1[[#This Row],[Cost ]]+Table1[[#This Row],[shipping]]+Table1[[#This Row],[Tax]])</f>
        <v>0</v>
      </c>
      <c r="Q420" s="40">
        <v>0</v>
      </c>
      <c r="R420" s="95">
        <f>Table1[[#This Row],[Quantity on order]]*(Table1[[#This Row],[Cost ]]+Table1[[#This Row],[shipping]]+Table1[[#This Row],[Tax]])</f>
        <v>0</v>
      </c>
      <c r="S4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0" s="49">
        <f>Table1[[#This Row],[Quantity  to  purchase]]+Table1[[#This Row],[Quantity purchased]]+Table1[[#This Row],[Quantity on order]]+Table1[[#This Row],[Quantity donated]]-Table1[[#This Row],[extended quantity]]</f>
        <v>0</v>
      </c>
      <c r="U4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0" s="51">
        <f>IFERROR(Table1[[#This Row],[Quantity  to  purchase]]*(Table1[[#This Row],[Cost ]]+Table1[[#This Row],[shipping]]+Table1[[#This Row],[Tax]]),0)</f>
        <v>0</v>
      </c>
      <c r="W420" s="36">
        <f>IFERROR(Table1[[#This Row],[leftover material]]*(Table1[[#This Row],[Cost ]]+Table1[[#This Row],[shipping]]+Table1[[#This Row],[Tax]]),0)</f>
        <v>0</v>
      </c>
      <c r="X420" s="36"/>
      <c r="Y420" s="87"/>
      <c r="Z420" s="87"/>
      <c r="AA420" s="87"/>
      <c r="AB420" s="36"/>
      <c r="AC420" s="36">
        <f>IF(ISNA(VLOOKUP(Table1[[#This Row],[Part Number]],'Multi-level BOM'!V$4:V$449,1,FALSE)),0,Table1[[#This Row],[Remaining Extended cost]])</f>
        <v>0</v>
      </c>
    </row>
    <row r="421" spans="1:29" x14ac:dyDescent="0.25">
      <c r="A421" s="1" t="s">
        <v>424</v>
      </c>
      <c r="B421" s="4"/>
      <c r="F421" s="3">
        <f>9%*Table1[[#This Row],[Cost ]]</f>
        <v>0</v>
      </c>
      <c r="J421" s="49">
        <f>SUMIF('Multi-level BOM'!D$4:D$467,Table1[[#This Row],[Part Number]],'Multi-level BOM'!H$4:H$467)</f>
        <v>0</v>
      </c>
      <c r="K421" s="10">
        <f>Table1[[#This Row],[extended quantity]]*(Table1[[#This Row],[Cost ]]+Table1[[#This Row],[shipping]]+Table1[[#This Row],[Tax]])</f>
        <v>0</v>
      </c>
      <c r="L421" s="83" t="str">
        <f>IF(Table1[[#This Row],[Buy-now costs]]&gt;0,"X","")</f>
        <v/>
      </c>
      <c r="M421" s="83"/>
      <c r="N421" s="83"/>
      <c r="O421" s="40">
        <v>0</v>
      </c>
      <c r="P421" s="97">
        <f>Table1[[#This Row],[quantity on-hand]]*(Table1[[#This Row],[Cost ]]+Table1[[#This Row],[shipping]]+Table1[[#This Row],[Tax]])</f>
        <v>0</v>
      </c>
      <c r="Q421" s="40">
        <v>0</v>
      </c>
      <c r="R421" s="95">
        <f>Table1[[#This Row],[Quantity on order]]*(Table1[[#This Row],[Cost ]]+Table1[[#This Row],[shipping]]+Table1[[#This Row],[Tax]])</f>
        <v>0</v>
      </c>
      <c r="S4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1" s="49">
        <f>Table1[[#This Row],[Quantity  to  purchase]]+Table1[[#This Row],[Quantity purchased]]+Table1[[#This Row],[Quantity on order]]+Table1[[#This Row],[Quantity donated]]-Table1[[#This Row],[extended quantity]]</f>
        <v>0</v>
      </c>
      <c r="U4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1" s="51">
        <f>IFERROR(Table1[[#This Row],[Quantity  to  purchase]]*(Table1[[#This Row],[Cost ]]+Table1[[#This Row],[shipping]]+Table1[[#This Row],[Tax]]),0)</f>
        <v>0</v>
      </c>
      <c r="W421" s="36">
        <f>IFERROR(Table1[[#This Row],[leftover material]]*(Table1[[#This Row],[Cost ]]+Table1[[#This Row],[shipping]]+Table1[[#This Row],[Tax]]),0)</f>
        <v>0</v>
      </c>
      <c r="X421" s="36"/>
      <c r="Y421" s="87"/>
      <c r="Z421" s="87"/>
      <c r="AA421" s="87"/>
      <c r="AB421" s="36"/>
      <c r="AC421" s="36">
        <f>IF(ISNA(VLOOKUP(Table1[[#This Row],[Part Number]],'Multi-level BOM'!V$4:V$449,1,FALSE)),0,Table1[[#This Row],[Remaining Extended cost]])</f>
        <v>0</v>
      </c>
    </row>
    <row r="422" spans="1:29" x14ac:dyDescent="0.25">
      <c r="A422" s="1" t="s">
        <v>425</v>
      </c>
      <c r="B422" s="4"/>
      <c r="F422" s="3">
        <f>9%*Table1[[#This Row],[Cost ]]</f>
        <v>0</v>
      </c>
      <c r="J422" s="49">
        <f>SUMIF('Multi-level BOM'!D$4:D$467,Table1[[#This Row],[Part Number]],'Multi-level BOM'!H$4:H$467)</f>
        <v>0</v>
      </c>
      <c r="K422" s="10">
        <f>Table1[[#This Row],[extended quantity]]*(Table1[[#This Row],[Cost ]]+Table1[[#This Row],[shipping]]+Table1[[#This Row],[Tax]])</f>
        <v>0</v>
      </c>
      <c r="L422" s="83" t="str">
        <f>IF(Table1[[#This Row],[Buy-now costs]]&gt;0,"X","")</f>
        <v/>
      </c>
      <c r="M422" s="83"/>
      <c r="N422" s="83"/>
      <c r="O422" s="40">
        <v>0</v>
      </c>
      <c r="P422" s="97">
        <f>Table1[[#This Row],[quantity on-hand]]*(Table1[[#This Row],[Cost ]]+Table1[[#This Row],[shipping]]+Table1[[#This Row],[Tax]])</f>
        <v>0</v>
      </c>
      <c r="Q422" s="40">
        <v>0</v>
      </c>
      <c r="R422" s="95">
        <f>Table1[[#This Row],[Quantity on order]]*(Table1[[#This Row],[Cost ]]+Table1[[#This Row],[shipping]]+Table1[[#This Row],[Tax]])</f>
        <v>0</v>
      </c>
      <c r="S4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2" s="49">
        <f>Table1[[#This Row],[Quantity  to  purchase]]+Table1[[#This Row],[Quantity purchased]]+Table1[[#This Row],[Quantity on order]]+Table1[[#This Row],[Quantity donated]]-Table1[[#This Row],[extended quantity]]</f>
        <v>0</v>
      </c>
      <c r="U4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2" s="51">
        <f>IFERROR(Table1[[#This Row],[Quantity  to  purchase]]*(Table1[[#This Row],[Cost ]]+Table1[[#This Row],[shipping]]+Table1[[#This Row],[Tax]]),0)</f>
        <v>0</v>
      </c>
      <c r="W422" s="36">
        <f>IFERROR(Table1[[#This Row],[leftover material]]*(Table1[[#This Row],[Cost ]]+Table1[[#This Row],[shipping]]+Table1[[#This Row],[Tax]]),0)</f>
        <v>0</v>
      </c>
      <c r="X422" s="36"/>
      <c r="Y422" s="87"/>
      <c r="Z422" s="87"/>
      <c r="AA422" s="87"/>
      <c r="AB422" s="36"/>
      <c r="AC422" s="36">
        <f>IF(ISNA(VLOOKUP(Table1[[#This Row],[Part Number]],'Multi-level BOM'!V$4:V$449,1,FALSE)),0,Table1[[#This Row],[Remaining Extended cost]])</f>
        <v>0</v>
      </c>
    </row>
    <row r="423" spans="1:29" x14ac:dyDescent="0.25">
      <c r="A423" s="1" t="s">
        <v>426</v>
      </c>
      <c r="B423" s="4"/>
      <c r="F423" s="3">
        <f>9%*Table1[[#This Row],[Cost ]]</f>
        <v>0</v>
      </c>
      <c r="J423" s="49">
        <f>SUMIF('Multi-level BOM'!D$4:D$467,Table1[[#This Row],[Part Number]],'Multi-level BOM'!H$4:H$467)</f>
        <v>0</v>
      </c>
      <c r="K423" s="10">
        <f>Table1[[#This Row],[extended quantity]]*(Table1[[#This Row],[Cost ]]+Table1[[#This Row],[shipping]]+Table1[[#This Row],[Tax]])</f>
        <v>0</v>
      </c>
      <c r="L423" s="83" t="str">
        <f>IF(Table1[[#This Row],[Buy-now costs]]&gt;0,"X","")</f>
        <v/>
      </c>
      <c r="M423" s="83"/>
      <c r="N423" s="83"/>
      <c r="O423" s="40">
        <v>0</v>
      </c>
      <c r="P423" s="97">
        <f>Table1[[#This Row],[quantity on-hand]]*(Table1[[#This Row],[Cost ]]+Table1[[#This Row],[shipping]]+Table1[[#This Row],[Tax]])</f>
        <v>0</v>
      </c>
      <c r="Q423" s="40">
        <v>0</v>
      </c>
      <c r="R423" s="95">
        <f>Table1[[#This Row],[Quantity on order]]*(Table1[[#This Row],[Cost ]]+Table1[[#This Row],[shipping]]+Table1[[#This Row],[Tax]])</f>
        <v>0</v>
      </c>
      <c r="S4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3" s="49">
        <f>Table1[[#This Row],[Quantity  to  purchase]]+Table1[[#This Row],[Quantity purchased]]+Table1[[#This Row],[Quantity on order]]+Table1[[#This Row],[Quantity donated]]-Table1[[#This Row],[extended quantity]]</f>
        <v>0</v>
      </c>
      <c r="U4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3" s="51">
        <f>IFERROR(Table1[[#This Row],[Quantity  to  purchase]]*(Table1[[#This Row],[Cost ]]+Table1[[#This Row],[shipping]]+Table1[[#This Row],[Tax]]),0)</f>
        <v>0</v>
      </c>
      <c r="W423" s="36">
        <f>IFERROR(Table1[[#This Row],[leftover material]]*(Table1[[#This Row],[Cost ]]+Table1[[#This Row],[shipping]]+Table1[[#This Row],[Tax]]),0)</f>
        <v>0</v>
      </c>
      <c r="X423" s="36"/>
      <c r="Y423" s="87"/>
      <c r="Z423" s="87"/>
      <c r="AA423" s="87"/>
      <c r="AB423" s="36"/>
      <c r="AC423" s="36">
        <f>IF(ISNA(VLOOKUP(Table1[[#This Row],[Part Number]],'Multi-level BOM'!V$4:V$449,1,FALSE)),0,Table1[[#This Row],[Remaining Extended cost]])</f>
        <v>0</v>
      </c>
    </row>
    <row r="424" spans="1:29" x14ac:dyDescent="0.25">
      <c r="A424" s="1" t="s">
        <v>427</v>
      </c>
      <c r="B424" s="4"/>
      <c r="F424" s="3">
        <f>9%*Table1[[#This Row],[Cost ]]</f>
        <v>0</v>
      </c>
      <c r="J424" s="49">
        <f>SUMIF('Multi-level BOM'!D$4:D$467,Table1[[#This Row],[Part Number]],'Multi-level BOM'!H$4:H$467)</f>
        <v>0</v>
      </c>
      <c r="K424" s="10">
        <f>Table1[[#This Row],[extended quantity]]*(Table1[[#This Row],[Cost ]]+Table1[[#This Row],[shipping]]+Table1[[#This Row],[Tax]])</f>
        <v>0</v>
      </c>
      <c r="L424" s="83" t="str">
        <f>IF(Table1[[#This Row],[Buy-now costs]]&gt;0,"X","")</f>
        <v/>
      </c>
      <c r="M424" s="83"/>
      <c r="N424" s="83"/>
      <c r="O424" s="40">
        <v>0</v>
      </c>
      <c r="P424" s="97">
        <f>Table1[[#This Row],[quantity on-hand]]*(Table1[[#This Row],[Cost ]]+Table1[[#This Row],[shipping]]+Table1[[#This Row],[Tax]])</f>
        <v>0</v>
      </c>
      <c r="Q424" s="40">
        <v>0</v>
      </c>
      <c r="R424" s="95">
        <f>Table1[[#This Row],[Quantity on order]]*(Table1[[#This Row],[Cost ]]+Table1[[#This Row],[shipping]]+Table1[[#This Row],[Tax]])</f>
        <v>0</v>
      </c>
      <c r="S4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4" s="49">
        <f>Table1[[#This Row],[Quantity  to  purchase]]+Table1[[#This Row],[Quantity purchased]]+Table1[[#This Row],[Quantity on order]]+Table1[[#This Row],[Quantity donated]]-Table1[[#This Row],[extended quantity]]</f>
        <v>0</v>
      </c>
      <c r="U4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4" s="51">
        <f>IFERROR(Table1[[#This Row],[Quantity  to  purchase]]*(Table1[[#This Row],[Cost ]]+Table1[[#This Row],[shipping]]+Table1[[#This Row],[Tax]]),0)</f>
        <v>0</v>
      </c>
      <c r="W424" s="36">
        <f>IFERROR(Table1[[#This Row],[leftover material]]*(Table1[[#This Row],[Cost ]]+Table1[[#This Row],[shipping]]+Table1[[#This Row],[Tax]]),0)</f>
        <v>0</v>
      </c>
      <c r="X424" s="36"/>
      <c r="Y424" s="87"/>
      <c r="Z424" s="87"/>
      <c r="AA424" s="87"/>
      <c r="AB424" s="36"/>
      <c r="AC424" s="36">
        <f>IF(ISNA(VLOOKUP(Table1[[#This Row],[Part Number]],'Multi-level BOM'!V$4:V$449,1,FALSE)),0,Table1[[#This Row],[Remaining Extended cost]])</f>
        <v>0</v>
      </c>
    </row>
    <row r="425" spans="1:29" x14ac:dyDescent="0.25">
      <c r="A425" s="1" t="s">
        <v>428</v>
      </c>
      <c r="B425" s="4"/>
      <c r="F425" s="3">
        <f>9%*Table1[[#This Row],[Cost ]]</f>
        <v>0</v>
      </c>
      <c r="J425" s="49">
        <f>SUMIF('Multi-level BOM'!D$4:D$467,Table1[[#This Row],[Part Number]],'Multi-level BOM'!H$4:H$467)</f>
        <v>0</v>
      </c>
      <c r="K425" s="10">
        <f>Table1[[#This Row],[extended quantity]]*(Table1[[#This Row],[Cost ]]+Table1[[#This Row],[shipping]]+Table1[[#This Row],[Tax]])</f>
        <v>0</v>
      </c>
      <c r="L425" s="83" t="str">
        <f>IF(Table1[[#This Row],[Buy-now costs]]&gt;0,"X","")</f>
        <v/>
      </c>
      <c r="M425" s="83"/>
      <c r="N425" s="83"/>
      <c r="O425" s="40">
        <v>0</v>
      </c>
      <c r="P425" s="97">
        <f>Table1[[#This Row],[quantity on-hand]]*(Table1[[#This Row],[Cost ]]+Table1[[#This Row],[shipping]]+Table1[[#This Row],[Tax]])</f>
        <v>0</v>
      </c>
      <c r="Q425" s="40">
        <v>0</v>
      </c>
      <c r="R425" s="95">
        <f>Table1[[#This Row],[Quantity on order]]*(Table1[[#This Row],[Cost ]]+Table1[[#This Row],[shipping]]+Table1[[#This Row],[Tax]])</f>
        <v>0</v>
      </c>
      <c r="S4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5" s="49">
        <f>Table1[[#This Row],[Quantity  to  purchase]]+Table1[[#This Row],[Quantity purchased]]+Table1[[#This Row],[Quantity on order]]+Table1[[#This Row],[Quantity donated]]-Table1[[#This Row],[extended quantity]]</f>
        <v>0</v>
      </c>
      <c r="U4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5" s="51">
        <f>IFERROR(Table1[[#This Row],[Quantity  to  purchase]]*(Table1[[#This Row],[Cost ]]+Table1[[#This Row],[shipping]]+Table1[[#This Row],[Tax]]),0)</f>
        <v>0</v>
      </c>
      <c r="W425" s="36">
        <f>IFERROR(Table1[[#This Row],[leftover material]]*(Table1[[#This Row],[Cost ]]+Table1[[#This Row],[shipping]]+Table1[[#This Row],[Tax]]),0)</f>
        <v>0</v>
      </c>
      <c r="X425" s="36"/>
      <c r="Y425" s="87"/>
      <c r="Z425" s="87"/>
      <c r="AA425" s="87"/>
      <c r="AB425" s="36"/>
      <c r="AC425" s="36">
        <f>IF(ISNA(VLOOKUP(Table1[[#This Row],[Part Number]],'Multi-level BOM'!V$4:V$449,1,FALSE)),0,Table1[[#This Row],[Remaining Extended cost]])</f>
        <v>0</v>
      </c>
    </row>
    <row r="426" spans="1:29" x14ac:dyDescent="0.25">
      <c r="A426" s="1" t="s">
        <v>429</v>
      </c>
      <c r="B426" s="4"/>
      <c r="F426" s="3">
        <f>9%*Table1[[#This Row],[Cost ]]</f>
        <v>0</v>
      </c>
      <c r="J426" s="49">
        <f>SUMIF('Multi-level BOM'!D$4:D$467,Table1[[#This Row],[Part Number]],'Multi-level BOM'!H$4:H$467)</f>
        <v>0</v>
      </c>
      <c r="K426" s="10">
        <f>Table1[[#This Row],[extended quantity]]*(Table1[[#This Row],[Cost ]]+Table1[[#This Row],[shipping]]+Table1[[#This Row],[Tax]])</f>
        <v>0</v>
      </c>
      <c r="L426" s="83" t="str">
        <f>IF(Table1[[#This Row],[Buy-now costs]]&gt;0,"X","")</f>
        <v/>
      </c>
      <c r="M426" s="83"/>
      <c r="N426" s="83"/>
      <c r="O426" s="40">
        <v>0</v>
      </c>
      <c r="P426" s="97">
        <f>Table1[[#This Row],[quantity on-hand]]*(Table1[[#This Row],[Cost ]]+Table1[[#This Row],[shipping]]+Table1[[#This Row],[Tax]])</f>
        <v>0</v>
      </c>
      <c r="Q426" s="40">
        <v>0</v>
      </c>
      <c r="R426" s="95">
        <f>Table1[[#This Row],[Quantity on order]]*(Table1[[#This Row],[Cost ]]+Table1[[#This Row],[shipping]]+Table1[[#This Row],[Tax]])</f>
        <v>0</v>
      </c>
      <c r="S4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6" s="49">
        <f>Table1[[#This Row],[Quantity  to  purchase]]+Table1[[#This Row],[Quantity purchased]]+Table1[[#This Row],[Quantity on order]]+Table1[[#This Row],[Quantity donated]]-Table1[[#This Row],[extended quantity]]</f>
        <v>0</v>
      </c>
      <c r="U4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6" s="51">
        <f>IFERROR(Table1[[#This Row],[Quantity  to  purchase]]*(Table1[[#This Row],[Cost ]]+Table1[[#This Row],[shipping]]+Table1[[#This Row],[Tax]]),0)</f>
        <v>0</v>
      </c>
      <c r="W426" s="36">
        <f>IFERROR(Table1[[#This Row],[leftover material]]*(Table1[[#This Row],[Cost ]]+Table1[[#This Row],[shipping]]+Table1[[#This Row],[Tax]]),0)</f>
        <v>0</v>
      </c>
      <c r="X426" s="36"/>
      <c r="Y426" s="87"/>
      <c r="Z426" s="87"/>
      <c r="AA426" s="87"/>
      <c r="AB426" s="36"/>
      <c r="AC426" s="36">
        <f>IF(ISNA(VLOOKUP(Table1[[#This Row],[Part Number]],'Multi-level BOM'!V$4:V$449,1,FALSE)),0,Table1[[#This Row],[Remaining Extended cost]])</f>
        <v>0</v>
      </c>
    </row>
    <row r="427" spans="1:29" x14ac:dyDescent="0.25">
      <c r="A427" s="1" t="s">
        <v>430</v>
      </c>
      <c r="B427" s="4"/>
      <c r="F427" s="3">
        <f>9%*Table1[[#This Row],[Cost ]]</f>
        <v>0</v>
      </c>
      <c r="J427" s="49">
        <f>SUMIF('Multi-level BOM'!D$4:D$467,Table1[[#This Row],[Part Number]],'Multi-level BOM'!H$4:H$467)</f>
        <v>0</v>
      </c>
      <c r="K427" s="10">
        <f>Table1[[#This Row],[extended quantity]]*(Table1[[#This Row],[Cost ]]+Table1[[#This Row],[shipping]]+Table1[[#This Row],[Tax]])</f>
        <v>0</v>
      </c>
      <c r="L427" s="83" t="str">
        <f>IF(Table1[[#This Row],[Buy-now costs]]&gt;0,"X","")</f>
        <v/>
      </c>
      <c r="M427" s="83"/>
      <c r="N427" s="83"/>
      <c r="O427" s="40">
        <v>0</v>
      </c>
      <c r="P427" s="97">
        <f>Table1[[#This Row],[quantity on-hand]]*(Table1[[#This Row],[Cost ]]+Table1[[#This Row],[shipping]]+Table1[[#This Row],[Tax]])</f>
        <v>0</v>
      </c>
      <c r="Q427" s="40">
        <v>0</v>
      </c>
      <c r="R427" s="95">
        <f>Table1[[#This Row],[Quantity on order]]*(Table1[[#This Row],[Cost ]]+Table1[[#This Row],[shipping]]+Table1[[#This Row],[Tax]])</f>
        <v>0</v>
      </c>
      <c r="S4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7" s="49">
        <f>Table1[[#This Row],[Quantity  to  purchase]]+Table1[[#This Row],[Quantity purchased]]+Table1[[#This Row],[Quantity on order]]+Table1[[#This Row],[Quantity donated]]-Table1[[#This Row],[extended quantity]]</f>
        <v>0</v>
      </c>
      <c r="U4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7" s="51">
        <f>IFERROR(Table1[[#This Row],[Quantity  to  purchase]]*(Table1[[#This Row],[Cost ]]+Table1[[#This Row],[shipping]]+Table1[[#This Row],[Tax]]),0)</f>
        <v>0</v>
      </c>
      <c r="W427" s="36">
        <f>IFERROR(Table1[[#This Row],[leftover material]]*(Table1[[#This Row],[Cost ]]+Table1[[#This Row],[shipping]]+Table1[[#This Row],[Tax]]),0)</f>
        <v>0</v>
      </c>
      <c r="X427" s="36"/>
      <c r="Y427" s="87"/>
      <c r="Z427" s="87"/>
      <c r="AA427" s="87"/>
      <c r="AB427" s="36"/>
      <c r="AC427" s="36">
        <f>IF(ISNA(VLOOKUP(Table1[[#This Row],[Part Number]],'Multi-level BOM'!V$4:V$449,1,FALSE)),0,Table1[[#This Row],[Remaining Extended cost]])</f>
        <v>0</v>
      </c>
    </row>
    <row r="428" spans="1:29" x14ac:dyDescent="0.25">
      <c r="A428" s="1" t="s">
        <v>431</v>
      </c>
      <c r="B428" s="4"/>
      <c r="F428" s="3">
        <f>9%*Table1[[#This Row],[Cost ]]</f>
        <v>0</v>
      </c>
      <c r="J428" s="49">
        <f>SUMIF('Multi-level BOM'!D$4:D$467,Table1[[#This Row],[Part Number]],'Multi-level BOM'!H$4:H$467)</f>
        <v>0</v>
      </c>
      <c r="K428" s="10">
        <f>Table1[[#This Row],[extended quantity]]*(Table1[[#This Row],[Cost ]]+Table1[[#This Row],[shipping]]+Table1[[#This Row],[Tax]])</f>
        <v>0</v>
      </c>
      <c r="L428" s="83" t="str">
        <f>IF(Table1[[#This Row],[Buy-now costs]]&gt;0,"X","")</f>
        <v/>
      </c>
      <c r="M428" s="83"/>
      <c r="N428" s="83"/>
      <c r="O428" s="40">
        <v>0</v>
      </c>
      <c r="P428" s="97">
        <f>Table1[[#This Row],[quantity on-hand]]*(Table1[[#This Row],[Cost ]]+Table1[[#This Row],[shipping]]+Table1[[#This Row],[Tax]])</f>
        <v>0</v>
      </c>
      <c r="Q428" s="40">
        <v>0</v>
      </c>
      <c r="R428" s="95">
        <f>Table1[[#This Row],[Quantity on order]]*(Table1[[#This Row],[Cost ]]+Table1[[#This Row],[shipping]]+Table1[[#This Row],[Tax]])</f>
        <v>0</v>
      </c>
      <c r="S4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8" s="49">
        <f>Table1[[#This Row],[Quantity  to  purchase]]+Table1[[#This Row],[Quantity purchased]]+Table1[[#This Row],[Quantity on order]]+Table1[[#This Row],[Quantity donated]]-Table1[[#This Row],[extended quantity]]</f>
        <v>0</v>
      </c>
      <c r="U4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8" s="51">
        <f>IFERROR(Table1[[#This Row],[Quantity  to  purchase]]*(Table1[[#This Row],[Cost ]]+Table1[[#This Row],[shipping]]+Table1[[#This Row],[Tax]]),0)</f>
        <v>0</v>
      </c>
      <c r="W428" s="36">
        <f>IFERROR(Table1[[#This Row],[leftover material]]*(Table1[[#This Row],[Cost ]]+Table1[[#This Row],[shipping]]+Table1[[#This Row],[Tax]]),0)</f>
        <v>0</v>
      </c>
      <c r="X428" s="36"/>
      <c r="Y428" s="87"/>
      <c r="Z428" s="87"/>
      <c r="AA428" s="87"/>
      <c r="AB428" s="36"/>
      <c r="AC428" s="36">
        <f>IF(ISNA(VLOOKUP(Table1[[#This Row],[Part Number]],'Multi-level BOM'!V$4:V$449,1,FALSE)),0,Table1[[#This Row],[Remaining Extended cost]])</f>
        <v>0</v>
      </c>
    </row>
    <row r="429" spans="1:29" x14ac:dyDescent="0.25">
      <c r="A429" s="1" t="s">
        <v>432</v>
      </c>
      <c r="B429" s="4"/>
      <c r="F429" s="3">
        <f>9%*Table1[[#This Row],[Cost ]]</f>
        <v>0</v>
      </c>
      <c r="J429" s="49">
        <f>SUMIF('Multi-level BOM'!D$4:D$467,Table1[[#This Row],[Part Number]],'Multi-level BOM'!H$4:H$467)</f>
        <v>0</v>
      </c>
      <c r="K429" s="10">
        <f>Table1[[#This Row],[extended quantity]]*(Table1[[#This Row],[Cost ]]+Table1[[#This Row],[shipping]]+Table1[[#This Row],[Tax]])</f>
        <v>0</v>
      </c>
      <c r="L429" s="83" t="str">
        <f>IF(Table1[[#This Row],[Buy-now costs]]&gt;0,"X","")</f>
        <v/>
      </c>
      <c r="M429" s="83"/>
      <c r="N429" s="83"/>
      <c r="O429" s="40">
        <v>0</v>
      </c>
      <c r="P429" s="97">
        <f>Table1[[#This Row],[quantity on-hand]]*(Table1[[#This Row],[Cost ]]+Table1[[#This Row],[shipping]]+Table1[[#This Row],[Tax]])</f>
        <v>0</v>
      </c>
      <c r="Q429" s="40">
        <v>0</v>
      </c>
      <c r="R429" s="95">
        <f>Table1[[#This Row],[Quantity on order]]*(Table1[[#This Row],[Cost ]]+Table1[[#This Row],[shipping]]+Table1[[#This Row],[Tax]])</f>
        <v>0</v>
      </c>
      <c r="S4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9" s="49">
        <f>Table1[[#This Row],[Quantity  to  purchase]]+Table1[[#This Row],[Quantity purchased]]+Table1[[#This Row],[Quantity on order]]+Table1[[#This Row],[Quantity donated]]-Table1[[#This Row],[extended quantity]]</f>
        <v>0</v>
      </c>
      <c r="U4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9" s="51">
        <f>IFERROR(Table1[[#This Row],[Quantity  to  purchase]]*(Table1[[#This Row],[Cost ]]+Table1[[#This Row],[shipping]]+Table1[[#This Row],[Tax]]),0)</f>
        <v>0</v>
      </c>
      <c r="W429" s="36">
        <f>IFERROR(Table1[[#This Row],[leftover material]]*(Table1[[#This Row],[Cost ]]+Table1[[#This Row],[shipping]]+Table1[[#This Row],[Tax]]),0)</f>
        <v>0</v>
      </c>
      <c r="X429" s="36"/>
      <c r="Y429" s="87"/>
      <c r="Z429" s="87"/>
      <c r="AA429" s="87"/>
      <c r="AB429" s="36"/>
      <c r="AC429" s="36">
        <f>IF(ISNA(VLOOKUP(Table1[[#This Row],[Part Number]],'Multi-level BOM'!V$4:V$449,1,FALSE)),0,Table1[[#This Row],[Remaining Extended cost]])</f>
        <v>0</v>
      </c>
    </row>
    <row r="430" spans="1:29" x14ac:dyDescent="0.25">
      <c r="A430" s="1" t="s">
        <v>433</v>
      </c>
      <c r="B430" s="4"/>
      <c r="F430" s="3">
        <f>9%*Table1[[#This Row],[Cost ]]</f>
        <v>0</v>
      </c>
      <c r="J430" s="49">
        <f>SUMIF('Multi-level BOM'!D$4:D$467,Table1[[#This Row],[Part Number]],'Multi-level BOM'!H$4:H$467)</f>
        <v>0</v>
      </c>
      <c r="K430" s="10">
        <f>Table1[[#This Row],[extended quantity]]*(Table1[[#This Row],[Cost ]]+Table1[[#This Row],[shipping]]+Table1[[#This Row],[Tax]])</f>
        <v>0</v>
      </c>
      <c r="L430" s="83" t="str">
        <f>IF(Table1[[#This Row],[Buy-now costs]]&gt;0,"X","")</f>
        <v/>
      </c>
      <c r="M430" s="83"/>
      <c r="N430" s="83"/>
      <c r="O430" s="40">
        <v>0</v>
      </c>
      <c r="P430" s="97">
        <f>Table1[[#This Row],[quantity on-hand]]*(Table1[[#This Row],[Cost ]]+Table1[[#This Row],[shipping]]+Table1[[#This Row],[Tax]])</f>
        <v>0</v>
      </c>
      <c r="Q430" s="40">
        <v>0</v>
      </c>
      <c r="R430" s="95">
        <f>Table1[[#This Row],[Quantity on order]]*(Table1[[#This Row],[Cost ]]+Table1[[#This Row],[shipping]]+Table1[[#This Row],[Tax]])</f>
        <v>0</v>
      </c>
      <c r="S4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0" s="49">
        <f>Table1[[#This Row],[Quantity  to  purchase]]+Table1[[#This Row],[Quantity purchased]]+Table1[[#This Row],[Quantity on order]]+Table1[[#This Row],[Quantity donated]]-Table1[[#This Row],[extended quantity]]</f>
        <v>0</v>
      </c>
      <c r="U4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0" s="51">
        <f>IFERROR(Table1[[#This Row],[Quantity  to  purchase]]*(Table1[[#This Row],[Cost ]]+Table1[[#This Row],[shipping]]+Table1[[#This Row],[Tax]]),0)</f>
        <v>0</v>
      </c>
      <c r="W430" s="36">
        <f>IFERROR(Table1[[#This Row],[leftover material]]*(Table1[[#This Row],[Cost ]]+Table1[[#This Row],[shipping]]+Table1[[#This Row],[Tax]]),0)</f>
        <v>0</v>
      </c>
      <c r="X430" s="36"/>
      <c r="Y430" s="87"/>
      <c r="Z430" s="87"/>
      <c r="AA430" s="87"/>
      <c r="AB430" s="36"/>
      <c r="AC430" s="36">
        <f>IF(ISNA(VLOOKUP(Table1[[#This Row],[Part Number]],'Multi-level BOM'!V$4:V$449,1,FALSE)),0,Table1[[#This Row],[Remaining Extended cost]])</f>
        <v>0</v>
      </c>
    </row>
    <row r="431" spans="1:29" x14ac:dyDescent="0.25">
      <c r="A431" s="1" t="s">
        <v>434</v>
      </c>
      <c r="B431" s="4"/>
      <c r="F431" s="3">
        <f>9%*Table1[[#This Row],[Cost ]]</f>
        <v>0</v>
      </c>
      <c r="J431" s="49">
        <f>SUMIF('Multi-level BOM'!D$4:D$467,Table1[[#This Row],[Part Number]],'Multi-level BOM'!H$4:H$467)</f>
        <v>0</v>
      </c>
      <c r="K431" s="10">
        <f>Table1[[#This Row],[extended quantity]]*(Table1[[#This Row],[Cost ]]+Table1[[#This Row],[shipping]]+Table1[[#This Row],[Tax]])</f>
        <v>0</v>
      </c>
      <c r="L431" s="83" t="str">
        <f>IF(Table1[[#This Row],[Buy-now costs]]&gt;0,"X","")</f>
        <v/>
      </c>
      <c r="M431" s="83"/>
      <c r="N431" s="83"/>
      <c r="O431" s="40">
        <v>0</v>
      </c>
      <c r="P431" s="97">
        <f>Table1[[#This Row],[quantity on-hand]]*(Table1[[#This Row],[Cost ]]+Table1[[#This Row],[shipping]]+Table1[[#This Row],[Tax]])</f>
        <v>0</v>
      </c>
      <c r="Q431" s="40">
        <v>0</v>
      </c>
      <c r="R431" s="95">
        <f>Table1[[#This Row],[Quantity on order]]*(Table1[[#This Row],[Cost ]]+Table1[[#This Row],[shipping]]+Table1[[#This Row],[Tax]])</f>
        <v>0</v>
      </c>
      <c r="S4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1" s="49">
        <f>Table1[[#This Row],[Quantity  to  purchase]]+Table1[[#This Row],[Quantity purchased]]+Table1[[#This Row],[Quantity on order]]+Table1[[#This Row],[Quantity donated]]-Table1[[#This Row],[extended quantity]]</f>
        <v>0</v>
      </c>
      <c r="U4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1" s="51">
        <f>IFERROR(Table1[[#This Row],[Quantity  to  purchase]]*(Table1[[#This Row],[Cost ]]+Table1[[#This Row],[shipping]]+Table1[[#This Row],[Tax]]),0)</f>
        <v>0</v>
      </c>
      <c r="W431" s="36">
        <f>IFERROR(Table1[[#This Row],[leftover material]]*(Table1[[#This Row],[Cost ]]+Table1[[#This Row],[shipping]]+Table1[[#This Row],[Tax]]),0)</f>
        <v>0</v>
      </c>
      <c r="X431" s="36"/>
      <c r="Y431" s="87"/>
      <c r="Z431" s="87"/>
      <c r="AA431" s="87"/>
      <c r="AB431" s="36"/>
      <c r="AC431" s="36">
        <f>IF(ISNA(VLOOKUP(Table1[[#This Row],[Part Number]],'Multi-level BOM'!V$4:V$449,1,FALSE)),0,Table1[[#This Row],[Remaining Extended cost]])</f>
        <v>0</v>
      </c>
    </row>
    <row r="432" spans="1:29" x14ac:dyDescent="0.25">
      <c r="A432" s="1" t="s">
        <v>435</v>
      </c>
      <c r="B432" s="4"/>
      <c r="F432" s="3">
        <f>9%*Table1[[#This Row],[Cost ]]</f>
        <v>0</v>
      </c>
      <c r="J432" s="49">
        <f>SUMIF('Multi-level BOM'!D$4:D$467,Table1[[#This Row],[Part Number]],'Multi-level BOM'!H$4:H$467)</f>
        <v>0</v>
      </c>
      <c r="K432" s="10">
        <f>Table1[[#This Row],[extended quantity]]*(Table1[[#This Row],[Cost ]]+Table1[[#This Row],[shipping]]+Table1[[#This Row],[Tax]])</f>
        <v>0</v>
      </c>
      <c r="L432" s="83" t="str">
        <f>IF(Table1[[#This Row],[Buy-now costs]]&gt;0,"X","")</f>
        <v/>
      </c>
      <c r="M432" s="83"/>
      <c r="N432" s="83"/>
      <c r="O432" s="40">
        <v>0</v>
      </c>
      <c r="P432" s="97">
        <f>Table1[[#This Row],[quantity on-hand]]*(Table1[[#This Row],[Cost ]]+Table1[[#This Row],[shipping]]+Table1[[#This Row],[Tax]])</f>
        <v>0</v>
      </c>
      <c r="Q432" s="40">
        <v>0</v>
      </c>
      <c r="R432" s="95">
        <f>Table1[[#This Row],[Quantity on order]]*(Table1[[#This Row],[Cost ]]+Table1[[#This Row],[shipping]]+Table1[[#This Row],[Tax]])</f>
        <v>0</v>
      </c>
      <c r="S4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2" s="49">
        <f>Table1[[#This Row],[Quantity  to  purchase]]+Table1[[#This Row],[Quantity purchased]]+Table1[[#This Row],[Quantity on order]]+Table1[[#This Row],[Quantity donated]]-Table1[[#This Row],[extended quantity]]</f>
        <v>0</v>
      </c>
      <c r="U4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2" s="51">
        <f>IFERROR(Table1[[#This Row],[Quantity  to  purchase]]*(Table1[[#This Row],[Cost ]]+Table1[[#This Row],[shipping]]+Table1[[#This Row],[Tax]]),0)</f>
        <v>0</v>
      </c>
      <c r="W432" s="36">
        <f>IFERROR(Table1[[#This Row],[leftover material]]*(Table1[[#This Row],[Cost ]]+Table1[[#This Row],[shipping]]+Table1[[#This Row],[Tax]]),0)</f>
        <v>0</v>
      </c>
      <c r="X432" s="36"/>
      <c r="Y432" s="87"/>
      <c r="Z432" s="87"/>
      <c r="AA432" s="87"/>
      <c r="AB432" s="36"/>
      <c r="AC432" s="36">
        <f>IF(ISNA(VLOOKUP(Table1[[#This Row],[Part Number]],'Multi-level BOM'!V$4:V$449,1,FALSE)),0,Table1[[#This Row],[Remaining Extended cost]])</f>
        <v>0</v>
      </c>
    </row>
    <row r="433" spans="1:29" x14ac:dyDescent="0.25">
      <c r="A433" s="1" t="s">
        <v>436</v>
      </c>
      <c r="B433" s="4"/>
      <c r="F433" s="3">
        <f>9%*Table1[[#This Row],[Cost ]]</f>
        <v>0</v>
      </c>
      <c r="J433" s="49">
        <f>SUMIF('Multi-level BOM'!D$4:D$467,Table1[[#This Row],[Part Number]],'Multi-level BOM'!H$4:H$467)</f>
        <v>0</v>
      </c>
      <c r="K433" s="10">
        <f>Table1[[#This Row],[extended quantity]]*(Table1[[#This Row],[Cost ]]+Table1[[#This Row],[shipping]]+Table1[[#This Row],[Tax]])</f>
        <v>0</v>
      </c>
      <c r="L433" s="83" t="str">
        <f>IF(Table1[[#This Row],[Buy-now costs]]&gt;0,"X","")</f>
        <v/>
      </c>
      <c r="M433" s="83"/>
      <c r="N433" s="83"/>
      <c r="O433" s="40">
        <v>0</v>
      </c>
      <c r="P433" s="97">
        <f>Table1[[#This Row],[quantity on-hand]]*(Table1[[#This Row],[Cost ]]+Table1[[#This Row],[shipping]]+Table1[[#This Row],[Tax]])</f>
        <v>0</v>
      </c>
      <c r="Q433" s="40">
        <v>0</v>
      </c>
      <c r="R433" s="95">
        <f>Table1[[#This Row],[Quantity on order]]*(Table1[[#This Row],[Cost ]]+Table1[[#This Row],[shipping]]+Table1[[#This Row],[Tax]])</f>
        <v>0</v>
      </c>
      <c r="S4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3" s="49">
        <f>Table1[[#This Row],[Quantity  to  purchase]]+Table1[[#This Row],[Quantity purchased]]+Table1[[#This Row],[Quantity on order]]+Table1[[#This Row],[Quantity donated]]-Table1[[#This Row],[extended quantity]]</f>
        <v>0</v>
      </c>
      <c r="U4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3" s="51">
        <f>IFERROR(Table1[[#This Row],[Quantity  to  purchase]]*(Table1[[#This Row],[Cost ]]+Table1[[#This Row],[shipping]]+Table1[[#This Row],[Tax]]),0)</f>
        <v>0</v>
      </c>
      <c r="W433" s="36">
        <f>IFERROR(Table1[[#This Row],[leftover material]]*(Table1[[#This Row],[Cost ]]+Table1[[#This Row],[shipping]]+Table1[[#This Row],[Tax]]),0)</f>
        <v>0</v>
      </c>
      <c r="X433" s="36"/>
      <c r="Y433" s="87"/>
      <c r="Z433" s="87"/>
      <c r="AA433" s="87"/>
      <c r="AB433" s="36"/>
      <c r="AC433" s="36">
        <f>IF(ISNA(VLOOKUP(Table1[[#This Row],[Part Number]],'Multi-level BOM'!V$4:V$449,1,FALSE)),0,Table1[[#This Row],[Remaining Extended cost]])</f>
        <v>0</v>
      </c>
    </row>
    <row r="434" spans="1:29" x14ac:dyDescent="0.25">
      <c r="A434" s="1" t="s">
        <v>437</v>
      </c>
      <c r="B434" s="4"/>
      <c r="F434" s="3">
        <f>9%*Table1[[#This Row],[Cost ]]</f>
        <v>0</v>
      </c>
      <c r="J434" s="49">
        <f>SUMIF('Multi-level BOM'!D$4:D$467,Table1[[#This Row],[Part Number]],'Multi-level BOM'!H$4:H$467)</f>
        <v>0</v>
      </c>
      <c r="K434" s="10">
        <f>Table1[[#This Row],[extended quantity]]*(Table1[[#This Row],[Cost ]]+Table1[[#This Row],[shipping]]+Table1[[#This Row],[Tax]])</f>
        <v>0</v>
      </c>
      <c r="L434" s="83" t="str">
        <f>IF(Table1[[#This Row],[Buy-now costs]]&gt;0,"X","")</f>
        <v/>
      </c>
      <c r="M434" s="83"/>
      <c r="N434" s="83"/>
      <c r="O434" s="40">
        <v>0</v>
      </c>
      <c r="P434" s="97">
        <f>Table1[[#This Row],[quantity on-hand]]*(Table1[[#This Row],[Cost ]]+Table1[[#This Row],[shipping]]+Table1[[#This Row],[Tax]])</f>
        <v>0</v>
      </c>
      <c r="Q434" s="40">
        <v>0</v>
      </c>
      <c r="R434" s="95">
        <f>Table1[[#This Row],[Quantity on order]]*(Table1[[#This Row],[Cost ]]+Table1[[#This Row],[shipping]]+Table1[[#This Row],[Tax]])</f>
        <v>0</v>
      </c>
      <c r="S4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4" s="49">
        <f>Table1[[#This Row],[Quantity  to  purchase]]+Table1[[#This Row],[Quantity purchased]]+Table1[[#This Row],[Quantity on order]]+Table1[[#This Row],[Quantity donated]]-Table1[[#This Row],[extended quantity]]</f>
        <v>0</v>
      </c>
      <c r="U4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4" s="51">
        <f>IFERROR(Table1[[#This Row],[Quantity  to  purchase]]*(Table1[[#This Row],[Cost ]]+Table1[[#This Row],[shipping]]+Table1[[#This Row],[Tax]]),0)</f>
        <v>0</v>
      </c>
      <c r="W434" s="36">
        <f>IFERROR(Table1[[#This Row],[leftover material]]*(Table1[[#This Row],[Cost ]]+Table1[[#This Row],[shipping]]+Table1[[#This Row],[Tax]]),0)</f>
        <v>0</v>
      </c>
      <c r="X434" s="36"/>
      <c r="Y434" s="87"/>
      <c r="Z434" s="87"/>
      <c r="AA434" s="87"/>
      <c r="AB434" s="36"/>
      <c r="AC434" s="36">
        <f>IF(ISNA(VLOOKUP(Table1[[#This Row],[Part Number]],'Multi-level BOM'!V$4:V$449,1,FALSE)),0,Table1[[#This Row],[Remaining Extended cost]])</f>
        <v>0</v>
      </c>
    </row>
    <row r="435" spans="1:29" x14ac:dyDescent="0.25">
      <c r="A435" s="1" t="s">
        <v>438</v>
      </c>
      <c r="B435" s="4"/>
      <c r="F435" s="3">
        <f>9%*Table1[[#This Row],[Cost ]]</f>
        <v>0</v>
      </c>
      <c r="J435" s="49">
        <f>SUMIF('Multi-level BOM'!D$4:D$467,Table1[[#This Row],[Part Number]],'Multi-level BOM'!H$4:H$467)</f>
        <v>0</v>
      </c>
      <c r="K435" s="10">
        <f>Table1[[#This Row],[extended quantity]]*(Table1[[#This Row],[Cost ]]+Table1[[#This Row],[shipping]]+Table1[[#This Row],[Tax]])</f>
        <v>0</v>
      </c>
      <c r="L435" s="83" t="str">
        <f>IF(Table1[[#This Row],[Buy-now costs]]&gt;0,"X","")</f>
        <v/>
      </c>
      <c r="M435" s="83"/>
      <c r="N435" s="83"/>
      <c r="O435" s="40">
        <v>0</v>
      </c>
      <c r="P435" s="97">
        <f>Table1[[#This Row],[quantity on-hand]]*(Table1[[#This Row],[Cost ]]+Table1[[#This Row],[shipping]]+Table1[[#This Row],[Tax]])</f>
        <v>0</v>
      </c>
      <c r="Q435" s="40">
        <v>0</v>
      </c>
      <c r="R435" s="95">
        <f>Table1[[#This Row],[Quantity on order]]*(Table1[[#This Row],[Cost ]]+Table1[[#This Row],[shipping]]+Table1[[#This Row],[Tax]])</f>
        <v>0</v>
      </c>
      <c r="S4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5" s="49">
        <f>Table1[[#This Row],[Quantity  to  purchase]]+Table1[[#This Row],[Quantity purchased]]+Table1[[#This Row],[Quantity on order]]+Table1[[#This Row],[Quantity donated]]-Table1[[#This Row],[extended quantity]]</f>
        <v>0</v>
      </c>
      <c r="U4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5" s="51">
        <f>IFERROR(Table1[[#This Row],[Quantity  to  purchase]]*(Table1[[#This Row],[Cost ]]+Table1[[#This Row],[shipping]]+Table1[[#This Row],[Tax]]),0)</f>
        <v>0</v>
      </c>
      <c r="W435" s="36">
        <f>IFERROR(Table1[[#This Row],[leftover material]]*(Table1[[#This Row],[Cost ]]+Table1[[#This Row],[shipping]]+Table1[[#This Row],[Tax]]),0)</f>
        <v>0</v>
      </c>
      <c r="X435" s="36"/>
      <c r="Y435" s="87"/>
      <c r="Z435" s="87"/>
      <c r="AA435" s="87"/>
      <c r="AB435" s="36"/>
      <c r="AC435" s="36">
        <f>IF(ISNA(VLOOKUP(Table1[[#This Row],[Part Number]],'Multi-level BOM'!V$4:V$449,1,FALSE)),0,Table1[[#This Row],[Remaining Extended cost]])</f>
        <v>0</v>
      </c>
    </row>
    <row r="436" spans="1:29" x14ac:dyDescent="0.25">
      <c r="A436" s="1" t="s">
        <v>439</v>
      </c>
      <c r="B436" s="4"/>
      <c r="F436" s="3">
        <f>9%*Table1[[#This Row],[Cost ]]</f>
        <v>0</v>
      </c>
      <c r="J436" s="49">
        <f>SUMIF('Multi-level BOM'!D$4:D$467,Table1[[#This Row],[Part Number]],'Multi-level BOM'!H$4:H$467)</f>
        <v>0</v>
      </c>
      <c r="K436" s="10">
        <f>Table1[[#This Row],[extended quantity]]*(Table1[[#This Row],[Cost ]]+Table1[[#This Row],[shipping]]+Table1[[#This Row],[Tax]])</f>
        <v>0</v>
      </c>
      <c r="L436" s="83" t="str">
        <f>IF(Table1[[#This Row],[Buy-now costs]]&gt;0,"X","")</f>
        <v/>
      </c>
      <c r="M436" s="83"/>
      <c r="N436" s="83"/>
      <c r="O436" s="40">
        <v>0</v>
      </c>
      <c r="P436" s="97">
        <f>Table1[[#This Row],[quantity on-hand]]*(Table1[[#This Row],[Cost ]]+Table1[[#This Row],[shipping]]+Table1[[#This Row],[Tax]])</f>
        <v>0</v>
      </c>
      <c r="Q436" s="40">
        <v>0</v>
      </c>
      <c r="R436" s="95">
        <f>Table1[[#This Row],[Quantity on order]]*(Table1[[#This Row],[Cost ]]+Table1[[#This Row],[shipping]]+Table1[[#This Row],[Tax]])</f>
        <v>0</v>
      </c>
      <c r="S4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6" s="49">
        <f>Table1[[#This Row],[Quantity  to  purchase]]+Table1[[#This Row],[Quantity purchased]]+Table1[[#This Row],[Quantity on order]]+Table1[[#This Row],[Quantity donated]]-Table1[[#This Row],[extended quantity]]</f>
        <v>0</v>
      </c>
      <c r="U4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6" s="51">
        <f>IFERROR(Table1[[#This Row],[Quantity  to  purchase]]*(Table1[[#This Row],[Cost ]]+Table1[[#This Row],[shipping]]+Table1[[#This Row],[Tax]]),0)</f>
        <v>0</v>
      </c>
      <c r="W436" s="36">
        <f>IFERROR(Table1[[#This Row],[leftover material]]*(Table1[[#This Row],[Cost ]]+Table1[[#This Row],[shipping]]+Table1[[#This Row],[Tax]]),0)</f>
        <v>0</v>
      </c>
      <c r="X436" s="36"/>
      <c r="Y436" s="87"/>
      <c r="Z436" s="87"/>
      <c r="AA436" s="87"/>
      <c r="AB436" s="36"/>
      <c r="AC436" s="36">
        <f>IF(ISNA(VLOOKUP(Table1[[#This Row],[Part Number]],'Multi-level BOM'!V$4:V$449,1,FALSE)),0,Table1[[#This Row],[Remaining Extended cost]])</f>
        <v>0</v>
      </c>
    </row>
    <row r="437" spans="1:29" x14ac:dyDescent="0.25">
      <c r="A437" s="1" t="s">
        <v>440</v>
      </c>
      <c r="B437" s="4"/>
      <c r="F437" s="3">
        <f>9%*Table1[[#This Row],[Cost ]]</f>
        <v>0</v>
      </c>
      <c r="J437" s="49">
        <f>SUMIF('Multi-level BOM'!D$4:D$467,Table1[[#This Row],[Part Number]],'Multi-level BOM'!H$4:H$467)</f>
        <v>0</v>
      </c>
      <c r="K437" s="10">
        <f>Table1[[#This Row],[extended quantity]]*(Table1[[#This Row],[Cost ]]+Table1[[#This Row],[shipping]]+Table1[[#This Row],[Tax]])</f>
        <v>0</v>
      </c>
      <c r="L437" s="83" t="str">
        <f>IF(Table1[[#This Row],[Buy-now costs]]&gt;0,"X","")</f>
        <v/>
      </c>
      <c r="M437" s="83"/>
      <c r="N437" s="83"/>
      <c r="O437" s="40">
        <v>0</v>
      </c>
      <c r="P437" s="97">
        <f>Table1[[#This Row],[quantity on-hand]]*(Table1[[#This Row],[Cost ]]+Table1[[#This Row],[shipping]]+Table1[[#This Row],[Tax]])</f>
        <v>0</v>
      </c>
      <c r="Q437" s="40">
        <v>0</v>
      </c>
      <c r="R437" s="95">
        <f>Table1[[#This Row],[Quantity on order]]*(Table1[[#This Row],[Cost ]]+Table1[[#This Row],[shipping]]+Table1[[#This Row],[Tax]])</f>
        <v>0</v>
      </c>
      <c r="S4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7" s="49">
        <f>Table1[[#This Row],[Quantity  to  purchase]]+Table1[[#This Row],[Quantity purchased]]+Table1[[#This Row],[Quantity on order]]+Table1[[#This Row],[Quantity donated]]-Table1[[#This Row],[extended quantity]]</f>
        <v>0</v>
      </c>
      <c r="U4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7" s="51">
        <f>IFERROR(Table1[[#This Row],[Quantity  to  purchase]]*(Table1[[#This Row],[Cost ]]+Table1[[#This Row],[shipping]]+Table1[[#This Row],[Tax]]),0)</f>
        <v>0</v>
      </c>
      <c r="W437" s="36">
        <f>IFERROR(Table1[[#This Row],[leftover material]]*(Table1[[#This Row],[Cost ]]+Table1[[#This Row],[shipping]]+Table1[[#This Row],[Tax]]),0)</f>
        <v>0</v>
      </c>
      <c r="X437" s="36"/>
      <c r="Y437" s="87"/>
      <c r="Z437" s="87"/>
      <c r="AA437" s="87"/>
      <c r="AB437" s="36"/>
      <c r="AC437" s="36">
        <f>IF(ISNA(VLOOKUP(Table1[[#This Row],[Part Number]],'Multi-level BOM'!V$4:V$449,1,FALSE)),0,Table1[[#This Row],[Remaining Extended cost]])</f>
        <v>0</v>
      </c>
    </row>
    <row r="438" spans="1:29" x14ac:dyDescent="0.25">
      <c r="A438" s="1" t="s">
        <v>441</v>
      </c>
      <c r="B438" s="4"/>
      <c r="F438" s="3">
        <f>9%*Table1[[#This Row],[Cost ]]</f>
        <v>0</v>
      </c>
      <c r="J438" s="49">
        <f>SUMIF('Multi-level BOM'!D$4:D$467,Table1[[#This Row],[Part Number]],'Multi-level BOM'!H$4:H$467)</f>
        <v>0</v>
      </c>
      <c r="K438" s="10">
        <f>Table1[[#This Row],[extended quantity]]*(Table1[[#This Row],[Cost ]]+Table1[[#This Row],[shipping]]+Table1[[#This Row],[Tax]])</f>
        <v>0</v>
      </c>
      <c r="L438" s="83" t="str">
        <f>IF(Table1[[#This Row],[Buy-now costs]]&gt;0,"X","")</f>
        <v/>
      </c>
      <c r="M438" s="83"/>
      <c r="N438" s="83"/>
      <c r="O438" s="40">
        <v>0</v>
      </c>
      <c r="P438" s="97">
        <f>Table1[[#This Row],[quantity on-hand]]*(Table1[[#This Row],[Cost ]]+Table1[[#This Row],[shipping]]+Table1[[#This Row],[Tax]])</f>
        <v>0</v>
      </c>
      <c r="Q438" s="40">
        <v>0</v>
      </c>
      <c r="R438" s="95">
        <f>Table1[[#This Row],[Quantity on order]]*(Table1[[#This Row],[Cost ]]+Table1[[#This Row],[shipping]]+Table1[[#This Row],[Tax]])</f>
        <v>0</v>
      </c>
      <c r="S4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8" s="49">
        <f>Table1[[#This Row],[Quantity  to  purchase]]+Table1[[#This Row],[Quantity purchased]]+Table1[[#This Row],[Quantity on order]]+Table1[[#This Row],[Quantity donated]]-Table1[[#This Row],[extended quantity]]</f>
        <v>0</v>
      </c>
      <c r="U4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8" s="51">
        <f>IFERROR(Table1[[#This Row],[Quantity  to  purchase]]*(Table1[[#This Row],[Cost ]]+Table1[[#This Row],[shipping]]+Table1[[#This Row],[Tax]]),0)</f>
        <v>0</v>
      </c>
      <c r="W438" s="36">
        <f>IFERROR(Table1[[#This Row],[leftover material]]*(Table1[[#This Row],[Cost ]]+Table1[[#This Row],[shipping]]+Table1[[#This Row],[Tax]]),0)</f>
        <v>0</v>
      </c>
      <c r="X438" s="36"/>
      <c r="Y438" s="87"/>
      <c r="Z438" s="87"/>
      <c r="AA438" s="87"/>
      <c r="AB438" s="36"/>
      <c r="AC438" s="36">
        <f>IF(ISNA(VLOOKUP(Table1[[#This Row],[Part Number]],'Multi-level BOM'!V$4:V$449,1,FALSE)),0,Table1[[#This Row],[Remaining Extended cost]])</f>
        <v>0</v>
      </c>
    </row>
    <row r="439" spans="1:29" x14ac:dyDescent="0.25">
      <c r="A439" s="1" t="s">
        <v>442</v>
      </c>
      <c r="B439" s="4"/>
      <c r="F439" s="3">
        <f>9%*Table1[[#This Row],[Cost ]]</f>
        <v>0</v>
      </c>
      <c r="J439" s="49">
        <f>SUMIF('Multi-level BOM'!D$4:D$467,Table1[[#This Row],[Part Number]],'Multi-level BOM'!H$4:H$467)</f>
        <v>0</v>
      </c>
      <c r="K439" s="10">
        <f>Table1[[#This Row],[extended quantity]]*(Table1[[#This Row],[Cost ]]+Table1[[#This Row],[shipping]]+Table1[[#This Row],[Tax]])</f>
        <v>0</v>
      </c>
      <c r="L439" s="83" t="str">
        <f>IF(Table1[[#This Row],[Buy-now costs]]&gt;0,"X","")</f>
        <v/>
      </c>
      <c r="M439" s="83"/>
      <c r="N439" s="83"/>
      <c r="O439" s="40">
        <v>0</v>
      </c>
      <c r="P439" s="97">
        <f>Table1[[#This Row],[quantity on-hand]]*(Table1[[#This Row],[Cost ]]+Table1[[#This Row],[shipping]]+Table1[[#This Row],[Tax]])</f>
        <v>0</v>
      </c>
      <c r="Q439" s="40">
        <v>0</v>
      </c>
      <c r="R439" s="95">
        <f>Table1[[#This Row],[Quantity on order]]*(Table1[[#This Row],[Cost ]]+Table1[[#This Row],[shipping]]+Table1[[#This Row],[Tax]])</f>
        <v>0</v>
      </c>
      <c r="S4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9" s="49">
        <f>Table1[[#This Row],[Quantity  to  purchase]]+Table1[[#This Row],[Quantity purchased]]+Table1[[#This Row],[Quantity on order]]+Table1[[#This Row],[Quantity donated]]-Table1[[#This Row],[extended quantity]]</f>
        <v>0</v>
      </c>
      <c r="U4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9" s="51">
        <f>IFERROR(Table1[[#This Row],[Quantity  to  purchase]]*(Table1[[#This Row],[Cost ]]+Table1[[#This Row],[shipping]]+Table1[[#This Row],[Tax]]),0)</f>
        <v>0</v>
      </c>
      <c r="W439" s="36">
        <f>IFERROR(Table1[[#This Row],[leftover material]]*(Table1[[#This Row],[Cost ]]+Table1[[#This Row],[shipping]]+Table1[[#This Row],[Tax]]),0)</f>
        <v>0</v>
      </c>
      <c r="X439" s="36"/>
      <c r="Y439" s="87"/>
      <c r="Z439" s="87"/>
      <c r="AA439" s="87"/>
      <c r="AB439" s="36"/>
      <c r="AC439" s="36">
        <f>IF(ISNA(VLOOKUP(Table1[[#This Row],[Part Number]],'Multi-level BOM'!V$4:V$449,1,FALSE)),0,Table1[[#This Row],[Remaining Extended cost]])</f>
        <v>0</v>
      </c>
    </row>
    <row r="440" spans="1:29" x14ac:dyDescent="0.25">
      <c r="A440" s="1" t="s">
        <v>443</v>
      </c>
      <c r="B440" s="4"/>
      <c r="F440" s="3">
        <f>9%*Table1[[#This Row],[Cost ]]</f>
        <v>0</v>
      </c>
      <c r="J440" s="49">
        <f>SUMIF('Multi-level BOM'!D$4:D$467,Table1[[#This Row],[Part Number]],'Multi-level BOM'!H$4:H$467)</f>
        <v>0</v>
      </c>
      <c r="K440" s="10">
        <f>Table1[[#This Row],[extended quantity]]*(Table1[[#This Row],[Cost ]]+Table1[[#This Row],[shipping]]+Table1[[#This Row],[Tax]])</f>
        <v>0</v>
      </c>
      <c r="L440" s="83" t="str">
        <f>IF(Table1[[#This Row],[Buy-now costs]]&gt;0,"X","")</f>
        <v/>
      </c>
      <c r="M440" s="83"/>
      <c r="N440" s="83"/>
      <c r="O440" s="40">
        <v>0</v>
      </c>
      <c r="P440" s="97">
        <f>Table1[[#This Row],[quantity on-hand]]*(Table1[[#This Row],[Cost ]]+Table1[[#This Row],[shipping]]+Table1[[#This Row],[Tax]])</f>
        <v>0</v>
      </c>
      <c r="Q440" s="40">
        <v>0</v>
      </c>
      <c r="R440" s="95">
        <f>Table1[[#This Row],[Quantity on order]]*(Table1[[#This Row],[Cost ]]+Table1[[#This Row],[shipping]]+Table1[[#This Row],[Tax]])</f>
        <v>0</v>
      </c>
      <c r="S4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0" s="49">
        <f>Table1[[#This Row],[Quantity  to  purchase]]+Table1[[#This Row],[Quantity purchased]]+Table1[[#This Row],[Quantity on order]]+Table1[[#This Row],[Quantity donated]]-Table1[[#This Row],[extended quantity]]</f>
        <v>0</v>
      </c>
      <c r="U4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0" s="51">
        <f>IFERROR(Table1[[#This Row],[Quantity  to  purchase]]*(Table1[[#This Row],[Cost ]]+Table1[[#This Row],[shipping]]+Table1[[#This Row],[Tax]]),0)</f>
        <v>0</v>
      </c>
      <c r="W440" s="36">
        <f>IFERROR(Table1[[#This Row],[leftover material]]*(Table1[[#This Row],[Cost ]]+Table1[[#This Row],[shipping]]+Table1[[#This Row],[Tax]]),0)</f>
        <v>0</v>
      </c>
      <c r="X440" s="36"/>
      <c r="Y440" s="87"/>
      <c r="Z440" s="87"/>
      <c r="AA440" s="87"/>
      <c r="AB440" s="36"/>
      <c r="AC440" s="36">
        <f>IF(ISNA(VLOOKUP(Table1[[#This Row],[Part Number]],'Multi-level BOM'!V$4:V$449,1,FALSE)),0,Table1[[#This Row],[Remaining Extended cost]])</f>
        <v>0</v>
      </c>
    </row>
    <row r="441" spans="1:29" x14ac:dyDescent="0.25">
      <c r="A441" s="1" t="s">
        <v>444</v>
      </c>
      <c r="B441" s="4"/>
      <c r="F441" s="3">
        <f>9%*Table1[[#This Row],[Cost ]]</f>
        <v>0</v>
      </c>
      <c r="J441" s="49">
        <f>SUMIF('Multi-level BOM'!D$4:D$467,Table1[[#This Row],[Part Number]],'Multi-level BOM'!H$4:H$467)</f>
        <v>0</v>
      </c>
      <c r="K441" s="10">
        <f>Table1[[#This Row],[extended quantity]]*(Table1[[#This Row],[Cost ]]+Table1[[#This Row],[shipping]]+Table1[[#This Row],[Tax]])</f>
        <v>0</v>
      </c>
      <c r="L441" s="83" t="str">
        <f>IF(Table1[[#This Row],[Buy-now costs]]&gt;0,"X","")</f>
        <v/>
      </c>
      <c r="M441" s="83"/>
      <c r="N441" s="83"/>
      <c r="O441" s="40">
        <v>0</v>
      </c>
      <c r="P441" s="97">
        <f>Table1[[#This Row],[quantity on-hand]]*(Table1[[#This Row],[Cost ]]+Table1[[#This Row],[shipping]]+Table1[[#This Row],[Tax]])</f>
        <v>0</v>
      </c>
      <c r="Q441" s="40">
        <v>0</v>
      </c>
      <c r="R441" s="95">
        <f>Table1[[#This Row],[Quantity on order]]*(Table1[[#This Row],[Cost ]]+Table1[[#This Row],[shipping]]+Table1[[#This Row],[Tax]])</f>
        <v>0</v>
      </c>
      <c r="S4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1" s="49">
        <f>Table1[[#This Row],[Quantity  to  purchase]]+Table1[[#This Row],[Quantity purchased]]+Table1[[#This Row],[Quantity on order]]+Table1[[#This Row],[Quantity donated]]-Table1[[#This Row],[extended quantity]]</f>
        <v>0</v>
      </c>
      <c r="U4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1" s="51">
        <f>IFERROR(Table1[[#This Row],[Quantity  to  purchase]]*(Table1[[#This Row],[Cost ]]+Table1[[#This Row],[shipping]]+Table1[[#This Row],[Tax]]),0)</f>
        <v>0</v>
      </c>
      <c r="W441" s="36">
        <f>IFERROR(Table1[[#This Row],[leftover material]]*(Table1[[#This Row],[Cost ]]+Table1[[#This Row],[shipping]]+Table1[[#This Row],[Tax]]),0)</f>
        <v>0</v>
      </c>
      <c r="X441" s="36"/>
      <c r="Y441" s="87"/>
      <c r="Z441" s="87"/>
      <c r="AA441" s="87"/>
      <c r="AB441" s="36"/>
      <c r="AC441" s="36">
        <f>IF(ISNA(VLOOKUP(Table1[[#This Row],[Part Number]],'Multi-level BOM'!V$4:V$449,1,FALSE)),0,Table1[[#This Row],[Remaining Extended cost]])</f>
        <v>0</v>
      </c>
    </row>
    <row r="442" spans="1:29" x14ac:dyDescent="0.25">
      <c r="A442" s="1" t="s">
        <v>445</v>
      </c>
      <c r="B442" s="4"/>
      <c r="F442" s="3">
        <f>9%*Table1[[#This Row],[Cost ]]</f>
        <v>0</v>
      </c>
      <c r="J442" s="49">
        <f>SUMIF('Multi-level BOM'!D$4:D$467,Table1[[#This Row],[Part Number]],'Multi-level BOM'!H$4:H$467)</f>
        <v>0</v>
      </c>
      <c r="K442" s="10">
        <f>Table1[[#This Row],[extended quantity]]*(Table1[[#This Row],[Cost ]]+Table1[[#This Row],[shipping]]+Table1[[#This Row],[Tax]])</f>
        <v>0</v>
      </c>
      <c r="L442" s="83" t="str">
        <f>IF(Table1[[#This Row],[Buy-now costs]]&gt;0,"X","")</f>
        <v/>
      </c>
      <c r="M442" s="83"/>
      <c r="N442" s="83"/>
      <c r="O442" s="40">
        <v>0</v>
      </c>
      <c r="P442" s="97">
        <f>Table1[[#This Row],[quantity on-hand]]*(Table1[[#This Row],[Cost ]]+Table1[[#This Row],[shipping]]+Table1[[#This Row],[Tax]])</f>
        <v>0</v>
      </c>
      <c r="Q442" s="40">
        <v>0</v>
      </c>
      <c r="R442" s="95">
        <f>Table1[[#This Row],[Quantity on order]]*(Table1[[#This Row],[Cost ]]+Table1[[#This Row],[shipping]]+Table1[[#This Row],[Tax]])</f>
        <v>0</v>
      </c>
      <c r="S4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2" s="49">
        <f>Table1[[#This Row],[Quantity  to  purchase]]+Table1[[#This Row],[Quantity purchased]]+Table1[[#This Row],[Quantity on order]]+Table1[[#This Row],[Quantity donated]]-Table1[[#This Row],[extended quantity]]</f>
        <v>0</v>
      </c>
      <c r="U4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2" s="51">
        <f>IFERROR(Table1[[#This Row],[Quantity  to  purchase]]*(Table1[[#This Row],[Cost ]]+Table1[[#This Row],[shipping]]+Table1[[#This Row],[Tax]]),0)</f>
        <v>0</v>
      </c>
      <c r="W442" s="36">
        <f>IFERROR(Table1[[#This Row],[leftover material]]*(Table1[[#This Row],[Cost ]]+Table1[[#This Row],[shipping]]+Table1[[#This Row],[Tax]]),0)</f>
        <v>0</v>
      </c>
      <c r="X442" s="36"/>
      <c r="Y442" s="87"/>
      <c r="Z442" s="87"/>
      <c r="AA442" s="87"/>
      <c r="AB442" s="36"/>
      <c r="AC442" s="36">
        <f>IF(ISNA(VLOOKUP(Table1[[#This Row],[Part Number]],'Multi-level BOM'!V$4:V$449,1,FALSE)),0,Table1[[#This Row],[Remaining Extended cost]])</f>
        <v>0</v>
      </c>
    </row>
    <row r="443" spans="1:29" x14ac:dyDescent="0.25">
      <c r="A443" s="1" t="s">
        <v>446</v>
      </c>
      <c r="B443" s="4"/>
      <c r="F443" s="3">
        <f>9%*Table1[[#This Row],[Cost ]]</f>
        <v>0</v>
      </c>
      <c r="J443" s="49">
        <f>SUMIF('Multi-level BOM'!D$4:D$467,Table1[[#This Row],[Part Number]],'Multi-level BOM'!H$4:H$467)</f>
        <v>0</v>
      </c>
      <c r="K443" s="10">
        <f>Table1[[#This Row],[extended quantity]]*(Table1[[#This Row],[Cost ]]+Table1[[#This Row],[shipping]]+Table1[[#This Row],[Tax]])</f>
        <v>0</v>
      </c>
      <c r="L443" s="83" t="str">
        <f>IF(Table1[[#This Row],[Buy-now costs]]&gt;0,"X","")</f>
        <v/>
      </c>
      <c r="M443" s="83"/>
      <c r="N443" s="83"/>
      <c r="O443" s="40">
        <v>0</v>
      </c>
      <c r="P443" s="97">
        <f>Table1[[#This Row],[quantity on-hand]]*(Table1[[#This Row],[Cost ]]+Table1[[#This Row],[shipping]]+Table1[[#This Row],[Tax]])</f>
        <v>0</v>
      </c>
      <c r="Q443" s="40">
        <v>0</v>
      </c>
      <c r="R443" s="95">
        <f>Table1[[#This Row],[Quantity on order]]*(Table1[[#This Row],[Cost ]]+Table1[[#This Row],[shipping]]+Table1[[#This Row],[Tax]])</f>
        <v>0</v>
      </c>
      <c r="S4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3" s="49">
        <f>Table1[[#This Row],[Quantity  to  purchase]]+Table1[[#This Row],[Quantity purchased]]+Table1[[#This Row],[Quantity on order]]+Table1[[#This Row],[Quantity donated]]-Table1[[#This Row],[extended quantity]]</f>
        <v>0</v>
      </c>
      <c r="U4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3" s="51">
        <f>IFERROR(Table1[[#This Row],[Quantity  to  purchase]]*(Table1[[#This Row],[Cost ]]+Table1[[#This Row],[shipping]]+Table1[[#This Row],[Tax]]),0)</f>
        <v>0</v>
      </c>
      <c r="W443" s="36">
        <f>IFERROR(Table1[[#This Row],[leftover material]]*(Table1[[#This Row],[Cost ]]+Table1[[#This Row],[shipping]]+Table1[[#This Row],[Tax]]),0)</f>
        <v>0</v>
      </c>
      <c r="X443" s="36"/>
      <c r="Y443" s="87"/>
      <c r="Z443" s="87"/>
      <c r="AA443" s="87"/>
      <c r="AB443" s="36"/>
      <c r="AC443" s="36">
        <f>IF(ISNA(VLOOKUP(Table1[[#This Row],[Part Number]],'Multi-level BOM'!V$4:V$449,1,FALSE)),0,Table1[[#This Row],[Remaining Extended cost]])</f>
        <v>0</v>
      </c>
    </row>
    <row r="444" spans="1:29" x14ac:dyDescent="0.25">
      <c r="A444" s="1" t="s">
        <v>447</v>
      </c>
      <c r="B444" s="4"/>
      <c r="F444" s="3">
        <f>9%*Table1[[#This Row],[Cost ]]</f>
        <v>0</v>
      </c>
      <c r="J444" s="49">
        <f>SUMIF('Multi-level BOM'!D$4:D$467,Table1[[#This Row],[Part Number]],'Multi-level BOM'!H$4:H$467)</f>
        <v>0</v>
      </c>
      <c r="K444" s="10">
        <f>Table1[[#This Row],[extended quantity]]*(Table1[[#This Row],[Cost ]]+Table1[[#This Row],[shipping]]+Table1[[#This Row],[Tax]])</f>
        <v>0</v>
      </c>
      <c r="L444" s="83" t="str">
        <f>IF(Table1[[#This Row],[Buy-now costs]]&gt;0,"X","")</f>
        <v/>
      </c>
      <c r="M444" s="83"/>
      <c r="N444" s="83"/>
      <c r="O444" s="40">
        <v>0</v>
      </c>
      <c r="P444" s="97">
        <f>Table1[[#This Row],[quantity on-hand]]*(Table1[[#This Row],[Cost ]]+Table1[[#This Row],[shipping]]+Table1[[#This Row],[Tax]])</f>
        <v>0</v>
      </c>
      <c r="Q444" s="40">
        <v>0</v>
      </c>
      <c r="R444" s="95">
        <f>Table1[[#This Row],[Quantity on order]]*(Table1[[#This Row],[Cost ]]+Table1[[#This Row],[shipping]]+Table1[[#This Row],[Tax]])</f>
        <v>0</v>
      </c>
      <c r="S4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4" s="49">
        <f>Table1[[#This Row],[Quantity  to  purchase]]+Table1[[#This Row],[Quantity purchased]]+Table1[[#This Row],[Quantity on order]]+Table1[[#This Row],[Quantity donated]]-Table1[[#This Row],[extended quantity]]</f>
        <v>0</v>
      </c>
      <c r="U4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4" s="51">
        <f>IFERROR(Table1[[#This Row],[Quantity  to  purchase]]*(Table1[[#This Row],[Cost ]]+Table1[[#This Row],[shipping]]+Table1[[#This Row],[Tax]]),0)</f>
        <v>0</v>
      </c>
      <c r="W444" s="36">
        <f>IFERROR(Table1[[#This Row],[leftover material]]*(Table1[[#This Row],[Cost ]]+Table1[[#This Row],[shipping]]+Table1[[#This Row],[Tax]]),0)</f>
        <v>0</v>
      </c>
      <c r="X444" s="36"/>
      <c r="Y444" s="87"/>
      <c r="Z444" s="87"/>
      <c r="AA444" s="87"/>
      <c r="AB444" s="36"/>
      <c r="AC444" s="36">
        <f>IF(ISNA(VLOOKUP(Table1[[#This Row],[Part Number]],'Multi-level BOM'!V$4:V$449,1,FALSE)),0,Table1[[#This Row],[Remaining Extended cost]])</f>
        <v>0</v>
      </c>
    </row>
    <row r="445" spans="1:29" x14ac:dyDescent="0.25">
      <c r="A445" s="1" t="s">
        <v>448</v>
      </c>
      <c r="B445" s="4"/>
      <c r="F445" s="3">
        <f>9%*Table1[[#This Row],[Cost ]]</f>
        <v>0</v>
      </c>
      <c r="J445" s="49">
        <f>SUMIF('Multi-level BOM'!D$4:D$467,Table1[[#This Row],[Part Number]],'Multi-level BOM'!H$4:H$467)</f>
        <v>0</v>
      </c>
      <c r="K445" s="10">
        <f>Table1[[#This Row],[extended quantity]]*(Table1[[#This Row],[Cost ]]+Table1[[#This Row],[shipping]]+Table1[[#This Row],[Tax]])</f>
        <v>0</v>
      </c>
      <c r="L445" s="83" t="str">
        <f>IF(Table1[[#This Row],[Buy-now costs]]&gt;0,"X","")</f>
        <v/>
      </c>
      <c r="M445" s="83"/>
      <c r="N445" s="83"/>
      <c r="O445" s="40">
        <v>0</v>
      </c>
      <c r="P445" s="97">
        <f>Table1[[#This Row],[quantity on-hand]]*(Table1[[#This Row],[Cost ]]+Table1[[#This Row],[shipping]]+Table1[[#This Row],[Tax]])</f>
        <v>0</v>
      </c>
      <c r="Q445" s="40">
        <v>0</v>
      </c>
      <c r="R445" s="95">
        <f>Table1[[#This Row],[Quantity on order]]*(Table1[[#This Row],[Cost ]]+Table1[[#This Row],[shipping]]+Table1[[#This Row],[Tax]])</f>
        <v>0</v>
      </c>
      <c r="S4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5" s="49">
        <f>Table1[[#This Row],[Quantity  to  purchase]]+Table1[[#This Row],[Quantity purchased]]+Table1[[#This Row],[Quantity on order]]+Table1[[#This Row],[Quantity donated]]-Table1[[#This Row],[extended quantity]]</f>
        <v>0</v>
      </c>
      <c r="U4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5" s="51">
        <f>IFERROR(Table1[[#This Row],[Quantity  to  purchase]]*(Table1[[#This Row],[Cost ]]+Table1[[#This Row],[shipping]]+Table1[[#This Row],[Tax]]),0)</f>
        <v>0</v>
      </c>
      <c r="W445" s="36">
        <f>IFERROR(Table1[[#This Row],[leftover material]]*(Table1[[#This Row],[Cost ]]+Table1[[#This Row],[shipping]]+Table1[[#This Row],[Tax]]),0)</f>
        <v>0</v>
      </c>
      <c r="X445" s="36"/>
      <c r="Y445" s="87"/>
      <c r="Z445" s="87"/>
      <c r="AA445" s="87"/>
      <c r="AB445" s="36"/>
      <c r="AC445" s="36">
        <f>IF(ISNA(VLOOKUP(Table1[[#This Row],[Part Number]],'Multi-level BOM'!V$4:V$449,1,FALSE)),0,Table1[[#This Row],[Remaining Extended cost]])</f>
        <v>0</v>
      </c>
    </row>
    <row r="446" spans="1:29" x14ac:dyDescent="0.25">
      <c r="A446" s="1" t="s">
        <v>449</v>
      </c>
      <c r="B446" s="4"/>
      <c r="F446" s="3">
        <f>9%*Table1[[#This Row],[Cost ]]</f>
        <v>0</v>
      </c>
      <c r="J446" s="49">
        <f>SUMIF('Multi-level BOM'!D$4:D$467,Table1[[#This Row],[Part Number]],'Multi-level BOM'!H$4:H$467)</f>
        <v>0</v>
      </c>
      <c r="K446" s="10">
        <f>Table1[[#This Row],[extended quantity]]*(Table1[[#This Row],[Cost ]]+Table1[[#This Row],[shipping]]+Table1[[#This Row],[Tax]])</f>
        <v>0</v>
      </c>
      <c r="L446" s="83" t="str">
        <f>IF(Table1[[#This Row],[Buy-now costs]]&gt;0,"X","")</f>
        <v/>
      </c>
      <c r="M446" s="83"/>
      <c r="N446" s="83"/>
      <c r="O446" s="40">
        <v>0</v>
      </c>
      <c r="P446" s="97">
        <f>Table1[[#This Row],[quantity on-hand]]*(Table1[[#This Row],[Cost ]]+Table1[[#This Row],[shipping]]+Table1[[#This Row],[Tax]])</f>
        <v>0</v>
      </c>
      <c r="Q446" s="40">
        <v>0</v>
      </c>
      <c r="R446" s="95">
        <f>Table1[[#This Row],[Quantity on order]]*(Table1[[#This Row],[Cost ]]+Table1[[#This Row],[shipping]]+Table1[[#This Row],[Tax]])</f>
        <v>0</v>
      </c>
      <c r="S4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6" s="49">
        <f>Table1[[#This Row],[Quantity  to  purchase]]+Table1[[#This Row],[Quantity purchased]]+Table1[[#This Row],[Quantity on order]]+Table1[[#This Row],[Quantity donated]]-Table1[[#This Row],[extended quantity]]</f>
        <v>0</v>
      </c>
      <c r="U4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6" s="51">
        <f>IFERROR(Table1[[#This Row],[Quantity  to  purchase]]*(Table1[[#This Row],[Cost ]]+Table1[[#This Row],[shipping]]+Table1[[#This Row],[Tax]]),0)</f>
        <v>0</v>
      </c>
      <c r="W446" s="36">
        <f>IFERROR(Table1[[#This Row],[leftover material]]*(Table1[[#This Row],[Cost ]]+Table1[[#This Row],[shipping]]+Table1[[#This Row],[Tax]]),0)</f>
        <v>0</v>
      </c>
      <c r="X446" s="36"/>
      <c r="Y446" s="87"/>
      <c r="Z446" s="87"/>
      <c r="AA446" s="87"/>
      <c r="AB446" s="36"/>
      <c r="AC446" s="36">
        <f>IF(ISNA(VLOOKUP(Table1[[#This Row],[Part Number]],'Multi-level BOM'!V$4:V$449,1,FALSE)),0,Table1[[#This Row],[Remaining Extended cost]])</f>
        <v>0</v>
      </c>
    </row>
    <row r="447" spans="1:29" x14ac:dyDescent="0.25">
      <c r="A447" s="1" t="s">
        <v>450</v>
      </c>
      <c r="B447" s="4"/>
      <c r="F447" s="3">
        <f>9%*Table1[[#This Row],[Cost ]]</f>
        <v>0</v>
      </c>
      <c r="J447" s="49">
        <f>SUMIF('Multi-level BOM'!D$4:D$467,Table1[[#This Row],[Part Number]],'Multi-level BOM'!H$4:H$467)</f>
        <v>0</v>
      </c>
      <c r="K447" s="10">
        <f>Table1[[#This Row],[extended quantity]]*(Table1[[#This Row],[Cost ]]+Table1[[#This Row],[shipping]]+Table1[[#This Row],[Tax]])</f>
        <v>0</v>
      </c>
      <c r="L447" s="83" t="str">
        <f>IF(Table1[[#This Row],[Buy-now costs]]&gt;0,"X","")</f>
        <v/>
      </c>
      <c r="M447" s="83"/>
      <c r="N447" s="83"/>
      <c r="O447" s="40">
        <v>0</v>
      </c>
      <c r="P447" s="97">
        <f>Table1[[#This Row],[quantity on-hand]]*(Table1[[#This Row],[Cost ]]+Table1[[#This Row],[shipping]]+Table1[[#This Row],[Tax]])</f>
        <v>0</v>
      </c>
      <c r="Q447" s="40">
        <v>0</v>
      </c>
      <c r="R447" s="95">
        <f>Table1[[#This Row],[Quantity on order]]*(Table1[[#This Row],[Cost ]]+Table1[[#This Row],[shipping]]+Table1[[#This Row],[Tax]])</f>
        <v>0</v>
      </c>
      <c r="S4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7" s="49">
        <f>Table1[[#This Row],[Quantity  to  purchase]]+Table1[[#This Row],[Quantity purchased]]+Table1[[#This Row],[Quantity on order]]+Table1[[#This Row],[Quantity donated]]-Table1[[#This Row],[extended quantity]]</f>
        <v>0</v>
      </c>
      <c r="U4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7" s="51">
        <f>IFERROR(Table1[[#This Row],[Quantity  to  purchase]]*(Table1[[#This Row],[Cost ]]+Table1[[#This Row],[shipping]]+Table1[[#This Row],[Tax]]),0)</f>
        <v>0</v>
      </c>
      <c r="W447" s="36">
        <f>IFERROR(Table1[[#This Row],[leftover material]]*(Table1[[#This Row],[Cost ]]+Table1[[#This Row],[shipping]]+Table1[[#This Row],[Tax]]),0)</f>
        <v>0</v>
      </c>
      <c r="X447" s="36"/>
      <c r="Y447" s="87"/>
      <c r="Z447" s="87"/>
      <c r="AA447" s="87"/>
      <c r="AB447" s="36"/>
      <c r="AC447" s="36">
        <f>IF(ISNA(VLOOKUP(Table1[[#This Row],[Part Number]],'Multi-level BOM'!V$4:V$449,1,FALSE)),0,Table1[[#This Row],[Remaining Extended cost]])</f>
        <v>0</v>
      </c>
    </row>
    <row r="448" spans="1:29" x14ac:dyDescent="0.25">
      <c r="A448" s="1" t="s">
        <v>451</v>
      </c>
      <c r="B448" s="4"/>
      <c r="F448" s="3">
        <f>9%*Table1[[#This Row],[Cost ]]</f>
        <v>0</v>
      </c>
      <c r="J448" s="49">
        <f>SUMIF('Multi-level BOM'!D$4:D$467,Table1[[#This Row],[Part Number]],'Multi-level BOM'!H$4:H$467)</f>
        <v>0</v>
      </c>
      <c r="K448" s="10">
        <f>Table1[[#This Row],[extended quantity]]*(Table1[[#This Row],[Cost ]]+Table1[[#This Row],[shipping]]+Table1[[#This Row],[Tax]])</f>
        <v>0</v>
      </c>
      <c r="L448" s="83" t="str">
        <f>IF(Table1[[#This Row],[Buy-now costs]]&gt;0,"X","")</f>
        <v/>
      </c>
      <c r="M448" s="83"/>
      <c r="N448" s="83"/>
      <c r="O448" s="40">
        <v>0</v>
      </c>
      <c r="P448" s="97">
        <f>Table1[[#This Row],[quantity on-hand]]*(Table1[[#This Row],[Cost ]]+Table1[[#This Row],[shipping]]+Table1[[#This Row],[Tax]])</f>
        <v>0</v>
      </c>
      <c r="Q448" s="40">
        <v>0</v>
      </c>
      <c r="R448" s="95">
        <f>Table1[[#This Row],[Quantity on order]]*(Table1[[#This Row],[Cost ]]+Table1[[#This Row],[shipping]]+Table1[[#This Row],[Tax]])</f>
        <v>0</v>
      </c>
      <c r="S4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8" s="49">
        <f>Table1[[#This Row],[Quantity  to  purchase]]+Table1[[#This Row],[Quantity purchased]]+Table1[[#This Row],[Quantity on order]]+Table1[[#This Row],[Quantity donated]]-Table1[[#This Row],[extended quantity]]</f>
        <v>0</v>
      </c>
      <c r="U4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8" s="51">
        <f>IFERROR(Table1[[#This Row],[Quantity  to  purchase]]*(Table1[[#This Row],[Cost ]]+Table1[[#This Row],[shipping]]+Table1[[#This Row],[Tax]]),0)</f>
        <v>0</v>
      </c>
      <c r="W448" s="36">
        <f>IFERROR(Table1[[#This Row],[leftover material]]*(Table1[[#This Row],[Cost ]]+Table1[[#This Row],[shipping]]+Table1[[#This Row],[Tax]]),0)</f>
        <v>0</v>
      </c>
      <c r="X448" s="36"/>
      <c r="Y448" s="87"/>
      <c r="Z448" s="87"/>
      <c r="AA448" s="87"/>
      <c r="AB448" s="36"/>
      <c r="AC448" s="36">
        <f>IF(ISNA(VLOOKUP(Table1[[#This Row],[Part Number]],'Multi-level BOM'!V$4:V$449,1,FALSE)),0,Table1[[#This Row],[Remaining Extended cost]])</f>
        <v>0</v>
      </c>
    </row>
    <row r="449" spans="1:29" x14ac:dyDescent="0.25">
      <c r="A449" s="1" t="s">
        <v>452</v>
      </c>
      <c r="B449" s="4"/>
      <c r="F449" s="3">
        <f>9%*Table1[[#This Row],[Cost ]]</f>
        <v>0</v>
      </c>
      <c r="J449" s="49">
        <f>SUMIF('Multi-level BOM'!D$4:D$467,Table1[[#This Row],[Part Number]],'Multi-level BOM'!H$4:H$467)</f>
        <v>0</v>
      </c>
      <c r="K449" s="10">
        <f>Table1[[#This Row],[extended quantity]]*(Table1[[#This Row],[Cost ]]+Table1[[#This Row],[shipping]]+Table1[[#This Row],[Tax]])</f>
        <v>0</v>
      </c>
      <c r="L449" s="83" t="str">
        <f>IF(Table1[[#This Row],[Buy-now costs]]&gt;0,"X","")</f>
        <v/>
      </c>
      <c r="M449" s="83"/>
      <c r="N449" s="83"/>
      <c r="O449" s="40">
        <v>0</v>
      </c>
      <c r="P449" s="97">
        <f>Table1[[#This Row],[quantity on-hand]]*(Table1[[#This Row],[Cost ]]+Table1[[#This Row],[shipping]]+Table1[[#This Row],[Tax]])</f>
        <v>0</v>
      </c>
      <c r="Q449" s="40">
        <v>0</v>
      </c>
      <c r="R449" s="95">
        <f>Table1[[#This Row],[Quantity on order]]*(Table1[[#This Row],[Cost ]]+Table1[[#This Row],[shipping]]+Table1[[#This Row],[Tax]])</f>
        <v>0</v>
      </c>
      <c r="S4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9" s="49">
        <f>Table1[[#This Row],[Quantity  to  purchase]]+Table1[[#This Row],[Quantity purchased]]+Table1[[#This Row],[Quantity on order]]+Table1[[#This Row],[Quantity donated]]-Table1[[#This Row],[extended quantity]]</f>
        <v>0</v>
      </c>
      <c r="U4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9" s="51">
        <f>IFERROR(Table1[[#This Row],[Quantity  to  purchase]]*(Table1[[#This Row],[Cost ]]+Table1[[#This Row],[shipping]]+Table1[[#This Row],[Tax]]),0)</f>
        <v>0</v>
      </c>
      <c r="W449" s="36">
        <f>IFERROR(Table1[[#This Row],[leftover material]]*(Table1[[#This Row],[Cost ]]+Table1[[#This Row],[shipping]]+Table1[[#This Row],[Tax]]),0)</f>
        <v>0</v>
      </c>
      <c r="X449" s="36"/>
      <c r="Y449" s="87"/>
      <c r="Z449" s="87"/>
      <c r="AA449" s="87"/>
      <c r="AB449" s="36"/>
      <c r="AC449" s="36">
        <f>IF(ISNA(VLOOKUP(Table1[[#This Row],[Part Number]],'Multi-level BOM'!V$4:V$449,1,FALSE)),0,Table1[[#This Row],[Remaining Extended cost]])</f>
        <v>0</v>
      </c>
    </row>
    <row r="450" spans="1:29" x14ac:dyDescent="0.25">
      <c r="A450" s="1" t="s">
        <v>453</v>
      </c>
      <c r="B450" s="4"/>
      <c r="F450" s="3">
        <f>9%*Table1[[#This Row],[Cost ]]</f>
        <v>0</v>
      </c>
      <c r="J450" s="49">
        <f>SUMIF('Multi-level BOM'!D$4:D$467,Table1[[#This Row],[Part Number]],'Multi-level BOM'!H$4:H$467)</f>
        <v>0</v>
      </c>
      <c r="K450" s="10">
        <f>Table1[[#This Row],[extended quantity]]*(Table1[[#This Row],[Cost ]]+Table1[[#This Row],[shipping]]+Table1[[#This Row],[Tax]])</f>
        <v>0</v>
      </c>
      <c r="L450" s="83" t="str">
        <f>IF(Table1[[#This Row],[Buy-now costs]]&gt;0,"X","")</f>
        <v/>
      </c>
      <c r="M450" s="83"/>
      <c r="N450" s="83"/>
      <c r="O450" s="40">
        <v>0</v>
      </c>
      <c r="P450" s="97">
        <f>Table1[[#This Row],[quantity on-hand]]*(Table1[[#This Row],[Cost ]]+Table1[[#This Row],[shipping]]+Table1[[#This Row],[Tax]])</f>
        <v>0</v>
      </c>
      <c r="Q450" s="40">
        <v>0</v>
      </c>
      <c r="R450" s="95">
        <f>Table1[[#This Row],[Quantity on order]]*(Table1[[#This Row],[Cost ]]+Table1[[#This Row],[shipping]]+Table1[[#This Row],[Tax]])</f>
        <v>0</v>
      </c>
      <c r="S4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0" s="49">
        <f>Table1[[#This Row],[Quantity  to  purchase]]+Table1[[#This Row],[Quantity purchased]]+Table1[[#This Row],[Quantity on order]]+Table1[[#This Row],[Quantity donated]]-Table1[[#This Row],[extended quantity]]</f>
        <v>0</v>
      </c>
      <c r="U4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0" s="51">
        <f>IFERROR(Table1[[#This Row],[Quantity  to  purchase]]*(Table1[[#This Row],[Cost ]]+Table1[[#This Row],[shipping]]+Table1[[#This Row],[Tax]]),0)</f>
        <v>0</v>
      </c>
      <c r="W450" s="36">
        <f>IFERROR(Table1[[#This Row],[leftover material]]*(Table1[[#This Row],[Cost ]]+Table1[[#This Row],[shipping]]+Table1[[#This Row],[Tax]]),0)</f>
        <v>0</v>
      </c>
      <c r="X450" s="36"/>
      <c r="Y450" s="87"/>
      <c r="Z450" s="87"/>
      <c r="AA450" s="87"/>
      <c r="AB450" s="36"/>
      <c r="AC450" s="36">
        <f>IF(ISNA(VLOOKUP(Table1[[#This Row],[Part Number]],'Multi-level BOM'!V$4:V$449,1,FALSE)),0,Table1[[#This Row],[Remaining Extended cost]])</f>
        <v>0</v>
      </c>
    </row>
    <row r="451" spans="1:29" x14ac:dyDescent="0.25">
      <c r="A451" s="1" t="s">
        <v>454</v>
      </c>
      <c r="B451" s="4"/>
      <c r="F451" s="3">
        <f>9%*Table1[[#This Row],[Cost ]]</f>
        <v>0</v>
      </c>
      <c r="J451" s="49">
        <f>SUMIF('Multi-level BOM'!D$4:D$467,Table1[[#This Row],[Part Number]],'Multi-level BOM'!H$4:H$467)</f>
        <v>0</v>
      </c>
      <c r="K451" s="10">
        <f>Table1[[#This Row],[extended quantity]]*(Table1[[#This Row],[Cost ]]+Table1[[#This Row],[shipping]]+Table1[[#This Row],[Tax]])</f>
        <v>0</v>
      </c>
      <c r="L451" s="83" t="str">
        <f>IF(Table1[[#This Row],[Buy-now costs]]&gt;0,"X","")</f>
        <v/>
      </c>
      <c r="M451" s="83"/>
      <c r="N451" s="83"/>
      <c r="O451" s="40">
        <v>0</v>
      </c>
      <c r="P451" s="97">
        <f>Table1[[#This Row],[quantity on-hand]]*(Table1[[#This Row],[Cost ]]+Table1[[#This Row],[shipping]]+Table1[[#This Row],[Tax]])</f>
        <v>0</v>
      </c>
      <c r="Q451" s="40">
        <v>0</v>
      </c>
      <c r="R451" s="95">
        <f>Table1[[#This Row],[Quantity on order]]*(Table1[[#This Row],[Cost ]]+Table1[[#This Row],[shipping]]+Table1[[#This Row],[Tax]])</f>
        <v>0</v>
      </c>
      <c r="S4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1" s="49">
        <f>Table1[[#This Row],[Quantity  to  purchase]]+Table1[[#This Row],[Quantity purchased]]+Table1[[#This Row],[Quantity on order]]+Table1[[#This Row],[Quantity donated]]-Table1[[#This Row],[extended quantity]]</f>
        <v>0</v>
      </c>
      <c r="U4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1" s="51">
        <f>IFERROR(Table1[[#This Row],[Quantity  to  purchase]]*(Table1[[#This Row],[Cost ]]+Table1[[#This Row],[shipping]]+Table1[[#This Row],[Tax]]),0)</f>
        <v>0</v>
      </c>
      <c r="W451" s="36">
        <f>IFERROR(Table1[[#This Row],[leftover material]]*(Table1[[#This Row],[Cost ]]+Table1[[#This Row],[shipping]]+Table1[[#This Row],[Tax]]),0)</f>
        <v>0</v>
      </c>
      <c r="X451" s="36"/>
      <c r="Y451" s="87"/>
      <c r="Z451" s="87"/>
      <c r="AA451" s="87"/>
      <c r="AB451" s="36"/>
      <c r="AC451" s="36">
        <f>IF(ISNA(VLOOKUP(Table1[[#This Row],[Part Number]],'Multi-level BOM'!V$4:V$449,1,FALSE)),0,Table1[[#This Row],[Remaining Extended cost]])</f>
        <v>0</v>
      </c>
    </row>
    <row r="452" spans="1:29" x14ac:dyDescent="0.25">
      <c r="A452" s="1" t="s">
        <v>455</v>
      </c>
      <c r="B452" s="4"/>
      <c r="F452" s="3">
        <f>9%*Table1[[#This Row],[Cost ]]</f>
        <v>0</v>
      </c>
      <c r="J452" s="49">
        <f>SUMIF('Multi-level BOM'!D$4:D$467,Table1[[#This Row],[Part Number]],'Multi-level BOM'!H$4:H$467)</f>
        <v>0</v>
      </c>
      <c r="K452" s="10">
        <f>Table1[[#This Row],[extended quantity]]*(Table1[[#This Row],[Cost ]]+Table1[[#This Row],[shipping]]+Table1[[#This Row],[Tax]])</f>
        <v>0</v>
      </c>
      <c r="L452" s="83" t="str">
        <f>IF(Table1[[#This Row],[Buy-now costs]]&gt;0,"X","")</f>
        <v/>
      </c>
      <c r="M452" s="83"/>
      <c r="N452" s="83"/>
      <c r="O452" s="40">
        <v>0</v>
      </c>
      <c r="P452" s="97">
        <f>Table1[[#This Row],[quantity on-hand]]*(Table1[[#This Row],[Cost ]]+Table1[[#This Row],[shipping]]+Table1[[#This Row],[Tax]])</f>
        <v>0</v>
      </c>
      <c r="Q452" s="40">
        <v>0</v>
      </c>
      <c r="R452" s="95">
        <f>Table1[[#This Row],[Quantity on order]]*(Table1[[#This Row],[Cost ]]+Table1[[#This Row],[shipping]]+Table1[[#This Row],[Tax]])</f>
        <v>0</v>
      </c>
      <c r="S4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2" s="49">
        <f>Table1[[#This Row],[Quantity  to  purchase]]+Table1[[#This Row],[Quantity purchased]]+Table1[[#This Row],[Quantity on order]]+Table1[[#This Row],[Quantity donated]]-Table1[[#This Row],[extended quantity]]</f>
        <v>0</v>
      </c>
      <c r="U4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2" s="51">
        <f>IFERROR(Table1[[#This Row],[Quantity  to  purchase]]*(Table1[[#This Row],[Cost ]]+Table1[[#This Row],[shipping]]+Table1[[#This Row],[Tax]]),0)</f>
        <v>0</v>
      </c>
      <c r="W452" s="36">
        <f>IFERROR(Table1[[#This Row],[leftover material]]*(Table1[[#This Row],[Cost ]]+Table1[[#This Row],[shipping]]+Table1[[#This Row],[Tax]]),0)</f>
        <v>0</v>
      </c>
      <c r="X452" s="36"/>
      <c r="Y452" s="87"/>
      <c r="Z452" s="87"/>
      <c r="AA452" s="87"/>
      <c r="AB452" s="36"/>
      <c r="AC452" s="36">
        <f>IF(ISNA(VLOOKUP(Table1[[#This Row],[Part Number]],'Multi-level BOM'!V$4:V$449,1,FALSE)),0,Table1[[#This Row],[Remaining Extended cost]])</f>
        <v>0</v>
      </c>
    </row>
    <row r="453" spans="1:29" x14ac:dyDescent="0.25">
      <c r="A453" s="1" t="s">
        <v>456</v>
      </c>
      <c r="B453" s="4"/>
      <c r="F453" s="3">
        <f>9%*Table1[[#This Row],[Cost ]]</f>
        <v>0</v>
      </c>
      <c r="J453" s="49">
        <f>SUMIF('Multi-level BOM'!D$4:D$467,Table1[[#This Row],[Part Number]],'Multi-level BOM'!H$4:H$467)</f>
        <v>0</v>
      </c>
      <c r="K453" s="10">
        <f>Table1[[#This Row],[extended quantity]]*(Table1[[#This Row],[Cost ]]+Table1[[#This Row],[shipping]]+Table1[[#This Row],[Tax]])</f>
        <v>0</v>
      </c>
      <c r="L453" s="83" t="str">
        <f>IF(Table1[[#This Row],[Buy-now costs]]&gt;0,"X","")</f>
        <v/>
      </c>
      <c r="M453" s="83"/>
      <c r="N453" s="83"/>
      <c r="O453" s="40">
        <v>0</v>
      </c>
      <c r="P453" s="97">
        <f>Table1[[#This Row],[quantity on-hand]]*(Table1[[#This Row],[Cost ]]+Table1[[#This Row],[shipping]]+Table1[[#This Row],[Tax]])</f>
        <v>0</v>
      </c>
      <c r="Q453" s="40">
        <v>0</v>
      </c>
      <c r="R453" s="95">
        <f>Table1[[#This Row],[Quantity on order]]*(Table1[[#This Row],[Cost ]]+Table1[[#This Row],[shipping]]+Table1[[#This Row],[Tax]])</f>
        <v>0</v>
      </c>
      <c r="S4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3" s="49">
        <f>Table1[[#This Row],[Quantity  to  purchase]]+Table1[[#This Row],[Quantity purchased]]+Table1[[#This Row],[Quantity on order]]+Table1[[#This Row],[Quantity donated]]-Table1[[#This Row],[extended quantity]]</f>
        <v>0</v>
      </c>
      <c r="U4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3" s="51">
        <f>IFERROR(Table1[[#This Row],[Quantity  to  purchase]]*(Table1[[#This Row],[Cost ]]+Table1[[#This Row],[shipping]]+Table1[[#This Row],[Tax]]),0)</f>
        <v>0</v>
      </c>
      <c r="W453" s="36">
        <f>IFERROR(Table1[[#This Row],[leftover material]]*(Table1[[#This Row],[Cost ]]+Table1[[#This Row],[shipping]]+Table1[[#This Row],[Tax]]),0)</f>
        <v>0</v>
      </c>
      <c r="X453" s="36"/>
      <c r="Y453" s="87"/>
      <c r="Z453" s="87"/>
      <c r="AA453" s="87"/>
      <c r="AB453" s="36"/>
      <c r="AC453" s="36">
        <f>IF(ISNA(VLOOKUP(Table1[[#This Row],[Part Number]],'Multi-level BOM'!V$4:V$449,1,FALSE)),0,Table1[[#This Row],[Remaining Extended cost]])</f>
        <v>0</v>
      </c>
    </row>
    <row r="454" spans="1:29" x14ac:dyDescent="0.25">
      <c r="A454" s="1" t="s">
        <v>457</v>
      </c>
      <c r="B454" s="4"/>
      <c r="F454" s="3">
        <f>9%*Table1[[#This Row],[Cost ]]</f>
        <v>0</v>
      </c>
      <c r="J454" s="49">
        <f>SUMIF('Multi-level BOM'!D$4:D$467,Table1[[#This Row],[Part Number]],'Multi-level BOM'!H$4:H$467)</f>
        <v>0</v>
      </c>
      <c r="K454" s="10">
        <f>Table1[[#This Row],[extended quantity]]*(Table1[[#This Row],[Cost ]]+Table1[[#This Row],[shipping]]+Table1[[#This Row],[Tax]])</f>
        <v>0</v>
      </c>
      <c r="L454" s="83" t="str">
        <f>IF(Table1[[#This Row],[Buy-now costs]]&gt;0,"X","")</f>
        <v/>
      </c>
      <c r="M454" s="83"/>
      <c r="N454" s="83"/>
      <c r="O454" s="40">
        <v>0</v>
      </c>
      <c r="P454" s="97">
        <f>Table1[[#This Row],[quantity on-hand]]*(Table1[[#This Row],[Cost ]]+Table1[[#This Row],[shipping]]+Table1[[#This Row],[Tax]])</f>
        <v>0</v>
      </c>
      <c r="Q454" s="40">
        <v>0</v>
      </c>
      <c r="R454" s="95">
        <f>Table1[[#This Row],[Quantity on order]]*(Table1[[#This Row],[Cost ]]+Table1[[#This Row],[shipping]]+Table1[[#This Row],[Tax]])</f>
        <v>0</v>
      </c>
      <c r="S4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4" s="49">
        <f>Table1[[#This Row],[Quantity  to  purchase]]+Table1[[#This Row],[Quantity purchased]]+Table1[[#This Row],[Quantity on order]]+Table1[[#This Row],[Quantity donated]]-Table1[[#This Row],[extended quantity]]</f>
        <v>0</v>
      </c>
      <c r="U4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4" s="51">
        <f>IFERROR(Table1[[#This Row],[Quantity  to  purchase]]*(Table1[[#This Row],[Cost ]]+Table1[[#This Row],[shipping]]+Table1[[#This Row],[Tax]]),0)</f>
        <v>0</v>
      </c>
      <c r="W454" s="36">
        <f>IFERROR(Table1[[#This Row],[leftover material]]*(Table1[[#This Row],[Cost ]]+Table1[[#This Row],[shipping]]+Table1[[#This Row],[Tax]]),0)</f>
        <v>0</v>
      </c>
      <c r="X454" s="36"/>
      <c r="Y454" s="87"/>
      <c r="Z454" s="87"/>
      <c r="AA454" s="87"/>
      <c r="AB454" s="36"/>
      <c r="AC454" s="36">
        <f>IF(ISNA(VLOOKUP(Table1[[#This Row],[Part Number]],'Multi-level BOM'!V$4:V$449,1,FALSE)),0,Table1[[#This Row],[Remaining Extended cost]])</f>
        <v>0</v>
      </c>
    </row>
    <row r="455" spans="1:29" x14ac:dyDescent="0.25">
      <c r="A455" s="1" t="s">
        <v>458</v>
      </c>
      <c r="B455" s="4"/>
      <c r="F455" s="3">
        <f>9%*Table1[[#This Row],[Cost ]]</f>
        <v>0</v>
      </c>
      <c r="J455" s="49">
        <f>SUMIF('Multi-level BOM'!D$4:D$467,Table1[[#This Row],[Part Number]],'Multi-level BOM'!H$4:H$467)</f>
        <v>0</v>
      </c>
      <c r="K455" s="10">
        <f>Table1[[#This Row],[extended quantity]]*(Table1[[#This Row],[Cost ]]+Table1[[#This Row],[shipping]]+Table1[[#This Row],[Tax]])</f>
        <v>0</v>
      </c>
      <c r="L455" s="83" t="str">
        <f>IF(Table1[[#This Row],[Buy-now costs]]&gt;0,"X","")</f>
        <v/>
      </c>
      <c r="M455" s="83"/>
      <c r="N455" s="83"/>
      <c r="O455" s="40">
        <v>0</v>
      </c>
      <c r="P455" s="97">
        <f>Table1[[#This Row],[quantity on-hand]]*(Table1[[#This Row],[Cost ]]+Table1[[#This Row],[shipping]]+Table1[[#This Row],[Tax]])</f>
        <v>0</v>
      </c>
      <c r="Q455" s="40">
        <v>0</v>
      </c>
      <c r="R455" s="95">
        <f>Table1[[#This Row],[Quantity on order]]*(Table1[[#This Row],[Cost ]]+Table1[[#This Row],[shipping]]+Table1[[#This Row],[Tax]])</f>
        <v>0</v>
      </c>
      <c r="S4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5" s="49">
        <f>Table1[[#This Row],[Quantity  to  purchase]]+Table1[[#This Row],[Quantity purchased]]+Table1[[#This Row],[Quantity on order]]+Table1[[#This Row],[Quantity donated]]-Table1[[#This Row],[extended quantity]]</f>
        <v>0</v>
      </c>
      <c r="U4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5" s="51">
        <f>IFERROR(Table1[[#This Row],[Quantity  to  purchase]]*(Table1[[#This Row],[Cost ]]+Table1[[#This Row],[shipping]]+Table1[[#This Row],[Tax]]),0)</f>
        <v>0</v>
      </c>
      <c r="W455" s="36">
        <f>IFERROR(Table1[[#This Row],[leftover material]]*(Table1[[#This Row],[Cost ]]+Table1[[#This Row],[shipping]]+Table1[[#This Row],[Tax]]),0)</f>
        <v>0</v>
      </c>
      <c r="X455" s="36"/>
      <c r="Y455" s="87"/>
      <c r="Z455" s="87"/>
      <c r="AA455" s="87"/>
      <c r="AB455" s="36"/>
      <c r="AC455" s="36">
        <f>IF(ISNA(VLOOKUP(Table1[[#This Row],[Part Number]],'Multi-level BOM'!V$4:V$449,1,FALSE)),0,Table1[[#This Row],[Remaining Extended cost]])</f>
        <v>0</v>
      </c>
    </row>
    <row r="456" spans="1:29" x14ac:dyDescent="0.25">
      <c r="A456" s="1" t="s">
        <v>459</v>
      </c>
      <c r="B456" s="4"/>
      <c r="F456" s="3">
        <f>9%*Table1[[#This Row],[Cost ]]</f>
        <v>0</v>
      </c>
      <c r="J456" s="49">
        <f>SUMIF('Multi-level BOM'!D$4:D$467,Table1[[#This Row],[Part Number]],'Multi-level BOM'!H$4:H$467)</f>
        <v>0</v>
      </c>
      <c r="K456" s="10">
        <f>Table1[[#This Row],[extended quantity]]*(Table1[[#This Row],[Cost ]]+Table1[[#This Row],[shipping]]+Table1[[#This Row],[Tax]])</f>
        <v>0</v>
      </c>
      <c r="L456" s="83" t="str">
        <f>IF(Table1[[#This Row],[Buy-now costs]]&gt;0,"X","")</f>
        <v/>
      </c>
      <c r="M456" s="83"/>
      <c r="N456" s="83"/>
      <c r="O456" s="40">
        <v>0</v>
      </c>
      <c r="P456" s="97">
        <f>Table1[[#This Row],[quantity on-hand]]*(Table1[[#This Row],[Cost ]]+Table1[[#This Row],[shipping]]+Table1[[#This Row],[Tax]])</f>
        <v>0</v>
      </c>
      <c r="Q456" s="40">
        <v>0</v>
      </c>
      <c r="R456" s="95">
        <f>Table1[[#This Row],[Quantity on order]]*(Table1[[#This Row],[Cost ]]+Table1[[#This Row],[shipping]]+Table1[[#This Row],[Tax]])</f>
        <v>0</v>
      </c>
      <c r="S4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6" s="49">
        <f>Table1[[#This Row],[Quantity  to  purchase]]+Table1[[#This Row],[Quantity purchased]]+Table1[[#This Row],[Quantity on order]]+Table1[[#This Row],[Quantity donated]]-Table1[[#This Row],[extended quantity]]</f>
        <v>0</v>
      </c>
      <c r="U4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6" s="51">
        <f>IFERROR(Table1[[#This Row],[Quantity  to  purchase]]*(Table1[[#This Row],[Cost ]]+Table1[[#This Row],[shipping]]+Table1[[#This Row],[Tax]]),0)</f>
        <v>0</v>
      </c>
      <c r="W456" s="36">
        <f>IFERROR(Table1[[#This Row],[leftover material]]*(Table1[[#This Row],[Cost ]]+Table1[[#This Row],[shipping]]+Table1[[#This Row],[Tax]]),0)</f>
        <v>0</v>
      </c>
      <c r="X456" s="36"/>
      <c r="Y456" s="87"/>
      <c r="Z456" s="87"/>
      <c r="AA456" s="87"/>
      <c r="AB456" s="36"/>
      <c r="AC456" s="36">
        <f>IF(ISNA(VLOOKUP(Table1[[#This Row],[Part Number]],'Multi-level BOM'!V$4:V$449,1,FALSE)),0,Table1[[#This Row],[Remaining Extended cost]])</f>
        <v>0</v>
      </c>
    </row>
    <row r="457" spans="1:29" x14ac:dyDescent="0.25">
      <c r="A457" s="1" t="s">
        <v>460</v>
      </c>
      <c r="B457" s="4"/>
      <c r="F457" s="3">
        <f>9%*Table1[[#This Row],[Cost ]]</f>
        <v>0</v>
      </c>
      <c r="J457" s="49">
        <f>SUMIF('Multi-level BOM'!D$4:D$467,Table1[[#This Row],[Part Number]],'Multi-level BOM'!H$4:H$467)</f>
        <v>0</v>
      </c>
      <c r="K457" s="10">
        <f>Table1[[#This Row],[extended quantity]]*(Table1[[#This Row],[Cost ]]+Table1[[#This Row],[shipping]]+Table1[[#This Row],[Tax]])</f>
        <v>0</v>
      </c>
      <c r="L457" s="83" t="str">
        <f>IF(Table1[[#This Row],[Buy-now costs]]&gt;0,"X","")</f>
        <v/>
      </c>
      <c r="M457" s="83"/>
      <c r="N457" s="83"/>
      <c r="O457" s="40">
        <v>0</v>
      </c>
      <c r="P457" s="97">
        <f>Table1[[#This Row],[quantity on-hand]]*(Table1[[#This Row],[Cost ]]+Table1[[#This Row],[shipping]]+Table1[[#This Row],[Tax]])</f>
        <v>0</v>
      </c>
      <c r="Q457" s="40">
        <v>0</v>
      </c>
      <c r="R457" s="95">
        <f>Table1[[#This Row],[Quantity on order]]*(Table1[[#This Row],[Cost ]]+Table1[[#This Row],[shipping]]+Table1[[#This Row],[Tax]])</f>
        <v>0</v>
      </c>
      <c r="S4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7" s="49">
        <f>Table1[[#This Row],[Quantity  to  purchase]]+Table1[[#This Row],[Quantity purchased]]+Table1[[#This Row],[Quantity on order]]+Table1[[#This Row],[Quantity donated]]-Table1[[#This Row],[extended quantity]]</f>
        <v>0</v>
      </c>
      <c r="U4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7" s="51">
        <f>IFERROR(Table1[[#This Row],[Quantity  to  purchase]]*(Table1[[#This Row],[Cost ]]+Table1[[#This Row],[shipping]]+Table1[[#This Row],[Tax]]),0)</f>
        <v>0</v>
      </c>
      <c r="W457" s="36">
        <f>IFERROR(Table1[[#This Row],[leftover material]]*(Table1[[#This Row],[Cost ]]+Table1[[#This Row],[shipping]]+Table1[[#This Row],[Tax]]),0)</f>
        <v>0</v>
      </c>
      <c r="X457" s="36"/>
      <c r="Y457" s="87"/>
      <c r="Z457" s="87"/>
      <c r="AA457" s="87"/>
      <c r="AB457" s="36"/>
      <c r="AC457" s="36">
        <f>IF(ISNA(VLOOKUP(Table1[[#This Row],[Part Number]],'Multi-level BOM'!V$4:V$449,1,FALSE)),0,Table1[[#This Row],[Remaining Extended cost]])</f>
        <v>0</v>
      </c>
    </row>
    <row r="458" spans="1:29" x14ac:dyDescent="0.25">
      <c r="A458" s="1" t="s">
        <v>461</v>
      </c>
      <c r="B458" s="4"/>
      <c r="F458" s="3">
        <f>9%*Table1[[#This Row],[Cost ]]</f>
        <v>0</v>
      </c>
      <c r="J458" s="49">
        <f>SUMIF('Multi-level BOM'!D$4:D$467,Table1[[#This Row],[Part Number]],'Multi-level BOM'!H$4:H$467)</f>
        <v>0</v>
      </c>
      <c r="K458" s="10">
        <f>Table1[[#This Row],[extended quantity]]*(Table1[[#This Row],[Cost ]]+Table1[[#This Row],[shipping]]+Table1[[#This Row],[Tax]])</f>
        <v>0</v>
      </c>
      <c r="L458" s="83" t="str">
        <f>IF(Table1[[#This Row],[Buy-now costs]]&gt;0,"X","")</f>
        <v/>
      </c>
      <c r="M458" s="83"/>
      <c r="N458" s="83"/>
      <c r="O458" s="40">
        <v>0</v>
      </c>
      <c r="P458" s="97">
        <f>Table1[[#This Row],[quantity on-hand]]*(Table1[[#This Row],[Cost ]]+Table1[[#This Row],[shipping]]+Table1[[#This Row],[Tax]])</f>
        <v>0</v>
      </c>
      <c r="Q458" s="40">
        <v>0</v>
      </c>
      <c r="R458" s="95">
        <f>Table1[[#This Row],[Quantity on order]]*(Table1[[#This Row],[Cost ]]+Table1[[#This Row],[shipping]]+Table1[[#This Row],[Tax]])</f>
        <v>0</v>
      </c>
      <c r="S4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8" s="49">
        <f>Table1[[#This Row],[Quantity  to  purchase]]+Table1[[#This Row],[Quantity purchased]]+Table1[[#This Row],[Quantity on order]]+Table1[[#This Row],[Quantity donated]]-Table1[[#This Row],[extended quantity]]</f>
        <v>0</v>
      </c>
      <c r="U4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8" s="51">
        <f>IFERROR(Table1[[#This Row],[Quantity  to  purchase]]*(Table1[[#This Row],[Cost ]]+Table1[[#This Row],[shipping]]+Table1[[#This Row],[Tax]]),0)</f>
        <v>0</v>
      </c>
      <c r="W458" s="36">
        <f>IFERROR(Table1[[#This Row],[leftover material]]*(Table1[[#This Row],[Cost ]]+Table1[[#This Row],[shipping]]+Table1[[#This Row],[Tax]]),0)</f>
        <v>0</v>
      </c>
      <c r="X458" s="36"/>
      <c r="Y458" s="87"/>
      <c r="Z458" s="87"/>
      <c r="AA458" s="87"/>
      <c r="AB458" s="36"/>
      <c r="AC458" s="36">
        <f>IF(ISNA(VLOOKUP(Table1[[#This Row],[Part Number]],'Multi-level BOM'!V$4:V$449,1,FALSE)),0,Table1[[#This Row],[Remaining Extended cost]])</f>
        <v>0</v>
      </c>
    </row>
    <row r="459" spans="1:29" x14ac:dyDescent="0.25">
      <c r="A459" s="1" t="s">
        <v>462</v>
      </c>
      <c r="B459" s="4"/>
      <c r="F459" s="3">
        <f>9%*Table1[[#This Row],[Cost ]]</f>
        <v>0</v>
      </c>
      <c r="J459" s="49">
        <f>SUMIF('Multi-level BOM'!D$4:D$467,Table1[[#This Row],[Part Number]],'Multi-level BOM'!H$4:H$467)</f>
        <v>0</v>
      </c>
      <c r="K459" s="10">
        <f>Table1[[#This Row],[extended quantity]]*(Table1[[#This Row],[Cost ]]+Table1[[#This Row],[shipping]]+Table1[[#This Row],[Tax]])</f>
        <v>0</v>
      </c>
      <c r="L459" s="83" t="str">
        <f>IF(Table1[[#This Row],[Buy-now costs]]&gt;0,"X","")</f>
        <v/>
      </c>
      <c r="M459" s="83"/>
      <c r="N459" s="83"/>
      <c r="O459" s="40">
        <v>0</v>
      </c>
      <c r="P459" s="97">
        <f>Table1[[#This Row],[quantity on-hand]]*(Table1[[#This Row],[Cost ]]+Table1[[#This Row],[shipping]]+Table1[[#This Row],[Tax]])</f>
        <v>0</v>
      </c>
      <c r="Q459" s="40">
        <v>0</v>
      </c>
      <c r="R459" s="95">
        <f>Table1[[#This Row],[Quantity on order]]*(Table1[[#This Row],[Cost ]]+Table1[[#This Row],[shipping]]+Table1[[#This Row],[Tax]])</f>
        <v>0</v>
      </c>
      <c r="S4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9" s="49">
        <f>Table1[[#This Row],[Quantity  to  purchase]]+Table1[[#This Row],[Quantity purchased]]+Table1[[#This Row],[Quantity on order]]+Table1[[#This Row],[Quantity donated]]-Table1[[#This Row],[extended quantity]]</f>
        <v>0</v>
      </c>
      <c r="U4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9" s="51">
        <f>IFERROR(Table1[[#This Row],[Quantity  to  purchase]]*(Table1[[#This Row],[Cost ]]+Table1[[#This Row],[shipping]]+Table1[[#This Row],[Tax]]),0)</f>
        <v>0</v>
      </c>
      <c r="W459" s="36">
        <f>IFERROR(Table1[[#This Row],[leftover material]]*(Table1[[#This Row],[Cost ]]+Table1[[#This Row],[shipping]]+Table1[[#This Row],[Tax]]),0)</f>
        <v>0</v>
      </c>
      <c r="X459" s="36"/>
      <c r="Y459" s="87"/>
      <c r="Z459" s="87"/>
      <c r="AA459" s="87"/>
      <c r="AB459" s="36"/>
      <c r="AC459" s="36">
        <f>IF(ISNA(VLOOKUP(Table1[[#This Row],[Part Number]],'Multi-level BOM'!V$4:V$449,1,FALSE)),0,Table1[[#This Row],[Remaining Extended cost]])</f>
        <v>0</v>
      </c>
    </row>
    <row r="460" spans="1:29" x14ac:dyDescent="0.25">
      <c r="A460" s="1" t="s">
        <v>463</v>
      </c>
      <c r="B460" s="4"/>
      <c r="F460" s="3">
        <f>9%*Table1[[#This Row],[Cost ]]</f>
        <v>0</v>
      </c>
      <c r="J460" s="49">
        <f>SUMIF('Multi-level BOM'!D$4:D$467,Table1[[#This Row],[Part Number]],'Multi-level BOM'!H$4:H$467)</f>
        <v>0</v>
      </c>
      <c r="K460" s="10">
        <f>Table1[[#This Row],[extended quantity]]*(Table1[[#This Row],[Cost ]]+Table1[[#This Row],[shipping]]+Table1[[#This Row],[Tax]])</f>
        <v>0</v>
      </c>
      <c r="L460" s="83" t="str">
        <f>IF(Table1[[#This Row],[Buy-now costs]]&gt;0,"X","")</f>
        <v/>
      </c>
      <c r="M460" s="83"/>
      <c r="N460" s="83"/>
      <c r="O460" s="40">
        <v>0</v>
      </c>
      <c r="P460" s="97">
        <f>Table1[[#This Row],[quantity on-hand]]*(Table1[[#This Row],[Cost ]]+Table1[[#This Row],[shipping]]+Table1[[#This Row],[Tax]])</f>
        <v>0</v>
      </c>
      <c r="Q460" s="40">
        <v>0</v>
      </c>
      <c r="R460" s="95">
        <f>Table1[[#This Row],[Quantity on order]]*(Table1[[#This Row],[Cost ]]+Table1[[#This Row],[shipping]]+Table1[[#This Row],[Tax]])</f>
        <v>0</v>
      </c>
      <c r="S4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0" s="49">
        <f>Table1[[#This Row],[Quantity  to  purchase]]+Table1[[#This Row],[Quantity purchased]]+Table1[[#This Row],[Quantity on order]]+Table1[[#This Row],[Quantity donated]]-Table1[[#This Row],[extended quantity]]</f>
        <v>0</v>
      </c>
      <c r="U4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0" s="51">
        <f>IFERROR(Table1[[#This Row],[Quantity  to  purchase]]*(Table1[[#This Row],[Cost ]]+Table1[[#This Row],[shipping]]+Table1[[#This Row],[Tax]]),0)</f>
        <v>0</v>
      </c>
      <c r="W460" s="36">
        <f>IFERROR(Table1[[#This Row],[leftover material]]*(Table1[[#This Row],[Cost ]]+Table1[[#This Row],[shipping]]+Table1[[#This Row],[Tax]]),0)</f>
        <v>0</v>
      </c>
      <c r="X460" s="36"/>
      <c r="Y460" s="87"/>
      <c r="Z460" s="87"/>
      <c r="AA460" s="87"/>
      <c r="AB460" s="36"/>
      <c r="AC460" s="36">
        <f>IF(ISNA(VLOOKUP(Table1[[#This Row],[Part Number]],'Multi-level BOM'!V$4:V$449,1,FALSE)),0,Table1[[#This Row],[Remaining Extended cost]])</f>
        <v>0</v>
      </c>
    </row>
    <row r="461" spans="1:29" x14ac:dyDescent="0.25">
      <c r="A461" s="1" t="s">
        <v>464</v>
      </c>
      <c r="B461" s="4"/>
      <c r="F461" s="3">
        <f>9%*Table1[[#This Row],[Cost ]]</f>
        <v>0</v>
      </c>
      <c r="J461" s="49">
        <f>SUMIF('Multi-level BOM'!D$4:D$467,Table1[[#This Row],[Part Number]],'Multi-level BOM'!H$4:H$467)</f>
        <v>0</v>
      </c>
      <c r="K461" s="10">
        <f>Table1[[#This Row],[extended quantity]]*(Table1[[#This Row],[Cost ]]+Table1[[#This Row],[shipping]]+Table1[[#This Row],[Tax]])</f>
        <v>0</v>
      </c>
      <c r="L461" s="83" t="str">
        <f>IF(Table1[[#This Row],[Buy-now costs]]&gt;0,"X","")</f>
        <v/>
      </c>
      <c r="M461" s="83"/>
      <c r="N461" s="83"/>
      <c r="O461" s="40">
        <v>0</v>
      </c>
      <c r="P461" s="97">
        <f>Table1[[#This Row],[quantity on-hand]]*(Table1[[#This Row],[Cost ]]+Table1[[#This Row],[shipping]]+Table1[[#This Row],[Tax]])</f>
        <v>0</v>
      </c>
      <c r="Q461" s="40">
        <v>0</v>
      </c>
      <c r="R461" s="95">
        <f>Table1[[#This Row],[Quantity on order]]*(Table1[[#This Row],[Cost ]]+Table1[[#This Row],[shipping]]+Table1[[#This Row],[Tax]])</f>
        <v>0</v>
      </c>
      <c r="S4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1" s="49">
        <f>Table1[[#This Row],[Quantity  to  purchase]]+Table1[[#This Row],[Quantity purchased]]+Table1[[#This Row],[Quantity on order]]+Table1[[#This Row],[Quantity donated]]-Table1[[#This Row],[extended quantity]]</f>
        <v>0</v>
      </c>
      <c r="U4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1" s="51">
        <f>IFERROR(Table1[[#This Row],[Quantity  to  purchase]]*(Table1[[#This Row],[Cost ]]+Table1[[#This Row],[shipping]]+Table1[[#This Row],[Tax]]),0)</f>
        <v>0</v>
      </c>
      <c r="W461" s="36">
        <f>IFERROR(Table1[[#This Row],[leftover material]]*(Table1[[#This Row],[Cost ]]+Table1[[#This Row],[shipping]]+Table1[[#This Row],[Tax]]),0)</f>
        <v>0</v>
      </c>
      <c r="X461" s="36"/>
      <c r="Y461" s="87"/>
      <c r="Z461" s="87"/>
      <c r="AA461" s="87"/>
      <c r="AB461" s="36"/>
      <c r="AC461" s="36">
        <f>IF(ISNA(VLOOKUP(Table1[[#This Row],[Part Number]],'Multi-level BOM'!V$4:V$449,1,FALSE)),0,Table1[[#This Row],[Remaining Extended cost]])</f>
        <v>0</v>
      </c>
    </row>
    <row r="462" spans="1:29" x14ac:dyDescent="0.25">
      <c r="A462" s="1" t="s">
        <v>465</v>
      </c>
      <c r="B462" s="4"/>
      <c r="F462" s="3">
        <f>9%*Table1[[#This Row],[Cost ]]</f>
        <v>0</v>
      </c>
      <c r="J462" s="49">
        <f>SUMIF('Multi-level BOM'!D$4:D$467,Table1[[#This Row],[Part Number]],'Multi-level BOM'!H$4:H$467)</f>
        <v>0</v>
      </c>
      <c r="K462" s="10">
        <f>Table1[[#This Row],[extended quantity]]*(Table1[[#This Row],[Cost ]]+Table1[[#This Row],[shipping]]+Table1[[#This Row],[Tax]])</f>
        <v>0</v>
      </c>
      <c r="L462" s="83" t="str">
        <f>IF(Table1[[#This Row],[Buy-now costs]]&gt;0,"X","")</f>
        <v/>
      </c>
      <c r="M462" s="83"/>
      <c r="N462" s="83"/>
      <c r="O462" s="40">
        <v>0</v>
      </c>
      <c r="P462" s="97">
        <f>Table1[[#This Row],[quantity on-hand]]*(Table1[[#This Row],[Cost ]]+Table1[[#This Row],[shipping]]+Table1[[#This Row],[Tax]])</f>
        <v>0</v>
      </c>
      <c r="Q462" s="40">
        <v>0</v>
      </c>
      <c r="R462" s="95">
        <f>Table1[[#This Row],[Quantity on order]]*(Table1[[#This Row],[Cost ]]+Table1[[#This Row],[shipping]]+Table1[[#This Row],[Tax]])</f>
        <v>0</v>
      </c>
      <c r="S4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2" s="49">
        <f>Table1[[#This Row],[Quantity  to  purchase]]+Table1[[#This Row],[Quantity purchased]]+Table1[[#This Row],[Quantity on order]]+Table1[[#This Row],[Quantity donated]]-Table1[[#This Row],[extended quantity]]</f>
        <v>0</v>
      </c>
      <c r="U4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2" s="51">
        <f>IFERROR(Table1[[#This Row],[Quantity  to  purchase]]*(Table1[[#This Row],[Cost ]]+Table1[[#This Row],[shipping]]+Table1[[#This Row],[Tax]]),0)</f>
        <v>0</v>
      </c>
      <c r="W462" s="36">
        <f>IFERROR(Table1[[#This Row],[leftover material]]*(Table1[[#This Row],[Cost ]]+Table1[[#This Row],[shipping]]+Table1[[#This Row],[Tax]]),0)</f>
        <v>0</v>
      </c>
      <c r="X462" s="36"/>
      <c r="Y462" s="87"/>
      <c r="Z462" s="87"/>
      <c r="AA462" s="87"/>
      <c r="AB462" s="36"/>
      <c r="AC462" s="36">
        <f>IF(ISNA(VLOOKUP(Table1[[#This Row],[Part Number]],'Multi-level BOM'!V$4:V$449,1,FALSE)),0,Table1[[#This Row],[Remaining Extended cost]])</f>
        <v>0</v>
      </c>
    </row>
    <row r="463" spans="1:29" x14ac:dyDescent="0.25">
      <c r="A463" s="1" t="s">
        <v>466</v>
      </c>
      <c r="B463" s="4"/>
      <c r="F463" s="3">
        <f>9%*Table1[[#This Row],[Cost ]]</f>
        <v>0</v>
      </c>
      <c r="J463" s="49">
        <f>SUMIF('Multi-level BOM'!D$4:D$467,Table1[[#This Row],[Part Number]],'Multi-level BOM'!H$4:H$467)</f>
        <v>0</v>
      </c>
      <c r="K463" s="10">
        <f>Table1[[#This Row],[extended quantity]]*(Table1[[#This Row],[Cost ]]+Table1[[#This Row],[shipping]]+Table1[[#This Row],[Tax]])</f>
        <v>0</v>
      </c>
      <c r="L463" s="83" t="str">
        <f>IF(Table1[[#This Row],[Buy-now costs]]&gt;0,"X","")</f>
        <v/>
      </c>
      <c r="M463" s="83"/>
      <c r="N463" s="83"/>
      <c r="O463" s="40">
        <v>0</v>
      </c>
      <c r="P463" s="97">
        <f>Table1[[#This Row],[quantity on-hand]]*(Table1[[#This Row],[Cost ]]+Table1[[#This Row],[shipping]]+Table1[[#This Row],[Tax]])</f>
        <v>0</v>
      </c>
      <c r="Q463" s="40">
        <v>0</v>
      </c>
      <c r="R463" s="95">
        <f>Table1[[#This Row],[Quantity on order]]*(Table1[[#This Row],[Cost ]]+Table1[[#This Row],[shipping]]+Table1[[#This Row],[Tax]])</f>
        <v>0</v>
      </c>
      <c r="S4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3" s="49">
        <f>Table1[[#This Row],[Quantity  to  purchase]]+Table1[[#This Row],[Quantity purchased]]+Table1[[#This Row],[Quantity on order]]+Table1[[#This Row],[Quantity donated]]-Table1[[#This Row],[extended quantity]]</f>
        <v>0</v>
      </c>
      <c r="U4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3" s="51">
        <f>IFERROR(Table1[[#This Row],[Quantity  to  purchase]]*(Table1[[#This Row],[Cost ]]+Table1[[#This Row],[shipping]]+Table1[[#This Row],[Tax]]),0)</f>
        <v>0</v>
      </c>
      <c r="W463" s="36">
        <f>IFERROR(Table1[[#This Row],[leftover material]]*(Table1[[#This Row],[Cost ]]+Table1[[#This Row],[shipping]]+Table1[[#This Row],[Tax]]),0)</f>
        <v>0</v>
      </c>
      <c r="X463" s="36"/>
      <c r="Y463" s="87"/>
      <c r="Z463" s="87"/>
      <c r="AA463" s="87"/>
      <c r="AB463" s="36"/>
      <c r="AC463" s="36">
        <f>IF(ISNA(VLOOKUP(Table1[[#This Row],[Part Number]],'Multi-level BOM'!V$4:V$449,1,FALSE)),0,Table1[[#This Row],[Remaining Extended cost]])</f>
        <v>0</v>
      </c>
    </row>
    <row r="464" spans="1:29" x14ac:dyDescent="0.25">
      <c r="A464" s="1" t="s">
        <v>467</v>
      </c>
      <c r="B464" s="4"/>
      <c r="F464" s="3">
        <f>9%*Table1[[#This Row],[Cost ]]</f>
        <v>0</v>
      </c>
      <c r="J464" s="49">
        <f>SUMIF('Multi-level BOM'!D$4:D$467,Table1[[#This Row],[Part Number]],'Multi-level BOM'!H$4:H$467)</f>
        <v>0</v>
      </c>
      <c r="K464" s="10">
        <f>Table1[[#This Row],[extended quantity]]*(Table1[[#This Row],[Cost ]]+Table1[[#This Row],[shipping]]+Table1[[#This Row],[Tax]])</f>
        <v>0</v>
      </c>
      <c r="L464" s="83" t="str">
        <f>IF(Table1[[#This Row],[Buy-now costs]]&gt;0,"X","")</f>
        <v/>
      </c>
      <c r="M464" s="83"/>
      <c r="N464" s="83"/>
      <c r="O464" s="40">
        <v>0</v>
      </c>
      <c r="P464" s="97">
        <f>Table1[[#This Row],[quantity on-hand]]*(Table1[[#This Row],[Cost ]]+Table1[[#This Row],[shipping]]+Table1[[#This Row],[Tax]])</f>
        <v>0</v>
      </c>
      <c r="Q464" s="40">
        <v>0</v>
      </c>
      <c r="R464" s="95">
        <f>Table1[[#This Row],[Quantity on order]]*(Table1[[#This Row],[Cost ]]+Table1[[#This Row],[shipping]]+Table1[[#This Row],[Tax]])</f>
        <v>0</v>
      </c>
      <c r="S4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4" s="49">
        <f>Table1[[#This Row],[Quantity  to  purchase]]+Table1[[#This Row],[Quantity purchased]]+Table1[[#This Row],[Quantity on order]]+Table1[[#This Row],[Quantity donated]]-Table1[[#This Row],[extended quantity]]</f>
        <v>0</v>
      </c>
      <c r="U4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4" s="51">
        <f>IFERROR(Table1[[#This Row],[Quantity  to  purchase]]*(Table1[[#This Row],[Cost ]]+Table1[[#This Row],[shipping]]+Table1[[#This Row],[Tax]]),0)</f>
        <v>0</v>
      </c>
      <c r="W464" s="36">
        <f>IFERROR(Table1[[#This Row],[leftover material]]*(Table1[[#This Row],[Cost ]]+Table1[[#This Row],[shipping]]+Table1[[#This Row],[Tax]]),0)</f>
        <v>0</v>
      </c>
      <c r="X464" s="36"/>
      <c r="Y464" s="87"/>
      <c r="Z464" s="87"/>
      <c r="AA464" s="87"/>
      <c r="AB464" s="36"/>
      <c r="AC464" s="36">
        <f>IF(ISNA(VLOOKUP(Table1[[#This Row],[Part Number]],'Multi-level BOM'!V$4:V$449,1,FALSE)),0,Table1[[#This Row],[Remaining Extended cost]])</f>
        <v>0</v>
      </c>
    </row>
    <row r="465" spans="1:29" x14ac:dyDescent="0.25">
      <c r="A465" s="1" t="s">
        <v>468</v>
      </c>
      <c r="B465" s="4"/>
      <c r="F465" s="3">
        <f>9%*Table1[[#This Row],[Cost ]]</f>
        <v>0</v>
      </c>
      <c r="J465" s="49">
        <f>SUMIF('Multi-level BOM'!D$4:D$467,Table1[[#This Row],[Part Number]],'Multi-level BOM'!H$4:H$467)</f>
        <v>0</v>
      </c>
      <c r="K465" s="10">
        <f>Table1[[#This Row],[extended quantity]]*(Table1[[#This Row],[Cost ]]+Table1[[#This Row],[shipping]]+Table1[[#This Row],[Tax]])</f>
        <v>0</v>
      </c>
      <c r="L465" s="83" t="str">
        <f>IF(Table1[[#This Row],[Buy-now costs]]&gt;0,"X","")</f>
        <v/>
      </c>
      <c r="M465" s="83"/>
      <c r="N465" s="83"/>
      <c r="O465" s="40">
        <v>0</v>
      </c>
      <c r="P465" s="97">
        <f>Table1[[#This Row],[quantity on-hand]]*(Table1[[#This Row],[Cost ]]+Table1[[#This Row],[shipping]]+Table1[[#This Row],[Tax]])</f>
        <v>0</v>
      </c>
      <c r="Q465" s="40">
        <v>0</v>
      </c>
      <c r="R465" s="95">
        <f>Table1[[#This Row],[Quantity on order]]*(Table1[[#This Row],[Cost ]]+Table1[[#This Row],[shipping]]+Table1[[#This Row],[Tax]])</f>
        <v>0</v>
      </c>
      <c r="S4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5" s="49">
        <f>Table1[[#This Row],[Quantity  to  purchase]]+Table1[[#This Row],[Quantity purchased]]+Table1[[#This Row],[Quantity on order]]+Table1[[#This Row],[Quantity donated]]-Table1[[#This Row],[extended quantity]]</f>
        <v>0</v>
      </c>
      <c r="U4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5" s="51">
        <f>IFERROR(Table1[[#This Row],[Quantity  to  purchase]]*(Table1[[#This Row],[Cost ]]+Table1[[#This Row],[shipping]]+Table1[[#This Row],[Tax]]),0)</f>
        <v>0</v>
      </c>
      <c r="W465" s="36">
        <f>IFERROR(Table1[[#This Row],[leftover material]]*(Table1[[#This Row],[Cost ]]+Table1[[#This Row],[shipping]]+Table1[[#This Row],[Tax]]),0)</f>
        <v>0</v>
      </c>
      <c r="X465" s="36"/>
      <c r="Y465" s="87"/>
      <c r="Z465" s="87"/>
      <c r="AA465" s="87"/>
      <c r="AB465" s="36"/>
      <c r="AC465" s="36">
        <f>IF(ISNA(VLOOKUP(Table1[[#This Row],[Part Number]],'Multi-level BOM'!V$4:V$449,1,FALSE)),0,Table1[[#This Row],[Remaining Extended cost]])</f>
        <v>0</v>
      </c>
    </row>
    <row r="466" spans="1:29" x14ac:dyDescent="0.25">
      <c r="A466" s="1" t="s">
        <v>469</v>
      </c>
      <c r="B466" s="4"/>
      <c r="F466" s="3">
        <f>9%*Table1[[#This Row],[Cost ]]</f>
        <v>0</v>
      </c>
      <c r="J466" s="49">
        <f>SUMIF('Multi-level BOM'!D$4:D$467,Table1[[#This Row],[Part Number]],'Multi-level BOM'!H$4:H$467)</f>
        <v>0</v>
      </c>
      <c r="K466" s="10">
        <f>Table1[[#This Row],[extended quantity]]*(Table1[[#This Row],[Cost ]]+Table1[[#This Row],[shipping]]+Table1[[#This Row],[Tax]])</f>
        <v>0</v>
      </c>
      <c r="L466" s="83" t="str">
        <f>IF(Table1[[#This Row],[Buy-now costs]]&gt;0,"X","")</f>
        <v/>
      </c>
      <c r="M466" s="83"/>
      <c r="N466" s="83"/>
      <c r="O466" s="40">
        <v>0</v>
      </c>
      <c r="P466" s="97">
        <f>Table1[[#This Row],[quantity on-hand]]*(Table1[[#This Row],[Cost ]]+Table1[[#This Row],[shipping]]+Table1[[#This Row],[Tax]])</f>
        <v>0</v>
      </c>
      <c r="Q466" s="40">
        <v>0</v>
      </c>
      <c r="R466" s="95">
        <f>Table1[[#This Row],[Quantity on order]]*(Table1[[#This Row],[Cost ]]+Table1[[#This Row],[shipping]]+Table1[[#This Row],[Tax]])</f>
        <v>0</v>
      </c>
      <c r="S4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6" s="49">
        <f>Table1[[#This Row],[Quantity  to  purchase]]+Table1[[#This Row],[Quantity purchased]]+Table1[[#This Row],[Quantity on order]]+Table1[[#This Row],[Quantity donated]]-Table1[[#This Row],[extended quantity]]</f>
        <v>0</v>
      </c>
      <c r="U4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6" s="51">
        <f>IFERROR(Table1[[#This Row],[Quantity  to  purchase]]*(Table1[[#This Row],[Cost ]]+Table1[[#This Row],[shipping]]+Table1[[#This Row],[Tax]]),0)</f>
        <v>0</v>
      </c>
      <c r="W466" s="36">
        <f>IFERROR(Table1[[#This Row],[leftover material]]*(Table1[[#This Row],[Cost ]]+Table1[[#This Row],[shipping]]+Table1[[#This Row],[Tax]]),0)</f>
        <v>0</v>
      </c>
      <c r="X466" s="36"/>
      <c r="Y466" s="87"/>
      <c r="Z466" s="87"/>
      <c r="AA466" s="87"/>
      <c r="AB466" s="36"/>
      <c r="AC466" s="36">
        <f>IF(ISNA(VLOOKUP(Table1[[#This Row],[Part Number]],'Multi-level BOM'!V$4:V$449,1,FALSE)),0,Table1[[#This Row],[Remaining Extended cost]])</f>
        <v>0</v>
      </c>
    </row>
    <row r="467" spans="1:29" x14ac:dyDescent="0.25">
      <c r="A467" s="1" t="s">
        <v>470</v>
      </c>
      <c r="B467" s="4"/>
      <c r="F467" s="3">
        <f>9%*Table1[[#This Row],[Cost ]]</f>
        <v>0</v>
      </c>
      <c r="J467" s="49">
        <f>SUMIF('Multi-level BOM'!D$4:D$467,Table1[[#This Row],[Part Number]],'Multi-level BOM'!H$4:H$467)</f>
        <v>0</v>
      </c>
      <c r="K467" s="10">
        <f>Table1[[#This Row],[extended quantity]]*(Table1[[#This Row],[Cost ]]+Table1[[#This Row],[shipping]]+Table1[[#This Row],[Tax]])</f>
        <v>0</v>
      </c>
      <c r="L467" s="83" t="str">
        <f>IF(Table1[[#This Row],[Buy-now costs]]&gt;0,"X","")</f>
        <v/>
      </c>
      <c r="M467" s="83"/>
      <c r="N467" s="83"/>
      <c r="O467" s="40">
        <v>0</v>
      </c>
      <c r="P467" s="97">
        <f>Table1[[#This Row],[quantity on-hand]]*(Table1[[#This Row],[Cost ]]+Table1[[#This Row],[shipping]]+Table1[[#This Row],[Tax]])</f>
        <v>0</v>
      </c>
      <c r="Q467" s="40">
        <v>0</v>
      </c>
      <c r="R467" s="95">
        <f>Table1[[#This Row],[Quantity on order]]*(Table1[[#This Row],[Cost ]]+Table1[[#This Row],[shipping]]+Table1[[#This Row],[Tax]])</f>
        <v>0</v>
      </c>
      <c r="S4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7" s="49">
        <f>Table1[[#This Row],[Quantity  to  purchase]]+Table1[[#This Row],[Quantity purchased]]+Table1[[#This Row],[Quantity on order]]+Table1[[#This Row],[Quantity donated]]-Table1[[#This Row],[extended quantity]]</f>
        <v>0</v>
      </c>
      <c r="U4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7" s="51">
        <f>IFERROR(Table1[[#This Row],[Quantity  to  purchase]]*(Table1[[#This Row],[Cost ]]+Table1[[#This Row],[shipping]]+Table1[[#This Row],[Tax]]),0)</f>
        <v>0</v>
      </c>
      <c r="W467" s="36">
        <f>IFERROR(Table1[[#This Row],[leftover material]]*(Table1[[#This Row],[Cost ]]+Table1[[#This Row],[shipping]]+Table1[[#This Row],[Tax]]),0)</f>
        <v>0</v>
      </c>
      <c r="X467" s="36"/>
      <c r="Y467" s="87"/>
      <c r="Z467" s="87"/>
      <c r="AA467" s="87"/>
      <c r="AB467" s="36"/>
      <c r="AC467" s="36">
        <f>IF(ISNA(VLOOKUP(Table1[[#This Row],[Part Number]],'Multi-level BOM'!V$4:V$449,1,FALSE)),0,Table1[[#This Row],[Remaining Extended cost]])</f>
        <v>0</v>
      </c>
    </row>
    <row r="468" spans="1:29" x14ac:dyDescent="0.25">
      <c r="A468" s="1" t="s">
        <v>471</v>
      </c>
      <c r="B468" s="4"/>
      <c r="F468" s="3">
        <f>9%*Table1[[#This Row],[Cost ]]</f>
        <v>0</v>
      </c>
      <c r="J468" s="49">
        <f>SUMIF('Multi-level BOM'!D$4:D$467,Table1[[#This Row],[Part Number]],'Multi-level BOM'!H$4:H$467)</f>
        <v>0</v>
      </c>
      <c r="K468" s="10">
        <f>Table1[[#This Row],[extended quantity]]*(Table1[[#This Row],[Cost ]]+Table1[[#This Row],[shipping]]+Table1[[#This Row],[Tax]])</f>
        <v>0</v>
      </c>
      <c r="L468" s="83" t="str">
        <f>IF(Table1[[#This Row],[Buy-now costs]]&gt;0,"X","")</f>
        <v/>
      </c>
      <c r="M468" s="83"/>
      <c r="N468" s="83"/>
      <c r="O468" s="40">
        <v>0</v>
      </c>
      <c r="P468" s="97">
        <f>Table1[[#This Row],[quantity on-hand]]*(Table1[[#This Row],[Cost ]]+Table1[[#This Row],[shipping]]+Table1[[#This Row],[Tax]])</f>
        <v>0</v>
      </c>
      <c r="Q468" s="40">
        <v>0</v>
      </c>
      <c r="R468" s="95">
        <f>Table1[[#This Row],[Quantity on order]]*(Table1[[#This Row],[Cost ]]+Table1[[#This Row],[shipping]]+Table1[[#This Row],[Tax]])</f>
        <v>0</v>
      </c>
      <c r="S4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8" s="49">
        <f>Table1[[#This Row],[Quantity  to  purchase]]+Table1[[#This Row],[Quantity purchased]]+Table1[[#This Row],[Quantity on order]]+Table1[[#This Row],[Quantity donated]]-Table1[[#This Row],[extended quantity]]</f>
        <v>0</v>
      </c>
      <c r="U4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8" s="51">
        <f>IFERROR(Table1[[#This Row],[Quantity  to  purchase]]*(Table1[[#This Row],[Cost ]]+Table1[[#This Row],[shipping]]+Table1[[#This Row],[Tax]]),0)</f>
        <v>0</v>
      </c>
      <c r="W468" s="36">
        <f>IFERROR(Table1[[#This Row],[leftover material]]*(Table1[[#This Row],[Cost ]]+Table1[[#This Row],[shipping]]+Table1[[#This Row],[Tax]]),0)</f>
        <v>0</v>
      </c>
      <c r="X468" s="36"/>
      <c r="Y468" s="87"/>
      <c r="Z468" s="87"/>
      <c r="AA468" s="87"/>
      <c r="AB468" s="36"/>
      <c r="AC468" s="36">
        <f>IF(ISNA(VLOOKUP(Table1[[#This Row],[Part Number]],'Multi-level BOM'!V$4:V$449,1,FALSE)),0,Table1[[#This Row],[Remaining Extended cost]])</f>
        <v>0</v>
      </c>
    </row>
    <row r="469" spans="1:29" x14ac:dyDescent="0.25">
      <c r="A469" s="1" t="s">
        <v>472</v>
      </c>
      <c r="B469" s="4"/>
      <c r="F469" s="3">
        <f>9%*Table1[[#This Row],[Cost ]]</f>
        <v>0</v>
      </c>
      <c r="J469" s="49">
        <f>SUMIF('Multi-level BOM'!D$4:D$467,Table1[[#This Row],[Part Number]],'Multi-level BOM'!H$4:H$467)</f>
        <v>0</v>
      </c>
      <c r="K469" s="10">
        <f>Table1[[#This Row],[extended quantity]]*(Table1[[#This Row],[Cost ]]+Table1[[#This Row],[shipping]]+Table1[[#This Row],[Tax]])</f>
        <v>0</v>
      </c>
      <c r="L469" s="83" t="str">
        <f>IF(Table1[[#This Row],[Buy-now costs]]&gt;0,"X","")</f>
        <v/>
      </c>
      <c r="M469" s="83"/>
      <c r="N469" s="83"/>
      <c r="O469" s="40">
        <v>0</v>
      </c>
      <c r="P469" s="97">
        <f>Table1[[#This Row],[quantity on-hand]]*(Table1[[#This Row],[Cost ]]+Table1[[#This Row],[shipping]]+Table1[[#This Row],[Tax]])</f>
        <v>0</v>
      </c>
      <c r="Q469" s="40">
        <v>0</v>
      </c>
      <c r="R469" s="95">
        <f>Table1[[#This Row],[Quantity on order]]*(Table1[[#This Row],[Cost ]]+Table1[[#This Row],[shipping]]+Table1[[#This Row],[Tax]])</f>
        <v>0</v>
      </c>
      <c r="S4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9" s="49">
        <f>Table1[[#This Row],[Quantity  to  purchase]]+Table1[[#This Row],[Quantity purchased]]+Table1[[#This Row],[Quantity on order]]+Table1[[#This Row],[Quantity donated]]-Table1[[#This Row],[extended quantity]]</f>
        <v>0</v>
      </c>
      <c r="U4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9" s="51">
        <f>IFERROR(Table1[[#This Row],[Quantity  to  purchase]]*(Table1[[#This Row],[Cost ]]+Table1[[#This Row],[shipping]]+Table1[[#This Row],[Tax]]),0)</f>
        <v>0</v>
      </c>
      <c r="W469" s="36">
        <f>IFERROR(Table1[[#This Row],[leftover material]]*(Table1[[#This Row],[Cost ]]+Table1[[#This Row],[shipping]]+Table1[[#This Row],[Tax]]),0)</f>
        <v>0</v>
      </c>
      <c r="X469" s="36"/>
      <c r="Y469" s="87"/>
      <c r="Z469" s="87"/>
      <c r="AA469" s="87"/>
      <c r="AB469" s="36"/>
      <c r="AC469" s="36">
        <f>IF(ISNA(VLOOKUP(Table1[[#This Row],[Part Number]],'Multi-level BOM'!V$4:V$449,1,FALSE)),0,Table1[[#This Row],[Remaining Extended cost]])</f>
        <v>0</v>
      </c>
    </row>
    <row r="470" spans="1:29" x14ac:dyDescent="0.25">
      <c r="A470" s="1" t="s">
        <v>473</v>
      </c>
      <c r="B470" s="4"/>
      <c r="F470" s="3">
        <f>9%*Table1[[#This Row],[Cost ]]</f>
        <v>0</v>
      </c>
      <c r="J470" s="49">
        <f>SUMIF('Multi-level BOM'!D$4:D$467,Table1[[#This Row],[Part Number]],'Multi-level BOM'!H$4:H$467)</f>
        <v>0</v>
      </c>
      <c r="K470" s="10">
        <f>Table1[[#This Row],[extended quantity]]*(Table1[[#This Row],[Cost ]]+Table1[[#This Row],[shipping]]+Table1[[#This Row],[Tax]])</f>
        <v>0</v>
      </c>
      <c r="L470" s="83" t="str">
        <f>IF(Table1[[#This Row],[Buy-now costs]]&gt;0,"X","")</f>
        <v/>
      </c>
      <c r="M470" s="83"/>
      <c r="N470" s="83"/>
      <c r="O470" s="40">
        <v>0</v>
      </c>
      <c r="P470" s="97">
        <f>Table1[[#This Row],[quantity on-hand]]*(Table1[[#This Row],[Cost ]]+Table1[[#This Row],[shipping]]+Table1[[#This Row],[Tax]])</f>
        <v>0</v>
      </c>
      <c r="Q470" s="40">
        <v>0</v>
      </c>
      <c r="R470" s="95">
        <f>Table1[[#This Row],[Quantity on order]]*(Table1[[#This Row],[Cost ]]+Table1[[#This Row],[shipping]]+Table1[[#This Row],[Tax]])</f>
        <v>0</v>
      </c>
      <c r="S4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0" s="49">
        <f>Table1[[#This Row],[Quantity  to  purchase]]+Table1[[#This Row],[Quantity purchased]]+Table1[[#This Row],[Quantity on order]]+Table1[[#This Row],[Quantity donated]]-Table1[[#This Row],[extended quantity]]</f>
        <v>0</v>
      </c>
      <c r="U4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0" s="51">
        <f>IFERROR(Table1[[#This Row],[Quantity  to  purchase]]*(Table1[[#This Row],[Cost ]]+Table1[[#This Row],[shipping]]+Table1[[#This Row],[Tax]]),0)</f>
        <v>0</v>
      </c>
      <c r="W470" s="36">
        <f>IFERROR(Table1[[#This Row],[leftover material]]*(Table1[[#This Row],[Cost ]]+Table1[[#This Row],[shipping]]+Table1[[#This Row],[Tax]]),0)</f>
        <v>0</v>
      </c>
      <c r="X470" s="36"/>
      <c r="Y470" s="87"/>
      <c r="Z470" s="87"/>
      <c r="AA470" s="87"/>
      <c r="AB470" s="36"/>
      <c r="AC470" s="36">
        <f>IF(ISNA(VLOOKUP(Table1[[#This Row],[Part Number]],'Multi-level BOM'!V$4:V$449,1,FALSE)),0,Table1[[#This Row],[Remaining Extended cost]])</f>
        <v>0</v>
      </c>
    </row>
    <row r="471" spans="1:29" x14ac:dyDescent="0.25">
      <c r="A471" s="1" t="s">
        <v>474</v>
      </c>
      <c r="B471" s="4"/>
      <c r="F471" s="3">
        <f>9%*Table1[[#This Row],[Cost ]]</f>
        <v>0</v>
      </c>
      <c r="J471" s="49">
        <f>SUMIF('Multi-level BOM'!D$4:D$467,Table1[[#This Row],[Part Number]],'Multi-level BOM'!H$4:H$467)</f>
        <v>0</v>
      </c>
      <c r="K471" s="10">
        <f>Table1[[#This Row],[extended quantity]]*(Table1[[#This Row],[Cost ]]+Table1[[#This Row],[shipping]]+Table1[[#This Row],[Tax]])</f>
        <v>0</v>
      </c>
      <c r="L471" s="83" t="str">
        <f>IF(Table1[[#This Row],[Buy-now costs]]&gt;0,"X","")</f>
        <v/>
      </c>
      <c r="M471" s="83"/>
      <c r="N471" s="83"/>
      <c r="O471" s="40">
        <v>0</v>
      </c>
      <c r="P471" s="97">
        <f>Table1[[#This Row],[quantity on-hand]]*(Table1[[#This Row],[Cost ]]+Table1[[#This Row],[shipping]]+Table1[[#This Row],[Tax]])</f>
        <v>0</v>
      </c>
      <c r="Q471" s="40">
        <v>0</v>
      </c>
      <c r="R471" s="95">
        <f>Table1[[#This Row],[Quantity on order]]*(Table1[[#This Row],[Cost ]]+Table1[[#This Row],[shipping]]+Table1[[#This Row],[Tax]])</f>
        <v>0</v>
      </c>
      <c r="S4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1" s="49">
        <f>Table1[[#This Row],[Quantity  to  purchase]]+Table1[[#This Row],[Quantity purchased]]+Table1[[#This Row],[Quantity on order]]+Table1[[#This Row],[Quantity donated]]-Table1[[#This Row],[extended quantity]]</f>
        <v>0</v>
      </c>
      <c r="U4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1" s="51">
        <f>IFERROR(Table1[[#This Row],[Quantity  to  purchase]]*(Table1[[#This Row],[Cost ]]+Table1[[#This Row],[shipping]]+Table1[[#This Row],[Tax]]),0)</f>
        <v>0</v>
      </c>
      <c r="W471" s="36">
        <f>IFERROR(Table1[[#This Row],[leftover material]]*(Table1[[#This Row],[Cost ]]+Table1[[#This Row],[shipping]]+Table1[[#This Row],[Tax]]),0)</f>
        <v>0</v>
      </c>
      <c r="X471" s="36"/>
      <c r="Y471" s="87"/>
      <c r="Z471" s="87"/>
      <c r="AA471" s="87"/>
      <c r="AB471" s="36"/>
      <c r="AC471" s="36">
        <f>IF(ISNA(VLOOKUP(Table1[[#This Row],[Part Number]],'Multi-level BOM'!V$4:V$449,1,FALSE)),0,Table1[[#This Row],[Remaining Extended cost]])</f>
        <v>0</v>
      </c>
    </row>
    <row r="472" spans="1:29" x14ac:dyDescent="0.25">
      <c r="A472" s="1" t="s">
        <v>475</v>
      </c>
      <c r="B472" s="4"/>
      <c r="F472" s="3">
        <f>9%*Table1[[#This Row],[Cost ]]</f>
        <v>0</v>
      </c>
      <c r="J472" s="49">
        <f>SUMIF('Multi-level BOM'!D$4:D$467,Table1[[#This Row],[Part Number]],'Multi-level BOM'!H$4:H$467)</f>
        <v>0</v>
      </c>
      <c r="K472" s="10">
        <f>Table1[[#This Row],[extended quantity]]*(Table1[[#This Row],[Cost ]]+Table1[[#This Row],[shipping]]+Table1[[#This Row],[Tax]])</f>
        <v>0</v>
      </c>
      <c r="L472" s="83" t="str">
        <f>IF(Table1[[#This Row],[Buy-now costs]]&gt;0,"X","")</f>
        <v/>
      </c>
      <c r="M472" s="83"/>
      <c r="N472" s="83"/>
      <c r="O472" s="40">
        <v>0</v>
      </c>
      <c r="P472" s="97">
        <f>Table1[[#This Row],[quantity on-hand]]*(Table1[[#This Row],[Cost ]]+Table1[[#This Row],[shipping]]+Table1[[#This Row],[Tax]])</f>
        <v>0</v>
      </c>
      <c r="Q472" s="40">
        <v>0</v>
      </c>
      <c r="R472" s="95">
        <f>Table1[[#This Row],[Quantity on order]]*(Table1[[#This Row],[Cost ]]+Table1[[#This Row],[shipping]]+Table1[[#This Row],[Tax]])</f>
        <v>0</v>
      </c>
      <c r="S4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2" s="49">
        <f>Table1[[#This Row],[Quantity  to  purchase]]+Table1[[#This Row],[Quantity purchased]]+Table1[[#This Row],[Quantity on order]]+Table1[[#This Row],[Quantity donated]]-Table1[[#This Row],[extended quantity]]</f>
        <v>0</v>
      </c>
      <c r="U4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2" s="51">
        <f>IFERROR(Table1[[#This Row],[Quantity  to  purchase]]*(Table1[[#This Row],[Cost ]]+Table1[[#This Row],[shipping]]+Table1[[#This Row],[Tax]]),0)</f>
        <v>0</v>
      </c>
      <c r="W472" s="36">
        <f>IFERROR(Table1[[#This Row],[leftover material]]*(Table1[[#This Row],[Cost ]]+Table1[[#This Row],[shipping]]+Table1[[#This Row],[Tax]]),0)</f>
        <v>0</v>
      </c>
      <c r="X472" s="36"/>
      <c r="Y472" s="87"/>
      <c r="Z472" s="87"/>
      <c r="AA472" s="87"/>
      <c r="AB472" s="36"/>
      <c r="AC472" s="36">
        <f>IF(ISNA(VLOOKUP(Table1[[#This Row],[Part Number]],'Multi-level BOM'!V$4:V$449,1,FALSE)),0,Table1[[#This Row],[Remaining Extended cost]])</f>
        <v>0</v>
      </c>
    </row>
    <row r="473" spans="1:29" x14ac:dyDescent="0.25">
      <c r="A473" s="1" t="s">
        <v>476</v>
      </c>
      <c r="B473" s="4"/>
      <c r="F473" s="3">
        <f>9%*Table1[[#This Row],[Cost ]]</f>
        <v>0</v>
      </c>
      <c r="J473" s="49">
        <f>SUMIF('Multi-level BOM'!D$4:D$467,Table1[[#This Row],[Part Number]],'Multi-level BOM'!H$4:H$467)</f>
        <v>0</v>
      </c>
      <c r="K473" s="10">
        <f>Table1[[#This Row],[extended quantity]]*(Table1[[#This Row],[Cost ]]+Table1[[#This Row],[shipping]]+Table1[[#This Row],[Tax]])</f>
        <v>0</v>
      </c>
      <c r="L473" s="83" t="str">
        <f>IF(Table1[[#This Row],[Buy-now costs]]&gt;0,"X","")</f>
        <v/>
      </c>
      <c r="M473" s="83"/>
      <c r="N473" s="83"/>
      <c r="O473" s="40">
        <v>0</v>
      </c>
      <c r="P473" s="97">
        <f>Table1[[#This Row],[quantity on-hand]]*(Table1[[#This Row],[Cost ]]+Table1[[#This Row],[shipping]]+Table1[[#This Row],[Tax]])</f>
        <v>0</v>
      </c>
      <c r="Q473" s="40">
        <v>0</v>
      </c>
      <c r="R473" s="95">
        <f>Table1[[#This Row],[Quantity on order]]*(Table1[[#This Row],[Cost ]]+Table1[[#This Row],[shipping]]+Table1[[#This Row],[Tax]])</f>
        <v>0</v>
      </c>
      <c r="S4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3" s="49">
        <f>Table1[[#This Row],[Quantity  to  purchase]]+Table1[[#This Row],[Quantity purchased]]+Table1[[#This Row],[Quantity on order]]+Table1[[#This Row],[Quantity donated]]-Table1[[#This Row],[extended quantity]]</f>
        <v>0</v>
      </c>
      <c r="U4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3" s="51">
        <f>IFERROR(Table1[[#This Row],[Quantity  to  purchase]]*(Table1[[#This Row],[Cost ]]+Table1[[#This Row],[shipping]]+Table1[[#This Row],[Tax]]),0)</f>
        <v>0</v>
      </c>
      <c r="W473" s="36">
        <f>IFERROR(Table1[[#This Row],[leftover material]]*(Table1[[#This Row],[Cost ]]+Table1[[#This Row],[shipping]]+Table1[[#This Row],[Tax]]),0)</f>
        <v>0</v>
      </c>
      <c r="X473" s="36"/>
      <c r="Y473" s="87"/>
      <c r="Z473" s="87"/>
      <c r="AA473" s="87"/>
      <c r="AB473" s="36"/>
      <c r="AC473" s="36">
        <f>IF(ISNA(VLOOKUP(Table1[[#This Row],[Part Number]],'Multi-level BOM'!V$4:V$449,1,FALSE)),0,Table1[[#This Row],[Remaining Extended cost]])</f>
        <v>0</v>
      </c>
    </row>
    <row r="474" spans="1:29" x14ac:dyDescent="0.25">
      <c r="A474" s="1" t="s">
        <v>477</v>
      </c>
      <c r="B474" s="4"/>
      <c r="F474" s="3">
        <f>9%*Table1[[#This Row],[Cost ]]</f>
        <v>0</v>
      </c>
      <c r="J474" s="49">
        <f>SUMIF('Multi-level BOM'!D$4:D$467,Table1[[#This Row],[Part Number]],'Multi-level BOM'!H$4:H$467)</f>
        <v>0</v>
      </c>
      <c r="K474" s="10">
        <f>Table1[[#This Row],[extended quantity]]*(Table1[[#This Row],[Cost ]]+Table1[[#This Row],[shipping]]+Table1[[#This Row],[Tax]])</f>
        <v>0</v>
      </c>
      <c r="L474" s="83" t="str">
        <f>IF(Table1[[#This Row],[Buy-now costs]]&gt;0,"X","")</f>
        <v/>
      </c>
      <c r="M474" s="83"/>
      <c r="N474" s="83"/>
      <c r="O474" s="40">
        <v>0</v>
      </c>
      <c r="P474" s="97">
        <f>Table1[[#This Row],[quantity on-hand]]*(Table1[[#This Row],[Cost ]]+Table1[[#This Row],[shipping]]+Table1[[#This Row],[Tax]])</f>
        <v>0</v>
      </c>
      <c r="Q474" s="40">
        <v>0</v>
      </c>
      <c r="R474" s="95">
        <f>Table1[[#This Row],[Quantity on order]]*(Table1[[#This Row],[Cost ]]+Table1[[#This Row],[shipping]]+Table1[[#This Row],[Tax]])</f>
        <v>0</v>
      </c>
      <c r="S4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4" s="49">
        <f>Table1[[#This Row],[Quantity  to  purchase]]+Table1[[#This Row],[Quantity purchased]]+Table1[[#This Row],[Quantity on order]]+Table1[[#This Row],[Quantity donated]]-Table1[[#This Row],[extended quantity]]</f>
        <v>0</v>
      </c>
      <c r="U4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4" s="51">
        <f>IFERROR(Table1[[#This Row],[Quantity  to  purchase]]*(Table1[[#This Row],[Cost ]]+Table1[[#This Row],[shipping]]+Table1[[#This Row],[Tax]]),0)</f>
        <v>0</v>
      </c>
      <c r="W474" s="36">
        <f>IFERROR(Table1[[#This Row],[leftover material]]*(Table1[[#This Row],[Cost ]]+Table1[[#This Row],[shipping]]+Table1[[#This Row],[Tax]]),0)</f>
        <v>0</v>
      </c>
      <c r="X474" s="36"/>
      <c r="Y474" s="87"/>
      <c r="Z474" s="87"/>
      <c r="AA474" s="87"/>
      <c r="AB474" s="36"/>
      <c r="AC474" s="36">
        <f>IF(ISNA(VLOOKUP(Table1[[#This Row],[Part Number]],'Multi-level BOM'!V$4:V$449,1,FALSE)),0,Table1[[#This Row],[Remaining Extended cost]])</f>
        <v>0</v>
      </c>
    </row>
    <row r="475" spans="1:29" x14ac:dyDescent="0.25">
      <c r="A475" s="1" t="s">
        <v>478</v>
      </c>
      <c r="B475" s="4"/>
      <c r="F475" s="3">
        <f>9%*Table1[[#This Row],[Cost ]]</f>
        <v>0</v>
      </c>
      <c r="J475" s="49">
        <f>SUMIF('Multi-level BOM'!D$4:D$467,Table1[[#This Row],[Part Number]],'Multi-level BOM'!H$4:H$467)</f>
        <v>0</v>
      </c>
      <c r="K475" s="10">
        <f>Table1[[#This Row],[extended quantity]]*(Table1[[#This Row],[Cost ]]+Table1[[#This Row],[shipping]]+Table1[[#This Row],[Tax]])</f>
        <v>0</v>
      </c>
      <c r="L475" s="83" t="str">
        <f>IF(Table1[[#This Row],[Buy-now costs]]&gt;0,"X","")</f>
        <v/>
      </c>
      <c r="M475" s="83"/>
      <c r="N475" s="83"/>
      <c r="O475" s="40">
        <v>0</v>
      </c>
      <c r="P475" s="97">
        <f>Table1[[#This Row],[quantity on-hand]]*(Table1[[#This Row],[Cost ]]+Table1[[#This Row],[shipping]]+Table1[[#This Row],[Tax]])</f>
        <v>0</v>
      </c>
      <c r="Q475" s="40">
        <v>0</v>
      </c>
      <c r="R475" s="95">
        <f>Table1[[#This Row],[Quantity on order]]*(Table1[[#This Row],[Cost ]]+Table1[[#This Row],[shipping]]+Table1[[#This Row],[Tax]])</f>
        <v>0</v>
      </c>
      <c r="S4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5" s="49">
        <f>Table1[[#This Row],[Quantity  to  purchase]]+Table1[[#This Row],[Quantity purchased]]+Table1[[#This Row],[Quantity on order]]+Table1[[#This Row],[Quantity donated]]-Table1[[#This Row],[extended quantity]]</f>
        <v>0</v>
      </c>
      <c r="U4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5" s="51">
        <f>IFERROR(Table1[[#This Row],[Quantity  to  purchase]]*(Table1[[#This Row],[Cost ]]+Table1[[#This Row],[shipping]]+Table1[[#This Row],[Tax]]),0)</f>
        <v>0</v>
      </c>
      <c r="W475" s="36">
        <f>IFERROR(Table1[[#This Row],[leftover material]]*(Table1[[#This Row],[Cost ]]+Table1[[#This Row],[shipping]]+Table1[[#This Row],[Tax]]),0)</f>
        <v>0</v>
      </c>
      <c r="X475" s="36"/>
      <c r="Y475" s="87"/>
      <c r="Z475" s="87"/>
      <c r="AA475" s="87"/>
      <c r="AB475" s="36"/>
      <c r="AC475" s="36">
        <f>IF(ISNA(VLOOKUP(Table1[[#This Row],[Part Number]],'Multi-level BOM'!V$4:V$449,1,FALSE)),0,Table1[[#This Row],[Remaining Extended cost]])</f>
        <v>0</v>
      </c>
    </row>
    <row r="476" spans="1:29" x14ac:dyDescent="0.25">
      <c r="A476" s="1" t="s">
        <v>479</v>
      </c>
      <c r="B476" s="4"/>
      <c r="F476" s="3">
        <f>9%*Table1[[#This Row],[Cost ]]</f>
        <v>0</v>
      </c>
      <c r="J476" s="49">
        <f>SUMIF('Multi-level BOM'!D$4:D$467,Table1[[#This Row],[Part Number]],'Multi-level BOM'!H$4:H$467)</f>
        <v>0</v>
      </c>
      <c r="K476" s="10">
        <f>Table1[[#This Row],[extended quantity]]*(Table1[[#This Row],[Cost ]]+Table1[[#This Row],[shipping]]+Table1[[#This Row],[Tax]])</f>
        <v>0</v>
      </c>
      <c r="L476" s="83" t="str">
        <f>IF(Table1[[#This Row],[Buy-now costs]]&gt;0,"X","")</f>
        <v/>
      </c>
      <c r="M476" s="83"/>
      <c r="N476" s="83"/>
      <c r="O476" s="40">
        <v>0</v>
      </c>
      <c r="P476" s="97">
        <f>Table1[[#This Row],[quantity on-hand]]*(Table1[[#This Row],[Cost ]]+Table1[[#This Row],[shipping]]+Table1[[#This Row],[Tax]])</f>
        <v>0</v>
      </c>
      <c r="Q476" s="40">
        <v>0</v>
      </c>
      <c r="R476" s="95">
        <f>Table1[[#This Row],[Quantity on order]]*(Table1[[#This Row],[Cost ]]+Table1[[#This Row],[shipping]]+Table1[[#This Row],[Tax]])</f>
        <v>0</v>
      </c>
      <c r="S4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6" s="49">
        <f>Table1[[#This Row],[Quantity  to  purchase]]+Table1[[#This Row],[Quantity purchased]]+Table1[[#This Row],[Quantity on order]]+Table1[[#This Row],[Quantity donated]]-Table1[[#This Row],[extended quantity]]</f>
        <v>0</v>
      </c>
      <c r="U4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6" s="51">
        <f>IFERROR(Table1[[#This Row],[Quantity  to  purchase]]*(Table1[[#This Row],[Cost ]]+Table1[[#This Row],[shipping]]+Table1[[#This Row],[Tax]]),0)</f>
        <v>0</v>
      </c>
      <c r="W476" s="36">
        <f>IFERROR(Table1[[#This Row],[leftover material]]*(Table1[[#This Row],[Cost ]]+Table1[[#This Row],[shipping]]+Table1[[#This Row],[Tax]]),0)</f>
        <v>0</v>
      </c>
      <c r="X476" s="36"/>
      <c r="Y476" s="87"/>
      <c r="Z476" s="87"/>
      <c r="AA476" s="87"/>
      <c r="AB476" s="36"/>
      <c r="AC476" s="36">
        <f>IF(ISNA(VLOOKUP(Table1[[#This Row],[Part Number]],'Multi-level BOM'!V$4:V$449,1,FALSE)),0,Table1[[#This Row],[Remaining Extended cost]])</f>
        <v>0</v>
      </c>
    </row>
    <row r="477" spans="1:29" x14ac:dyDescent="0.25">
      <c r="A477" s="1" t="s">
        <v>480</v>
      </c>
      <c r="B477" s="4"/>
      <c r="F477" s="3">
        <f>9%*Table1[[#This Row],[Cost ]]</f>
        <v>0</v>
      </c>
      <c r="J477" s="49">
        <f>SUMIF('Multi-level BOM'!D$4:D$467,Table1[[#This Row],[Part Number]],'Multi-level BOM'!H$4:H$467)</f>
        <v>0</v>
      </c>
      <c r="K477" s="10">
        <f>Table1[[#This Row],[extended quantity]]*(Table1[[#This Row],[Cost ]]+Table1[[#This Row],[shipping]]+Table1[[#This Row],[Tax]])</f>
        <v>0</v>
      </c>
      <c r="L477" s="83" t="str">
        <f>IF(Table1[[#This Row],[Buy-now costs]]&gt;0,"X","")</f>
        <v/>
      </c>
      <c r="M477" s="83"/>
      <c r="N477" s="83"/>
      <c r="O477" s="40">
        <v>0</v>
      </c>
      <c r="P477" s="97">
        <f>Table1[[#This Row],[quantity on-hand]]*(Table1[[#This Row],[Cost ]]+Table1[[#This Row],[shipping]]+Table1[[#This Row],[Tax]])</f>
        <v>0</v>
      </c>
      <c r="Q477" s="40">
        <v>0</v>
      </c>
      <c r="R477" s="95">
        <f>Table1[[#This Row],[Quantity on order]]*(Table1[[#This Row],[Cost ]]+Table1[[#This Row],[shipping]]+Table1[[#This Row],[Tax]])</f>
        <v>0</v>
      </c>
      <c r="S4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7" s="49">
        <f>Table1[[#This Row],[Quantity  to  purchase]]+Table1[[#This Row],[Quantity purchased]]+Table1[[#This Row],[Quantity on order]]+Table1[[#This Row],[Quantity donated]]-Table1[[#This Row],[extended quantity]]</f>
        <v>0</v>
      </c>
      <c r="U4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7" s="51">
        <f>IFERROR(Table1[[#This Row],[Quantity  to  purchase]]*(Table1[[#This Row],[Cost ]]+Table1[[#This Row],[shipping]]+Table1[[#This Row],[Tax]]),0)</f>
        <v>0</v>
      </c>
      <c r="W477" s="36">
        <f>IFERROR(Table1[[#This Row],[leftover material]]*(Table1[[#This Row],[Cost ]]+Table1[[#This Row],[shipping]]+Table1[[#This Row],[Tax]]),0)</f>
        <v>0</v>
      </c>
      <c r="X477" s="36"/>
      <c r="Y477" s="87"/>
      <c r="Z477" s="87"/>
      <c r="AA477" s="87"/>
      <c r="AB477" s="36"/>
      <c r="AC477" s="36">
        <f>IF(ISNA(VLOOKUP(Table1[[#This Row],[Part Number]],'Multi-level BOM'!V$4:V$449,1,FALSE)),0,Table1[[#This Row],[Remaining Extended cost]])</f>
        <v>0</v>
      </c>
    </row>
    <row r="478" spans="1:29" x14ac:dyDescent="0.25">
      <c r="A478" s="1" t="s">
        <v>481</v>
      </c>
      <c r="B478" s="4"/>
      <c r="F478" s="3">
        <f>9%*Table1[[#This Row],[Cost ]]</f>
        <v>0</v>
      </c>
      <c r="J478" s="49">
        <f>SUMIF('Multi-level BOM'!D$4:D$467,Table1[[#This Row],[Part Number]],'Multi-level BOM'!H$4:H$467)</f>
        <v>0</v>
      </c>
      <c r="K478" s="10">
        <f>Table1[[#This Row],[extended quantity]]*(Table1[[#This Row],[Cost ]]+Table1[[#This Row],[shipping]]+Table1[[#This Row],[Tax]])</f>
        <v>0</v>
      </c>
      <c r="L478" s="83" t="str">
        <f>IF(Table1[[#This Row],[Buy-now costs]]&gt;0,"X","")</f>
        <v/>
      </c>
      <c r="M478" s="83"/>
      <c r="N478" s="83"/>
      <c r="O478" s="40">
        <v>0</v>
      </c>
      <c r="P478" s="97">
        <f>Table1[[#This Row],[quantity on-hand]]*(Table1[[#This Row],[Cost ]]+Table1[[#This Row],[shipping]]+Table1[[#This Row],[Tax]])</f>
        <v>0</v>
      </c>
      <c r="Q478" s="40">
        <v>0</v>
      </c>
      <c r="R478" s="95">
        <f>Table1[[#This Row],[Quantity on order]]*(Table1[[#This Row],[Cost ]]+Table1[[#This Row],[shipping]]+Table1[[#This Row],[Tax]])</f>
        <v>0</v>
      </c>
      <c r="S4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8" s="49">
        <f>Table1[[#This Row],[Quantity  to  purchase]]+Table1[[#This Row],[Quantity purchased]]+Table1[[#This Row],[Quantity on order]]+Table1[[#This Row],[Quantity donated]]-Table1[[#This Row],[extended quantity]]</f>
        <v>0</v>
      </c>
      <c r="U4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8" s="51">
        <f>IFERROR(Table1[[#This Row],[Quantity  to  purchase]]*(Table1[[#This Row],[Cost ]]+Table1[[#This Row],[shipping]]+Table1[[#This Row],[Tax]]),0)</f>
        <v>0</v>
      </c>
      <c r="W478" s="36">
        <f>IFERROR(Table1[[#This Row],[leftover material]]*(Table1[[#This Row],[Cost ]]+Table1[[#This Row],[shipping]]+Table1[[#This Row],[Tax]]),0)</f>
        <v>0</v>
      </c>
      <c r="X478" s="36"/>
      <c r="Y478" s="87"/>
      <c r="Z478" s="87"/>
      <c r="AA478" s="87"/>
      <c r="AB478" s="36"/>
      <c r="AC478" s="36">
        <f>IF(ISNA(VLOOKUP(Table1[[#This Row],[Part Number]],'Multi-level BOM'!V$4:V$449,1,FALSE)),0,Table1[[#This Row],[Remaining Extended cost]])</f>
        <v>0</v>
      </c>
    </row>
    <row r="479" spans="1:29" x14ac:dyDescent="0.25">
      <c r="A479" s="1" t="s">
        <v>482</v>
      </c>
      <c r="B479" s="4"/>
      <c r="F479" s="3">
        <f>9%*Table1[[#This Row],[Cost ]]</f>
        <v>0</v>
      </c>
      <c r="J479" s="49">
        <f>SUMIF('Multi-level BOM'!D$4:D$467,Table1[[#This Row],[Part Number]],'Multi-level BOM'!H$4:H$467)</f>
        <v>0</v>
      </c>
      <c r="K479" s="10">
        <f>Table1[[#This Row],[extended quantity]]*(Table1[[#This Row],[Cost ]]+Table1[[#This Row],[shipping]]+Table1[[#This Row],[Tax]])</f>
        <v>0</v>
      </c>
      <c r="L479" s="83" t="str">
        <f>IF(Table1[[#This Row],[Buy-now costs]]&gt;0,"X","")</f>
        <v/>
      </c>
      <c r="M479" s="83"/>
      <c r="N479" s="83"/>
      <c r="O479" s="40">
        <v>0</v>
      </c>
      <c r="P479" s="97">
        <f>Table1[[#This Row],[quantity on-hand]]*(Table1[[#This Row],[Cost ]]+Table1[[#This Row],[shipping]]+Table1[[#This Row],[Tax]])</f>
        <v>0</v>
      </c>
      <c r="Q479" s="40">
        <v>0</v>
      </c>
      <c r="R479" s="95">
        <f>Table1[[#This Row],[Quantity on order]]*(Table1[[#This Row],[Cost ]]+Table1[[#This Row],[shipping]]+Table1[[#This Row],[Tax]])</f>
        <v>0</v>
      </c>
      <c r="S4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9" s="49">
        <f>Table1[[#This Row],[Quantity  to  purchase]]+Table1[[#This Row],[Quantity purchased]]+Table1[[#This Row],[Quantity on order]]+Table1[[#This Row],[Quantity donated]]-Table1[[#This Row],[extended quantity]]</f>
        <v>0</v>
      </c>
      <c r="U4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9" s="51">
        <f>IFERROR(Table1[[#This Row],[Quantity  to  purchase]]*(Table1[[#This Row],[Cost ]]+Table1[[#This Row],[shipping]]+Table1[[#This Row],[Tax]]),0)</f>
        <v>0</v>
      </c>
      <c r="W479" s="36">
        <f>IFERROR(Table1[[#This Row],[leftover material]]*(Table1[[#This Row],[Cost ]]+Table1[[#This Row],[shipping]]+Table1[[#This Row],[Tax]]),0)</f>
        <v>0</v>
      </c>
      <c r="X479" s="36"/>
      <c r="Y479" s="87"/>
      <c r="Z479" s="87"/>
      <c r="AA479" s="87"/>
      <c r="AB479" s="36"/>
      <c r="AC479" s="36">
        <f>IF(ISNA(VLOOKUP(Table1[[#This Row],[Part Number]],'Multi-level BOM'!V$4:V$449,1,FALSE)),0,Table1[[#This Row],[Remaining Extended cost]])</f>
        <v>0</v>
      </c>
    </row>
    <row r="480" spans="1:29" x14ac:dyDescent="0.25">
      <c r="A480" s="1" t="s">
        <v>483</v>
      </c>
      <c r="B480" s="4"/>
      <c r="F480" s="3">
        <f>9%*Table1[[#This Row],[Cost ]]</f>
        <v>0</v>
      </c>
      <c r="J480" s="49">
        <f>SUMIF('Multi-level BOM'!D$4:D$467,Table1[[#This Row],[Part Number]],'Multi-level BOM'!H$4:H$467)</f>
        <v>0</v>
      </c>
      <c r="K480" s="10">
        <f>Table1[[#This Row],[extended quantity]]*(Table1[[#This Row],[Cost ]]+Table1[[#This Row],[shipping]]+Table1[[#This Row],[Tax]])</f>
        <v>0</v>
      </c>
      <c r="L480" s="83" t="str">
        <f>IF(Table1[[#This Row],[Buy-now costs]]&gt;0,"X","")</f>
        <v/>
      </c>
      <c r="M480" s="83"/>
      <c r="N480" s="83"/>
      <c r="O480" s="40">
        <v>0</v>
      </c>
      <c r="P480" s="97">
        <f>Table1[[#This Row],[quantity on-hand]]*(Table1[[#This Row],[Cost ]]+Table1[[#This Row],[shipping]]+Table1[[#This Row],[Tax]])</f>
        <v>0</v>
      </c>
      <c r="Q480" s="40">
        <v>0</v>
      </c>
      <c r="R480" s="95">
        <f>Table1[[#This Row],[Quantity on order]]*(Table1[[#This Row],[Cost ]]+Table1[[#This Row],[shipping]]+Table1[[#This Row],[Tax]])</f>
        <v>0</v>
      </c>
      <c r="S4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0" s="49">
        <f>Table1[[#This Row],[Quantity  to  purchase]]+Table1[[#This Row],[Quantity purchased]]+Table1[[#This Row],[Quantity on order]]+Table1[[#This Row],[Quantity donated]]-Table1[[#This Row],[extended quantity]]</f>
        <v>0</v>
      </c>
      <c r="U4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0" s="51">
        <f>IFERROR(Table1[[#This Row],[Quantity  to  purchase]]*(Table1[[#This Row],[Cost ]]+Table1[[#This Row],[shipping]]+Table1[[#This Row],[Tax]]),0)</f>
        <v>0</v>
      </c>
      <c r="W480" s="36">
        <f>IFERROR(Table1[[#This Row],[leftover material]]*(Table1[[#This Row],[Cost ]]+Table1[[#This Row],[shipping]]+Table1[[#This Row],[Tax]]),0)</f>
        <v>0</v>
      </c>
      <c r="X480" s="36"/>
      <c r="Y480" s="87"/>
      <c r="Z480" s="87"/>
      <c r="AA480" s="87"/>
      <c r="AB480" s="36"/>
      <c r="AC480" s="36">
        <f>IF(ISNA(VLOOKUP(Table1[[#This Row],[Part Number]],'Multi-level BOM'!V$4:V$449,1,FALSE)),0,Table1[[#This Row],[Remaining Extended cost]])</f>
        <v>0</v>
      </c>
    </row>
    <row r="481" spans="1:29" x14ac:dyDescent="0.25">
      <c r="A481" s="1" t="s">
        <v>484</v>
      </c>
      <c r="B481" s="4"/>
      <c r="F481" s="3">
        <f>9%*Table1[[#This Row],[Cost ]]</f>
        <v>0</v>
      </c>
      <c r="J481" s="49">
        <f>SUMIF('Multi-level BOM'!D$4:D$467,Table1[[#This Row],[Part Number]],'Multi-level BOM'!H$4:H$467)</f>
        <v>0</v>
      </c>
      <c r="K481" s="10">
        <f>Table1[[#This Row],[extended quantity]]*(Table1[[#This Row],[Cost ]]+Table1[[#This Row],[shipping]]+Table1[[#This Row],[Tax]])</f>
        <v>0</v>
      </c>
      <c r="L481" s="83" t="str">
        <f>IF(Table1[[#This Row],[Buy-now costs]]&gt;0,"X","")</f>
        <v/>
      </c>
      <c r="M481" s="83"/>
      <c r="N481" s="83"/>
      <c r="O481" s="40">
        <v>0</v>
      </c>
      <c r="P481" s="97">
        <f>Table1[[#This Row],[quantity on-hand]]*(Table1[[#This Row],[Cost ]]+Table1[[#This Row],[shipping]]+Table1[[#This Row],[Tax]])</f>
        <v>0</v>
      </c>
      <c r="Q481" s="40">
        <v>0</v>
      </c>
      <c r="R481" s="95">
        <f>Table1[[#This Row],[Quantity on order]]*(Table1[[#This Row],[Cost ]]+Table1[[#This Row],[shipping]]+Table1[[#This Row],[Tax]])</f>
        <v>0</v>
      </c>
      <c r="S4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1" s="49">
        <f>Table1[[#This Row],[Quantity  to  purchase]]+Table1[[#This Row],[Quantity purchased]]+Table1[[#This Row],[Quantity on order]]+Table1[[#This Row],[Quantity donated]]-Table1[[#This Row],[extended quantity]]</f>
        <v>0</v>
      </c>
      <c r="U4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1" s="51">
        <f>IFERROR(Table1[[#This Row],[Quantity  to  purchase]]*(Table1[[#This Row],[Cost ]]+Table1[[#This Row],[shipping]]+Table1[[#This Row],[Tax]]),0)</f>
        <v>0</v>
      </c>
      <c r="W481" s="36">
        <f>IFERROR(Table1[[#This Row],[leftover material]]*(Table1[[#This Row],[Cost ]]+Table1[[#This Row],[shipping]]+Table1[[#This Row],[Tax]]),0)</f>
        <v>0</v>
      </c>
      <c r="X481" s="36"/>
      <c r="Y481" s="87"/>
      <c r="Z481" s="87"/>
      <c r="AA481" s="87"/>
      <c r="AB481" s="36"/>
      <c r="AC481" s="36">
        <f>IF(ISNA(VLOOKUP(Table1[[#This Row],[Part Number]],'Multi-level BOM'!V$4:V$449,1,FALSE)),0,Table1[[#This Row],[Remaining Extended cost]])</f>
        <v>0</v>
      </c>
    </row>
    <row r="482" spans="1:29" x14ac:dyDescent="0.25">
      <c r="A482" s="1" t="s">
        <v>485</v>
      </c>
      <c r="B482" s="4"/>
      <c r="F482" s="3">
        <f>9%*Table1[[#This Row],[Cost ]]</f>
        <v>0</v>
      </c>
      <c r="J482" s="49">
        <f>SUMIF('Multi-level BOM'!D$4:D$467,Table1[[#This Row],[Part Number]],'Multi-level BOM'!H$4:H$467)</f>
        <v>0</v>
      </c>
      <c r="K482" s="10">
        <f>Table1[[#This Row],[extended quantity]]*(Table1[[#This Row],[Cost ]]+Table1[[#This Row],[shipping]]+Table1[[#This Row],[Tax]])</f>
        <v>0</v>
      </c>
      <c r="L482" s="83" t="str">
        <f>IF(Table1[[#This Row],[Buy-now costs]]&gt;0,"X","")</f>
        <v/>
      </c>
      <c r="M482" s="83"/>
      <c r="N482" s="83"/>
      <c r="O482" s="40">
        <v>0</v>
      </c>
      <c r="P482" s="97">
        <f>Table1[[#This Row],[quantity on-hand]]*(Table1[[#This Row],[Cost ]]+Table1[[#This Row],[shipping]]+Table1[[#This Row],[Tax]])</f>
        <v>0</v>
      </c>
      <c r="Q482" s="40">
        <v>0</v>
      </c>
      <c r="R482" s="95">
        <f>Table1[[#This Row],[Quantity on order]]*(Table1[[#This Row],[Cost ]]+Table1[[#This Row],[shipping]]+Table1[[#This Row],[Tax]])</f>
        <v>0</v>
      </c>
      <c r="S4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2" s="49">
        <f>Table1[[#This Row],[Quantity  to  purchase]]+Table1[[#This Row],[Quantity purchased]]+Table1[[#This Row],[Quantity on order]]+Table1[[#This Row],[Quantity donated]]-Table1[[#This Row],[extended quantity]]</f>
        <v>0</v>
      </c>
      <c r="U4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2" s="51">
        <f>IFERROR(Table1[[#This Row],[Quantity  to  purchase]]*(Table1[[#This Row],[Cost ]]+Table1[[#This Row],[shipping]]+Table1[[#This Row],[Tax]]),0)</f>
        <v>0</v>
      </c>
      <c r="W482" s="36">
        <f>IFERROR(Table1[[#This Row],[leftover material]]*(Table1[[#This Row],[Cost ]]+Table1[[#This Row],[shipping]]+Table1[[#This Row],[Tax]]),0)</f>
        <v>0</v>
      </c>
      <c r="X482" s="36"/>
      <c r="Y482" s="87"/>
      <c r="Z482" s="87"/>
      <c r="AA482" s="87"/>
      <c r="AB482" s="36"/>
      <c r="AC482" s="36">
        <f>IF(ISNA(VLOOKUP(Table1[[#This Row],[Part Number]],'Multi-level BOM'!V$4:V$449,1,FALSE)),0,Table1[[#This Row],[Remaining Extended cost]])</f>
        <v>0</v>
      </c>
    </row>
    <row r="483" spans="1:29" x14ac:dyDescent="0.25">
      <c r="A483" s="1" t="s">
        <v>486</v>
      </c>
      <c r="B483" s="4"/>
      <c r="F483" s="3">
        <f>9%*Table1[[#This Row],[Cost ]]</f>
        <v>0</v>
      </c>
      <c r="J483" s="49">
        <f>SUMIF('Multi-level BOM'!D$4:D$467,Table1[[#This Row],[Part Number]],'Multi-level BOM'!H$4:H$467)</f>
        <v>0</v>
      </c>
      <c r="K483" s="10">
        <f>Table1[[#This Row],[extended quantity]]*(Table1[[#This Row],[Cost ]]+Table1[[#This Row],[shipping]]+Table1[[#This Row],[Tax]])</f>
        <v>0</v>
      </c>
      <c r="L483" s="83" t="str">
        <f>IF(Table1[[#This Row],[Buy-now costs]]&gt;0,"X","")</f>
        <v/>
      </c>
      <c r="M483" s="83"/>
      <c r="N483" s="83"/>
      <c r="O483" s="40">
        <v>0</v>
      </c>
      <c r="P483" s="97">
        <f>Table1[[#This Row],[quantity on-hand]]*(Table1[[#This Row],[Cost ]]+Table1[[#This Row],[shipping]]+Table1[[#This Row],[Tax]])</f>
        <v>0</v>
      </c>
      <c r="Q483" s="40">
        <v>0</v>
      </c>
      <c r="R483" s="95">
        <f>Table1[[#This Row],[Quantity on order]]*(Table1[[#This Row],[Cost ]]+Table1[[#This Row],[shipping]]+Table1[[#This Row],[Tax]])</f>
        <v>0</v>
      </c>
      <c r="S4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3" s="49">
        <f>Table1[[#This Row],[Quantity  to  purchase]]+Table1[[#This Row],[Quantity purchased]]+Table1[[#This Row],[Quantity on order]]+Table1[[#This Row],[Quantity donated]]-Table1[[#This Row],[extended quantity]]</f>
        <v>0</v>
      </c>
      <c r="U4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3" s="51">
        <f>IFERROR(Table1[[#This Row],[Quantity  to  purchase]]*(Table1[[#This Row],[Cost ]]+Table1[[#This Row],[shipping]]+Table1[[#This Row],[Tax]]),0)</f>
        <v>0</v>
      </c>
      <c r="W483" s="36">
        <f>IFERROR(Table1[[#This Row],[leftover material]]*(Table1[[#This Row],[Cost ]]+Table1[[#This Row],[shipping]]+Table1[[#This Row],[Tax]]),0)</f>
        <v>0</v>
      </c>
      <c r="X483" s="36"/>
      <c r="Y483" s="87"/>
      <c r="Z483" s="87"/>
      <c r="AA483" s="87"/>
      <c r="AB483" s="36"/>
      <c r="AC483" s="36">
        <f>IF(ISNA(VLOOKUP(Table1[[#This Row],[Part Number]],'Multi-level BOM'!V$4:V$449,1,FALSE)),0,Table1[[#This Row],[Remaining Extended cost]])</f>
        <v>0</v>
      </c>
    </row>
    <row r="484" spans="1:29" x14ac:dyDescent="0.25">
      <c r="A484" s="1" t="s">
        <v>487</v>
      </c>
      <c r="B484" s="4"/>
      <c r="F484" s="3">
        <f>9%*Table1[[#This Row],[Cost ]]</f>
        <v>0</v>
      </c>
      <c r="J484" s="49">
        <f>SUMIF('Multi-level BOM'!D$4:D$467,Table1[[#This Row],[Part Number]],'Multi-level BOM'!H$4:H$467)</f>
        <v>0</v>
      </c>
      <c r="K484" s="10">
        <f>Table1[[#This Row],[extended quantity]]*(Table1[[#This Row],[Cost ]]+Table1[[#This Row],[shipping]]+Table1[[#This Row],[Tax]])</f>
        <v>0</v>
      </c>
      <c r="L484" s="83" t="str">
        <f>IF(Table1[[#This Row],[Buy-now costs]]&gt;0,"X","")</f>
        <v/>
      </c>
      <c r="M484" s="83"/>
      <c r="N484" s="83"/>
      <c r="O484" s="40">
        <v>0</v>
      </c>
      <c r="P484" s="97">
        <f>Table1[[#This Row],[quantity on-hand]]*(Table1[[#This Row],[Cost ]]+Table1[[#This Row],[shipping]]+Table1[[#This Row],[Tax]])</f>
        <v>0</v>
      </c>
      <c r="Q484" s="40">
        <v>0</v>
      </c>
      <c r="R484" s="95">
        <f>Table1[[#This Row],[Quantity on order]]*(Table1[[#This Row],[Cost ]]+Table1[[#This Row],[shipping]]+Table1[[#This Row],[Tax]])</f>
        <v>0</v>
      </c>
      <c r="S4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4" s="49">
        <f>Table1[[#This Row],[Quantity  to  purchase]]+Table1[[#This Row],[Quantity purchased]]+Table1[[#This Row],[Quantity on order]]+Table1[[#This Row],[Quantity donated]]-Table1[[#This Row],[extended quantity]]</f>
        <v>0</v>
      </c>
      <c r="U4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4" s="51">
        <f>IFERROR(Table1[[#This Row],[Quantity  to  purchase]]*(Table1[[#This Row],[Cost ]]+Table1[[#This Row],[shipping]]+Table1[[#This Row],[Tax]]),0)</f>
        <v>0</v>
      </c>
      <c r="W484" s="36">
        <f>IFERROR(Table1[[#This Row],[leftover material]]*(Table1[[#This Row],[Cost ]]+Table1[[#This Row],[shipping]]+Table1[[#This Row],[Tax]]),0)</f>
        <v>0</v>
      </c>
      <c r="X484" s="36"/>
      <c r="Y484" s="87"/>
      <c r="Z484" s="87"/>
      <c r="AA484" s="87"/>
      <c r="AB484" s="36"/>
      <c r="AC484" s="36">
        <f>IF(ISNA(VLOOKUP(Table1[[#This Row],[Part Number]],'Multi-level BOM'!V$4:V$449,1,FALSE)),0,Table1[[#This Row],[Remaining Extended cost]])</f>
        <v>0</v>
      </c>
    </row>
    <row r="485" spans="1:29" x14ac:dyDescent="0.25">
      <c r="A485" s="1" t="s">
        <v>488</v>
      </c>
      <c r="B485" s="4"/>
      <c r="F485" s="3">
        <f>9%*Table1[[#This Row],[Cost ]]</f>
        <v>0</v>
      </c>
      <c r="J485" s="49">
        <f>SUMIF('Multi-level BOM'!D$4:D$467,Table1[[#This Row],[Part Number]],'Multi-level BOM'!H$4:H$467)</f>
        <v>0</v>
      </c>
      <c r="K485" s="10">
        <f>Table1[[#This Row],[extended quantity]]*(Table1[[#This Row],[Cost ]]+Table1[[#This Row],[shipping]]+Table1[[#This Row],[Tax]])</f>
        <v>0</v>
      </c>
      <c r="L485" s="83" t="str">
        <f>IF(Table1[[#This Row],[Buy-now costs]]&gt;0,"X","")</f>
        <v/>
      </c>
      <c r="M485" s="83"/>
      <c r="N485" s="83"/>
      <c r="O485" s="40">
        <v>0</v>
      </c>
      <c r="P485" s="97">
        <f>Table1[[#This Row],[quantity on-hand]]*(Table1[[#This Row],[Cost ]]+Table1[[#This Row],[shipping]]+Table1[[#This Row],[Tax]])</f>
        <v>0</v>
      </c>
      <c r="Q485" s="40">
        <v>0</v>
      </c>
      <c r="R485" s="95">
        <f>Table1[[#This Row],[Quantity on order]]*(Table1[[#This Row],[Cost ]]+Table1[[#This Row],[shipping]]+Table1[[#This Row],[Tax]])</f>
        <v>0</v>
      </c>
      <c r="S4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5" s="49">
        <f>Table1[[#This Row],[Quantity  to  purchase]]+Table1[[#This Row],[Quantity purchased]]+Table1[[#This Row],[Quantity on order]]+Table1[[#This Row],[Quantity donated]]-Table1[[#This Row],[extended quantity]]</f>
        <v>0</v>
      </c>
      <c r="U4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5" s="51">
        <f>IFERROR(Table1[[#This Row],[Quantity  to  purchase]]*(Table1[[#This Row],[Cost ]]+Table1[[#This Row],[shipping]]+Table1[[#This Row],[Tax]]),0)</f>
        <v>0</v>
      </c>
      <c r="W485" s="36">
        <f>IFERROR(Table1[[#This Row],[leftover material]]*(Table1[[#This Row],[Cost ]]+Table1[[#This Row],[shipping]]+Table1[[#This Row],[Tax]]),0)</f>
        <v>0</v>
      </c>
      <c r="X485" s="36"/>
      <c r="Y485" s="87"/>
      <c r="Z485" s="87"/>
      <c r="AA485" s="87"/>
      <c r="AB485" s="36"/>
      <c r="AC485" s="36">
        <f>IF(ISNA(VLOOKUP(Table1[[#This Row],[Part Number]],'Multi-level BOM'!V$4:V$449,1,FALSE)),0,Table1[[#This Row],[Remaining Extended cost]])</f>
        <v>0</v>
      </c>
    </row>
    <row r="486" spans="1:29" x14ac:dyDescent="0.25">
      <c r="A486" s="1" t="s">
        <v>489</v>
      </c>
      <c r="B486" s="4"/>
      <c r="F486" s="3">
        <f>9%*Table1[[#This Row],[Cost ]]</f>
        <v>0</v>
      </c>
      <c r="J486" s="49">
        <f>SUMIF('Multi-level BOM'!D$4:D$467,Table1[[#This Row],[Part Number]],'Multi-level BOM'!H$4:H$467)</f>
        <v>0</v>
      </c>
      <c r="K486" s="10">
        <f>Table1[[#This Row],[extended quantity]]*(Table1[[#This Row],[Cost ]]+Table1[[#This Row],[shipping]]+Table1[[#This Row],[Tax]])</f>
        <v>0</v>
      </c>
      <c r="L486" s="83" t="str">
        <f>IF(Table1[[#This Row],[Buy-now costs]]&gt;0,"X","")</f>
        <v/>
      </c>
      <c r="M486" s="83"/>
      <c r="N486" s="83"/>
      <c r="O486" s="40">
        <v>0</v>
      </c>
      <c r="P486" s="97">
        <f>Table1[[#This Row],[quantity on-hand]]*(Table1[[#This Row],[Cost ]]+Table1[[#This Row],[shipping]]+Table1[[#This Row],[Tax]])</f>
        <v>0</v>
      </c>
      <c r="Q486" s="40">
        <v>0</v>
      </c>
      <c r="R486" s="95">
        <f>Table1[[#This Row],[Quantity on order]]*(Table1[[#This Row],[Cost ]]+Table1[[#This Row],[shipping]]+Table1[[#This Row],[Tax]])</f>
        <v>0</v>
      </c>
      <c r="S4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6" s="49">
        <f>Table1[[#This Row],[Quantity  to  purchase]]+Table1[[#This Row],[Quantity purchased]]+Table1[[#This Row],[Quantity on order]]+Table1[[#This Row],[Quantity donated]]-Table1[[#This Row],[extended quantity]]</f>
        <v>0</v>
      </c>
      <c r="U4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6" s="51">
        <f>IFERROR(Table1[[#This Row],[Quantity  to  purchase]]*(Table1[[#This Row],[Cost ]]+Table1[[#This Row],[shipping]]+Table1[[#This Row],[Tax]]),0)</f>
        <v>0</v>
      </c>
      <c r="W486" s="36">
        <f>IFERROR(Table1[[#This Row],[leftover material]]*(Table1[[#This Row],[Cost ]]+Table1[[#This Row],[shipping]]+Table1[[#This Row],[Tax]]),0)</f>
        <v>0</v>
      </c>
      <c r="X486" s="36"/>
      <c r="Y486" s="87"/>
      <c r="Z486" s="87"/>
      <c r="AA486" s="87"/>
      <c r="AB486" s="36"/>
      <c r="AC486" s="36">
        <f>IF(ISNA(VLOOKUP(Table1[[#This Row],[Part Number]],'Multi-level BOM'!V$4:V$449,1,FALSE)),0,Table1[[#This Row],[Remaining Extended cost]])</f>
        <v>0</v>
      </c>
    </row>
    <row r="487" spans="1:29" x14ac:dyDescent="0.25">
      <c r="A487" s="1" t="s">
        <v>490</v>
      </c>
      <c r="B487" s="4"/>
      <c r="F487" s="3">
        <f>9%*Table1[[#This Row],[Cost ]]</f>
        <v>0</v>
      </c>
      <c r="J487" s="49">
        <f>SUMIF('Multi-level BOM'!D$4:D$467,Table1[[#This Row],[Part Number]],'Multi-level BOM'!H$4:H$467)</f>
        <v>0</v>
      </c>
      <c r="K487" s="10">
        <f>Table1[[#This Row],[extended quantity]]*(Table1[[#This Row],[Cost ]]+Table1[[#This Row],[shipping]]+Table1[[#This Row],[Tax]])</f>
        <v>0</v>
      </c>
      <c r="L487" s="83" t="str">
        <f>IF(Table1[[#This Row],[Buy-now costs]]&gt;0,"X","")</f>
        <v/>
      </c>
      <c r="M487" s="83"/>
      <c r="N487" s="83"/>
      <c r="O487" s="40">
        <v>0</v>
      </c>
      <c r="P487" s="97">
        <f>Table1[[#This Row],[quantity on-hand]]*(Table1[[#This Row],[Cost ]]+Table1[[#This Row],[shipping]]+Table1[[#This Row],[Tax]])</f>
        <v>0</v>
      </c>
      <c r="Q487" s="40">
        <v>0</v>
      </c>
      <c r="R487" s="95">
        <f>Table1[[#This Row],[Quantity on order]]*(Table1[[#This Row],[Cost ]]+Table1[[#This Row],[shipping]]+Table1[[#This Row],[Tax]])</f>
        <v>0</v>
      </c>
      <c r="S4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7" s="49">
        <f>Table1[[#This Row],[Quantity  to  purchase]]+Table1[[#This Row],[Quantity purchased]]+Table1[[#This Row],[Quantity on order]]+Table1[[#This Row],[Quantity donated]]-Table1[[#This Row],[extended quantity]]</f>
        <v>0</v>
      </c>
      <c r="U4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7" s="51">
        <f>IFERROR(Table1[[#This Row],[Quantity  to  purchase]]*(Table1[[#This Row],[Cost ]]+Table1[[#This Row],[shipping]]+Table1[[#This Row],[Tax]]),0)</f>
        <v>0</v>
      </c>
      <c r="W487" s="36">
        <f>IFERROR(Table1[[#This Row],[leftover material]]*(Table1[[#This Row],[Cost ]]+Table1[[#This Row],[shipping]]+Table1[[#This Row],[Tax]]),0)</f>
        <v>0</v>
      </c>
      <c r="X487" s="36"/>
      <c r="Y487" s="87"/>
      <c r="Z487" s="87"/>
      <c r="AA487" s="87"/>
      <c r="AB487" s="36"/>
      <c r="AC487" s="36">
        <f>IF(ISNA(VLOOKUP(Table1[[#This Row],[Part Number]],'Multi-level BOM'!V$4:V$449,1,FALSE)),0,Table1[[#This Row],[Remaining Extended cost]])</f>
        <v>0</v>
      </c>
    </row>
    <row r="488" spans="1:29" x14ac:dyDescent="0.25">
      <c r="A488" s="1" t="s">
        <v>491</v>
      </c>
      <c r="B488" s="4"/>
      <c r="F488" s="3">
        <f>9%*Table1[[#This Row],[Cost ]]</f>
        <v>0</v>
      </c>
      <c r="J488" s="49">
        <f>SUMIF('Multi-level BOM'!D$4:D$467,Table1[[#This Row],[Part Number]],'Multi-level BOM'!H$4:H$467)</f>
        <v>0</v>
      </c>
      <c r="K488" s="10">
        <f>Table1[[#This Row],[extended quantity]]*(Table1[[#This Row],[Cost ]]+Table1[[#This Row],[shipping]]+Table1[[#This Row],[Tax]])</f>
        <v>0</v>
      </c>
      <c r="L488" s="83" t="str">
        <f>IF(Table1[[#This Row],[Buy-now costs]]&gt;0,"X","")</f>
        <v/>
      </c>
      <c r="M488" s="83"/>
      <c r="N488" s="83"/>
      <c r="O488" s="40">
        <v>0</v>
      </c>
      <c r="P488" s="97">
        <f>Table1[[#This Row],[quantity on-hand]]*(Table1[[#This Row],[Cost ]]+Table1[[#This Row],[shipping]]+Table1[[#This Row],[Tax]])</f>
        <v>0</v>
      </c>
      <c r="Q488" s="40">
        <v>0</v>
      </c>
      <c r="R488" s="95">
        <f>Table1[[#This Row],[Quantity on order]]*(Table1[[#This Row],[Cost ]]+Table1[[#This Row],[shipping]]+Table1[[#This Row],[Tax]])</f>
        <v>0</v>
      </c>
      <c r="S4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8" s="49">
        <f>Table1[[#This Row],[Quantity  to  purchase]]+Table1[[#This Row],[Quantity purchased]]+Table1[[#This Row],[Quantity on order]]+Table1[[#This Row],[Quantity donated]]-Table1[[#This Row],[extended quantity]]</f>
        <v>0</v>
      </c>
      <c r="U4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8" s="51">
        <f>IFERROR(Table1[[#This Row],[Quantity  to  purchase]]*(Table1[[#This Row],[Cost ]]+Table1[[#This Row],[shipping]]+Table1[[#This Row],[Tax]]),0)</f>
        <v>0</v>
      </c>
      <c r="W488" s="36">
        <f>IFERROR(Table1[[#This Row],[leftover material]]*(Table1[[#This Row],[Cost ]]+Table1[[#This Row],[shipping]]+Table1[[#This Row],[Tax]]),0)</f>
        <v>0</v>
      </c>
      <c r="X488" s="36"/>
      <c r="Y488" s="87"/>
      <c r="Z488" s="87"/>
      <c r="AA488" s="87"/>
      <c r="AB488" s="36"/>
      <c r="AC488" s="36">
        <f>IF(ISNA(VLOOKUP(Table1[[#This Row],[Part Number]],'Multi-level BOM'!V$4:V$449,1,FALSE)),0,Table1[[#This Row],[Remaining Extended cost]])</f>
        <v>0</v>
      </c>
    </row>
    <row r="489" spans="1:29" x14ac:dyDescent="0.25">
      <c r="A489" s="1" t="s">
        <v>492</v>
      </c>
      <c r="B489" s="4"/>
      <c r="F489" s="3">
        <f>9%*Table1[[#This Row],[Cost ]]</f>
        <v>0</v>
      </c>
      <c r="J489" s="49">
        <f>SUMIF('Multi-level BOM'!D$4:D$467,Table1[[#This Row],[Part Number]],'Multi-level BOM'!H$4:H$467)</f>
        <v>0</v>
      </c>
      <c r="K489" s="10">
        <f>Table1[[#This Row],[extended quantity]]*(Table1[[#This Row],[Cost ]]+Table1[[#This Row],[shipping]]+Table1[[#This Row],[Tax]])</f>
        <v>0</v>
      </c>
      <c r="L489" s="83" t="str">
        <f>IF(Table1[[#This Row],[Buy-now costs]]&gt;0,"X","")</f>
        <v/>
      </c>
      <c r="M489" s="83"/>
      <c r="N489" s="83"/>
      <c r="O489" s="40">
        <v>0</v>
      </c>
      <c r="P489" s="97">
        <f>Table1[[#This Row],[quantity on-hand]]*(Table1[[#This Row],[Cost ]]+Table1[[#This Row],[shipping]]+Table1[[#This Row],[Tax]])</f>
        <v>0</v>
      </c>
      <c r="Q489" s="40">
        <v>0</v>
      </c>
      <c r="R489" s="95">
        <f>Table1[[#This Row],[Quantity on order]]*(Table1[[#This Row],[Cost ]]+Table1[[#This Row],[shipping]]+Table1[[#This Row],[Tax]])</f>
        <v>0</v>
      </c>
      <c r="S4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9" s="49">
        <f>Table1[[#This Row],[Quantity  to  purchase]]+Table1[[#This Row],[Quantity purchased]]+Table1[[#This Row],[Quantity on order]]+Table1[[#This Row],[Quantity donated]]-Table1[[#This Row],[extended quantity]]</f>
        <v>0</v>
      </c>
      <c r="U4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9" s="51">
        <f>IFERROR(Table1[[#This Row],[Quantity  to  purchase]]*(Table1[[#This Row],[Cost ]]+Table1[[#This Row],[shipping]]+Table1[[#This Row],[Tax]]),0)</f>
        <v>0</v>
      </c>
      <c r="W489" s="36">
        <f>IFERROR(Table1[[#This Row],[leftover material]]*(Table1[[#This Row],[Cost ]]+Table1[[#This Row],[shipping]]+Table1[[#This Row],[Tax]]),0)</f>
        <v>0</v>
      </c>
      <c r="X489" s="36"/>
      <c r="Y489" s="87"/>
      <c r="Z489" s="87"/>
      <c r="AA489" s="87"/>
      <c r="AB489" s="36"/>
      <c r="AC489" s="36">
        <f>IF(ISNA(VLOOKUP(Table1[[#This Row],[Part Number]],'Multi-level BOM'!V$4:V$449,1,FALSE)),0,Table1[[#This Row],[Remaining Extended cost]])</f>
        <v>0</v>
      </c>
    </row>
    <row r="490" spans="1:29" x14ac:dyDescent="0.25">
      <c r="A490" s="1" t="s">
        <v>493</v>
      </c>
      <c r="B490" s="4"/>
      <c r="F490" s="3">
        <f>9%*Table1[[#This Row],[Cost ]]</f>
        <v>0</v>
      </c>
      <c r="J490" s="49">
        <f>SUMIF('Multi-level BOM'!D$4:D$467,Table1[[#This Row],[Part Number]],'Multi-level BOM'!H$4:H$467)</f>
        <v>0</v>
      </c>
      <c r="K490" s="10">
        <f>Table1[[#This Row],[extended quantity]]*(Table1[[#This Row],[Cost ]]+Table1[[#This Row],[shipping]]+Table1[[#This Row],[Tax]])</f>
        <v>0</v>
      </c>
      <c r="L490" s="83" t="str">
        <f>IF(Table1[[#This Row],[Buy-now costs]]&gt;0,"X","")</f>
        <v/>
      </c>
      <c r="M490" s="83"/>
      <c r="N490" s="83"/>
      <c r="O490" s="40">
        <v>0</v>
      </c>
      <c r="P490" s="97">
        <f>Table1[[#This Row],[quantity on-hand]]*(Table1[[#This Row],[Cost ]]+Table1[[#This Row],[shipping]]+Table1[[#This Row],[Tax]])</f>
        <v>0</v>
      </c>
      <c r="Q490" s="40">
        <v>0</v>
      </c>
      <c r="R490" s="95">
        <f>Table1[[#This Row],[Quantity on order]]*(Table1[[#This Row],[Cost ]]+Table1[[#This Row],[shipping]]+Table1[[#This Row],[Tax]])</f>
        <v>0</v>
      </c>
      <c r="S4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0" s="49">
        <f>Table1[[#This Row],[Quantity  to  purchase]]+Table1[[#This Row],[Quantity purchased]]+Table1[[#This Row],[Quantity on order]]+Table1[[#This Row],[Quantity donated]]-Table1[[#This Row],[extended quantity]]</f>
        <v>0</v>
      </c>
      <c r="U4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0" s="51">
        <f>IFERROR(Table1[[#This Row],[Quantity  to  purchase]]*(Table1[[#This Row],[Cost ]]+Table1[[#This Row],[shipping]]+Table1[[#This Row],[Tax]]),0)</f>
        <v>0</v>
      </c>
      <c r="W490" s="36">
        <f>IFERROR(Table1[[#This Row],[leftover material]]*(Table1[[#This Row],[Cost ]]+Table1[[#This Row],[shipping]]+Table1[[#This Row],[Tax]]),0)</f>
        <v>0</v>
      </c>
      <c r="X490" s="36"/>
      <c r="Y490" s="87"/>
      <c r="Z490" s="87"/>
      <c r="AA490" s="87"/>
      <c r="AB490" s="36"/>
      <c r="AC490" s="36">
        <f>IF(ISNA(VLOOKUP(Table1[[#This Row],[Part Number]],'Multi-level BOM'!V$4:V$449,1,FALSE)),0,Table1[[#This Row],[Remaining Extended cost]])</f>
        <v>0</v>
      </c>
    </row>
    <row r="491" spans="1:29" x14ac:dyDescent="0.25">
      <c r="A491" s="1" t="s">
        <v>494</v>
      </c>
      <c r="B491" s="4"/>
      <c r="F491" s="3">
        <f>9%*Table1[[#This Row],[Cost ]]</f>
        <v>0</v>
      </c>
      <c r="J491" s="49">
        <f>SUMIF('Multi-level BOM'!D$4:D$467,Table1[[#This Row],[Part Number]],'Multi-level BOM'!H$4:H$467)</f>
        <v>0</v>
      </c>
      <c r="K491" s="10">
        <f>Table1[[#This Row],[extended quantity]]*(Table1[[#This Row],[Cost ]]+Table1[[#This Row],[shipping]]+Table1[[#This Row],[Tax]])</f>
        <v>0</v>
      </c>
      <c r="L491" s="83" t="str">
        <f>IF(Table1[[#This Row],[Buy-now costs]]&gt;0,"X","")</f>
        <v/>
      </c>
      <c r="M491" s="83"/>
      <c r="N491" s="83"/>
      <c r="O491" s="40">
        <v>0</v>
      </c>
      <c r="P491" s="97">
        <f>Table1[[#This Row],[quantity on-hand]]*(Table1[[#This Row],[Cost ]]+Table1[[#This Row],[shipping]]+Table1[[#This Row],[Tax]])</f>
        <v>0</v>
      </c>
      <c r="Q491" s="40">
        <v>0</v>
      </c>
      <c r="R491" s="95">
        <f>Table1[[#This Row],[Quantity on order]]*(Table1[[#This Row],[Cost ]]+Table1[[#This Row],[shipping]]+Table1[[#This Row],[Tax]])</f>
        <v>0</v>
      </c>
      <c r="S4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1" s="49">
        <f>Table1[[#This Row],[Quantity  to  purchase]]+Table1[[#This Row],[Quantity purchased]]+Table1[[#This Row],[Quantity on order]]+Table1[[#This Row],[Quantity donated]]-Table1[[#This Row],[extended quantity]]</f>
        <v>0</v>
      </c>
      <c r="U4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1" s="51">
        <f>IFERROR(Table1[[#This Row],[Quantity  to  purchase]]*(Table1[[#This Row],[Cost ]]+Table1[[#This Row],[shipping]]+Table1[[#This Row],[Tax]]),0)</f>
        <v>0</v>
      </c>
      <c r="W491" s="36">
        <f>IFERROR(Table1[[#This Row],[leftover material]]*(Table1[[#This Row],[Cost ]]+Table1[[#This Row],[shipping]]+Table1[[#This Row],[Tax]]),0)</f>
        <v>0</v>
      </c>
      <c r="X491" s="36"/>
      <c r="Y491" s="87"/>
      <c r="Z491" s="87"/>
      <c r="AA491" s="87"/>
      <c r="AB491" s="36"/>
      <c r="AC491" s="36">
        <f>IF(ISNA(VLOOKUP(Table1[[#This Row],[Part Number]],'Multi-level BOM'!V$4:V$449,1,FALSE)),0,Table1[[#This Row],[Remaining Extended cost]])</f>
        <v>0</v>
      </c>
    </row>
    <row r="492" spans="1:29" x14ac:dyDescent="0.25">
      <c r="A492" s="1" t="s">
        <v>495</v>
      </c>
      <c r="B492" s="4"/>
      <c r="F492" s="3">
        <f>9%*Table1[[#This Row],[Cost ]]</f>
        <v>0</v>
      </c>
      <c r="J492" s="49">
        <f>SUMIF('Multi-level BOM'!D$4:D$467,Table1[[#This Row],[Part Number]],'Multi-level BOM'!H$4:H$467)</f>
        <v>0</v>
      </c>
      <c r="K492" s="10">
        <f>Table1[[#This Row],[extended quantity]]*(Table1[[#This Row],[Cost ]]+Table1[[#This Row],[shipping]]+Table1[[#This Row],[Tax]])</f>
        <v>0</v>
      </c>
      <c r="L492" s="83" t="str">
        <f>IF(Table1[[#This Row],[Buy-now costs]]&gt;0,"X","")</f>
        <v/>
      </c>
      <c r="M492" s="83"/>
      <c r="N492" s="83"/>
      <c r="O492" s="40">
        <v>0</v>
      </c>
      <c r="P492" s="97">
        <f>Table1[[#This Row],[quantity on-hand]]*(Table1[[#This Row],[Cost ]]+Table1[[#This Row],[shipping]]+Table1[[#This Row],[Tax]])</f>
        <v>0</v>
      </c>
      <c r="Q492" s="40">
        <v>0</v>
      </c>
      <c r="R492" s="95">
        <f>Table1[[#This Row],[Quantity on order]]*(Table1[[#This Row],[Cost ]]+Table1[[#This Row],[shipping]]+Table1[[#This Row],[Tax]])</f>
        <v>0</v>
      </c>
      <c r="S4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2" s="49">
        <f>Table1[[#This Row],[Quantity  to  purchase]]+Table1[[#This Row],[Quantity purchased]]+Table1[[#This Row],[Quantity on order]]+Table1[[#This Row],[Quantity donated]]-Table1[[#This Row],[extended quantity]]</f>
        <v>0</v>
      </c>
      <c r="U4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2" s="51">
        <f>IFERROR(Table1[[#This Row],[Quantity  to  purchase]]*(Table1[[#This Row],[Cost ]]+Table1[[#This Row],[shipping]]+Table1[[#This Row],[Tax]]),0)</f>
        <v>0</v>
      </c>
      <c r="W492" s="36">
        <f>IFERROR(Table1[[#This Row],[leftover material]]*(Table1[[#This Row],[Cost ]]+Table1[[#This Row],[shipping]]+Table1[[#This Row],[Tax]]),0)</f>
        <v>0</v>
      </c>
      <c r="X492" s="36"/>
      <c r="Y492" s="87"/>
      <c r="Z492" s="87"/>
      <c r="AA492" s="87"/>
      <c r="AB492" s="36"/>
      <c r="AC492" s="36">
        <f>IF(ISNA(VLOOKUP(Table1[[#This Row],[Part Number]],'Multi-level BOM'!V$4:V$449,1,FALSE)),0,Table1[[#This Row],[Remaining Extended cost]])</f>
        <v>0</v>
      </c>
    </row>
    <row r="493" spans="1:29" x14ac:dyDescent="0.25">
      <c r="A493" s="1" t="s">
        <v>496</v>
      </c>
      <c r="B493" s="4"/>
      <c r="F493" s="3">
        <f>9%*Table1[[#This Row],[Cost ]]</f>
        <v>0</v>
      </c>
      <c r="J493" s="49">
        <f>SUMIF('Multi-level BOM'!D$4:D$467,Table1[[#This Row],[Part Number]],'Multi-level BOM'!H$4:H$467)</f>
        <v>0</v>
      </c>
      <c r="K493" s="10">
        <f>Table1[[#This Row],[extended quantity]]*(Table1[[#This Row],[Cost ]]+Table1[[#This Row],[shipping]]+Table1[[#This Row],[Tax]])</f>
        <v>0</v>
      </c>
      <c r="L493" s="83" t="str">
        <f>IF(Table1[[#This Row],[Buy-now costs]]&gt;0,"X","")</f>
        <v/>
      </c>
      <c r="M493" s="83"/>
      <c r="N493" s="83"/>
      <c r="O493" s="40">
        <v>0</v>
      </c>
      <c r="P493" s="97">
        <f>Table1[[#This Row],[quantity on-hand]]*(Table1[[#This Row],[Cost ]]+Table1[[#This Row],[shipping]]+Table1[[#This Row],[Tax]])</f>
        <v>0</v>
      </c>
      <c r="Q493" s="40">
        <v>0</v>
      </c>
      <c r="R493" s="95">
        <f>Table1[[#This Row],[Quantity on order]]*(Table1[[#This Row],[Cost ]]+Table1[[#This Row],[shipping]]+Table1[[#This Row],[Tax]])</f>
        <v>0</v>
      </c>
      <c r="S4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3" s="49">
        <f>Table1[[#This Row],[Quantity  to  purchase]]+Table1[[#This Row],[Quantity purchased]]+Table1[[#This Row],[Quantity on order]]+Table1[[#This Row],[Quantity donated]]-Table1[[#This Row],[extended quantity]]</f>
        <v>0</v>
      </c>
      <c r="U4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3" s="51">
        <f>IFERROR(Table1[[#This Row],[Quantity  to  purchase]]*(Table1[[#This Row],[Cost ]]+Table1[[#This Row],[shipping]]+Table1[[#This Row],[Tax]]),0)</f>
        <v>0</v>
      </c>
      <c r="W493" s="36">
        <f>IFERROR(Table1[[#This Row],[leftover material]]*(Table1[[#This Row],[Cost ]]+Table1[[#This Row],[shipping]]+Table1[[#This Row],[Tax]]),0)</f>
        <v>0</v>
      </c>
      <c r="X493" s="36"/>
      <c r="Y493" s="87"/>
      <c r="Z493" s="87"/>
      <c r="AA493" s="87"/>
      <c r="AB493" s="36"/>
      <c r="AC493" s="36">
        <f>IF(ISNA(VLOOKUP(Table1[[#This Row],[Part Number]],'Multi-level BOM'!V$4:V$449,1,FALSE)),0,Table1[[#This Row],[Remaining Extended cost]])</f>
        <v>0</v>
      </c>
    </row>
    <row r="494" spans="1:29" x14ac:dyDescent="0.25">
      <c r="A494" s="1" t="s">
        <v>497</v>
      </c>
      <c r="B494" s="4"/>
      <c r="F494" s="3">
        <f>9%*Table1[[#This Row],[Cost ]]</f>
        <v>0</v>
      </c>
      <c r="J494" s="49">
        <f>SUMIF('Multi-level BOM'!D$4:D$467,Table1[[#This Row],[Part Number]],'Multi-level BOM'!H$4:H$467)</f>
        <v>0</v>
      </c>
      <c r="K494" s="10">
        <f>Table1[[#This Row],[extended quantity]]*(Table1[[#This Row],[Cost ]]+Table1[[#This Row],[shipping]]+Table1[[#This Row],[Tax]])</f>
        <v>0</v>
      </c>
      <c r="L494" s="83" t="str">
        <f>IF(Table1[[#This Row],[Buy-now costs]]&gt;0,"X","")</f>
        <v/>
      </c>
      <c r="M494" s="83"/>
      <c r="N494" s="83"/>
      <c r="O494" s="40">
        <v>0</v>
      </c>
      <c r="P494" s="97">
        <f>Table1[[#This Row],[quantity on-hand]]*(Table1[[#This Row],[Cost ]]+Table1[[#This Row],[shipping]]+Table1[[#This Row],[Tax]])</f>
        <v>0</v>
      </c>
      <c r="Q494" s="40">
        <v>0</v>
      </c>
      <c r="R494" s="95">
        <f>Table1[[#This Row],[Quantity on order]]*(Table1[[#This Row],[Cost ]]+Table1[[#This Row],[shipping]]+Table1[[#This Row],[Tax]])</f>
        <v>0</v>
      </c>
      <c r="S4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4" s="49">
        <f>Table1[[#This Row],[Quantity  to  purchase]]+Table1[[#This Row],[Quantity purchased]]+Table1[[#This Row],[Quantity on order]]+Table1[[#This Row],[Quantity donated]]-Table1[[#This Row],[extended quantity]]</f>
        <v>0</v>
      </c>
      <c r="U4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4" s="51">
        <f>IFERROR(Table1[[#This Row],[Quantity  to  purchase]]*(Table1[[#This Row],[Cost ]]+Table1[[#This Row],[shipping]]+Table1[[#This Row],[Tax]]),0)</f>
        <v>0</v>
      </c>
      <c r="W494" s="36">
        <f>IFERROR(Table1[[#This Row],[leftover material]]*(Table1[[#This Row],[Cost ]]+Table1[[#This Row],[shipping]]+Table1[[#This Row],[Tax]]),0)</f>
        <v>0</v>
      </c>
      <c r="X494" s="36"/>
      <c r="Y494" s="87"/>
      <c r="Z494" s="87"/>
      <c r="AA494" s="87"/>
      <c r="AB494" s="36"/>
      <c r="AC494" s="36">
        <f>IF(ISNA(VLOOKUP(Table1[[#This Row],[Part Number]],'Multi-level BOM'!V$4:V$449,1,FALSE)),0,Table1[[#This Row],[Remaining Extended cost]])</f>
        <v>0</v>
      </c>
    </row>
    <row r="495" spans="1:29" x14ac:dyDescent="0.25">
      <c r="A495" s="1" t="s">
        <v>498</v>
      </c>
      <c r="B495" s="4"/>
      <c r="F495" s="3">
        <f>9%*Table1[[#This Row],[Cost ]]</f>
        <v>0</v>
      </c>
      <c r="J495" s="49">
        <f>SUMIF('Multi-level BOM'!D$4:D$467,Table1[[#This Row],[Part Number]],'Multi-level BOM'!H$4:H$467)</f>
        <v>0</v>
      </c>
      <c r="K495" s="10">
        <f>Table1[[#This Row],[extended quantity]]*(Table1[[#This Row],[Cost ]]+Table1[[#This Row],[shipping]]+Table1[[#This Row],[Tax]])</f>
        <v>0</v>
      </c>
      <c r="L495" s="83" t="str">
        <f>IF(Table1[[#This Row],[Buy-now costs]]&gt;0,"X","")</f>
        <v/>
      </c>
      <c r="M495" s="83"/>
      <c r="N495" s="83"/>
      <c r="O495" s="40">
        <v>0</v>
      </c>
      <c r="P495" s="97">
        <f>Table1[[#This Row],[quantity on-hand]]*(Table1[[#This Row],[Cost ]]+Table1[[#This Row],[shipping]]+Table1[[#This Row],[Tax]])</f>
        <v>0</v>
      </c>
      <c r="Q495" s="40">
        <v>0</v>
      </c>
      <c r="R495" s="95">
        <f>Table1[[#This Row],[Quantity on order]]*(Table1[[#This Row],[Cost ]]+Table1[[#This Row],[shipping]]+Table1[[#This Row],[Tax]])</f>
        <v>0</v>
      </c>
      <c r="S4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5" s="49">
        <f>Table1[[#This Row],[Quantity  to  purchase]]+Table1[[#This Row],[Quantity purchased]]+Table1[[#This Row],[Quantity on order]]+Table1[[#This Row],[Quantity donated]]-Table1[[#This Row],[extended quantity]]</f>
        <v>0</v>
      </c>
      <c r="U4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5" s="51">
        <f>IFERROR(Table1[[#This Row],[Quantity  to  purchase]]*(Table1[[#This Row],[Cost ]]+Table1[[#This Row],[shipping]]+Table1[[#This Row],[Tax]]),0)</f>
        <v>0</v>
      </c>
      <c r="W495" s="36">
        <f>IFERROR(Table1[[#This Row],[leftover material]]*(Table1[[#This Row],[Cost ]]+Table1[[#This Row],[shipping]]+Table1[[#This Row],[Tax]]),0)</f>
        <v>0</v>
      </c>
      <c r="X495" s="36"/>
      <c r="Y495" s="87"/>
      <c r="Z495" s="87"/>
      <c r="AA495" s="87"/>
      <c r="AB495" s="36"/>
      <c r="AC495" s="36">
        <f>IF(ISNA(VLOOKUP(Table1[[#This Row],[Part Number]],'Multi-level BOM'!V$4:V$449,1,FALSE)),0,Table1[[#This Row],[Remaining Extended cost]])</f>
        <v>0</v>
      </c>
    </row>
    <row r="496" spans="1:29" x14ac:dyDescent="0.25">
      <c r="A496" s="1" t="s">
        <v>499</v>
      </c>
      <c r="B496" s="4"/>
      <c r="F496" s="3">
        <f>9%*Table1[[#This Row],[Cost ]]</f>
        <v>0</v>
      </c>
      <c r="J496" s="49">
        <f>SUMIF('Multi-level BOM'!D$4:D$467,Table1[[#This Row],[Part Number]],'Multi-level BOM'!H$4:H$467)</f>
        <v>0</v>
      </c>
      <c r="K496" s="10">
        <f>Table1[[#This Row],[extended quantity]]*(Table1[[#This Row],[Cost ]]+Table1[[#This Row],[shipping]]+Table1[[#This Row],[Tax]])</f>
        <v>0</v>
      </c>
      <c r="L496" s="83" t="str">
        <f>IF(Table1[[#This Row],[Buy-now costs]]&gt;0,"X","")</f>
        <v/>
      </c>
      <c r="M496" s="83"/>
      <c r="N496" s="83"/>
      <c r="O496" s="40">
        <v>0</v>
      </c>
      <c r="P496" s="97">
        <f>Table1[[#This Row],[quantity on-hand]]*(Table1[[#This Row],[Cost ]]+Table1[[#This Row],[shipping]]+Table1[[#This Row],[Tax]])</f>
        <v>0</v>
      </c>
      <c r="Q496" s="40">
        <v>0</v>
      </c>
      <c r="R496" s="95">
        <f>Table1[[#This Row],[Quantity on order]]*(Table1[[#This Row],[Cost ]]+Table1[[#This Row],[shipping]]+Table1[[#This Row],[Tax]])</f>
        <v>0</v>
      </c>
      <c r="S4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6" s="49">
        <f>Table1[[#This Row],[Quantity  to  purchase]]+Table1[[#This Row],[Quantity purchased]]+Table1[[#This Row],[Quantity on order]]+Table1[[#This Row],[Quantity donated]]-Table1[[#This Row],[extended quantity]]</f>
        <v>0</v>
      </c>
      <c r="U4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6" s="51">
        <f>IFERROR(Table1[[#This Row],[Quantity  to  purchase]]*(Table1[[#This Row],[Cost ]]+Table1[[#This Row],[shipping]]+Table1[[#This Row],[Tax]]),0)</f>
        <v>0</v>
      </c>
      <c r="W496" s="36">
        <f>IFERROR(Table1[[#This Row],[leftover material]]*(Table1[[#This Row],[Cost ]]+Table1[[#This Row],[shipping]]+Table1[[#This Row],[Tax]]),0)</f>
        <v>0</v>
      </c>
      <c r="X496" s="36"/>
      <c r="Y496" s="87"/>
      <c r="Z496" s="87"/>
      <c r="AA496" s="87"/>
      <c r="AB496" s="36"/>
      <c r="AC496" s="36">
        <f>IF(ISNA(VLOOKUP(Table1[[#This Row],[Part Number]],'Multi-level BOM'!V$4:V$449,1,FALSE)),0,Table1[[#This Row],[Remaining Extended cost]])</f>
        <v>0</v>
      </c>
    </row>
    <row r="497" spans="1:29" x14ac:dyDescent="0.25">
      <c r="A497" s="1" t="s">
        <v>500</v>
      </c>
      <c r="B497" s="4"/>
      <c r="F497" s="3">
        <f>9%*Table1[[#This Row],[Cost ]]</f>
        <v>0</v>
      </c>
      <c r="J497" s="49">
        <f>SUMIF('Multi-level BOM'!D$4:D$467,Table1[[#This Row],[Part Number]],'Multi-level BOM'!H$4:H$467)</f>
        <v>0</v>
      </c>
      <c r="K497" s="10">
        <f>Table1[[#This Row],[extended quantity]]*(Table1[[#This Row],[Cost ]]+Table1[[#This Row],[shipping]]+Table1[[#This Row],[Tax]])</f>
        <v>0</v>
      </c>
      <c r="L497" s="83" t="str">
        <f>IF(Table1[[#This Row],[Buy-now costs]]&gt;0,"X","")</f>
        <v/>
      </c>
      <c r="M497" s="83"/>
      <c r="N497" s="83"/>
      <c r="O497" s="40">
        <v>0</v>
      </c>
      <c r="P497" s="97">
        <f>Table1[[#This Row],[quantity on-hand]]*(Table1[[#This Row],[Cost ]]+Table1[[#This Row],[shipping]]+Table1[[#This Row],[Tax]])</f>
        <v>0</v>
      </c>
      <c r="Q497" s="40">
        <v>0</v>
      </c>
      <c r="R497" s="95">
        <f>Table1[[#This Row],[Quantity on order]]*(Table1[[#This Row],[Cost ]]+Table1[[#This Row],[shipping]]+Table1[[#This Row],[Tax]])</f>
        <v>0</v>
      </c>
      <c r="S4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7" s="49">
        <f>Table1[[#This Row],[Quantity  to  purchase]]+Table1[[#This Row],[Quantity purchased]]+Table1[[#This Row],[Quantity on order]]+Table1[[#This Row],[Quantity donated]]-Table1[[#This Row],[extended quantity]]</f>
        <v>0</v>
      </c>
      <c r="U4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7" s="51">
        <f>IFERROR(Table1[[#This Row],[Quantity  to  purchase]]*(Table1[[#This Row],[Cost ]]+Table1[[#This Row],[shipping]]+Table1[[#This Row],[Tax]]),0)</f>
        <v>0</v>
      </c>
      <c r="W497" s="36">
        <f>IFERROR(Table1[[#This Row],[leftover material]]*(Table1[[#This Row],[Cost ]]+Table1[[#This Row],[shipping]]+Table1[[#This Row],[Tax]]),0)</f>
        <v>0</v>
      </c>
      <c r="X497" s="36"/>
      <c r="Y497" s="87"/>
      <c r="Z497" s="87"/>
      <c r="AA497" s="87"/>
      <c r="AB497" s="36"/>
      <c r="AC497" s="36">
        <f>IF(ISNA(VLOOKUP(Table1[[#This Row],[Part Number]],'Multi-level BOM'!V$4:V$449,1,FALSE)),0,Table1[[#This Row],[Remaining Extended cost]])</f>
        <v>0</v>
      </c>
    </row>
    <row r="498" spans="1:29" x14ac:dyDescent="0.25">
      <c r="A498" s="1" t="s">
        <v>501</v>
      </c>
      <c r="B498" s="4"/>
      <c r="F498" s="3">
        <f>9%*Table1[[#This Row],[Cost ]]</f>
        <v>0</v>
      </c>
      <c r="J498" s="49">
        <f>SUMIF('Multi-level BOM'!D$4:D$467,Table1[[#This Row],[Part Number]],'Multi-level BOM'!H$4:H$467)</f>
        <v>0</v>
      </c>
      <c r="K498" s="10">
        <f>Table1[[#This Row],[extended quantity]]*(Table1[[#This Row],[Cost ]]+Table1[[#This Row],[shipping]]+Table1[[#This Row],[Tax]])</f>
        <v>0</v>
      </c>
      <c r="L498" s="83" t="str">
        <f>IF(Table1[[#This Row],[Buy-now costs]]&gt;0,"X","")</f>
        <v/>
      </c>
      <c r="M498" s="83"/>
      <c r="N498" s="83"/>
      <c r="O498" s="40">
        <v>0</v>
      </c>
      <c r="P498" s="97">
        <f>Table1[[#This Row],[quantity on-hand]]*(Table1[[#This Row],[Cost ]]+Table1[[#This Row],[shipping]]+Table1[[#This Row],[Tax]])</f>
        <v>0</v>
      </c>
      <c r="Q498" s="40">
        <v>0</v>
      </c>
      <c r="R498" s="95">
        <f>Table1[[#This Row],[Quantity on order]]*(Table1[[#This Row],[Cost ]]+Table1[[#This Row],[shipping]]+Table1[[#This Row],[Tax]])</f>
        <v>0</v>
      </c>
      <c r="S4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8" s="49">
        <f>Table1[[#This Row],[Quantity  to  purchase]]+Table1[[#This Row],[Quantity purchased]]+Table1[[#This Row],[Quantity on order]]+Table1[[#This Row],[Quantity donated]]-Table1[[#This Row],[extended quantity]]</f>
        <v>0</v>
      </c>
      <c r="U4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8" s="51">
        <f>IFERROR(Table1[[#This Row],[Quantity  to  purchase]]*(Table1[[#This Row],[Cost ]]+Table1[[#This Row],[shipping]]+Table1[[#This Row],[Tax]]),0)</f>
        <v>0</v>
      </c>
      <c r="W498" s="36">
        <f>IFERROR(Table1[[#This Row],[leftover material]]*(Table1[[#This Row],[Cost ]]+Table1[[#This Row],[shipping]]+Table1[[#This Row],[Tax]]),0)</f>
        <v>0</v>
      </c>
      <c r="X498" s="36"/>
      <c r="Y498" s="87"/>
      <c r="Z498" s="87"/>
      <c r="AA498" s="87"/>
      <c r="AB498" s="36"/>
      <c r="AC498" s="36">
        <f>IF(ISNA(VLOOKUP(Table1[[#This Row],[Part Number]],'Multi-level BOM'!V$4:V$449,1,FALSE)),0,Table1[[#This Row],[Remaining Extended cost]])</f>
        <v>0</v>
      </c>
    </row>
    <row r="499" spans="1:29" x14ac:dyDescent="0.25">
      <c r="A499" s="1" t="s">
        <v>502</v>
      </c>
      <c r="B499" s="4"/>
      <c r="F499" s="3">
        <f>9%*Table1[[#This Row],[Cost ]]</f>
        <v>0</v>
      </c>
      <c r="J499" s="49">
        <f>SUMIF('Multi-level BOM'!D$4:D$467,Table1[[#This Row],[Part Number]],'Multi-level BOM'!H$4:H$467)</f>
        <v>0</v>
      </c>
      <c r="K499" s="10">
        <f>Table1[[#This Row],[extended quantity]]*(Table1[[#This Row],[Cost ]]+Table1[[#This Row],[shipping]]+Table1[[#This Row],[Tax]])</f>
        <v>0</v>
      </c>
      <c r="L499" s="83" t="str">
        <f>IF(Table1[[#This Row],[Buy-now costs]]&gt;0,"X","")</f>
        <v/>
      </c>
      <c r="M499" s="83"/>
      <c r="N499" s="83"/>
      <c r="O499" s="40">
        <v>0</v>
      </c>
      <c r="P499" s="97">
        <f>Table1[[#This Row],[quantity on-hand]]*(Table1[[#This Row],[Cost ]]+Table1[[#This Row],[shipping]]+Table1[[#This Row],[Tax]])</f>
        <v>0</v>
      </c>
      <c r="Q499" s="40">
        <v>0</v>
      </c>
      <c r="R499" s="95">
        <f>Table1[[#This Row],[Quantity on order]]*(Table1[[#This Row],[Cost ]]+Table1[[#This Row],[shipping]]+Table1[[#This Row],[Tax]])</f>
        <v>0</v>
      </c>
      <c r="S4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9" s="49">
        <f>Table1[[#This Row],[Quantity  to  purchase]]+Table1[[#This Row],[Quantity purchased]]+Table1[[#This Row],[Quantity on order]]+Table1[[#This Row],[Quantity donated]]-Table1[[#This Row],[extended quantity]]</f>
        <v>0</v>
      </c>
      <c r="U4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9" s="51">
        <f>IFERROR(Table1[[#This Row],[Quantity  to  purchase]]*(Table1[[#This Row],[Cost ]]+Table1[[#This Row],[shipping]]+Table1[[#This Row],[Tax]]),0)</f>
        <v>0</v>
      </c>
      <c r="W499" s="36">
        <f>IFERROR(Table1[[#This Row],[leftover material]]*(Table1[[#This Row],[Cost ]]+Table1[[#This Row],[shipping]]+Table1[[#This Row],[Tax]]),0)</f>
        <v>0</v>
      </c>
      <c r="X499" s="36"/>
      <c r="Y499" s="87"/>
      <c r="Z499" s="87"/>
      <c r="AA499" s="87"/>
      <c r="AB499" s="36"/>
      <c r="AC499" s="36">
        <f>IF(ISNA(VLOOKUP(Table1[[#This Row],[Part Number]],'Multi-level BOM'!V$4:V$449,1,FALSE)),0,Table1[[#This Row],[Remaining Extended cost]])</f>
        <v>0</v>
      </c>
    </row>
    <row r="500" spans="1:29" x14ac:dyDescent="0.25">
      <c r="A500" s="1" t="s">
        <v>503</v>
      </c>
      <c r="B500" s="4"/>
      <c r="F500" s="3">
        <f>9%*Table1[[#This Row],[Cost ]]</f>
        <v>0</v>
      </c>
      <c r="J500" s="49">
        <f>SUMIF('Multi-level BOM'!D$4:D$467,Table1[[#This Row],[Part Number]],'Multi-level BOM'!H$4:H$467)</f>
        <v>0</v>
      </c>
      <c r="K500" s="10">
        <f>Table1[[#This Row],[extended quantity]]*(Table1[[#This Row],[Cost ]]+Table1[[#This Row],[shipping]]+Table1[[#This Row],[Tax]])</f>
        <v>0</v>
      </c>
      <c r="L500" s="83" t="str">
        <f>IF(Table1[[#This Row],[Buy-now costs]]&gt;0,"X","")</f>
        <v/>
      </c>
      <c r="M500" s="83"/>
      <c r="N500" s="83"/>
      <c r="O500" s="40">
        <v>0</v>
      </c>
      <c r="P500" s="97">
        <f>Table1[[#This Row],[quantity on-hand]]*(Table1[[#This Row],[Cost ]]+Table1[[#This Row],[shipping]]+Table1[[#This Row],[Tax]])</f>
        <v>0</v>
      </c>
      <c r="Q500" s="40">
        <v>0</v>
      </c>
      <c r="R500" s="95">
        <f>Table1[[#This Row],[Quantity on order]]*(Table1[[#This Row],[Cost ]]+Table1[[#This Row],[shipping]]+Table1[[#This Row],[Tax]])</f>
        <v>0</v>
      </c>
      <c r="S5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0" s="49">
        <f>Table1[[#This Row],[Quantity  to  purchase]]+Table1[[#This Row],[Quantity purchased]]+Table1[[#This Row],[Quantity on order]]+Table1[[#This Row],[Quantity donated]]-Table1[[#This Row],[extended quantity]]</f>
        <v>0</v>
      </c>
      <c r="U5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0" s="51">
        <f>IFERROR(Table1[[#This Row],[Quantity  to  purchase]]*(Table1[[#This Row],[Cost ]]+Table1[[#This Row],[shipping]]+Table1[[#This Row],[Tax]]),0)</f>
        <v>0</v>
      </c>
      <c r="W500" s="36">
        <f>IFERROR(Table1[[#This Row],[leftover material]]*(Table1[[#This Row],[Cost ]]+Table1[[#This Row],[shipping]]+Table1[[#This Row],[Tax]]),0)</f>
        <v>0</v>
      </c>
      <c r="X500" s="36"/>
      <c r="Y500" s="87"/>
      <c r="Z500" s="87"/>
      <c r="AA500" s="87"/>
      <c r="AB500" s="36"/>
      <c r="AC500" s="36">
        <f>IF(ISNA(VLOOKUP(Table1[[#This Row],[Part Number]],'Multi-level BOM'!V$4:V$449,1,FALSE)),0,Table1[[#This Row],[Remaining Extended cost]])</f>
        <v>0</v>
      </c>
    </row>
    <row r="501" spans="1:29" x14ac:dyDescent="0.25">
      <c r="A501" s="1" t="s">
        <v>504</v>
      </c>
      <c r="B501" s="4"/>
      <c r="F501" s="3">
        <f>9%*Table1[[#This Row],[Cost ]]</f>
        <v>0</v>
      </c>
      <c r="J501" s="49">
        <f>SUMIF('Multi-level BOM'!D$4:D$467,Table1[[#This Row],[Part Number]],'Multi-level BOM'!H$4:H$467)</f>
        <v>0</v>
      </c>
      <c r="K501" s="10">
        <f>Table1[[#This Row],[extended quantity]]*(Table1[[#This Row],[Cost ]]+Table1[[#This Row],[shipping]]+Table1[[#This Row],[Tax]])</f>
        <v>0</v>
      </c>
      <c r="L501" s="83" t="str">
        <f>IF(Table1[[#This Row],[Buy-now costs]]&gt;0,"X","")</f>
        <v/>
      </c>
      <c r="M501" s="83"/>
      <c r="N501" s="83"/>
      <c r="O501" s="40">
        <v>0</v>
      </c>
      <c r="P501" s="97">
        <f>Table1[[#This Row],[quantity on-hand]]*(Table1[[#This Row],[Cost ]]+Table1[[#This Row],[shipping]]+Table1[[#This Row],[Tax]])</f>
        <v>0</v>
      </c>
      <c r="Q501" s="40">
        <v>0</v>
      </c>
      <c r="R501" s="95">
        <f>Table1[[#This Row],[Quantity on order]]*(Table1[[#This Row],[Cost ]]+Table1[[#This Row],[shipping]]+Table1[[#This Row],[Tax]])</f>
        <v>0</v>
      </c>
      <c r="S5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1" s="49">
        <f>Table1[[#This Row],[Quantity  to  purchase]]+Table1[[#This Row],[Quantity purchased]]+Table1[[#This Row],[Quantity on order]]+Table1[[#This Row],[Quantity donated]]-Table1[[#This Row],[extended quantity]]</f>
        <v>0</v>
      </c>
      <c r="U5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1" s="51">
        <f>IFERROR(Table1[[#This Row],[Quantity  to  purchase]]*(Table1[[#This Row],[Cost ]]+Table1[[#This Row],[shipping]]+Table1[[#This Row],[Tax]]),0)</f>
        <v>0</v>
      </c>
      <c r="W501" s="36">
        <f>IFERROR(Table1[[#This Row],[leftover material]]*(Table1[[#This Row],[Cost ]]+Table1[[#This Row],[shipping]]+Table1[[#This Row],[Tax]]),0)</f>
        <v>0</v>
      </c>
      <c r="X501" s="36"/>
      <c r="Y501" s="87"/>
      <c r="Z501" s="87"/>
      <c r="AA501" s="87"/>
      <c r="AB501" s="36"/>
      <c r="AC501" s="36">
        <f>IF(ISNA(VLOOKUP(Table1[[#This Row],[Part Number]],'Multi-level BOM'!V$4:V$449,1,FALSE)),0,Table1[[#This Row],[Remaining Extended cost]])</f>
        <v>0</v>
      </c>
    </row>
    <row r="502" spans="1:29" x14ac:dyDescent="0.25">
      <c r="A502" s="1" t="s">
        <v>505</v>
      </c>
      <c r="B502" s="4"/>
      <c r="F502" s="3">
        <f>9%*Table1[[#This Row],[Cost ]]</f>
        <v>0</v>
      </c>
      <c r="J502" s="49">
        <f>SUMIF('Multi-level BOM'!D$4:D$467,Table1[[#This Row],[Part Number]],'Multi-level BOM'!H$4:H$467)</f>
        <v>0</v>
      </c>
      <c r="K502" s="10">
        <f>Table1[[#This Row],[extended quantity]]*(Table1[[#This Row],[Cost ]]+Table1[[#This Row],[shipping]]+Table1[[#This Row],[Tax]])</f>
        <v>0</v>
      </c>
      <c r="L502" s="83" t="str">
        <f>IF(Table1[[#This Row],[Buy-now costs]]&gt;0,"X","")</f>
        <v/>
      </c>
      <c r="M502" s="83"/>
      <c r="N502" s="83"/>
      <c r="O502" s="40">
        <v>0</v>
      </c>
      <c r="P502" s="97">
        <f>Table1[[#This Row],[quantity on-hand]]*(Table1[[#This Row],[Cost ]]+Table1[[#This Row],[shipping]]+Table1[[#This Row],[Tax]])</f>
        <v>0</v>
      </c>
      <c r="Q502" s="40">
        <v>0</v>
      </c>
      <c r="R502" s="95">
        <f>Table1[[#This Row],[Quantity on order]]*(Table1[[#This Row],[Cost ]]+Table1[[#This Row],[shipping]]+Table1[[#This Row],[Tax]])</f>
        <v>0</v>
      </c>
      <c r="S5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2" s="49">
        <f>Table1[[#This Row],[Quantity  to  purchase]]+Table1[[#This Row],[Quantity purchased]]+Table1[[#This Row],[Quantity on order]]+Table1[[#This Row],[Quantity donated]]-Table1[[#This Row],[extended quantity]]</f>
        <v>0</v>
      </c>
      <c r="U5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2" s="51">
        <f>IFERROR(Table1[[#This Row],[Quantity  to  purchase]]*(Table1[[#This Row],[Cost ]]+Table1[[#This Row],[shipping]]+Table1[[#This Row],[Tax]]),0)</f>
        <v>0</v>
      </c>
      <c r="W502" s="36">
        <f>IFERROR(Table1[[#This Row],[leftover material]]*(Table1[[#This Row],[Cost ]]+Table1[[#This Row],[shipping]]+Table1[[#This Row],[Tax]]),0)</f>
        <v>0</v>
      </c>
      <c r="X502" s="36"/>
      <c r="Y502" s="87"/>
      <c r="Z502" s="87"/>
      <c r="AA502" s="87"/>
      <c r="AB502" s="36"/>
      <c r="AC502" s="36">
        <f>IF(ISNA(VLOOKUP(Table1[[#This Row],[Part Number]],'Multi-level BOM'!V$4:V$449,1,FALSE)),0,Table1[[#This Row],[Remaining Extended cost]])</f>
        <v>0</v>
      </c>
    </row>
    <row r="503" spans="1:29" x14ac:dyDescent="0.25">
      <c r="A503" s="1" t="s">
        <v>506</v>
      </c>
      <c r="B503" s="4"/>
      <c r="F503" s="3">
        <f>9%*Table1[[#This Row],[Cost ]]</f>
        <v>0</v>
      </c>
      <c r="J503" s="49">
        <f>SUMIF('Multi-level BOM'!D$4:D$467,Table1[[#This Row],[Part Number]],'Multi-level BOM'!H$4:H$467)</f>
        <v>0</v>
      </c>
      <c r="K503" s="10">
        <f>Table1[[#This Row],[extended quantity]]*(Table1[[#This Row],[Cost ]]+Table1[[#This Row],[shipping]]+Table1[[#This Row],[Tax]])</f>
        <v>0</v>
      </c>
      <c r="L503" s="83" t="str">
        <f>IF(Table1[[#This Row],[Buy-now costs]]&gt;0,"X","")</f>
        <v/>
      </c>
      <c r="M503" s="83"/>
      <c r="N503" s="83"/>
      <c r="O503" s="40">
        <v>0</v>
      </c>
      <c r="P503" s="97">
        <f>Table1[[#This Row],[quantity on-hand]]*(Table1[[#This Row],[Cost ]]+Table1[[#This Row],[shipping]]+Table1[[#This Row],[Tax]])</f>
        <v>0</v>
      </c>
      <c r="Q503" s="40">
        <v>0</v>
      </c>
      <c r="R503" s="95">
        <f>Table1[[#This Row],[Quantity on order]]*(Table1[[#This Row],[Cost ]]+Table1[[#This Row],[shipping]]+Table1[[#This Row],[Tax]])</f>
        <v>0</v>
      </c>
      <c r="S5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3" s="49">
        <f>Table1[[#This Row],[Quantity  to  purchase]]+Table1[[#This Row],[Quantity purchased]]+Table1[[#This Row],[Quantity on order]]+Table1[[#This Row],[Quantity donated]]-Table1[[#This Row],[extended quantity]]</f>
        <v>0</v>
      </c>
      <c r="U5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3" s="51">
        <f>IFERROR(Table1[[#This Row],[Quantity  to  purchase]]*(Table1[[#This Row],[Cost ]]+Table1[[#This Row],[shipping]]+Table1[[#This Row],[Tax]]),0)</f>
        <v>0</v>
      </c>
      <c r="W503" s="36">
        <f>IFERROR(Table1[[#This Row],[leftover material]]*(Table1[[#This Row],[Cost ]]+Table1[[#This Row],[shipping]]+Table1[[#This Row],[Tax]]),0)</f>
        <v>0</v>
      </c>
      <c r="X503" s="36"/>
      <c r="Y503" s="87"/>
      <c r="Z503" s="87"/>
      <c r="AA503" s="87"/>
      <c r="AB503" s="36"/>
      <c r="AC503" s="36">
        <f>IF(ISNA(VLOOKUP(Table1[[#This Row],[Part Number]],'Multi-level BOM'!V$4:V$449,1,FALSE)),0,Table1[[#This Row],[Remaining Extended cost]])</f>
        <v>0</v>
      </c>
    </row>
    <row r="504" spans="1:29" x14ac:dyDescent="0.25">
      <c r="A504" s="1" t="s">
        <v>507</v>
      </c>
      <c r="B504" s="4"/>
      <c r="F504" s="3">
        <f>9%*Table1[[#This Row],[Cost ]]</f>
        <v>0</v>
      </c>
      <c r="J504" s="49">
        <f>SUMIF('Multi-level BOM'!D$4:D$467,Table1[[#This Row],[Part Number]],'Multi-level BOM'!H$4:H$467)</f>
        <v>0</v>
      </c>
      <c r="K504" s="10">
        <f>Table1[[#This Row],[extended quantity]]*(Table1[[#This Row],[Cost ]]+Table1[[#This Row],[shipping]]+Table1[[#This Row],[Tax]])</f>
        <v>0</v>
      </c>
      <c r="L504" s="83" t="str">
        <f>IF(Table1[[#This Row],[Buy-now costs]]&gt;0,"X","")</f>
        <v/>
      </c>
      <c r="M504" s="83"/>
      <c r="N504" s="83"/>
      <c r="O504" s="40">
        <v>0</v>
      </c>
      <c r="P504" s="97">
        <f>Table1[[#This Row],[quantity on-hand]]*(Table1[[#This Row],[Cost ]]+Table1[[#This Row],[shipping]]+Table1[[#This Row],[Tax]])</f>
        <v>0</v>
      </c>
      <c r="Q504" s="40">
        <v>0</v>
      </c>
      <c r="R504" s="95">
        <f>Table1[[#This Row],[Quantity on order]]*(Table1[[#This Row],[Cost ]]+Table1[[#This Row],[shipping]]+Table1[[#This Row],[Tax]])</f>
        <v>0</v>
      </c>
      <c r="S5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4" s="49">
        <f>Table1[[#This Row],[Quantity  to  purchase]]+Table1[[#This Row],[Quantity purchased]]+Table1[[#This Row],[Quantity on order]]+Table1[[#This Row],[Quantity donated]]-Table1[[#This Row],[extended quantity]]</f>
        <v>0</v>
      </c>
      <c r="U5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4" s="51">
        <f>IFERROR(Table1[[#This Row],[Quantity  to  purchase]]*(Table1[[#This Row],[Cost ]]+Table1[[#This Row],[shipping]]+Table1[[#This Row],[Tax]]),0)</f>
        <v>0</v>
      </c>
      <c r="W504" s="36">
        <f>IFERROR(Table1[[#This Row],[leftover material]]*(Table1[[#This Row],[Cost ]]+Table1[[#This Row],[shipping]]+Table1[[#This Row],[Tax]]),0)</f>
        <v>0</v>
      </c>
      <c r="X504" s="36"/>
      <c r="Y504" s="87"/>
      <c r="Z504" s="87"/>
      <c r="AA504" s="87"/>
      <c r="AB504" s="36"/>
      <c r="AC504" s="36">
        <f>IF(ISNA(VLOOKUP(Table1[[#This Row],[Part Number]],'Multi-level BOM'!V$4:V$449,1,FALSE)),0,Table1[[#This Row],[Remaining Extended cost]])</f>
        <v>0</v>
      </c>
    </row>
    <row r="505" spans="1:29" x14ac:dyDescent="0.25">
      <c r="A505" s="1" t="s">
        <v>508</v>
      </c>
      <c r="B505" s="4"/>
      <c r="F505" s="3">
        <f>9%*Table1[[#This Row],[Cost ]]</f>
        <v>0</v>
      </c>
      <c r="J505" s="49">
        <f>SUMIF('Multi-level BOM'!D$4:D$467,Table1[[#This Row],[Part Number]],'Multi-level BOM'!H$4:H$467)</f>
        <v>0</v>
      </c>
      <c r="K505" s="10">
        <f>Table1[[#This Row],[extended quantity]]*(Table1[[#This Row],[Cost ]]+Table1[[#This Row],[shipping]]+Table1[[#This Row],[Tax]])</f>
        <v>0</v>
      </c>
      <c r="L505" s="83" t="str">
        <f>IF(Table1[[#This Row],[Buy-now costs]]&gt;0,"X","")</f>
        <v/>
      </c>
      <c r="M505" s="83"/>
      <c r="N505" s="83"/>
      <c r="O505" s="40">
        <v>0</v>
      </c>
      <c r="P505" s="97">
        <f>Table1[[#This Row],[quantity on-hand]]*(Table1[[#This Row],[Cost ]]+Table1[[#This Row],[shipping]]+Table1[[#This Row],[Tax]])</f>
        <v>0</v>
      </c>
      <c r="Q505" s="40">
        <v>0</v>
      </c>
      <c r="R505" s="95">
        <f>Table1[[#This Row],[Quantity on order]]*(Table1[[#This Row],[Cost ]]+Table1[[#This Row],[shipping]]+Table1[[#This Row],[Tax]])</f>
        <v>0</v>
      </c>
      <c r="S5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5" s="49">
        <f>Table1[[#This Row],[Quantity  to  purchase]]+Table1[[#This Row],[Quantity purchased]]+Table1[[#This Row],[Quantity on order]]+Table1[[#This Row],[Quantity donated]]-Table1[[#This Row],[extended quantity]]</f>
        <v>0</v>
      </c>
      <c r="U5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5" s="51">
        <f>IFERROR(Table1[[#This Row],[Quantity  to  purchase]]*(Table1[[#This Row],[Cost ]]+Table1[[#This Row],[shipping]]+Table1[[#This Row],[Tax]]),0)</f>
        <v>0</v>
      </c>
      <c r="W505" s="36">
        <f>IFERROR(Table1[[#This Row],[leftover material]]*(Table1[[#This Row],[Cost ]]+Table1[[#This Row],[shipping]]+Table1[[#This Row],[Tax]]),0)</f>
        <v>0</v>
      </c>
      <c r="X505" s="36"/>
      <c r="Y505" s="87"/>
      <c r="Z505" s="87"/>
      <c r="AA505" s="87"/>
      <c r="AB505" s="36"/>
      <c r="AC505" s="36">
        <f>IF(ISNA(VLOOKUP(Table1[[#This Row],[Part Number]],'Multi-level BOM'!V$4:V$449,1,FALSE)),0,Table1[[#This Row],[Remaining Extended cost]])</f>
        <v>0</v>
      </c>
    </row>
    <row r="506" spans="1:29" x14ac:dyDescent="0.25">
      <c r="A506" s="1" t="s">
        <v>509</v>
      </c>
      <c r="B506" s="4"/>
      <c r="F506" s="3">
        <f>9%*Table1[[#This Row],[Cost ]]</f>
        <v>0</v>
      </c>
      <c r="J506" s="49">
        <f>SUMIF('Multi-level BOM'!D$4:D$467,Table1[[#This Row],[Part Number]],'Multi-level BOM'!H$4:H$467)</f>
        <v>0</v>
      </c>
      <c r="K506" s="10">
        <f>Table1[[#This Row],[extended quantity]]*(Table1[[#This Row],[Cost ]]+Table1[[#This Row],[shipping]]+Table1[[#This Row],[Tax]])</f>
        <v>0</v>
      </c>
      <c r="L506" s="83" t="str">
        <f>IF(Table1[[#This Row],[Buy-now costs]]&gt;0,"X","")</f>
        <v/>
      </c>
      <c r="M506" s="83"/>
      <c r="N506" s="83"/>
      <c r="O506" s="40">
        <v>0</v>
      </c>
      <c r="P506" s="97">
        <f>Table1[[#This Row],[quantity on-hand]]*(Table1[[#This Row],[Cost ]]+Table1[[#This Row],[shipping]]+Table1[[#This Row],[Tax]])</f>
        <v>0</v>
      </c>
      <c r="Q506" s="40">
        <v>0</v>
      </c>
      <c r="R506" s="95">
        <f>Table1[[#This Row],[Quantity on order]]*(Table1[[#This Row],[Cost ]]+Table1[[#This Row],[shipping]]+Table1[[#This Row],[Tax]])</f>
        <v>0</v>
      </c>
      <c r="S5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6" s="49">
        <f>Table1[[#This Row],[Quantity  to  purchase]]+Table1[[#This Row],[Quantity purchased]]+Table1[[#This Row],[Quantity on order]]+Table1[[#This Row],[Quantity donated]]-Table1[[#This Row],[extended quantity]]</f>
        <v>0</v>
      </c>
      <c r="U5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6" s="51">
        <f>IFERROR(Table1[[#This Row],[Quantity  to  purchase]]*(Table1[[#This Row],[Cost ]]+Table1[[#This Row],[shipping]]+Table1[[#This Row],[Tax]]),0)</f>
        <v>0</v>
      </c>
      <c r="W506" s="36">
        <f>IFERROR(Table1[[#This Row],[leftover material]]*(Table1[[#This Row],[Cost ]]+Table1[[#This Row],[shipping]]+Table1[[#This Row],[Tax]]),0)</f>
        <v>0</v>
      </c>
      <c r="X506" s="36"/>
      <c r="Y506" s="87"/>
      <c r="Z506" s="87"/>
      <c r="AA506" s="87"/>
      <c r="AB506" s="36"/>
      <c r="AC506" s="36">
        <f>IF(ISNA(VLOOKUP(Table1[[#This Row],[Part Number]],'Multi-level BOM'!V$4:V$449,1,FALSE)),0,Table1[[#This Row],[Remaining Extended cost]])</f>
        <v>0</v>
      </c>
    </row>
    <row r="507" spans="1:29" x14ac:dyDescent="0.25">
      <c r="A507" s="1" t="s">
        <v>510</v>
      </c>
      <c r="B507" s="4"/>
      <c r="F507" s="3">
        <f>9%*Table1[[#This Row],[Cost ]]</f>
        <v>0</v>
      </c>
      <c r="J507" s="49">
        <f>SUMIF('Multi-level BOM'!D$4:D$467,Table1[[#This Row],[Part Number]],'Multi-level BOM'!H$4:H$467)</f>
        <v>0</v>
      </c>
      <c r="K507" s="10">
        <f>Table1[[#This Row],[extended quantity]]*(Table1[[#This Row],[Cost ]]+Table1[[#This Row],[shipping]]+Table1[[#This Row],[Tax]])</f>
        <v>0</v>
      </c>
      <c r="L507" s="83" t="str">
        <f>IF(Table1[[#This Row],[Buy-now costs]]&gt;0,"X","")</f>
        <v/>
      </c>
      <c r="M507" s="83"/>
      <c r="N507" s="83"/>
      <c r="O507" s="40">
        <v>0</v>
      </c>
      <c r="P507" s="97">
        <f>Table1[[#This Row],[quantity on-hand]]*(Table1[[#This Row],[Cost ]]+Table1[[#This Row],[shipping]]+Table1[[#This Row],[Tax]])</f>
        <v>0</v>
      </c>
      <c r="Q507" s="40">
        <v>0</v>
      </c>
      <c r="R507" s="95">
        <f>Table1[[#This Row],[Quantity on order]]*(Table1[[#This Row],[Cost ]]+Table1[[#This Row],[shipping]]+Table1[[#This Row],[Tax]])</f>
        <v>0</v>
      </c>
      <c r="S5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7" s="49">
        <f>Table1[[#This Row],[Quantity  to  purchase]]+Table1[[#This Row],[Quantity purchased]]+Table1[[#This Row],[Quantity on order]]+Table1[[#This Row],[Quantity donated]]-Table1[[#This Row],[extended quantity]]</f>
        <v>0</v>
      </c>
      <c r="U5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7" s="51">
        <f>IFERROR(Table1[[#This Row],[Quantity  to  purchase]]*(Table1[[#This Row],[Cost ]]+Table1[[#This Row],[shipping]]+Table1[[#This Row],[Tax]]),0)</f>
        <v>0</v>
      </c>
      <c r="W507" s="36">
        <f>IFERROR(Table1[[#This Row],[leftover material]]*(Table1[[#This Row],[Cost ]]+Table1[[#This Row],[shipping]]+Table1[[#This Row],[Tax]]),0)</f>
        <v>0</v>
      </c>
      <c r="X507" s="36"/>
      <c r="Y507" s="87"/>
      <c r="Z507" s="87"/>
      <c r="AA507" s="87"/>
      <c r="AB507" s="36"/>
      <c r="AC507" s="36">
        <f>IF(ISNA(VLOOKUP(Table1[[#This Row],[Part Number]],'Multi-level BOM'!V$4:V$449,1,FALSE)),0,Table1[[#This Row],[Remaining Extended cost]])</f>
        <v>0</v>
      </c>
    </row>
    <row r="508" spans="1:29" x14ac:dyDescent="0.25">
      <c r="A508" s="1" t="s">
        <v>511</v>
      </c>
      <c r="B508" s="4"/>
      <c r="F508" s="3">
        <f>9%*Table1[[#This Row],[Cost ]]</f>
        <v>0</v>
      </c>
      <c r="J508" s="49">
        <f>SUMIF('Multi-level BOM'!D$4:D$467,Table1[[#This Row],[Part Number]],'Multi-level BOM'!H$4:H$467)</f>
        <v>0</v>
      </c>
      <c r="K508" s="10">
        <f>Table1[[#This Row],[extended quantity]]*(Table1[[#This Row],[Cost ]]+Table1[[#This Row],[shipping]]+Table1[[#This Row],[Tax]])</f>
        <v>0</v>
      </c>
      <c r="L508" s="83" t="str">
        <f>IF(Table1[[#This Row],[Buy-now costs]]&gt;0,"X","")</f>
        <v/>
      </c>
      <c r="M508" s="83"/>
      <c r="N508" s="83"/>
      <c r="O508" s="40">
        <v>0</v>
      </c>
      <c r="P508" s="97">
        <f>Table1[[#This Row],[quantity on-hand]]*(Table1[[#This Row],[Cost ]]+Table1[[#This Row],[shipping]]+Table1[[#This Row],[Tax]])</f>
        <v>0</v>
      </c>
      <c r="Q508" s="40">
        <v>0</v>
      </c>
      <c r="R508" s="95">
        <f>Table1[[#This Row],[Quantity on order]]*(Table1[[#This Row],[Cost ]]+Table1[[#This Row],[shipping]]+Table1[[#This Row],[Tax]])</f>
        <v>0</v>
      </c>
      <c r="S5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8" s="49">
        <f>Table1[[#This Row],[Quantity  to  purchase]]+Table1[[#This Row],[Quantity purchased]]+Table1[[#This Row],[Quantity on order]]+Table1[[#This Row],[Quantity donated]]-Table1[[#This Row],[extended quantity]]</f>
        <v>0</v>
      </c>
      <c r="U5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8" s="51">
        <f>IFERROR(Table1[[#This Row],[Quantity  to  purchase]]*(Table1[[#This Row],[Cost ]]+Table1[[#This Row],[shipping]]+Table1[[#This Row],[Tax]]),0)</f>
        <v>0</v>
      </c>
      <c r="W508" s="36">
        <f>IFERROR(Table1[[#This Row],[leftover material]]*(Table1[[#This Row],[Cost ]]+Table1[[#This Row],[shipping]]+Table1[[#This Row],[Tax]]),0)</f>
        <v>0</v>
      </c>
      <c r="X508" s="36"/>
      <c r="Y508" s="87"/>
      <c r="Z508" s="87"/>
      <c r="AA508" s="87"/>
      <c r="AB508" s="36"/>
      <c r="AC508" s="36">
        <f>IF(ISNA(VLOOKUP(Table1[[#This Row],[Part Number]],'Multi-level BOM'!V$4:V$449,1,FALSE)),0,Table1[[#This Row],[Remaining Extended cost]])</f>
        <v>0</v>
      </c>
    </row>
    <row r="509" spans="1:29" x14ac:dyDescent="0.25">
      <c r="A509" s="1" t="s">
        <v>512</v>
      </c>
      <c r="B509" s="4"/>
      <c r="F509" s="3">
        <f>9%*Table1[[#This Row],[Cost ]]</f>
        <v>0</v>
      </c>
      <c r="J509" s="49">
        <f>SUMIF('Multi-level BOM'!D$4:D$467,Table1[[#This Row],[Part Number]],'Multi-level BOM'!H$4:H$467)</f>
        <v>0</v>
      </c>
      <c r="K509" s="10">
        <f>Table1[[#This Row],[extended quantity]]*(Table1[[#This Row],[Cost ]]+Table1[[#This Row],[shipping]]+Table1[[#This Row],[Tax]])</f>
        <v>0</v>
      </c>
      <c r="L509" s="83" t="str">
        <f>IF(Table1[[#This Row],[Buy-now costs]]&gt;0,"X","")</f>
        <v/>
      </c>
      <c r="M509" s="83"/>
      <c r="N509" s="83"/>
      <c r="O509" s="40">
        <v>0</v>
      </c>
      <c r="P509" s="97">
        <f>Table1[[#This Row],[quantity on-hand]]*(Table1[[#This Row],[Cost ]]+Table1[[#This Row],[shipping]]+Table1[[#This Row],[Tax]])</f>
        <v>0</v>
      </c>
      <c r="Q509" s="40">
        <v>0</v>
      </c>
      <c r="R509" s="95">
        <f>Table1[[#This Row],[Quantity on order]]*(Table1[[#This Row],[Cost ]]+Table1[[#This Row],[shipping]]+Table1[[#This Row],[Tax]])</f>
        <v>0</v>
      </c>
      <c r="S5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9" s="49">
        <f>Table1[[#This Row],[Quantity  to  purchase]]+Table1[[#This Row],[Quantity purchased]]+Table1[[#This Row],[Quantity on order]]+Table1[[#This Row],[Quantity donated]]-Table1[[#This Row],[extended quantity]]</f>
        <v>0</v>
      </c>
      <c r="U5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9" s="51">
        <f>IFERROR(Table1[[#This Row],[Quantity  to  purchase]]*(Table1[[#This Row],[Cost ]]+Table1[[#This Row],[shipping]]+Table1[[#This Row],[Tax]]),0)</f>
        <v>0</v>
      </c>
      <c r="W509" s="36">
        <f>IFERROR(Table1[[#This Row],[leftover material]]*(Table1[[#This Row],[Cost ]]+Table1[[#This Row],[shipping]]+Table1[[#This Row],[Tax]]),0)</f>
        <v>0</v>
      </c>
      <c r="X509" s="36"/>
      <c r="Y509" s="87"/>
      <c r="Z509" s="87"/>
      <c r="AA509" s="87"/>
      <c r="AB509" s="36"/>
      <c r="AC509" s="36">
        <f>IF(ISNA(VLOOKUP(Table1[[#This Row],[Part Number]],'Multi-level BOM'!V$4:V$449,1,FALSE)),0,Table1[[#This Row],[Remaining Extended cost]])</f>
        <v>0</v>
      </c>
    </row>
    <row r="510" spans="1:29" x14ac:dyDescent="0.25">
      <c r="A510" s="1" t="s">
        <v>513</v>
      </c>
      <c r="B510" s="4"/>
      <c r="F510" s="3">
        <f>9%*Table1[[#This Row],[Cost ]]</f>
        <v>0</v>
      </c>
      <c r="J510" s="49">
        <f>SUMIF('Multi-level BOM'!D$4:D$467,Table1[[#This Row],[Part Number]],'Multi-level BOM'!H$4:H$467)</f>
        <v>0</v>
      </c>
      <c r="K510" s="10">
        <f>Table1[[#This Row],[extended quantity]]*(Table1[[#This Row],[Cost ]]+Table1[[#This Row],[shipping]]+Table1[[#This Row],[Tax]])</f>
        <v>0</v>
      </c>
      <c r="L510" s="83" t="str">
        <f>IF(Table1[[#This Row],[Buy-now costs]]&gt;0,"X","")</f>
        <v/>
      </c>
      <c r="M510" s="83"/>
      <c r="N510" s="83"/>
      <c r="O510" s="40">
        <v>0</v>
      </c>
      <c r="P510" s="97">
        <f>Table1[[#This Row],[quantity on-hand]]*(Table1[[#This Row],[Cost ]]+Table1[[#This Row],[shipping]]+Table1[[#This Row],[Tax]])</f>
        <v>0</v>
      </c>
      <c r="Q510" s="40">
        <v>0</v>
      </c>
      <c r="R510" s="95">
        <f>Table1[[#This Row],[Quantity on order]]*(Table1[[#This Row],[Cost ]]+Table1[[#This Row],[shipping]]+Table1[[#This Row],[Tax]])</f>
        <v>0</v>
      </c>
      <c r="S5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0" s="49">
        <f>Table1[[#This Row],[Quantity  to  purchase]]+Table1[[#This Row],[Quantity purchased]]+Table1[[#This Row],[Quantity on order]]+Table1[[#This Row],[Quantity donated]]-Table1[[#This Row],[extended quantity]]</f>
        <v>0</v>
      </c>
      <c r="U5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0" s="51">
        <f>IFERROR(Table1[[#This Row],[Quantity  to  purchase]]*(Table1[[#This Row],[Cost ]]+Table1[[#This Row],[shipping]]+Table1[[#This Row],[Tax]]),0)</f>
        <v>0</v>
      </c>
      <c r="W510" s="36">
        <f>IFERROR(Table1[[#This Row],[leftover material]]*(Table1[[#This Row],[Cost ]]+Table1[[#This Row],[shipping]]+Table1[[#This Row],[Tax]]),0)</f>
        <v>0</v>
      </c>
      <c r="X510" s="36"/>
      <c r="Y510" s="87"/>
      <c r="Z510" s="87"/>
      <c r="AA510" s="87"/>
      <c r="AB510" s="36"/>
      <c r="AC510" s="36">
        <f>IF(ISNA(VLOOKUP(Table1[[#This Row],[Part Number]],'Multi-level BOM'!V$4:V$449,1,FALSE)),0,Table1[[#This Row],[Remaining Extended cost]])</f>
        <v>0</v>
      </c>
    </row>
    <row r="511" spans="1:29" x14ac:dyDescent="0.25">
      <c r="A511" s="1" t="s">
        <v>514</v>
      </c>
      <c r="B511" s="4"/>
      <c r="F511" s="3">
        <f>9%*Table1[[#This Row],[Cost ]]</f>
        <v>0</v>
      </c>
      <c r="J511" s="49">
        <f>SUMIF('Multi-level BOM'!D$4:D$467,Table1[[#This Row],[Part Number]],'Multi-level BOM'!H$4:H$467)</f>
        <v>0</v>
      </c>
      <c r="K511" s="10">
        <f>Table1[[#This Row],[extended quantity]]*(Table1[[#This Row],[Cost ]]+Table1[[#This Row],[shipping]]+Table1[[#This Row],[Tax]])</f>
        <v>0</v>
      </c>
      <c r="L511" s="83" t="str">
        <f>IF(Table1[[#This Row],[Buy-now costs]]&gt;0,"X","")</f>
        <v/>
      </c>
      <c r="M511" s="83"/>
      <c r="N511" s="83"/>
      <c r="O511" s="40">
        <v>0</v>
      </c>
      <c r="P511" s="97">
        <f>Table1[[#This Row],[quantity on-hand]]*(Table1[[#This Row],[Cost ]]+Table1[[#This Row],[shipping]]+Table1[[#This Row],[Tax]])</f>
        <v>0</v>
      </c>
      <c r="Q511" s="40">
        <v>0</v>
      </c>
      <c r="R511" s="95">
        <f>Table1[[#This Row],[Quantity on order]]*(Table1[[#This Row],[Cost ]]+Table1[[#This Row],[shipping]]+Table1[[#This Row],[Tax]])</f>
        <v>0</v>
      </c>
      <c r="S5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1" s="49">
        <f>Table1[[#This Row],[Quantity  to  purchase]]+Table1[[#This Row],[Quantity purchased]]+Table1[[#This Row],[Quantity on order]]+Table1[[#This Row],[Quantity donated]]-Table1[[#This Row],[extended quantity]]</f>
        <v>0</v>
      </c>
      <c r="U5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1" s="51">
        <f>IFERROR(Table1[[#This Row],[Quantity  to  purchase]]*(Table1[[#This Row],[Cost ]]+Table1[[#This Row],[shipping]]+Table1[[#This Row],[Tax]]),0)</f>
        <v>0</v>
      </c>
      <c r="W511" s="36">
        <f>IFERROR(Table1[[#This Row],[leftover material]]*(Table1[[#This Row],[Cost ]]+Table1[[#This Row],[shipping]]+Table1[[#This Row],[Tax]]),0)</f>
        <v>0</v>
      </c>
      <c r="X511" s="36"/>
      <c r="Y511" s="87"/>
      <c r="Z511" s="87"/>
      <c r="AA511" s="87"/>
      <c r="AB511" s="36"/>
      <c r="AC511" s="36">
        <f>IF(ISNA(VLOOKUP(Table1[[#This Row],[Part Number]],'Multi-level BOM'!V$4:V$449,1,FALSE)),0,Table1[[#This Row],[Remaining Extended cost]])</f>
        <v>0</v>
      </c>
    </row>
    <row r="512" spans="1:29" x14ac:dyDescent="0.25">
      <c r="A512" s="1" t="s">
        <v>515</v>
      </c>
      <c r="B512" s="4"/>
      <c r="F512" s="3">
        <f>9%*Table1[[#This Row],[Cost ]]</f>
        <v>0</v>
      </c>
      <c r="J512" s="49">
        <f>SUMIF('Multi-level BOM'!D$4:D$467,Table1[[#This Row],[Part Number]],'Multi-level BOM'!H$4:H$467)</f>
        <v>0</v>
      </c>
      <c r="K512" s="10">
        <f>Table1[[#This Row],[extended quantity]]*(Table1[[#This Row],[Cost ]]+Table1[[#This Row],[shipping]]+Table1[[#This Row],[Tax]])</f>
        <v>0</v>
      </c>
      <c r="L512" s="83" t="str">
        <f>IF(Table1[[#This Row],[Buy-now costs]]&gt;0,"X","")</f>
        <v/>
      </c>
      <c r="M512" s="83"/>
      <c r="N512" s="83"/>
      <c r="O512" s="40">
        <v>0</v>
      </c>
      <c r="P512" s="97">
        <f>Table1[[#This Row],[quantity on-hand]]*(Table1[[#This Row],[Cost ]]+Table1[[#This Row],[shipping]]+Table1[[#This Row],[Tax]])</f>
        <v>0</v>
      </c>
      <c r="Q512" s="40">
        <v>0</v>
      </c>
      <c r="R512" s="95">
        <f>Table1[[#This Row],[Quantity on order]]*(Table1[[#This Row],[Cost ]]+Table1[[#This Row],[shipping]]+Table1[[#This Row],[Tax]])</f>
        <v>0</v>
      </c>
      <c r="S5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2" s="49">
        <f>Table1[[#This Row],[Quantity  to  purchase]]+Table1[[#This Row],[Quantity purchased]]+Table1[[#This Row],[Quantity on order]]+Table1[[#This Row],[Quantity donated]]-Table1[[#This Row],[extended quantity]]</f>
        <v>0</v>
      </c>
      <c r="U5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2" s="51">
        <f>IFERROR(Table1[[#This Row],[Quantity  to  purchase]]*(Table1[[#This Row],[Cost ]]+Table1[[#This Row],[shipping]]+Table1[[#This Row],[Tax]]),0)</f>
        <v>0</v>
      </c>
      <c r="W512" s="36">
        <f>IFERROR(Table1[[#This Row],[leftover material]]*(Table1[[#This Row],[Cost ]]+Table1[[#This Row],[shipping]]+Table1[[#This Row],[Tax]]),0)</f>
        <v>0</v>
      </c>
      <c r="X512" s="36"/>
      <c r="Y512" s="87"/>
      <c r="Z512" s="87"/>
      <c r="AA512" s="87"/>
      <c r="AB512" s="36"/>
      <c r="AC512" s="36">
        <f>IF(ISNA(VLOOKUP(Table1[[#This Row],[Part Number]],'Multi-level BOM'!V$4:V$449,1,FALSE)),0,Table1[[#This Row],[Remaining Extended cost]])</f>
        <v>0</v>
      </c>
    </row>
    <row r="513" spans="1:29" x14ac:dyDescent="0.25">
      <c r="A513" s="1" t="s">
        <v>516</v>
      </c>
      <c r="B513" s="4"/>
      <c r="F513" s="3">
        <f>9%*Table1[[#This Row],[Cost ]]</f>
        <v>0</v>
      </c>
      <c r="J513" s="49">
        <f>SUMIF('Multi-level BOM'!D$4:D$467,Table1[[#This Row],[Part Number]],'Multi-level BOM'!H$4:H$467)</f>
        <v>0</v>
      </c>
      <c r="K513" s="10">
        <f>Table1[[#This Row],[extended quantity]]*(Table1[[#This Row],[Cost ]]+Table1[[#This Row],[shipping]]+Table1[[#This Row],[Tax]])</f>
        <v>0</v>
      </c>
      <c r="L513" s="83" t="str">
        <f>IF(Table1[[#This Row],[Buy-now costs]]&gt;0,"X","")</f>
        <v/>
      </c>
      <c r="M513" s="83"/>
      <c r="N513" s="83"/>
      <c r="O513" s="40">
        <v>0</v>
      </c>
      <c r="P513" s="97">
        <f>Table1[[#This Row],[quantity on-hand]]*(Table1[[#This Row],[Cost ]]+Table1[[#This Row],[shipping]]+Table1[[#This Row],[Tax]])</f>
        <v>0</v>
      </c>
      <c r="Q513" s="40">
        <v>0</v>
      </c>
      <c r="R513" s="95">
        <f>Table1[[#This Row],[Quantity on order]]*(Table1[[#This Row],[Cost ]]+Table1[[#This Row],[shipping]]+Table1[[#This Row],[Tax]])</f>
        <v>0</v>
      </c>
      <c r="S5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3" s="49">
        <f>Table1[[#This Row],[Quantity  to  purchase]]+Table1[[#This Row],[Quantity purchased]]+Table1[[#This Row],[Quantity on order]]+Table1[[#This Row],[Quantity donated]]-Table1[[#This Row],[extended quantity]]</f>
        <v>0</v>
      </c>
      <c r="U5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3" s="51">
        <f>IFERROR(Table1[[#This Row],[Quantity  to  purchase]]*(Table1[[#This Row],[Cost ]]+Table1[[#This Row],[shipping]]+Table1[[#This Row],[Tax]]),0)</f>
        <v>0</v>
      </c>
      <c r="W513" s="36">
        <f>IFERROR(Table1[[#This Row],[leftover material]]*(Table1[[#This Row],[Cost ]]+Table1[[#This Row],[shipping]]+Table1[[#This Row],[Tax]]),0)</f>
        <v>0</v>
      </c>
      <c r="X513" s="36"/>
      <c r="Y513" s="87"/>
      <c r="Z513" s="87"/>
      <c r="AA513" s="87"/>
      <c r="AB513" s="36"/>
      <c r="AC513" s="36">
        <f>IF(ISNA(VLOOKUP(Table1[[#This Row],[Part Number]],'Multi-level BOM'!V$4:V$449,1,FALSE)),0,Table1[[#This Row],[Remaining Extended cost]])</f>
        <v>0</v>
      </c>
    </row>
    <row r="514" spans="1:29" x14ac:dyDescent="0.25">
      <c r="A514" s="1" t="s">
        <v>517</v>
      </c>
      <c r="B514" s="4"/>
      <c r="F514" s="3">
        <f>9%*Table1[[#This Row],[Cost ]]</f>
        <v>0</v>
      </c>
      <c r="J514" s="49">
        <f>SUMIF('Multi-level BOM'!D$4:D$467,Table1[[#This Row],[Part Number]],'Multi-level BOM'!H$4:H$467)</f>
        <v>0</v>
      </c>
      <c r="K514" s="10">
        <f>Table1[[#This Row],[extended quantity]]*(Table1[[#This Row],[Cost ]]+Table1[[#This Row],[shipping]]+Table1[[#This Row],[Tax]])</f>
        <v>0</v>
      </c>
      <c r="L514" s="83" t="str">
        <f>IF(Table1[[#This Row],[Buy-now costs]]&gt;0,"X","")</f>
        <v/>
      </c>
      <c r="M514" s="83"/>
      <c r="N514" s="83"/>
      <c r="O514" s="40">
        <v>0</v>
      </c>
      <c r="P514" s="97">
        <f>Table1[[#This Row],[quantity on-hand]]*(Table1[[#This Row],[Cost ]]+Table1[[#This Row],[shipping]]+Table1[[#This Row],[Tax]])</f>
        <v>0</v>
      </c>
      <c r="Q514" s="40">
        <v>0</v>
      </c>
      <c r="R514" s="95">
        <f>Table1[[#This Row],[Quantity on order]]*(Table1[[#This Row],[Cost ]]+Table1[[#This Row],[shipping]]+Table1[[#This Row],[Tax]])</f>
        <v>0</v>
      </c>
      <c r="S5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4" s="49">
        <f>Table1[[#This Row],[Quantity  to  purchase]]+Table1[[#This Row],[Quantity purchased]]+Table1[[#This Row],[Quantity on order]]+Table1[[#This Row],[Quantity donated]]-Table1[[#This Row],[extended quantity]]</f>
        <v>0</v>
      </c>
      <c r="U5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4" s="51">
        <f>IFERROR(Table1[[#This Row],[Quantity  to  purchase]]*(Table1[[#This Row],[Cost ]]+Table1[[#This Row],[shipping]]+Table1[[#This Row],[Tax]]),0)</f>
        <v>0</v>
      </c>
      <c r="W514" s="36">
        <f>IFERROR(Table1[[#This Row],[leftover material]]*(Table1[[#This Row],[Cost ]]+Table1[[#This Row],[shipping]]+Table1[[#This Row],[Tax]]),0)</f>
        <v>0</v>
      </c>
      <c r="X514" s="36"/>
      <c r="Y514" s="87"/>
      <c r="Z514" s="87"/>
      <c r="AA514" s="87"/>
      <c r="AB514" s="36"/>
      <c r="AC514" s="36">
        <f>IF(ISNA(VLOOKUP(Table1[[#This Row],[Part Number]],'Multi-level BOM'!V$4:V$449,1,FALSE)),0,Table1[[#This Row],[Remaining Extended cost]])</f>
        <v>0</v>
      </c>
    </row>
    <row r="515" spans="1:29" x14ac:dyDescent="0.25">
      <c r="A515" s="1" t="s">
        <v>518</v>
      </c>
      <c r="B515" s="4"/>
      <c r="F515" s="3">
        <f>9%*Table1[[#This Row],[Cost ]]</f>
        <v>0</v>
      </c>
      <c r="J515" s="49">
        <f>SUMIF('Multi-level BOM'!D$4:D$467,Table1[[#This Row],[Part Number]],'Multi-level BOM'!H$4:H$467)</f>
        <v>0</v>
      </c>
      <c r="K515" s="10">
        <f>Table1[[#This Row],[extended quantity]]*(Table1[[#This Row],[Cost ]]+Table1[[#This Row],[shipping]]+Table1[[#This Row],[Tax]])</f>
        <v>0</v>
      </c>
      <c r="L515" s="83" t="str">
        <f>IF(Table1[[#This Row],[Buy-now costs]]&gt;0,"X","")</f>
        <v/>
      </c>
      <c r="M515" s="83"/>
      <c r="N515" s="83"/>
      <c r="O515" s="40">
        <v>0</v>
      </c>
      <c r="P515" s="97">
        <f>Table1[[#This Row],[quantity on-hand]]*(Table1[[#This Row],[Cost ]]+Table1[[#This Row],[shipping]]+Table1[[#This Row],[Tax]])</f>
        <v>0</v>
      </c>
      <c r="Q515" s="40">
        <v>0</v>
      </c>
      <c r="R515" s="95">
        <f>Table1[[#This Row],[Quantity on order]]*(Table1[[#This Row],[Cost ]]+Table1[[#This Row],[shipping]]+Table1[[#This Row],[Tax]])</f>
        <v>0</v>
      </c>
      <c r="S5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5" s="49">
        <f>Table1[[#This Row],[Quantity  to  purchase]]+Table1[[#This Row],[Quantity purchased]]+Table1[[#This Row],[Quantity on order]]+Table1[[#This Row],[Quantity donated]]-Table1[[#This Row],[extended quantity]]</f>
        <v>0</v>
      </c>
      <c r="U5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5" s="51">
        <f>IFERROR(Table1[[#This Row],[Quantity  to  purchase]]*(Table1[[#This Row],[Cost ]]+Table1[[#This Row],[shipping]]+Table1[[#This Row],[Tax]]),0)</f>
        <v>0</v>
      </c>
      <c r="W515" s="36">
        <f>IFERROR(Table1[[#This Row],[leftover material]]*(Table1[[#This Row],[Cost ]]+Table1[[#This Row],[shipping]]+Table1[[#This Row],[Tax]]),0)</f>
        <v>0</v>
      </c>
      <c r="X515" s="36"/>
      <c r="Y515" s="87"/>
      <c r="Z515" s="87"/>
      <c r="AA515" s="87"/>
      <c r="AB515" s="36"/>
      <c r="AC515" s="36">
        <f>IF(ISNA(VLOOKUP(Table1[[#This Row],[Part Number]],'Multi-level BOM'!V$4:V$449,1,FALSE)),0,Table1[[#This Row],[Remaining Extended cost]])</f>
        <v>0</v>
      </c>
    </row>
    <row r="516" spans="1:29" x14ac:dyDescent="0.25">
      <c r="A516" s="1" t="s">
        <v>519</v>
      </c>
      <c r="B516" s="4"/>
      <c r="F516" s="3">
        <f>9%*Table1[[#This Row],[Cost ]]</f>
        <v>0</v>
      </c>
      <c r="J516" s="49">
        <f>SUMIF('Multi-level BOM'!D$4:D$467,Table1[[#This Row],[Part Number]],'Multi-level BOM'!H$4:H$467)</f>
        <v>0</v>
      </c>
      <c r="K516" s="10">
        <f>Table1[[#This Row],[extended quantity]]*(Table1[[#This Row],[Cost ]]+Table1[[#This Row],[shipping]]+Table1[[#This Row],[Tax]])</f>
        <v>0</v>
      </c>
      <c r="L516" s="83" t="str">
        <f>IF(Table1[[#This Row],[Buy-now costs]]&gt;0,"X","")</f>
        <v/>
      </c>
      <c r="M516" s="83"/>
      <c r="N516" s="83"/>
      <c r="O516" s="40">
        <v>0</v>
      </c>
      <c r="P516" s="97">
        <f>Table1[[#This Row],[quantity on-hand]]*(Table1[[#This Row],[Cost ]]+Table1[[#This Row],[shipping]]+Table1[[#This Row],[Tax]])</f>
        <v>0</v>
      </c>
      <c r="Q516" s="40">
        <v>0</v>
      </c>
      <c r="R516" s="95">
        <f>Table1[[#This Row],[Quantity on order]]*(Table1[[#This Row],[Cost ]]+Table1[[#This Row],[shipping]]+Table1[[#This Row],[Tax]])</f>
        <v>0</v>
      </c>
      <c r="S5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6" s="49">
        <f>Table1[[#This Row],[Quantity  to  purchase]]+Table1[[#This Row],[Quantity purchased]]+Table1[[#This Row],[Quantity on order]]+Table1[[#This Row],[Quantity donated]]-Table1[[#This Row],[extended quantity]]</f>
        <v>0</v>
      </c>
      <c r="U5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6" s="51">
        <f>IFERROR(Table1[[#This Row],[Quantity  to  purchase]]*(Table1[[#This Row],[Cost ]]+Table1[[#This Row],[shipping]]+Table1[[#This Row],[Tax]]),0)</f>
        <v>0</v>
      </c>
      <c r="W516" s="36">
        <f>IFERROR(Table1[[#This Row],[leftover material]]*(Table1[[#This Row],[Cost ]]+Table1[[#This Row],[shipping]]+Table1[[#This Row],[Tax]]),0)</f>
        <v>0</v>
      </c>
      <c r="X516" s="36"/>
      <c r="Y516" s="87"/>
      <c r="Z516" s="87"/>
      <c r="AA516" s="87"/>
      <c r="AB516" s="36"/>
      <c r="AC516" s="36">
        <f>IF(ISNA(VLOOKUP(Table1[[#This Row],[Part Number]],'Multi-level BOM'!V$4:V$449,1,FALSE)),0,Table1[[#This Row],[Remaining Extended cost]])</f>
        <v>0</v>
      </c>
    </row>
    <row r="517" spans="1:29" x14ac:dyDescent="0.25">
      <c r="A517" s="1" t="s">
        <v>520</v>
      </c>
      <c r="B517" s="4"/>
      <c r="F517" s="3">
        <f>9%*Table1[[#This Row],[Cost ]]</f>
        <v>0</v>
      </c>
      <c r="J517" s="49">
        <f>SUMIF('Multi-level BOM'!D$4:D$467,Table1[[#This Row],[Part Number]],'Multi-level BOM'!H$4:H$467)</f>
        <v>0</v>
      </c>
      <c r="K517" s="10">
        <f>Table1[[#This Row],[extended quantity]]*(Table1[[#This Row],[Cost ]]+Table1[[#This Row],[shipping]]+Table1[[#This Row],[Tax]])</f>
        <v>0</v>
      </c>
      <c r="L517" s="83" t="str">
        <f>IF(Table1[[#This Row],[Buy-now costs]]&gt;0,"X","")</f>
        <v/>
      </c>
      <c r="M517" s="83"/>
      <c r="N517" s="83"/>
      <c r="O517" s="40">
        <v>0</v>
      </c>
      <c r="P517" s="97">
        <f>Table1[[#This Row],[quantity on-hand]]*(Table1[[#This Row],[Cost ]]+Table1[[#This Row],[shipping]]+Table1[[#This Row],[Tax]])</f>
        <v>0</v>
      </c>
      <c r="Q517" s="40">
        <v>0</v>
      </c>
      <c r="R517" s="95">
        <f>Table1[[#This Row],[Quantity on order]]*(Table1[[#This Row],[Cost ]]+Table1[[#This Row],[shipping]]+Table1[[#This Row],[Tax]])</f>
        <v>0</v>
      </c>
      <c r="S5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7" s="49">
        <f>Table1[[#This Row],[Quantity  to  purchase]]+Table1[[#This Row],[Quantity purchased]]+Table1[[#This Row],[Quantity on order]]+Table1[[#This Row],[Quantity donated]]-Table1[[#This Row],[extended quantity]]</f>
        <v>0</v>
      </c>
      <c r="U5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7" s="51">
        <f>IFERROR(Table1[[#This Row],[Quantity  to  purchase]]*(Table1[[#This Row],[Cost ]]+Table1[[#This Row],[shipping]]+Table1[[#This Row],[Tax]]),0)</f>
        <v>0</v>
      </c>
      <c r="W517" s="36">
        <f>IFERROR(Table1[[#This Row],[leftover material]]*(Table1[[#This Row],[Cost ]]+Table1[[#This Row],[shipping]]+Table1[[#This Row],[Tax]]),0)</f>
        <v>0</v>
      </c>
      <c r="X517" s="36"/>
      <c r="Y517" s="87"/>
      <c r="Z517" s="87"/>
      <c r="AA517" s="87"/>
      <c r="AB517" s="36"/>
      <c r="AC517" s="36">
        <f>IF(ISNA(VLOOKUP(Table1[[#This Row],[Part Number]],'Multi-level BOM'!V$4:V$449,1,FALSE)),0,Table1[[#This Row],[Remaining Extended cost]])</f>
        <v>0</v>
      </c>
    </row>
    <row r="518" spans="1:29" x14ac:dyDescent="0.25">
      <c r="A518" s="1" t="s">
        <v>521</v>
      </c>
      <c r="B518" s="4"/>
      <c r="F518" s="3">
        <f>9%*Table1[[#This Row],[Cost ]]</f>
        <v>0</v>
      </c>
      <c r="J518" s="49">
        <f>SUMIF('Multi-level BOM'!D$4:D$467,Table1[[#This Row],[Part Number]],'Multi-level BOM'!H$4:H$467)</f>
        <v>0</v>
      </c>
      <c r="K518" s="10">
        <f>Table1[[#This Row],[extended quantity]]*(Table1[[#This Row],[Cost ]]+Table1[[#This Row],[shipping]]+Table1[[#This Row],[Tax]])</f>
        <v>0</v>
      </c>
      <c r="L518" s="83" t="str">
        <f>IF(Table1[[#This Row],[Buy-now costs]]&gt;0,"X","")</f>
        <v/>
      </c>
      <c r="M518" s="83"/>
      <c r="N518" s="83"/>
      <c r="O518" s="40">
        <v>0</v>
      </c>
      <c r="P518" s="97">
        <f>Table1[[#This Row],[quantity on-hand]]*(Table1[[#This Row],[Cost ]]+Table1[[#This Row],[shipping]]+Table1[[#This Row],[Tax]])</f>
        <v>0</v>
      </c>
      <c r="Q518" s="40">
        <v>0</v>
      </c>
      <c r="R518" s="95">
        <f>Table1[[#This Row],[Quantity on order]]*(Table1[[#This Row],[Cost ]]+Table1[[#This Row],[shipping]]+Table1[[#This Row],[Tax]])</f>
        <v>0</v>
      </c>
      <c r="S5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8" s="49">
        <f>Table1[[#This Row],[Quantity  to  purchase]]+Table1[[#This Row],[Quantity purchased]]+Table1[[#This Row],[Quantity on order]]+Table1[[#This Row],[Quantity donated]]-Table1[[#This Row],[extended quantity]]</f>
        <v>0</v>
      </c>
      <c r="U5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8" s="51">
        <f>IFERROR(Table1[[#This Row],[Quantity  to  purchase]]*(Table1[[#This Row],[Cost ]]+Table1[[#This Row],[shipping]]+Table1[[#This Row],[Tax]]),0)</f>
        <v>0</v>
      </c>
      <c r="W518" s="36">
        <f>IFERROR(Table1[[#This Row],[leftover material]]*(Table1[[#This Row],[Cost ]]+Table1[[#This Row],[shipping]]+Table1[[#This Row],[Tax]]),0)</f>
        <v>0</v>
      </c>
      <c r="X518" s="36"/>
      <c r="Y518" s="87"/>
      <c r="Z518" s="87"/>
      <c r="AA518" s="87"/>
      <c r="AB518" s="36"/>
      <c r="AC518" s="36">
        <f>IF(ISNA(VLOOKUP(Table1[[#This Row],[Part Number]],'Multi-level BOM'!V$4:V$449,1,FALSE)),0,Table1[[#This Row],[Remaining Extended cost]])</f>
        <v>0</v>
      </c>
    </row>
    <row r="519" spans="1:29" x14ac:dyDescent="0.25">
      <c r="A519" s="1" t="s">
        <v>522</v>
      </c>
      <c r="B519" s="4"/>
      <c r="F519" s="3">
        <f>9%*Table1[[#This Row],[Cost ]]</f>
        <v>0</v>
      </c>
      <c r="J519" s="49">
        <f>SUMIF('Multi-level BOM'!D$4:D$467,Table1[[#This Row],[Part Number]],'Multi-level BOM'!H$4:H$467)</f>
        <v>0</v>
      </c>
      <c r="K519" s="10">
        <f>Table1[[#This Row],[extended quantity]]*(Table1[[#This Row],[Cost ]]+Table1[[#This Row],[shipping]]+Table1[[#This Row],[Tax]])</f>
        <v>0</v>
      </c>
      <c r="L519" s="83" t="str">
        <f>IF(Table1[[#This Row],[Buy-now costs]]&gt;0,"X","")</f>
        <v/>
      </c>
      <c r="M519" s="83"/>
      <c r="N519" s="83"/>
      <c r="O519" s="40">
        <v>0</v>
      </c>
      <c r="P519" s="97">
        <f>Table1[[#This Row],[quantity on-hand]]*(Table1[[#This Row],[Cost ]]+Table1[[#This Row],[shipping]]+Table1[[#This Row],[Tax]])</f>
        <v>0</v>
      </c>
      <c r="Q519" s="40">
        <v>0</v>
      </c>
      <c r="R519" s="95">
        <f>Table1[[#This Row],[Quantity on order]]*(Table1[[#This Row],[Cost ]]+Table1[[#This Row],[shipping]]+Table1[[#This Row],[Tax]])</f>
        <v>0</v>
      </c>
      <c r="S5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9" s="49">
        <f>Table1[[#This Row],[Quantity  to  purchase]]+Table1[[#This Row],[Quantity purchased]]+Table1[[#This Row],[Quantity on order]]+Table1[[#This Row],[Quantity donated]]-Table1[[#This Row],[extended quantity]]</f>
        <v>0</v>
      </c>
      <c r="U5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9" s="51">
        <f>IFERROR(Table1[[#This Row],[Quantity  to  purchase]]*(Table1[[#This Row],[Cost ]]+Table1[[#This Row],[shipping]]+Table1[[#This Row],[Tax]]),0)</f>
        <v>0</v>
      </c>
      <c r="W519" s="36">
        <f>IFERROR(Table1[[#This Row],[leftover material]]*(Table1[[#This Row],[Cost ]]+Table1[[#This Row],[shipping]]+Table1[[#This Row],[Tax]]),0)</f>
        <v>0</v>
      </c>
      <c r="X519" s="36"/>
      <c r="Y519" s="87"/>
      <c r="Z519" s="87"/>
      <c r="AA519" s="87"/>
      <c r="AB519" s="36"/>
      <c r="AC519" s="36">
        <f>IF(ISNA(VLOOKUP(Table1[[#This Row],[Part Number]],'Multi-level BOM'!V$4:V$449,1,FALSE)),0,Table1[[#This Row],[Remaining Extended cost]])</f>
        <v>0</v>
      </c>
    </row>
    <row r="520" spans="1:29" x14ac:dyDescent="0.25">
      <c r="A520" s="1" t="s">
        <v>523</v>
      </c>
      <c r="B520" s="4"/>
      <c r="F520" s="3">
        <f>9%*Table1[[#This Row],[Cost ]]</f>
        <v>0</v>
      </c>
      <c r="J520" s="49">
        <f>SUMIF('Multi-level BOM'!D$4:D$467,Table1[[#This Row],[Part Number]],'Multi-level BOM'!H$4:H$467)</f>
        <v>0</v>
      </c>
      <c r="K520" s="10">
        <f>Table1[[#This Row],[extended quantity]]*(Table1[[#This Row],[Cost ]]+Table1[[#This Row],[shipping]]+Table1[[#This Row],[Tax]])</f>
        <v>0</v>
      </c>
      <c r="L520" s="83" t="str">
        <f>IF(Table1[[#This Row],[Buy-now costs]]&gt;0,"X","")</f>
        <v/>
      </c>
      <c r="M520" s="83"/>
      <c r="N520" s="83"/>
      <c r="O520" s="40">
        <v>0</v>
      </c>
      <c r="P520" s="97">
        <f>Table1[[#This Row],[quantity on-hand]]*(Table1[[#This Row],[Cost ]]+Table1[[#This Row],[shipping]]+Table1[[#This Row],[Tax]])</f>
        <v>0</v>
      </c>
      <c r="Q520" s="40">
        <v>0</v>
      </c>
      <c r="R520" s="95">
        <f>Table1[[#This Row],[Quantity on order]]*(Table1[[#This Row],[Cost ]]+Table1[[#This Row],[shipping]]+Table1[[#This Row],[Tax]])</f>
        <v>0</v>
      </c>
      <c r="S5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0" s="49">
        <f>Table1[[#This Row],[Quantity  to  purchase]]+Table1[[#This Row],[Quantity purchased]]+Table1[[#This Row],[Quantity on order]]+Table1[[#This Row],[Quantity donated]]-Table1[[#This Row],[extended quantity]]</f>
        <v>0</v>
      </c>
      <c r="U5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0" s="51">
        <f>IFERROR(Table1[[#This Row],[Quantity  to  purchase]]*(Table1[[#This Row],[Cost ]]+Table1[[#This Row],[shipping]]+Table1[[#This Row],[Tax]]),0)</f>
        <v>0</v>
      </c>
      <c r="W520" s="36">
        <f>IFERROR(Table1[[#This Row],[leftover material]]*(Table1[[#This Row],[Cost ]]+Table1[[#This Row],[shipping]]+Table1[[#This Row],[Tax]]),0)</f>
        <v>0</v>
      </c>
      <c r="X520" s="36"/>
      <c r="Y520" s="87"/>
      <c r="Z520" s="87"/>
      <c r="AA520" s="87"/>
      <c r="AB520" s="36"/>
      <c r="AC520" s="36">
        <f>IF(ISNA(VLOOKUP(Table1[[#This Row],[Part Number]],'Multi-level BOM'!V$4:V$449,1,FALSE)),0,Table1[[#This Row],[Remaining Extended cost]])</f>
        <v>0</v>
      </c>
    </row>
    <row r="521" spans="1:29" x14ac:dyDescent="0.25">
      <c r="A521" s="1" t="s">
        <v>524</v>
      </c>
      <c r="B521" s="4"/>
      <c r="F521" s="3">
        <f>9%*Table1[[#This Row],[Cost ]]</f>
        <v>0</v>
      </c>
      <c r="J521" s="49">
        <f>SUMIF('Multi-level BOM'!D$4:D$467,Table1[[#This Row],[Part Number]],'Multi-level BOM'!H$4:H$467)</f>
        <v>0</v>
      </c>
      <c r="K521" s="10">
        <f>Table1[[#This Row],[extended quantity]]*(Table1[[#This Row],[Cost ]]+Table1[[#This Row],[shipping]]+Table1[[#This Row],[Tax]])</f>
        <v>0</v>
      </c>
      <c r="L521" s="83" t="str">
        <f>IF(Table1[[#This Row],[Buy-now costs]]&gt;0,"X","")</f>
        <v/>
      </c>
      <c r="M521" s="83"/>
      <c r="N521" s="83"/>
      <c r="O521" s="40">
        <v>0</v>
      </c>
      <c r="P521" s="97">
        <f>Table1[[#This Row],[quantity on-hand]]*(Table1[[#This Row],[Cost ]]+Table1[[#This Row],[shipping]]+Table1[[#This Row],[Tax]])</f>
        <v>0</v>
      </c>
      <c r="Q521" s="40">
        <v>0</v>
      </c>
      <c r="R521" s="95">
        <f>Table1[[#This Row],[Quantity on order]]*(Table1[[#This Row],[Cost ]]+Table1[[#This Row],[shipping]]+Table1[[#This Row],[Tax]])</f>
        <v>0</v>
      </c>
      <c r="S5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1" s="49">
        <f>Table1[[#This Row],[Quantity  to  purchase]]+Table1[[#This Row],[Quantity purchased]]+Table1[[#This Row],[Quantity on order]]+Table1[[#This Row],[Quantity donated]]-Table1[[#This Row],[extended quantity]]</f>
        <v>0</v>
      </c>
      <c r="U5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1" s="51">
        <f>IFERROR(Table1[[#This Row],[Quantity  to  purchase]]*(Table1[[#This Row],[Cost ]]+Table1[[#This Row],[shipping]]+Table1[[#This Row],[Tax]]),0)</f>
        <v>0</v>
      </c>
      <c r="W521" s="36">
        <f>IFERROR(Table1[[#This Row],[leftover material]]*(Table1[[#This Row],[Cost ]]+Table1[[#This Row],[shipping]]+Table1[[#This Row],[Tax]]),0)</f>
        <v>0</v>
      </c>
      <c r="X521" s="36"/>
      <c r="Y521" s="87"/>
      <c r="Z521" s="87"/>
      <c r="AA521" s="87"/>
      <c r="AB521" s="36"/>
      <c r="AC521" s="36">
        <f>IF(ISNA(VLOOKUP(Table1[[#This Row],[Part Number]],'Multi-level BOM'!V$4:V$449,1,FALSE)),0,Table1[[#This Row],[Remaining Extended cost]])</f>
        <v>0</v>
      </c>
    </row>
    <row r="522" spans="1:29" x14ac:dyDescent="0.25">
      <c r="A522" s="1" t="s">
        <v>525</v>
      </c>
      <c r="B522" s="4"/>
      <c r="F522" s="3">
        <f>9%*Table1[[#This Row],[Cost ]]</f>
        <v>0</v>
      </c>
      <c r="J522" s="49">
        <f>SUMIF('Multi-level BOM'!D$4:D$467,Table1[[#This Row],[Part Number]],'Multi-level BOM'!H$4:H$467)</f>
        <v>0</v>
      </c>
      <c r="K522" s="10">
        <f>Table1[[#This Row],[extended quantity]]*(Table1[[#This Row],[Cost ]]+Table1[[#This Row],[shipping]]+Table1[[#This Row],[Tax]])</f>
        <v>0</v>
      </c>
      <c r="L522" s="83" t="str">
        <f>IF(Table1[[#This Row],[Buy-now costs]]&gt;0,"X","")</f>
        <v/>
      </c>
      <c r="M522" s="83"/>
      <c r="N522" s="83"/>
      <c r="O522" s="40">
        <v>0</v>
      </c>
      <c r="P522" s="97">
        <f>Table1[[#This Row],[quantity on-hand]]*(Table1[[#This Row],[Cost ]]+Table1[[#This Row],[shipping]]+Table1[[#This Row],[Tax]])</f>
        <v>0</v>
      </c>
      <c r="Q522" s="40">
        <v>0</v>
      </c>
      <c r="R522" s="95">
        <f>Table1[[#This Row],[Quantity on order]]*(Table1[[#This Row],[Cost ]]+Table1[[#This Row],[shipping]]+Table1[[#This Row],[Tax]])</f>
        <v>0</v>
      </c>
      <c r="S5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2" s="49">
        <f>Table1[[#This Row],[Quantity  to  purchase]]+Table1[[#This Row],[Quantity purchased]]+Table1[[#This Row],[Quantity on order]]+Table1[[#This Row],[Quantity donated]]-Table1[[#This Row],[extended quantity]]</f>
        <v>0</v>
      </c>
      <c r="U5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2" s="51">
        <f>IFERROR(Table1[[#This Row],[Quantity  to  purchase]]*(Table1[[#This Row],[Cost ]]+Table1[[#This Row],[shipping]]+Table1[[#This Row],[Tax]]),0)</f>
        <v>0</v>
      </c>
      <c r="W522" s="36">
        <f>IFERROR(Table1[[#This Row],[leftover material]]*(Table1[[#This Row],[Cost ]]+Table1[[#This Row],[shipping]]+Table1[[#This Row],[Tax]]),0)</f>
        <v>0</v>
      </c>
      <c r="X522" s="36"/>
      <c r="Y522" s="87"/>
      <c r="Z522" s="87"/>
      <c r="AA522" s="87"/>
      <c r="AB522" s="36"/>
      <c r="AC522" s="36">
        <f>IF(ISNA(VLOOKUP(Table1[[#This Row],[Part Number]],'Multi-level BOM'!V$4:V$449,1,FALSE)),0,Table1[[#This Row],[Remaining Extended cost]])</f>
        <v>0</v>
      </c>
    </row>
    <row r="523" spans="1:29" x14ac:dyDescent="0.25">
      <c r="A523" s="1" t="s">
        <v>526</v>
      </c>
      <c r="B523" s="4"/>
      <c r="F523" s="3">
        <f>9%*Table1[[#This Row],[Cost ]]</f>
        <v>0</v>
      </c>
      <c r="J523" s="49">
        <f>SUMIF('Multi-level BOM'!D$4:D$467,Table1[[#This Row],[Part Number]],'Multi-level BOM'!H$4:H$467)</f>
        <v>0</v>
      </c>
      <c r="K523" s="10">
        <f>Table1[[#This Row],[extended quantity]]*(Table1[[#This Row],[Cost ]]+Table1[[#This Row],[shipping]]+Table1[[#This Row],[Tax]])</f>
        <v>0</v>
      </c>
      <c r="L523" s="83" t="str">
        <f>IF(Table1[[#This Row],[Buy-now costs]]&gt;0,"X","")</f>
        <v/>
      </c>
      <c r="M523" s="83"/>
      <c r="N523" s="83"/>
      <c r="O523" s="40">
        <v>0</v>
      </c>
      <c r="P523" s="97">
        <f>Table1[[#This Row],[quantity on-hand]]*(Table1[[#This Row],[Cost ]]+Table1[[#This Row],[shipping]]+Table1[[#This Row],[Tax]])</f>
        <v>0</v>
      </c>
      <c r="Q523" s="40">
        <v>0</v>
      </c>
      <c r="R523" s="95">
        <f>Table1[[#This Row],[Quantity on order]]*(Table1[[#This Row],[Cost ]]+Table1[[#This Row],[shipping]]+Table1[[#This Row],[Tax]])</f>
        <v>0</v>
      </c>
      <c r="S5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3" s="49">
        <f>Table1[[#This Row],[Quantity  to  purchase]]+Table1[[#This Row],[Quantity purchased]]+Table1[[#This Row],[Quantity on order]]+Table1[[#This Row],[Quantity donated]]-Table1[[#This Row],[extended quantity]]</f>
        <v>0</v>
      </c>
      <c r="U5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3" s="51">
        <f>IFERROR(Table1[[#This Row],[Quantity  to  purchase]]*(Table1[[#This Row],[Cost ]]+Table1[[#This Row],[shipping]]+Table1[[#This Row],[Tax]]),0)</f>
        <v>0</v>
      </c>
      <c r="W523" s="36">
        <f>IFERROR(Table1[[#This Row],[leftover material]]*(Table1[[#This Row],[Cost ]]+Table1[[#This Row],[shipping]]+Table1[[#This Row],[Tax]]),0)</f>
        <v>0</v>
      </c>
      <c r="X523" s="36"/>
      <c r="Y523" s="87"/>
      <c r="Z523" s="87"/>
      <c r="AA523" s="87"/>
      <c r="AB523" s="36"/>
      <c r="AC523" s="36">
        <f>IF(ISNA(VLOOKUP(Table1[[#This Row],[Part Number]],'Multi-level BOM'!V$4:V$449,1,FALSE)),0,Table1[[#This Row],[Remaining Extended cost]])</f>
        <v>0</v>
      </c>
    </row>
    <row r="524" spans="1:29" x14ac:dyDescent="0.25">
      <c r="A524" s="1" t="s">
        <v>527</v>
      </c>
      <c r="B524" s="4"/>
      <c r="F524" s="3">
        <f>9%*Table1[[#This Row],[Cost ]]</f>
        <v>0</v>
      </c>
      <c r="J524" s="49">
        <f>SUMIF('Multi-level BOM'!D$4:D$467,Table1[[#This Row],[Part Number]],'Multi-level BOM'!H$4:H$467)</f>
        <v>0</v>
      </c>
      <c r="K524" s="10">
        <f>Table1[[#This Row],[extended quantity]]*(Table1[[#This Row],[Cost ]]+Table1[[#This Row],[shipping]]+Table1[[#This Row],[Tax]])</f>
        <v>0</v>
      </c>
      <c r="L524" s="83" t="str">
        <f>IF(Table1[[#This Row],[Buy-now costs]]&gt;0,"X","")</f>
        <v/>
      </c>
      <c r="M524" s="83"/>
      <c r="N524" s="83"/>
      <c r="O524" s="40">
        <v>0</v>
      </c>
      <c r="P524" s="97">
        <f>Table1[[#This Row],[quantity on-hand]]*(Table1[[#This Row],[Cost ]]+Table1[[#This Row],[shipping]]+Table1[[#This Row],[Tax]])</f>
        <v>0</v>
      </c>
      <c r="Q524" s="40">
        <v>0</v>
      </c>
      <c r="R524" s="95">
        <f>Table1[[#This Row],[Quantity on order]]*(Table1[[#This Row],[Cost ]]+Table1[[#This Row],[shipping]]+Table1[[#This Row],[Tax]])</f>
        <v>0</v>
      </c>
      <c r="S5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4" s="49">
        <f>Table1[[#This Row],[Quantity  to  purchase]]+Table1[[#This Row],[Quantity purchased]]+Table1[[#This Row],[Quantity on order]]+Table1[[#This Row],[Quantity donated]]-Table1[[#This Row],[extended quantity]]</f>
        <v>0</v>
      </c>
      <c r="U5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4" s="51">
        <f>IFERROR(Table1[[#This Row],[Quantity  to  purchase]]*(Table1[[#This Row],[Cost ]]+Table1[[#This Row],[shipping]]+Table1[[#This Row],[Tax]]),0)</f>
        <v>0</v>
      </c>
      <c r="W524" s="36">
        <f>IFERROR(Table1[[#This Row],[leftover material]]*(Table1[[#This Row],[Cost ]]+Table1[[#This Row],[shipping]]+Table1[[#This Row],[Tax]]),0)</f>
        <v>0</v>
      </c>
      <c r="X524" s="36"/>
      <c r="Y524" s="87"/>
      <c r="Z524" s="87"/>
      <c r="AA524" s="87"/>
      <c r="AB524" s="36"/>
      <c r="AC524" s="36">
        <f>IF(ISNA(VLOOKUP(Table1[[#This Row],[Part Number]],'Multi-level BOM'!V$4:V$449,1,FALSE)),0,Table1[[#This Row],[Remaining Extended cost]])</f>
        <v>0</v>
      </c>
    </row>
    <row r="525" spans="1:29" x14ac:dyDescent="0.25">
      <c r="A525" s="1" t="s">
        <v>528</v>
      </c>
      <c r="B525" s="4"/>
      <c r="F525" s="3">
        <f>9%*Table1[[#This Row],[Cost ]]</f>
        <v>0</v>
      </c>
      <c r="J525" s="49">
        <f>SUMIF('Multi-level BOM'!D$4:D$467,Table1[[#This Row],[Part Number]],'Multi-level BOM'!H$4:H$467)</f>
        <v>0</v>
      </c>
      <c r="K525" s="10">
        <f>Table1[[#This Row],[extended quantity]]*(Table1[[#This Row],[Cost ]]+Table1[[#This Row],[shipping]]+Table1[[#This Row],[Tax]])</f>
        <v>0</v>
      </c>
      <c r="L525" s="83" t="str">
        <f>IF(Table1[[#This Row],[Buy-now costs]]&gt;0,"X","")</f>
        <v/>
      </c>
      <c r="M525" s="83"/>
      <c r="N525" s="83"/>
      <c r="O525" s="40">
        <v>0</v>
      </c>
      <c r="P525" s="97">
        <f>Table1[[#This Row],[quantity on-hand]]*(Table1[[#This Row],[Cost ]]+Table1[[#This Row],[shipping]]+Table1[[#This Row],[Tax]])</f>
        <v>0</v>
      </c>
      <c r="Q525" s="40">
        <v>0</v>
      </c>
      <c r="R525" s="95">
        <f>Table1[[#This Row],[Quantity on order]]*(Table1[[#This Row],[Cost ]]+Table1[[#This Row],[shipping]]+Table1[[#This Row],[Tax]])</f>
        <v>0</v>
      </c>
      <c r="S5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5" s="49">
        <f>Table1[[#This Row],[Quantity  to  purchase]]+Table1[[#This Row],[Quantity purchased]]+Table1[[#This Row],[Quantity on order]]+Table1[[#This Row],[Quantity donated]]-Table1[[#This Row],[extended quantity]]</f>
        <v>0</v>
      </c>
      <c r="U5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5" s="51">
        <f>IFERROR(Table1[[#This Row],[Quantity  to  purchase]]*(Table1[[#This Row],[Cost ]]+Table1[[#This Row],[shipping]]+Table1[[#This Row],[Tax]]),0)</f>
        <v>0</v>
      </c>
      <c r="W525" s="36">
        <f>IFERROR(Table1[[#This Row],[leftover material]]*(Table1[[#This Row],[Cost ]]+Table1[[#This Row],[shipping]]+Table1[[#This Row],[Tax]]),0)</f>
        <v>0</v>
      </c>
      <c r="X525" s="36"/>
      <c r="Y525" s="87"/>
      <c r="Z525" s="87"/>
      <c r="AA525" s="87"/>
      <c r="AB525" s="36"/>
      <c r="AC525" s="36">
        <f>IF(ISNA(VLOOKUP(Table1[[#This Row],[Part Number]],'Multi-level BOM'!V$4:V$449,1,FALSE)),0,Table1[[#This Row],[Remaining Extended cost]])</f>
        <v>0</v>
      </c>
    </row>
    <row r="526" spans="1:29" x14ac:dyDescent="0.25">
      <c r="A526" s="1" t="s">
        <v>529</v>
      </c>
      <c r="B526" s="4"/>
      <c r="F526" s="3">
        <f>9%*Table1[[#This Row],[Cost ]]</f>
        <v>0</v>
      </c>
      <c r="J526" s="49">
        <f>SUMIF('Multi-level BOM'!D$4:D$467,Table1[[#This Row],[Part Number]],'Multi-level BOM'!H$4:H$467)</f>
        <v>0</v>
      </c>
      <c r="K526" s="10">
        <f>Table1[[#This Row],[extended quantity]]*(Table1[[#This Row],[Cost ]]+Table1[[#This Row],[shipping]]+Table1[[#This Row],[Tax]])</f>
        <v>0</v>
      </c>
      <c r="L526" s="83" t="str">
        <f>IF(Table1[[#This Row],[Buy-now costs]]&gt;0,"X","")</f>
        <v/>
      </c>
      <c r="M526" s="83"/>
      <c r="N526" s="83"/>
      <c r="O526" s="40">
        <v>0</v>
      </c>
      <c r="P526" s="97">
        <f>Table1[[#This Row],[quantity on-hand]]*(Table1[[#This Row],[Cost ]]+Table1[[#This Row],[shipping]]+Table1[[#This Row],[Tax]])</f>
        <v>0</v>
      </c>
      <c r="Q526" s="40">
        <v>0</v>
      </c>
      <c r="R526" s="95">
        <f>Table1[[#This Row],[Quantity on order]]*(Table1[[#This Row],[Cost ]]+Table1[[#This Row],[shipping]]+Table1[[#This Row],[Tax]])</f>
        <v>0</v>
      </c>
      <c r="S5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6" s="49">
        <f>Table1[[#This Row],[Quantity  to  purchase]]+Table1[[#This Row],[Quantity purchased]]+Table1[[#This Row],[Quantity on order]]+Table1[[#This Row],[Quantity donated]]-Table1[[#This Row],[extended quantity]]</f>
        <v>0</v>
      </c>
      <c r="U5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6" s="51">
        <f>IFERROR(Table1[[#This Row],[Quantity  to  purchase]]*(Table1[[#This Row],[Cost ]]+Table1[[#This Row],[shipping]]+Table1[[#This Row],[Tax]]),0)</f>
        <v>0</v>
      </c>
      <c r="W526" s="36">
        <f>IFERROR(Table1[[#This Row],[leftover material]]*(Table1[[#This Row],[Cost ]]+Table1[[#This Row],[shipping]]+Table1[[#This Row],[Tax]]),0)</f>
        <v>0</v>
      </c>
      <c r="X526" s="36"/>
      <c r="Y526" s="87"/>
      <c r="Z526" s="87"/>
      <c r="AA526" s="87"/>
      <c r="AB526" s="36"/>
      <c r="AC526" s="36">
        <f>IF(ISNA(VLOOKUP(Table1[[#This Row],[Part Number]],'Multi-level BOM'!V$4:V$449,1,FALSE)),0,Table1[[#This Row],[Remaining Extended cost]])</f>
        <v>0</v>
      </c>
    </row>
    <row r="527" spans="1:29" x14ac:dyDescent="0.25">
      <c r="A527" s="1" t="s">
        <v>530</v>
      </c>
      <c r="B527" s="4"/>
      <c r="F527" s="3">
        <f>9%*Table1[[#This Row],[Cost ]]</f>
        <v>0</v>
      </c>
      <c r="J527" s="49">
        <f>SUMIF('Multi-level BOM'!D$4:D$467,Table1[[#This Row],[Part Number]],'Multi-level BOM'!H$4:H$467)</f>
        <v>0</v>
      </c>
      <c r="K527" s="10">
        <f>Table1[[#This Row],[extended quantity]]*(Table1[[#This Row],[Cost ]]+Table1[[#This Row],[shipping]]+Table1[[#This Row],[Tax]])</f>
        <v>0</v>
      </c>
      <c r="L527" s="83" t="str">
        <f>IF(Table1[[#This Row],[Buy-now costs]]&gt;0,"X","")</f>
        <v/>
      </c>
      <c r="M527" s="83"/>
      <c r="N527" s="83"/>
      <c r="O527" s="40">
        <v>0</v>
      </c>
      <c r="P527" s="97">
        <f>Table1[[#This Row],[quantity on-hand]]*(Table1[[#This Row],[Cost ]]+Table1[[#This Row],[shipping]]+Table1[[#This Row],[Tax]])</f>
        <v>0</v>
      </c>
      <c r="Q527" s="40">
        <v>0</v>
      </c>
      <c r="R527" s="95">
        <f>Table1[[#This Row],[Quantity on order]]*(Table1[[#This Row],[Cost ]]+Table1[[#This Row],[shipping]]+Table1[[#This Row],[Tax]])</f>
        <v>0</v>
      </c>
      <c r="S5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7" s="49">
        <f>Table1[[#This Row],[Quantity  to  purchase]]+Table1[[#This Row],[Quantity purchased]]+Table1[[#This Row],[Quantity on order]]+Table1[[#This Row],[Quantity donated]]-Table1[[#This Row],[extended quantity]]</f>
        <v>0</v>
      </c>
      <c r="U5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7" s="51">
        <f>IFERROR(Table1[[#This Row],[Quantity  to  purchase]]*(Table1[[#This Row],[Cost ]]+Table1[[#This Row],[shipping]]+Table1[[#This Row],[Tax]]),0)</f>
        <v>0</v>
      </c>
      <c r="W527" s="36">
        <f>IFERROR(Table1[[#This Row],[leftover material]]*(Table1[[#This Row],[Cost ]]+Table1[[#This Row],[shipping]]+Table1[[#This Row],[Tax]]),0)</f>
        <v>0</v>
      </c>
      <c r="X527" s="36"/>
      <c r="Y527" s="87"/>
      <c r="Z527" s="87"/>
      <c r="AA527" s="87"/>
      <c r="AB527" s="36"/>
      <c r="AC527" s="36">
        <f>IF(ISNA(VLOOKUP(Table1[[#This Row],[Part Number]],'Multi-level BOM'!V$4:V$449,1,FALSE)),0,Table1[[#This Row],[Remaining Extended cost]])</f>
        <v>0</v>
      </c>
    </row>
    <row r="528" spans="1:29" x14ac:dyDescent="0.25">
      <c r="A528" s="1" t="s">
        <v>531</v>
      </c>
      <c r="B528" s="4"/>
      <c r="F528" s="3">
        <f>9%*Table1[[#This Row],[Cost ]]</f>
        <v>0</v>
      </c>
      <c r="J528" s="49">
        <f>SUMIF('Multi-level BOM'!D$4:D$467,Table1[[#This Row],[Part Number]],'Multi-level BOM'!H$4:H$467)</f>
        <v>0</v>
      </c>
      <c r="K528" s="10">
        <f>Table1[[#This Row],[extended quantity]]*(Table1[[#This Row],[Cost ]]+Table1[[#This Row],[shipping]]+Table1[[#This Row],[Tax]])</f>
        <v>0</v>
      </c>
      <c r="L528" s="83" t="str">
        <f>IF(Table1[[#This Row],[Buy-now costs]]&gt;0,"X","")</f>
        <v/>
      </c>
      <c r="M528" s="83"/>
      <c r="N528" s="83"/>
      <c r="O528" s="40">
        <v>0</v>
      </c>
      <c r="P528" s="97">
        <f>Table1[[#This Row],[quantity on-hand]]*(Table1[[#This Row],[Cost ]]+Table1[[#This Row],[shipping]]+Table1[[#This Row],[Tax]])</f>
        <v>0</v>
      </c>
      <c r="Q528" s="40">
        <v>0</v>
      </c>
      <c r="R528" s="95">
        <f>Table1[[#This Row],[Quantity on order]]*(Table1[[#This Row],[Cost ]]+Table1[[#This Row],[shipping]]+Table1[[#This Row],[Tax]])</f>
        <v>0</v>
      </c>
      <c r="S5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8" s="49">
        <f>Table1[[#This Row],[Quantity  to  purchase]]+Table1[[#This Row],[Quantity purchased]]+Table1[[#This Row],[Quantity on order]]+Table1[[#This Row],[Quantity donated]]-Table1[[#This Row],[extended quantity]]</f>
        <v>0</v>
      </c>
      <c r="U5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8" s="51">
        <f>IFERROR(Table1[[#This Row],[Quantity  to  purchase]]*(Table1[[#This Row],[Cost ]]+Table1[[#This Row],[shipping]]+Table1[[#This Row],[Tax]]),0)</f>
        <v>0</v>
      </c>
      <c r="W528" s="36">
        <f>IFERROR(Table1[[#This Row],[leftover material]]*(Table1[[#This Row],[Cost ]]+Table1[[#This Row],[shipping]]+Table1[[#This Row],[Tax]]),0)</f>
        <v>0</v>
      </c>
      <c r="X528" s="36"/>
      <c r="Y528" s="87"/>
      <c r="Z528" s="87"/>
      <c r="AA528" s="87"/>
      <c r="AB528" s="36"/>
      <c r="AC528" s="36">
        <f>IF(ISNA(VLOOKUP(Table1[[#This Row],[Part Number]],'Multi-level BOM'!V$4:V$449,1,FALSE)),0,Table1[[#This Row],[Remaining Extended cost]])</f>
        <v>0</v>
      </c>
    </row>
    <row r="529" spans="1:29" x14ac:dyDescent="0.25">
      <c r="A529" s="1" t="s">
        <v>532</v>
      </c>
      <c r="B529" s="4"/>
      <c r="F529" s="3">
        <f>9%*Table1[[#This Row],[Cost ]]</f>
        <v>0</v>
      </c>
      <c r="J529" s="49">
        <f>SUMIF('Multi-level BOM'!D$4:D$467,Table1[[#This Row],[Part Number]],'Multi-level BOM'!H$4:H$467)</f>
        <v>0</v>
      </c>
      <c r="K529" s="10">
        <f>Table1[[#This Row],[extended quantity]]*(Table1[[#This Row],[Cost ]]+Table1[[#This Row],[shipping]]+Table1[[#This Row],[Tax]])</f>
        <v>0</v>
      </c>
      <c r="L529" s="83" t="str">
        <f>IF(Table1[[#This Row],[Buy-now costs]]&gt;0,"X","")</f>
        <v/>
      </c>
      <c r="M529" s="83"/>
      <c r="N529" s="83"/>
      <c r="O529" s="40">
        <v>0</v>
      </c>
      <c r="P529" s="97">
        <f>Table1[[#This Row],[quantity on-hand]]*(Table1[[#This Row],[Cost ]]+Table1[[#This Row],[shipping]]+Table1[[#This Row],[Tax]])</f>
        <v>0</v>
      </c>
      <c r="Q529" s="40">
        <v>0</v>
      </c>
      <c r="R529" s="95">
        <f>Table1[[#This Row],[Quantity on order]]*(Table1[[#This Row],[Cost ]]+Table1[[#This Row],[shipping]]+Table1[[#This Row],[Tax]])</f>
        <v>0</v>
      </c>
      <c r="S5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9" s="49">
        <f>Table1[[#This Row],[Quantity  to  purchase]]+Table1[[#This Row],[Quantity purchased]]+Table1[[#This Row],[Quantity on order]]+Table1[[#This Row],[Quantity donated]]-Table1[[#This Row],[extended quantity]]</f>
        <v>0</v>
      </c>
      <c r="U5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9" s="51">
        <f>IFERROR(Table1[[#This Row],[Quantity  to  purchase]]*(Table1[[#This Row],[Cost ]]+Table1[[#This Row],[shipping]]+Table1[[#This Row],[Tax]]),0)</f>
        <v>0</v>
      </c>
      <c r="W529" s="36">
        <f>IFERROR(Table1[[#This Row],[leftover material]]*(Table1[[#This Row],[Cost ]]+Table1[[#This Row],[shipping]]+Table1[[#This Row],[Tax]]),0)</f>
        <v>0</v>
      </c>
      <c r="X529" s="36"/>
      <c r="Y529" s="87"/>
      <c r="Z529" s="87"/>
      <c r="AA529" s="87"/>
      <c r="AB529" s="36"/>
      <c r="AC529" s="36">
        <f>IF(ISNA(VLOOKUP(Table1[[#This Row],[Part Number]],'Multi-level BOM'!V$4:V$449,1,FALSE)),0,Table1[[#This Row],[Remaining Extended cost]])</f>
        <v>0</v>
      </c>
    </row>
    <row r="530" spans="1:29" x14ac:dyDescent="0.25">
      <c r="A530" s="1" t="s">
        <v>533</v>
      </c>
      <c r="B530" s="4"/>
      <c r="F530" s="3">
        <f>9%*Table1[[#This Row],[Cost ]]</f>
        <v>0</v>
      </c>
      <c r="J530" s="49">
        <f>SUMIF('Multi-level BOM'!D$4:D$467,Table1[[#This Row],[Part Number]],'Multi-level BOM'!H$4:H$467)</f>
        <v>0</v>
      </c>
      <c r="K530" s="10">
        <f>Table1[[#This Row],[extended quantity]]*(Table1[[#This Row],[Cost ]]+Table1[[#This Row],[shipping]]+Table1[[#This Row],[Tax]])</f>
        <v>0</v>
      </c>
      <c r="L530" s="83" t="str">
        <f>IF(Table1[[#This Row],[Buy-now costs]]&gt;0,"X","")</f>
        <v/>
      </c>
      <c r="M530" s="83"/>
      <c r="N530" s="83"/>
      <c r="O530" s="40">
        <v>0</v>
      </c>
      <c r="P530" s="97">
        <f>Table1[[#This Row],[quantity on-hand]]*(Table1[[#This Row],[Cost ]]+Table1[[#This Row],[shipping]]+Table1[[#This Row],[Tax]])</f>
        <v>0</v>
      </c>
      <c r="Q530" s="40">
        <v>0</v>
      </c>
      <c r="R530" s="95">
        <f>Table1[[#This Row],[Quantity on order]]*(Table1[[#This Row],[Cost ]]+Table1[[#This Row],[shipping]]+Table1[[#This Row],[Tax]])</f>
        <v>0</v>
      </c>
      <c r="S5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0" s="49">
        <f>Table1[[#This Row],[Quantity  to  purchase]]+Table1[[#This Row],[Quantity purchased]]+Table1[[#This Row],[Quantity on order]]+Table1[[#This Row],[Quantity donated]]-Table1[[#This Row],[extended quantity]]</f>
        <v>0</v>
      </c>
      <c r="U5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0" s="51">
        <f>IFERROR(Table1[[#This Row],[Quantity  to  purchase]]*(Table1[[#This Row],[Cost ]]+Table1[[#This Row],[shipping]]+Table1[[#This Row],[Tax]]),0)</f>
        <v>0</v>
      </c>
      <c r="W530" s="36">
        <f>IFERROR(Table1[[#This Row],[leftover material]]*(Table1[[#This Row],[Cost ]]+Table1[[#This Row],[shipping]]+Table1[[#This Row],[Tax]]),0)</f>
        <v>0</v>
      </c>
      <c r="X530" s="36"/>
      <c r="Y530" s="87"/>
      <c r="Z530" s="87"/>
      <c r="AA530" s="87"/>
      <c r="AB530" s="36"/>
      <c r="AC530" s="36">
        <f>IF(ISNA(VLOOKUP(Table1[[#This Row],[Part Number]],'Multi-level BOM'!V$4:V$449,1,FALSE)),0,Table1[[#This Row],[Remaining Extended cost]])</f>
        <v>0</v>
      </c>
    </row>
    <row r="531" spans="1:29" x14ac:dyDescent="0.25">
      <c r="A531" s="1" t="s">
        <v>534</v>
      </c>
      <c r="B531" s="4"/>
      <c r="F531" s="3">
        <f>9%*Table1[[#This Row],[Cost ]]</f>
        <v>0</v>
      </c>
      <c r="J531" s="49">
        <f>SUMIF('Multi-level BOM'!D$4:D$467,Table1[[#This Row],[Part Number]],'Multi-level BOM'!H$4:H$467)</f>
        <v>0</v>
      </c>
      <c r="K531" s="10">
        <f>Table1[[#This Row],[extended quantity]]*(Table1[[#This Row],[Cost ]]+Table1[[#This Row],[shipping]]+Table1[[#This Row],[Tax]])</f>
        <v>0</v>
      </c>
      <c r="L531" s="83" t="str">
        <f>IF(Table1[[#This Row],[Buy-now costs]]&gt;0,"X","")</f>
        <v/>
      </c>
      <c r="M531" s="83"/>
      <c r="N531" s="83"/>
      <c r="O531" s="40">
        <v>0</v>
      </c>
      <c r="P531" s="97">
        <f>Table1[[#This Row],[quantity on-hand]]*(Table1[[#This Row],[Cost ]]+Table1[[#This Row],[shipping]]+Table1[[#This Row],[Tax]])</f>
        <v>0</v>
      </c>
      <c r="Q531" s="40">
        <v>0</v>
      </c>
      <c r="R531" s="95">
        <f>Table1[[#This Row],[Quantity on order]]*(Table1[[#This Row],[Cost ]]+Table1[[#This Row],[shipping]]+Table1[[#This Row],[Tax]])</f>
        <v>0</v>
      </c>
      <c r="S5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1" s="49">
        <f>Table1[[#This Row],[Quantity  to  purchase]]+Table1[[#This Row],[Quantity purchased]]+Table1[[#This Row],[Quantity on order]]+Table1[[#This Row],[Quantity donated]]-Table1[[#This Row],[extended quantity]]</f>
        <v>0</v>
      </c>
      <c r="U5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1" s="51">
        <f>IFERROR(Table1[[#This Row],[Quantity  to  purchase]]*(Table1[[#This Row],[Cost ]]+Table1[[#This Row],[shipping]]+Table1[[#This Row],[Tax]]),0)</f>
        <v>0</v>
      </c>
      <c r="W531" s="36">
        <f>IFERROR(Table1[[#This Row],[leftover material]]*(Table1[[#This Row],[Cost ]]+Table1[[#This Row],[shipping]]+Table1[[#This Row],[Tax]]),0)</f>
        <v>0</v>
      </c>
      <c r="X531" s="36"/>
      <c r="Y531" s="87"/>
      <c r="Z531" s="87"/>
      <c r="AA531" s="87"/>
      <c r="AB531" s="36"/>
      <c r="AC531" s="36">
        <f>IF(ISNA(VLOOKUP(Table1[[#This Row],[Part Number]],'Multi-level BOM'!V$4:V$449,1,FALSE)),0,Table1[[#This Row],[Remaining Extended cost]])</f>
        <v>0</v>
      </c>
    </row>
    <row r="532" spans="1:29" x14ac:dyDescent="0.25">
      <c r="A532" s="1" t="s">
        <v>535</v>
      </c>
      <c r="B532" s="4"/>
      <c r="F532" s="3">
        <f>9%*Table1[[#This Row],[Cost ]]</f>
        <v>0</v>
      </c>
      <c r="J532" s="49">
        <f>SUMIF('Multi-level BOM'!D$4:D$467,Table1[[#This Row],[Part Number]],'Multi-level BOM'!H$4:H$467)</f>
        <v>0</v>
      </c>
      <c r="K532" s="10">
        <f>Table1[[#This Row],[extended quantity]]*(Table1[[#This Row],[Cost ]]+Table1[[#This Row],[shipping]]+Table1[[#This Row],[Tax]])</f>
        <v>0</v>
      </c>
      <c r="L532" s="83" t="str">
        <f>IF(Table1[[#This Row],[Buy-now costs]]&gt;0,"X","")</f>
        <v/>
      </c>
      <c r="M532" s="83"/>
      <c r="N532" s="83"/>
      <c r="O532" s="40">
        <v>0</v>
      </c>
      <c r="P532" s="97">
        <f>Table1[[#This Row],[quantity on-hand]]*(Table1[[#This Row],[Cost ]]+Table1[[#This Row],[shipping]]+Table1[[#This Row],[Tax]])</f>
        <v>0</v>
      </c>
      <c r="Q532" s="40">
        <v>0</v>
      </c>
      <c r="R532" s="95">
        <f>Table1[[#This Row],[Quantity on order]]*(Table1[[#This Row],[Cost ]]+Table1[[#This Row],[shipping]]+Table1[[#This Row],[Tax]])</f>
        <v>0</v>
      </c>
      <c r="S5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2" s="49">
        <f>Table1[[#This Row],[Quantity  to  purchase]]+Table1[[#This Row],[Quantity purchased]]+Table1[[#This Row],[Quantity on order]]+Table1[[#This Row],[Quantity donated]]-Table1[[#This Row],[extended quantity]]</f>
        <v>0</v>
      </c>
      <c r="U5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2" s="51">
        <f>IFERROR(Table1[[#This Row],[Quantity  to  purchase]]*(Table1[[#This Row],[Cost ]]+Table1[[#This Row],[shipping]]+Table1[[#This Row],[Tax]]),0)</f>
        <v>0</v>
      </c>
      <c r="W532" s="36">
        <f>IFERROR(Table1[[#This Row],[leftover material]]*(Table1[[#This Row],[Cost ]]+Table1[[#This Row],[shipping]]+Table1[[#This Row],[Tax]]),0)</f>
        <v>0</v>
      </c>
      <c r="X532" s="36"/>
      <c r="Y532" s="87"/>
      <c r="Z532" s="87"/>
      <c r="AA532" s="87"/>
      <c r="AB532" s="36"/>
      <c r="AC532" s="36">
        <f>IF(ISNA(VLOOKUP(Table1[[#This Row],[Part Number]],'Multi-level BOM'!V$4:V$449,1,FALSE)),0,Table1[[#This Row],[Remaining Extended cost]])</f>
        <v>0</v>
      </c>
    </row>
    <row r="533" spans="1:29" x14ac:dyDescent="0.25">
      <c r="A533" s="1" t="s">
        <v>536</v>
      </c>
      <c r="B533" s="4"/>
      <c r="F533" s="3">
        <f>9%*Table1[[#This Row],[Cost ]]</f>
        <v>0</v>
      </c>
      <c r="J533" s="49">
        <f>SUMIF('Multi-level BOM'!D$4:D$467,Table1[[#This Row],[Part Number]],'Multi-level BOM'!H$4:H$467)</f>
        <v>0</v>
      </c>
      <c r="K533" s="10">
        <f>Table1[[#This Row],[extended quantity]]*(Table1[[#This Row],[Cost ]]+Table1[[#This Row],[shipping]]+Table1[[#This Row],[Tax]])</f>
        <v>0</v>
      </c>
      <c r="L533" s="83" t="str">
        <f>IF(Table1[[#This Row],[Buy-now costs]]&gt;0,"X","")</f>
        <v/>
      </c>
      <c r="M533" s="83"/>
      <c r="N533" s="83"/>
      <c r="O533" s="40">
        <v>0</v>
      </c>
      <c r="P533" s="97">
        <f>Table1[[#This Row],[quantity on-hand]]*(Table1[[#This Row],[Cost ]]+Table1[[#This Row],[shipping]]+Table1[[#This Row],[Tax]])</f>
        <v>0</v>
      </c>
      <c r="Q533" s="40">
        <v>0</v>
      </c>
      <c r="R533" s="95">
        <f>Table1[[#This Row],[Quantity on order]]*(Table1[[#This Row],[Cost ]]+Table1[[#This Row],[shipping]]+Table1[[#This Row],[Tax]])</f>
        <v>0</v>
      </c>
      <c r="S5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3" s="49">
        <f>Table1[[#This Row],[Quantity  to  purchase]]+Table1[[#This Row],[Quantity purchased]]+Table1[[#This Row],[Quantity on order]]+Table1[[#This Row],[Quantity donated]]-Table1[[#This Row],[extended quantity]]</f>
        <v>0</v>
      </c>
      <c r="U5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3" s="51">
        <f>IFERROR(Table1[[#This Row],[Quantity  to  purchase]]*(Table1[[#This Row],[Cost ]]+Table1[[#This Row],[shipping]]+Table1[[#This Row],[Tax]]),0)</f>
        <v>0</v>
      </c>
      <c r="W533" s="36">
        <f>IFERROR(Table1[[#This Row],[leftover material]]*(Table1[[#This Row],[Cost ]]+Table1[[#This Row],[shipping]]+Table1[[#This Row],[Tax]]),0)</f>
        <v>0</v>
      </c>
      <c r="X533" s="36"/>
      <c r="Y533" s="87"/>
      <c r="Z533" s="87"/>
      <c r="AA533" s="87"/>
      <c r="AB533" s="36"/>
      <c r="AC533" s="36">
        <f>IF(ISNA(VLOOKUP(Table1[[#This Row],[Part Number]],'Multi-level BOM'!V$4:V$449,1,FALSE)),0,Table1[[#This Row],[Remaining Extended cost]])</f>
        <v>0</v>
      </c>
    </row>
    <row r="534" spans="1:29" x14ac:dyDescent="0.25">
      <c r="A534" s="1" t="s">
        <v>537</v>
      </c>
      <c r="B534" s="4"/>
      <c r="F534" s="3">
        <f>9%*Table1[[#This Row],[Cost ]]</f>
        <v>0</v>
      </c>
      <c r="J534" s="49">
        <f>SUMIF('Multi-level BOM'!D$4:D$467,Table1[[#This Row],[Part Number]],'Multi-level BOM'!H$4:H$467)</f>
        <v>0</v>
      </c>
      <c r="K534" s="10">
        <f>Table1[[#This Row],[extended quantity]]*(Table1[[#This Row],[Cost ]]+Table1[[#This Row],[shipping]]+Table1[[#This Row],[Tax]])</f>
        <v>0</v>
      </c>
      <c r="L534" s="83" t="str">
        <f>IF(Table1[[#This Row],[Buy-now costs]]&gt;0,"X","")</f>
        <v/>
      </c>
      <c r="M534" s="83"/>
      <c r="N534" s="83"/>
      <c r="O534" s="40">
        <v>0</v>
      </c>
      <c r="P534" s="97">
        <f>Table1[[#This Row],[quantity on-hand]]*(Table1[[#This Row],[Cost ]]+Table1[[#This Row],[shipping]]+Table1[[#This Row],[Tax]])</f>
        <v>0</v>
      </c>
      <c r="Q534" s="40">
        <v>0</v>
      </c>
      <c r="R534" s="95">
        <f>Table1[[#This Row],[Quantity on order]]*(Table1[[#This Row],[Cost ]]+Table1[[#This Row],[shipping]]+Table1[[#This Row],[Tax]])</f>
        <v>0</v>
      </c>
      <c r="S5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4" s="49">
        <f>Table1[[#This Row],[Quantity  to  purchase]]+Table1[[#This Row],[Quantity purchased]]+Table1[[#This Row],[Quantity on order]]+Table1[[#This Row],[Quantity donated]]-Table1[[#This Row],[extended quantity]]</f>
        <v>0</v>
      </c>
      <c r="U5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4" s="51">
        <f>IFERROR(Table1[[#This Row],[Quantity  to  purchase]]*(Table1[[#This Row],[Cost ]]+Table1[[#This Row],[shipping]]+Table1[[#This Row],[Tax]]),0)</f>
        <v>0</v>
      </c>
      <c r="W534" s="36">
        <f>IFERROR(Table1[[#This Row],[leftover material]]*(Table1[[#This Row],[Cost ]]+Table1[[#This Row],[shipping]]+Table1[[#This Row],[Tax]]),0)</f>
        <v>0</v>
      </c>
      <c r="X534" s="36"/>
      <c r="Y534" s="87"/>
      <c r="Z534" s="87"/>
      <c r="AA534" s="87"/>
      <c r="AB534" s="36"/>
      <c r="AC534" s="36">
        <f>IF(ISNA(VLOOKUP(Table1[[#This Row],[Part Number]],'Multi-level BOM'!V$4:V$449,1,FALSE)),0,Table1[[#This Row],[Remaining Extended cost]])</f>
        <v>0</v>
      </c>
    </row>
    <row r="535" spans="1:29" x14ac:dyDescent="0.25">
      <c r="A535" s="1" t="s">
        <v>538</v>
      </c>
      <c r="B535" s="4"/>
      <c r="F535" s="3">
        <f>9%*Table1[[#This Row],[Cost ]]</f>
        <v>0</v>
      </c>
      <c r="J535" s="49">
        <f>SUMIF('Multi-level BOM'!D$4:D$467,Table1[[#This Row],[Part Number]],'Multi-level BOM'!H$4:H$467)</f>
        <v>0</v>
      </c>
      <c r="K535" s="10">
        <f>Table1[[#This Row],[extended quantity]]*(Table1[[#This Row],[Cost ]]+Table1[[#This Row],[shipping]]+Table1[[#This Row],[Tax]])</f>
        <v>0</v>
      </c>
      <c r="L535" s="83" t="str">
        <f>IF(Table1[[#This Row],[Buy-now costs]]&gt;0,"X","")</f>
        <v/>
      </c>
      <c r="M535" s="83"/>
      <c r="N535" s="83"/>
      <c r="O535" s="40">
        <v>0</v>
      </c>
      <c r="P535" s="97">
        <f>Table1[[#This Row],[quantity on-hand]]*(Table1[[#This Row],[Cost ]]+Table1[[#This Row],[shipping]]+Table1[[#This Row],[Tax]])</f>
        <v>0</v>
      </c>
      <c r="Q535" s="40">
        <v>0</v>
      </c>
      <c r="R535" s="95">
        <f>Table1[[#This Row],[Quantity on order]]*(Table1[[#This Row],[Cost ]]+Table1[[#This Row],[shipping]]+Table1[[#This Row],[Tax]])</f>
        <v>0</v>
      </c>
      <c r="S5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5" s="49">
        <f>Table1[[#This Row],[Quantity  to  purchase]]+Table1[[#This Row],[Quantity purchased]]+Table1[[#This Row],[Quantity on order]]+Table1[[#This Row],[Quantity donated]]-Table1[[#This Row],[extended quantity]]</f>
        <v>0</v>
      </c>
      <c r="U5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5" s="51">
        <f>IFERROR(Table1[[#This Row],[Quantity  to  purchase]]*(Table1[[#This Row],[Cost ]]+Table1[[#This Row],[shipping]]+Table1[[#This Row],[Tax]]),0)</f>
        <v>0</v>
      </c>
      <c r="W535" s="36">
        <f>IFERROR(Table1[[#This Row],[leftover material]]*(Table1[[#This Row],[Cost ]]+Table1[[#This Row],[shipping]]+Table1[[#This Row],[Tax]]),0)</f>
        <v>0</v>
      </c>
      <c r="X535" s="36"/>
      <c r="Y535" s="87"/>
      <c r="Z535" s="87"/>
      <c r="AA535" s="87"/>
      <c r="AB535" s="36"/>
      <c r="AC535" s="36">
        <f>IF(ISNA(VLOOKUP(Table1[[#This Row],[Part Number]],'Multi-level BOM'!V$4:V$449,1,FALSE)),0,Table1[[#This Row],[Remaining Extended cost]])</f>
        <v>0</v>
      </c>
    </row>
    <row r="536" spans="1:29" x14ac:dyDescent="0.25">
      <c r="A536" s="1" t="s">
        <v>539</v>
      </c>
      <c r="B536" s="4"/>
      <c r="F536" s="3">
        <f>9%*Table1[[#This Row],[Cost ]]</f>
        <v>0</v>
      </c>
      <c r="J536" s="49">
        <f>SUMIF('Multi-level BOM'!D$4:D$467,Table1[[#This Row],[Part Number]],'Multi-level BOM'!H$4:H$467)</f>
        <v>0</v>
      </c>
      <c r="K536" s="10">
        <f>Table1[[#This Row],[extended quantity]]*(Table1[[#This Row],[Cost ]]+Table1[[#This Row],[shipping]]+Table1[[#This Row],[Tax]])</f>
        <v>0</v>
      </c>
      <c r="L536" s="83" t="str">
        <f>IF(Table1[[#This Row],[Buy-now costs]]&gt;0,"X","")</f>
        <v/>
      </c>
      <c r="M536" s="83"/>
      <c r="N536" s="83"/>
      <c r="O536" s="40">
        <v>0</v>
      </c>
      <c r="P536" s="97">
        <f>Table1[[#This Row],[quantity on-hand]]*(Table1[[#This Row],[Cost ]]+Table1[[#This Row],[shipping]]+Table1[[#This Row],[Tax]])</f>
        <v>0</v>
      </c>
      <c r="Q536" s="40">
        <v>0</v>
      </c>
      <c r="R536" s="95">
        <f>Table1[[#This Row],[Quantity on order]]*(Table1[[#This Row],[Cost ]]+Table1[[#This Row],[shipping]]+Table1[[#This Row],[Tax]])</f>
        <v>0</v>
      </c>
      <c r="S5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6" s="49">
        <f>Table1[[#This Row],[Quantity  to  purchase]]+Table1[[#This Row],[Quantity purchased]]+Table1[[#This Row],[Quantity on order]]+Table1[[#This Row],[Quantity donated]]-Table1[[#This Row],[extended quantity]]</f>
        <v>0</v>
      </c>
      <c r="U5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6" s="51">
        <f>IFERROR(Table1[[#This Row],[Quantity  to  purchase]]*(Table1[[#This Row],[Cost ]]+Table1[[#This Row],[shipping]]+Table1[[#This Row],[Tax]]),0)</f>
        <v>0</v>
      </c>
      <c r="W536" s="36">
        <f>IFERROR(Table1[[#This Row],[leftover material]]*(Table1[[#This Row],[Cost ]]+Table1[[#This Row],[shipping]]+Table1[[#This Row],[Tax]]),0)</f>
        <v>0</v>
      </c>
      <c r="X536" s="36"/>
      <c r="Y536" s="87"/>
      <c r="Z536" s="87"/>
      <c r="AA536" s="87"/>
      <c r="AB536" s="36"/>
      <c r="AC536" s="36">
        <f>IF(ISNA(VLOOKUP(Table1[[#This Row],[Part Number]],'Multi-level BOM'!V$4:V$449,1,FALSE)),0,Table1[[#This Row],[Remaining Extended cost]])</f>
        <v>0</v>
      </c>
    </row>
    <row r="537" spans="1:29" x14ac:dyDescent="0.25">
      <c r="A537" s="1" t="s">
        <v>540</v>
      </c>
      <c r="B537" s="4"/>
      <c r="F537" s="3">
        <f>9%*Table1[[#This Row],[Cost ]]</f>
        <v>0</v>
      </c>
      <c r="J537" s="49">
        <f>SUMIF('Multi-level BOM'!D$4:D$467,Table1[[#This Row],[Part Number]],'Multi-level BOM'!H$4:H$467)</f>
        <v>0</v>
      </c>
      <c r="K537" s="10">
        <f>Table1[[#This Row],[extended quantity]]*(Table1[[#This Row],[Cost ]]+Table1[[#This Row],[shipping]]+Table1[[#This Row],[Tax]])</f>
        <v>0</v>
      </c>
      <c r="L537" s="83" t="str">
        <f>IF(Table1[[#This Row],[Buy-now costs]]&gt;0,"X","")</f>
        <v/>
      </c>
      <c r="M537" s="83"/>
      <c r="N537" s="83"/>
      <c r="O537" s="40">
        <v>0</v>
      </c>
      <c r="P537" s="97">
        <f>Table1[[#This Row],[quantity on-hand]]*(Table1[[#This Row],[Cost ]]+Table1[[#This Row],[shipping]]+Table1[[#This Row],[Tax]])</f>
        <v>0</v>
      </c>
      <c r="Q537" s="40">
        <v>0</v>
      </c>
      <c r="R537" s="95">
        <f>Table1[[#This Row],[Quantity on order]]*(Table1[[#This Row],[Cost ]]+Table1[[#This Row],[shipping]]+Table1[[#This Row],[Tax]])</f>
        <v>0</v>
      </c>
      <c r="S5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7" s="49">
        <f>Table1[[#This Row],[Quantity  to  purchase]]+Table1[[#This Row],[Quantity purchased]]+Table1[[#This Row],[Quantity on order]]+Table1[[#This Row],[Quantity donated]]-Table1[[#This Row],[extended quantity]]</f>
        <v>0</v>
      </c>
      <c r="U5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7" s="51">
        <f>IFERROR(Table1[[#This Row],[Quantity  to  purchase]]*(Table1[[#This Row],[Cost ]]+Table1[[#This Row],[shipping]]+Table1[[#This Row],[Tax]]),0)</f>
        <v>0</v>
      </c>
      <c r="W537" s="36">
        <f>IFERROR(Table1[[#This Row],[leftover material]]*(Table1[[#This Row],[Cost ]]+Table1[[#This Row],[shipping]]+Table1[[#This Row],[Tax]]),0)</f>
        <v>0</v>
      </c>
      <c r="X537" s="36"/>
      <c r="Y537" s="87"/>
      <c r="Z537" s="87"/>
      <c r="AA537" s="87"/>
      <c r="AB537" s="36"/>
      <c r="AC537" s="36">
        <f>IF(ISNA(VLOOKUP(Table1[[#This Row],[Part Number]],'Multi-level BOM'!V$4:V$449,1,FALSE)),0,Table1[[#This Row],[Remaining Extended cost]])</f>
        <v>0</v>
      </c>
    </row>
    <row r="538" spans="1:29" x14ac:dyDescent="0.25">
      <c r="A538" s="1" t="s">
        <v>541</v>
      </c>
      <c r="B538" s="4"/>
      <c r="F538" s="3">
        <f>9%*Table1[[#This Row],[Cost ]]</f>
        <v>0</v>
      </c>
      <c r="J538" s="49">
        <f>SUMIF('Multi-level BOM'!D$4:D$467,Table1[[#This Row],[Part Number]],'Multi-level BOM'!H$4:H$467)</f>
        <v>0</v>
      </c>
      <c r="K538" s="10">
        <f>Table1[[#This Row],[extended quantity]]*(Table1[[#This Row],[Cost ]]+Table1[[#This Row],[shipping]]+Table1[[#This Row],[Tax]])</f>
        <v>0</v>
      </c>
      <c r="L538" s="83" t="str">
        <f>IF(Table1[[#This Row],[Buy-now costs]]&gt;0,"X","")</f>
        <v/>
      </c>
      <c r="M538" s="83"/>
      <c r="N538" s="83"/>
      <c r="O538" s="40">
        <v>0</v>
      </c>
      <c r="P538" s="97">
        <f>Table1[[#This Row],[quantity on-hand]]*(Table1[[#This Row],[Cost ]]+Table1[[#This Row],[shipping]]+Table1[[#This Row],[Tax]])</f>
        <v>0</v>
      </c>
      <c r="Q538" s="40">
        <v>0</v>
      </c>
      <c r="R538" s="95">
        <f>Table1[[#This Row],[Quantity on order]]*(Table1[[#This Row],[Cost ]]+Table1[[#This Row],[shipping]]+Table1[[#This Row],[Tax]])</f>
        <v>0</v>
      </c>
      <c r="S5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8" s="49">
        <f>Table1[[#This Row],[Quantity  to  purchase]]+Table1[[#This Row],[Quantity purchased]]+Table1[[#This Row],[Quantity on order]]+Table1[[#This Row],[Quantity donated]]-Table1[[#This Row],[extended quantity]]</f>
        <v>0</v>
      </c>
      <c r="U5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8" s="51">
        <f>IFERROR(Table1[[#This Row],[Quantity  to  purchase]]*(Table1[[#This Row],[Cost ]]+Table1[[#This Row],[shipping]]+Table1[[#This Row],[Tax]]),0)</f>
        <v>0</v>
      </c>
      <c r="W538" s="36">
        <f>IFERROR(Table1[[#This Row],[leftover material]]*(Table1[[#This Row],[Cost ]]+Table1[[#This Row],[shipping]]+Table1[[#This Row],[Tax]]),0)</f>
        <v>0</v>
      </c>
      <c r="X538" s="36"/>
      <c r="Y538" s="87"/>
      <c r="Z538" s="87"/>
      <c r="AA538" s="87"/>
      <c r="AB538" s="36"/>
      <c r="AC538" s="36">
        <f>IF(ISNA(VLOOKUP(Table1[[#This Row],[Part Number]],'Multi-level BOM'!V$4:V$449,1,FALSE)),0,Table1[[#This Row],[Remaining Extended cost]])</f>
        <v>0</v>
      </c>
    </row>
    <row r="539" spans="1:29" x14ac:dyDescent="0.25">
      <c r="A539" s="1" t="s">
        <v>542</v>
      </c>
      <c r="B539" s="4"/>
      <c r="F539" s="3">
        <f>9%*Table1[[#This Row],[Cost ]]</f>
        <v>0</v>
      </c>
      <c r="J539" s="49">
        <f>SUMIF('Multi-level BOM'!D$4:D$467,Table1[[#This Row],[Part Number]],'Multi-level BOM'!H$4:H$467)</f>
        <v>0</v>
      </c>
      <c r="K539" s="10">
        <f>Table1[[#This Row],[extended quantity]]*(Table1[[#This Row],[Cost ]]+Table1[[#This Row],[shipping]]+Table1[[#This Row],[Tax]])</f>
        <v>0</v>
      </c>
      <c r="L539" s="83" t="str">
        <f>IF(Table1[[#This Row],[Buy-now costs]]&gt;0,"X","")</f>
        <v/>
      </c>
      <c r="M539" s="83"/>
      <c r="N539" s="83"/>
      <c r="O539" s="40">
        <v>0</v>
      </c>
      <c r="P539" s="97">
        <f>Table1[[#This Row],[quantity on-hand]]*(Table1[[#This Row],[Cost ]]+Table1[[#This Row],[shipping]]+Table1[[#This Row],[Tax]])</f>
        <v>0</v>
      </c>
      <c r="Q539" s="40">
        <v>0</v>
      </c>
      <c r="R539" s="95">
        <f>Table1[[#This Row],[Quantity on order]]*(Table1[[#This Row],[Cost ]]+Table1[[#This Row],[shipping]]+Table1[[#This Row],[Tax]])</f>
        <v>0</v>
      </c>
      <c r="S5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9" s="49">
        <f>Table1[[#This Row],[Quantity  to  purchase]]+Table1[[#This Row],[Quantity purchased]]+Table1[[#This Row],[Quantity on order]]+Table1[[#This Row],[Quantity donated]]-Table1[[#This Row],[extended quantity]]</f>
        <v>0</v>
      </c>
      <c r="U5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9" s="51">
        <f>IFERROR(Table1[[#This Row],[Quantity  to  purchase]]*(Table1[[#This Row],[Cost ]]+Table1[[#This Row],[shipping]]+Table1[[#This Row],[Tax]]),0)</f>
        <v>0</v>
      </c>
      <c r="W539" s="36">
        <f>IFERROR(Table1[[#This Row],[leftover material]]*(Table1[[#This Row],[Cost ]]+Table1[[#This Row],[shipping]]+Table1[[#This Row],[Tax]]),0)</f>
        <v>0</v>
      </c>
      <c r="X539" s="36"/>
      <c r="Y539" s="87"/>
      <c r="Z539" s="87"/>
      <c r="AA539" s="87"/>
      <c r="AB539" s="36"/>
      <c r="AC539" s="36">
        <f>IF(ISNA(VLOOKUP(Table1[[#This Row],[Part Number]],'Multi-level BOM'!V$4:V$449,1,FALSE)),0,Table1[[#This Row],[Remaining Extended cost]])</f>
        <v>0</v>
      </c>
    </row>
    <row r="540" spans="1:29" x14ac:dyDescent="0.25">
      <c r="A540" s="1" t="s">
        <v>543</v>
      </c>
      <c r="B540" s="4"/>
      <c r="F540" s="3">
        <f>9%*Table1[[#This Row],[Cost ]]</f>
        <v>0</v>
      </c>
      <c r="J540" s="49">
        <f>SUMIF('Multi-level BOM'!D$4:D$467,Table1[[#This Row],[Part Number]],'Multi-level BOM'!H$4:H$467)</f>
        <v>0</v>
      </c>
      <c r="K540" s="10">
        <f>Table1[[#This Row],[extended quantity]]*(Table1[[#This Row],[Cost ]]+Table1[[#This Row],[shipping]]+Table1[[#This Row],[Tax]])</f>
        <v>0</v>
      </c>
      <c r="L540" s="83" t="str">
        <f>IF(Table1[[#This Row],[Buy-now costs]]&gt;0,"X","")</f>
        <v/>
      </c>
      <c r="M540" s="83"/>
      <c r="N540" s="83"/>
      <c r="O540" s="40">
        <v>0</v>
      </c>
      <c r="P540" s="97">
        <f>Table1[[#This Row],[quantity on-hand]]*(Table1[[#This Row],[Cost ]]+Table1[[#This Row],[shipping]]+Table1[[#This Row],[Tax]])</f>
        <v>0</v>
      </c>
      <c r="Q540" s="40">
        <v>0</v>
      </c>
      <c r="R540" s="95">
        <f>Table1[[#This Row],[Quantity on order]]*(Table1[[#This Row],[Cost ]]+Table1[[#This Row],[shipping]]+Table1[[#This Row],[Tax]])</f>
        <v>0</v>
      </c>
      <c r="S5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0" s="49">
        <f>Table1[[#This Row],[Quantity  to  purchase]]+Table1[[#This Row],[Quantity purchased]]+Table1[[#This Row],[Quantity on order]]+Table1[[#This Row],[Quantity donated]]-Table1[[#This Row],[extended quantity]]</f>
        <v>0</v>
      </c>
      <c r="U5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0" s="51">
        <f>IFERROR(Table1[[#This Row],[Quantity  to  purchase]]*(Table1[[#This Row],[Cost ]]+Table1[[#This Row],[shipping]]+Table1[[#This Row],[Tax]]),0)</f>
        <v>0</v>
      </c>
      <c r="W540" s="36">
        <f>IFERROR(Table1[[#This Row],[leftover material]]*(Table1[[#This Row],[Cost ]]+Table1[[#This Row],[shipping]]+Table1[[#This Row],[Tax]]),0)</f>
        <v>0</v>
      </c>
      <c r="X540" s="36"/>
      <c r="Y540" s="87"/>
      <c r="Z540" s="87"/>
      <c r="AA540" s="87"/>
      <c r="AB540" s="36"/>
      <c r="AC540" s="36">
        <f>IF(ISNA(VLOOKUP(Table1[[#This Row],[Part Number]],'Multi-level BOM'!V$4:V$449,1,FALSE)),0,Table1[[#This Row],[Remaining Extended cost]])</f>
        <v>0</v>
      </c>
    </row>
    <row r="541" spans="1:29" x14ac:dyDescent="0.25">
      <c r="A541" s="1" t="s">
        <v>544</v>
      </c>
      <c r="B541" s="4"/>
      <c r="F541" s="3">
        <f>9%*Table1[[#This Row],[Cost ]]</f>
        <v>0</v>
      </c>
      <c r="J541" s="49">
        <f>SUMIF('Multi-level BOM'!D$4:D$467,Table1[[#This Row],[Part Number]],'Multi-level BOM'!H$4:H$467)</f>
        <v>0</v>
      </c>
      <c r="K541" s="10">
        <f>Table1[[#This Row],[extended quantity]]*(Table1[[#This Row],[Cost ]]+Table1[[#This Row],[shipping]]+Table1[[#This Row],[Tax]])</f>
        <v>0</v>
      </c>
      <c r="L541" s="83" t="str">
        <f>IF(Table1[[#This Row],[Buy-now costs]]&gt;0,"X","")</f>
        <v/>
      </c>
      <c r="M541" s="83"/>
      <c r="N541" s="83"/>
      <c r="O541" s="40">
        <v>0</v>
      </c>
      <c r="P541" s="97">
        <f>Table1[[#This Row],[quantity on-hand]]*(Table1[[#This Row],[Cost ]]+Table1[[#This Row],[shipping]]+Table1[[#This Row],[Tax]])</f>
        <v>0</v>
      </c>
      <c r="Q541" s="40">
        <v>0</v>
      </c>
      <c r="R541" s="95">
        <f>Table1[[#This Row],[Quantity on order]]*(Table1[[#This Row],[Cost ]]+Table1[[#This Row],[shipping]]+Table1[[#This Row],[Tax]])</f>
        <v>0</v>
      </c>
      <c r="S5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1" s="49">
        <f>Table1[[#This Row],[Quantity  to  purchase]]+Table1[[#This Row],[Quantity purchased]]+Table1[[#This Row],[Quantity on order]]+Table1[[#This Row],[Quantity donated]]-Table1[[#This Row],[extended quantity]]</f>
        <v>0</v>
      </c>
      <c r="U5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1" s="51">
        <f>IFERROR(Table1[[#This Row],[Quantity  to  purchase]]*(Table1[[#This Row],[Cost ]]+Table1[[#This Row],[shipping]]+Table1[[#This Row],[Tax]]),0)</f>
        <v>0</v>
      </c>
      <c r="W541" s="36">
        <f>IFERROR(Table1[[#This Row],[leftover material]]*(Table1[[#This Row],[Cost ]]+Table1[[#This Row],[shipping]]+Table1[[#This Row],[Tax]]),0)</f>
        <v>0</v>
      </c>
      <c r="X541" s="36"/>
      <c r="Y541" s="87"/>
      <c r="Z541" s="87"/>
      <c r="AA541" s="87"/>
      <c r="AB541" s="36"/>
      <c r="AC541" s="36">
        <f>IF(ISNA(VLOOKUP(Table1[[#This Row],[Part Number]],'Multi-level BOM'!V$4:V$449,1,FALSE)),0,Table1[[#This Row],[Remaining Extended cost]])</f>
        <v>0</v>
      </c>
    </row>
    <row r="542" spans="1:29" x14ac:dyDescent="0.25">
      <c r="A542" s="1" t="s">
        <v>545</v>
      </c>
      <c r="B542" s="4"/>
      <c r="F542" s="3">
        <f>9%*Table1[[#This Row],[Cost ]]</f>
        <v>0</v>
      </c>
      <c r="J542" s="49">
        <f>SUMIF('Multi-level BOM'!D$4:D$467,Table1[[#This Row],[Part Number]],'Multi-level BOM'!H$4:H$467)</f>
        <v>0</v>
      </c>
      <c r="K542" s="10">
        <f>Table1[[#This Row],[extended quantity]]*(Table1[[#This Row],[Cost ]]+Table1[[#This Row],[shipping]]+Table1[[#This Row],[Tax]])</f>
        <v>0</v>
      </c>
      <c r="L542" s="83" t="str">
        <f>IF(Table1[[#This Row],[Buy-now costs]]&gt;0,"X","")</f>
        <v/>
      </c>
      <c r="M542" s="83"/>
      <c r="N542" s="83"/>
      <c r="O542" s="40">
        <v>0</v>
      </c>
      <c r="P542" s="97">
        <f>Table1[[#This Row],[quantity on-hand]]*(Table1[[#This Row],[Cost ]]+Table1[[#This Row],[shipping]]+Table1[[#This Row],[Tax]])</f>
        <v>0</v>
      </c>
      <c r="Q542" s="40">
        <v>0</v>
      </c>
      <c r="R542" s="95">
        <f>Table1[[#This Row],[Quantity on order]]*(Table1[[#This Row],[Cost ]]+Table1[[#This Row],[shipping]]+Table1[[#This Row],[Tax]])</f>
        <v>0</v>
      </c>
      <c r="S5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2" s="49">
        <f>Table1[[#This Row],[Quantity  to  purchase]]+Table1[[#This Row],[Quantity purchased]]+Table1[[#This Row],[Quantity on order]]+Table1[[#This Row],[Quantity donated]]-Table1[[#This Row],[extended quantity]]</f>
        <v>0</v>
      </c>
      <c r="U5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2" s="51">
        <f>IFERROR(Table1[[#This Row],[Quantity  to  purchase]]*(Table1[[#This Row],[Cost ]]+Table1[[#This Row],[shipping]]+Table1[[#This Row],[Tax]]),0)</f>
        <v>0</v>
      </c>
      <c r="W542" s="36">
        <f>IFERROR(Table1[[#This Row],[leftover material]]*(Table1[[#This Row],[Cost ]]+Table1[[#This Row],[shipping]]+Table1[[#This Row],[Tax]]),0)</f>
        <v>0</v>
      </c>
      <c r="X542" s="36"/>
      <c r="Y542" s="87"/>
      <c r="Z542" s="87"/>
      <c r="AA542" s="87"/>
      <c r="AB542" s="36"/>
      <c r="AC542" s="36">
        <f>IF(ISNA(VLOOKUP(Table1[[#This Row],[Part Number]],'Multi-level BOM'!V$4:V$449,1,FALSE)),0,Table1[[#This Row],[Remaining Extended cost]])</f>
        <v>0</v>
      </c>
    </row>
    <row r="543" spans="1:29" x14ac:dyDescent="0.25">
      <c r="A543" s="1" t="s">
        <v>546</v>
      </c>
      <c r="B543" s="4"/>
      <c r="F543" s="3">
        <f>9%*Table1[[#This Row],[Cost ]]</f>
        <v>0</v>
      </c>
      <c r="J543" s="49">
        <f>SUMIF('Multi-level BOM'!D$4:D$467,Table1[[#This Row],[Part Number]],'Multi-level BOM'!H$4:H$467)</f>
        <v>0</v>
      </c>
      <c r="K543" s="10">
        <f>Table1[[#This Row],[extended quantity]]*(Table1[[#This Row],[Cost ]]+Table1[[#This Row],[shipping]]+Table1[[#This Row],[Tax]])</f>
        <v>0</v>
      </c>
      <c r="L543" s="83" t="str">
        <f>IF(Table1[[#This Row],[Buy-now costs]]&gt;0,"X","")</f>
        <v/>
      </c>
      <c r="M543" s="83"/>
      <c r="N543" s="83"/>
      <c r="O543" s="40">
        <v>0</v>
      </c>
      <c r="P543" s="97">
        <f>Table1[[#This Row],[quantity on-hand]]*(Table1[[#This Row],[Cost ]]+Table1[[#This Row],[shipping]]+Table1[[#This Row],[Tax]])</f>
        <v>0</v>
      </c>
      <c r="Q543" s="40">
        <v>0</v>
      </c>
      <c r="R543" s="95">
        <f>Table1[[#This Row],[Quantity on order]]*(Table1[[#This Row],[Cost ]]+Table1[[#This Row],[shipping]]+Table1[[#This Row],[Tax]])</f>
        <v>0</v>
      </c>
      <c r="S5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3" s="49">
        <f>Table1[[#This Row],[Quantity  to  purchase]]+Table1[[#This Row],[Quantity purchased]]+Table1[[#This Row],[Quantity on order]]+Table1[[#This Row],[Quantity donated]]-Table1[[#This Row],[extended quantity]]</f>
        <v>0</v>
      </c>
      <c r="U5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3" s="51">
        <f>IFERROR(Table1[[#This Row],[Quantity  to  purchase]]*(Table1[[#This Row],[Cost ]]+Table1[[#This Row],[shipping]]+Table1[[#This Row],[Tax]]),0)</f>
        <v>0</v>
      </c>
      <c r="W543" s="36">
        <f>IFERROR(Table1[[#This Row],[leftover material]]*(Table1[[#This Row],[Cost ]]+Table1[[#This Row],[shipping]]+Table1[[#This Row],[Tax]]),0)</f>
        <v>0</v>
      </c>
      <c r="X543" s="36"/>
      <c r="Y543" s="87"/>
      <c r="Z543" s="87"/>
      <c r="AA543" s="87"/>
      <c r="AB543" s="36"/>
      <c r="AC543" s="36">
        <f>IF(ISNA(VLOOKUP(Table1[[#This Row],[Part Number]],'Multi-level BOM'!V$4:V$449,1,FALSE)),0,Table1[[#This Row],[Remaining Extended cost]])</f>
        <v>0</v>
      </c>
    </row>
    <row r="544" spans="1:29" x14ac:dyDescent="0.25">
      <c r="A544" s="1" t="s">
        <v>547</v>
      </c>
      <c r="B544" s="4"/>
      <c r="F544" s="3">
        <f>9%*Table1[[#This Row],[Cost ]]</f>
        <v>0</v>
      </c>
      <c r="J544" s="49">
        <f>SUMIF('Multi-level BOM'!D$4:D$467,Table1[[#This Row],[Part Number]],'Multi-level BOM'!H$4:H$467)</f>
        <v>0</v>
      </c>
      <c r="K544" s="10">
        <f>Table1[[#This Row],[extended quantity]]*(Table1[[#This Row],[Cost ]]+Table1[[#This Row],[shipping]]+Table1[[#This Row],[Tax]])</f>
        <v>0</v>
      </c>
      <c r="L544" s="83" t="str">
        <f>IF(Table1[[#This Row],[Buy-now costs]]&gt;0,"X","")</f>
        <v/>
      </c>
      <c r="M544" s="83"/>
      <c r="N544" s="83"/>
      <c r="O544" s="40">
        <v>0</v>
      </c>
      <c r="P544" s="97">
        <f>Table1[[#This Row],[quantity on-hand]]*(Table1[[#This Row],[Cost ]]+Table1[[#This Row],[shipping]]+Table1[[#This Row],[Tax]])</f>
        <v>0</v>
      </c>
      <c r="Q544" s="40">
        <v>0</v>
      </c>
      <c r="R544" s="95">
        <f>Table1[[#This Row],[Quantity on order]]*(Table1[[#This Row],[Cost ]]+Table1[[#This Row],[shipping]]+Table1[[#This Row],[Tax]])</f>
        <v>0</v>
      </c>
      <c r="S5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4" s="49">
        <f>Table1[[#This Row],[Quantity  to  purchase]]+Table1[[#This Row],[Quantity purchased]]+Table1[[#This Row],[Quantity on order]]+Table1[[#This Row],[Quantity donated]]-Table1[[#This Row],[extended quantity]]</f>
        <v>0</v>
      </c>
      <c r="U5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4" s="51">
        <f>IFERROR(Table1[[#This Row],[Quantity  to  purchase]]*(Table1[[#This Row],[Cost ]]+Table1[[#This Row],[shipping]]+Table1[[#This Row],[Tax]]),0)</f>
        <v>0</v>
      </c>
      <c r="W544" s="36">
        <f>IFERROR(Table1[[#This Row],[leftover material]]*(Table1[[#This Row],[Cost ]]+Table1[[#This Row],[shipping]]+Table1[[#This Row],[Tax]]),0)</f>
        <v>0</v>
      </c>
      <c r="X544" s="36"/>
      <c r="Y544" s="87"/>
      <c r="Z544" s="87"/>
      <c r="AA544" s="87"/>
      <c r="AB544" s="36"/>
      <c r="AC544" s="36">
        <f>IF(ISNA(VLOOKUP(Table1[[#This Row],[Part Number]],'Multi-level BOM'!V$4:V$449,1,FALSE)),0,Table1[[#This Row],[Remaining Extended cost]])</f>
        <v>0</v>
      </c>
    </row>
    <row r="545" spans="1:29" x14ac:dyDescent="0.25">
      <c r="A545" s="1" t="s">
        <v>548</v>
      </c>
      <c r="B545" s="4"/>
      <c r="F545" s="3">
        <f>9%*Table1[[#This Row],[Cost ]]</f>
        <v>0</v>
      </c>
      <c r="J545" s="49">
        <f>SUMIF('Multi-level BOM'!D$4:D$467,Table1[[#This Row],[Part Number]],'Multi-level BOM'!H$4:H$467)</f>
        <v>0</v>
      </c>
      <c r="K545" s="10">
        <f>Table1[[#This Row],[extended quantity]]*(Table1[[#This Row],[Cost ]]+Table1[[#This Row],[shipping]]+Table1[[#This Row],[Tax]])</f>
        <v>0</v>
      </c>
      <c r="L545" s="83" t="str">
        <f>IF(Table1[[#This Row],[Buy-now costs]]&gt;0,"X","")</f>
        <v/>
      </c>
      <c r="M545" s="83"/>
      <c r="N545" s="83"/>
      <c r="O545" s="40">
        <v>0</v>
      </c>
      <c r="P545" s="97">
        <f>Table1[[#This Row],[quantity on-hand]]*(Table1[[#This Row],[Cost ]]+Table1[[#This Row],[shipping]]+Table1[[#This Row],[Tax]])</f>
        <v>0</v>
      </c>
      <c r="Q545" s="40">
        <v>0</v>
      </c>
      <c r="R545" s="95">
        <f>Table1[[#This Row],[Quantity on order]]*(Table1[[#This Row],[Cost ]]+Table1[[#This Row],[shipping]]+Table1[[#This Row],[Tax]])</f>
        <v>0</v>
      </c>
      <c r="S5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5" s="49">
        <f>Table1[[#This Row],[Quantity  to  purchase]]+Table1[[#This Row],[Quantity purchased]]+Table1[[#This Row],[Quantity on order]]+Table1[[#This Row],[Quantity donated]]-Table1[[#This Row],[extended quantity]]</f>
        <v>0</v>
      </c>
      <c r="U5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5" s="51">
        <f>IFERROR(Table1[[#This Row],[Quantity  to  purchase]]*(Table1[[#This Row],[Cost ]]+Table1[[#This Row],[shipping]]+Table1[[#This Row],[Tax]]),0)</f>
        <v>0</v>
      </c>
      <c r="W545" s="36">
        <f>IFERROR(Table1[[#This Row],[leftover material]]*(Table1[[#This Row],[Cost ]]+Table1[[#This Row],[shipping]]+Table1[[#This Row],[Tax]]),0)</f>
        <v>0</v>
      </c>
      <c r="X545" s="36"/>
      <c r="Y545" s="87"/>
      <c r="Z545" s="87"/>
      <c r="AA545" s="87"/>
      <c r="AB545" s="36"/>
      <c r="AC545" s="36">
        <f>IF(ISNA(VLOOKUP(Table1[[#This Row],[Part Number]],'Multi-level BOM'!V$4:V$449,1,FALSE)),0,Table1[[#This Row],[Remaining Extended cost]])</f>
        <v>0</v>
      </c>
    </row>
    <row r="546" spans="1:29" x14ac:dyDescent="0.25">
      <c r="A546" s="1" t="s">
        <v>549</v>
      </c>
      <c r="B546" s="4"/>
      <c r="F546" s="3">
        <f>9%*Table1[[#This Row],[Cost ]]</f>
        <v>0</v>
      </c>
      <c r="J546" s="49">
        <f>SUMIF('Multi-level BOM'!D$4:D$467,Table1[[#This Row],[Part Number]],'Multi-level BOM'!H$4:H$467)</f>
        <v>0</v>
      </c>
      <c r="K546" s="10">
        <f>Table1[[#This Row],[extended quantity]]*(Table1[[#This Row],[Cost ]]+Table1[[#This Row],[shipping]]+Table1[[#This Row],[Tax]])</f>
        <v>0</v>
      </c>
      <c r="L546" s="83" t="str">
        <f>IF(Table1[[#This Row],[Buy-now costs]]&gt;0,"X","")</f>
        <v/>
      </c>
      <c r="M546" s="83"/>
      <c r="N546" s="83"/>
      <c r="O546" s="40">
        <v>0</v>
      </c>
      <c r="P546" s="97">
        <f>Table1[[#This Row],[quantity on-hand]]*(Table1[[#This Row],[Cost ]]+Table1[[#This Row],[shipping]]+Table1[[#This Row],[Tax]])</f>
        <v>0</v>
      </c>
      <c r="Q546" s="40">
        <v>0</v>
      </c>
      <c r="R546" s="95">
        <f>Table1[[#This Row],[Quantity on order]]*(Table1[[#This Row],[Cost ]]+Table1[[#This Row],[shipping]]+Table1[[#This Row],[Tax]])</f>
        <v>0</v>
      </c>
      <c r="S5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6" s="49">
        <f>Table1[[#This Row],[Quantity  to  purchase]]+Table1[[#This Row],[Quantity purchased]]+Table1[[#This Row],[Quantity on order]]+Table1[[#This Row],[Quantity donated]]-Table1[[#This Row],[extended quantity]]</f>
        <v>0</v>
      </c>
      <c r="U5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6" s="51">
        <f>IFERROR(Table1[[#This Row],[Quantity  to  purchase]]*(Table1[[#This Row],[Cost ]]+Table1[[#This Row],[shipping]]+Table1[[#This Row],[Tax]]),0)</f>
        <v>0</v>
      </c>
      <c r="W546" s="36">
        <f>IFERROR(Table1[[#This Row],[leftover material]]*(Table1[[#This Row],[Cost ]]+Table1[[#This Row],[shipping]]+Table1[[#This Row],[Tax]]),0)</f>
        <v>0</v>
      </c>
      <c r="X546" s="36"/>
      <c r="Y546" s="87"/>
      <c r="Z546" s="87"/>
      <c r="AA546" s="87"/>
      <c r="AB546" s="36"/>
      <c r="AC546" s="36">
        <f>IF(ISNA(VLOOKUP(Table1[[#This Row],[Part Number]],'Multi-level BOM'!V$4:V$449,1,FALSE)),0,Table1[[#This Row],[Remaining Extended cost]])</f>
        <v>0</v>
      </c>
    </row>
    <row r="547" spans="1:29" x14ac:dyDescent="0.25">
      <c r="A547" s="1" t="s">
        <v>550</v>
      </c>
      <c r="B547" s="4"/>
      <c r="F547" s="3">
        <f>9%*Table1[[#This Row],[Cost ]]</f>
        <v>0</v>
      </c>
      <c r="J547" s="49">
        <f>SUMIF('Multi-level BOM'!D$4:D$467,Table1[[#This Row],[Part Number]],'Multi-level BOM'!H$4:H$467)</f>
        <v>0</v>
      </c>
      <c r="K547" s="10">
        <f>Table1[[#This Row],[extended quantity]]*(Table1[[#This Row],[Cost ]]+Table1[[#This Row],[shipping]]+Table1[[#This Row],[Tax]])</f>
        <v>0</v>
      </c>
      <c r="L547" s="83" t="str">
        <f>IF(Table1[[#This Row],[Buy-now costs]]&gt;0,"X","")</f>
        <v/>
      </c>
      <c r="M547" s="83"/>
      <c r="N547" s="83"/>
      <c r="O547" s="40">
        <v>0</v>
      </c>
      <c r="P547" s="97">
        <f>Table1[[#This Row],[quantity on-hand]]*(Table1[[#This Row],[Cost ]]+Table1[[#This Row],[shipping]]+Table1[[#This Row],[Tax]])</f>
        <v>0</v>
      </c>
      <c r="Q547" s="40">
        <v>0</v>
      </c>
      <c r="R547" s="95">
        <f>Table1[[#This Row],[Quantity on order]]*(Table1[[#This Row],[Cost ]]+Table1[[#This Row],[shipping]]+Table1[[#This Row],[Tax]])</f>
        <v>0</v>
      </c>
      <c r="S5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7" s="49">
        <f>Table1[[#This Row],[Quantity  to  purchase]]+Table1[[#This Row],[Quantity purchased]]+Table1[[#This Row],[Quantity on order]]+Table1[[#This Row],[Quantity donated]]-Table1[[#This Row],[extended quantity]]</f>
        <v>0</v>
      </c>
      <c r="U5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7" s="51">
        <f>IFERROR(Table1[[#This Row],[Quantity  to  purchase]]*(Table1[[#This Row],[Cost ]]+Table1[[#This Row],[shipping]]+Table1[[#This Row],[Tax]]),0)</f>
        <v>0</v>
      </c>
      <c r="W547" s="36">
        <f>IFERROR(Table1[[#This Row],[leftover material]]*(Table1[[#This Row],[Cost ]]+Table1[[#This Row],[shipping]]+Table1[[#This Row],[Tax]]),0)</f>
        <v>0</v>
      </c>
      <c r="X547" s="36"/>
      <c r="Y547" s="87"/>
      <c r="Z547" s="87"/>
      <c r="AA547" s="87"/>
      <c r="AB547" s="36"/>
      <c r="AC547" s="36">
        <f>IF(ISNA(VLOOKUP(Table1[[#This Row],[Part Number]],'Multi-level BOM'!V$4:V$449,1,FALSE)),0,Table1[[#This Row],[Remaining Extended cost]])</f>
        <v>0</v>
      </c>
    </row>
    <row r="548" spans="1:29" x14ac:dyDescent="0.25">
      <c r="A548" s="1" t="s">
        <v>551</v>
      </c>
      <c r="B548" s="4"/>
      <c r="F548" s="3">
        <f>9%*Table1[[#This Row],[Cost ]]</f>
        <v>0</v>
      </c>
      <c r="J548" s="49">
        <f>SUMIF('Multi-level BOM'!D$4:D$467,Table1[[#This Row],[Part Number]],'Multi-level BOM'!H$4:H$467)</f>
        <v>0</v>
      </c>
      <c r="K548" s="10">
        <f>Table1[[#This Row],[extended quantity]]*(Table1[[#This Row],[Cost ]]+Table1[[#This Row],[shipping]]+Table1[[#This Row],[Tax]])</f>
        <v>0</v>
      </c>
      <c r="L548" s="83" t="str">
        <f>IF(Table1[[#This Row],[Buy-now costs]]&gt;0,"X","")</f>
        <v/>
      </c>
      <c r="M548" s="83"/>
      <c r="N548" s="83"/>
      <c r="O548" s="40">
        <v>0</v>
      </c>
      <c r="P548" s="97">
        <f>Table1[[#This Row],[quantity on-hand]]*(Table1[[#This Row],[Cost ]]+Table1[[#This Row],[shipping]]+Table1[[#This Row],[Tax]])</f>
        <v>0</v>
      </c>
      <c r="Q548" s="40">
        <v>0</v>
      </c>
      <c r="R548" s="95">
        <f>Table1[[#This Row],[Quantity on order]]*(Table1[[#This Row],[Cost ]]+Table1[[#This Row],[shipping]]+Table1[[#This Row],[Tax]])</f>
        <v>0</v>
      </c>
      <c r="S5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8" s="49">
        <f>Table1[[#This Row],[Quantity  to  purchase]]+Table1[[#This Row],[Quantity purchased]]+Table1[[#This Row],[Quantity on order]]+Table1[[#This Row],[Quantity donated]]-Table1[[#This Row],[extended quantity]]</f>
        <v>0</v>
      </c>
      <c r="U5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8" s="51">
        <f>IFERROR(Table1[[#This Row],[Quantity  to  purchase]]*(Table1[[#This Row],[Cost ]]+Table1[[#This Row],[shipping]]+Table1[[#This Row],[Tax]]),0)</f>
        <v>0</v>
      </c>
      <c r="W548" s="36">
        <f>IFERROR(Table1[[#This Row],[leftover material]]*(Table1[[#This Row],[Cost ]]+Table1[[#This Row],[shipping]]+Table1[[#This Row],[Tax]]),0)</f>
        <v>0</v>
      </c>
      <c r="X548" s="36"/>
      <c r="Y548" s="87"/>
      <c r="Z548" s="87"/>
      <c r="AA548" s="87"/>
      <c r="AB548" s="36"/>
      <c r="AC548" s="36">
        <f>IF(ISNA(VLOOKUP(Table1[[#This Row],[Part Number]],'Multi-level BOM'!V$4:V$449,1,FALSE)),0,Table1[[#This Row],[Remaining Extended cost]])</f>
        <v>0</v>
      </c>
    </row>
    <row r="549" spans="1:29" x14ac:dyDescent="0.25">
      <c r="A549" s="1" t="s">
        <v>552</v>
      </c>
      <c r="B549" s="4"/>
      <c r="F549" s="3">
        <f>9%*Table1[[#This Row],[Cost ]]</f>
        <v>0</v>
      </c>
      <c r="J549" s="49">
        <f>SUMIF('Multi-level BOM'!D$4:D$467,Table1[[#This Row],[Part Number]],'Multi-level BOM'!H$4:H$467)</f>
        <v>0</v>
      </c>
      <c r="K549" s="10">
        <f>Table1[[#This Row],[extended quantity]]*(Table1[[#This Row],[Cost ]]+Table1[[#This Row],[shipping]]+Table1[[#This Row],[Tax]])</f>
        <v>0</v>
      </c>
      <c r="L549" s="83" t="str">
        <f>IF(Table1[[#This Row],[Buy-now costs]]&gt;0,"X","")</f>
        <v/>
      </c>
      <c r="M549" s="83"/>
      <c r="N549" s="83"/>
      <c r="O549" s="40">
        <v>0</v>
      </c>
      <c r="P549" s="97">
        <f>Table1[[#This Row],[quantity on-hand]]*(Table1[[#This Row],[Cost ]]+Table1[[#This Row],[shipping]]+Table1[[#This Row],[Tax]])</f>
        <v>0</v>
      </c>
      <c r="Q549" s="40">
        <v>0</v>
      </c>
      <c r="R549" s="95">
        <f>Table1[[#This Row],[Quantity on order]]*(Table1[[#This Row],[Cost ]]+Table1[[#This Row],[shipping]]+Table1[[#This Row],[Tax]])</f>
        <v>0</v>
      </c>
      <c r="S5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9" s="49">
        <f>Table1[[#This Row],[Quantity  to  purchase]]+Table1[[#This Row],[Quantity purchased]]+Table1[[#This Row],[Quantity on order]]+Table1[[#This Row],[Quantity donated]]-Table1[[#This Row],[extended quantity]]</f>
        <v>0</v>
      </c>
      <c r="U5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9" s="51">
        <f>IFERROR(Table1[[#This Row],[Quantity  to  purchase]]*(Table1[[#This Row],[Cost ]]+Table1[[#This Row],[shipping]]+Table1[[#This Row],[Tax]]),0)</f>
        <v>0</v>
      </c>
      <c r="W549" s="36">
        <f>IFERROR(Table1[[#This Row],[leftover material]]*(Table1[[#This Row],[Cost ]]+Table1[[#This Row],[shipping]]+Table1[[#This Row],[Tax]]),0)</f>
        <v>0</v>
      </c>
      <c r="X549" s="36"/>
      <c r="Y549" s="87"/>
      <c r="Z549" s="87"/>
      <c r="AA549" s="87"/>
      <c r="AB549" s="36"/>
      <c r="AC549" s="36">
        <f>IF(ISNA(VLOOKUP(Table1[[#This Row],[Part Number]],'Multi-level BOM'!V$4:V$449,1,FALSE)),0,Table1[[#This Row],[Remaining Extended cost]])</f>
        <v>0</v>
      </c>
    </row>
    <row r="550" spans="1:29" x14ac:dyDescent="0.25">
      <c r="A550" s="1" t="s">
        <v>553</v>
      </c>
      <c r="B550" s="4"/>
      <c r="F550" s="3">
        <f>9%*Table1[[#This Row],[Cost ]]</f>
        <v>0</v>
      </c>
      <c r="J550" s="49">
        <f>SUMIF('Multi-level BOM'!D$4:D$467,Table1[[#This Row],[Part Number]],'Multi-level BOM'!H$4:H$467)</f>
        <v>0</v>
      </c>
      <c r="K550" s="10">
        <f>Table1[[#This Row],[extended quantity]]*(Table1[[#This Row],[Cost ]]+Table1[[#This Row],[shipping]]+Table1[[#This Row],[Tax]])</f>
        <v>0</v>
      </c>
      <c r="L550" s="83" t="str">
        <f>IF(Table1[[#This Row],[Buy-now costs]]&gt;0,"X","")</f>
        <v/>
      </c>
      <c r="M550" s="83"/>
      <c r="N550" s="83"/>
      <c r="O550" s="40">
        <v>0</v>
      </c>
      <c r="P550" s="97">
        <f>Table1[[#This Row],[quantity on-hand]]*(Table1[[#This Row],[Cost ]]+Table1[[#This Row],[shipping]]+Table1[[#This Row],[Tax]])</f>
        <v>0</v>
      </c>
      <c r="Q550" s="40">
        <v>0</v>
      </c>
      <c r="R550" s="95">
        <f>Table1[[#This Row],[Quantity on order]]*(Table1[[#This Row],[Cost ]]+Table1[[#This Row],[shipping]]+Table1[[#This Row],[Tax]])</f>
        <v>0</v>
      </c>
      <c r="S5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0" s="49">
        <f>Table1[[#This Row],[Quantity  to  purchase]]+Table1[[#This Row],[Quantity purchased]]+Table1[[#This Row],[Quantity on order]]+Table1[[#This Row],[Quantity donated]]-Table1[[#This Row],[extended quantity]]</f>
        <v>0</v>
      </c>
      <c r="U5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0" s="51">
        <f>IFERROR(Table1[[#This Row],[Quantity  to  purchase]]*(Table1[[#This Row],[Cost ]]+Table1[[#This Row],[shipping]]+Table1[[#This Row],[Tax]]),0)</f>
        <v>0</v>
      </c>
      <c r="W550" s="36">
        <f>IFERROR(Table1[[#This Row],[leftover material]]*(Table1[[#This Row],[Cost ]]+Table1[[#This Row],[shipping]]+Table1[[#This Row],[Tax]]),0)</f>
        <v>0</v>
      </c>
      <c r="X550" s="36"/>
      <c r="Y550" s="87"/>
      <c r="Z550" s="87"/>
      <c r="AA550" s="87"/>
      <c r="AB550" s="36"/>
      <c r="AC550" s="36">
        <f>IF(ISNA(VLOOKUP(Table1[[#This Row],[Part Number]],'Multi-level BOM'!V$4:V$449,1,FALSE)),0,Table1[[#This Row],[Remaining Extended cost]])</f>
        <v>0</v>
      </c>
    </row>
    <row r="551" spans="1:29" x14ac:dyDescent="0.25">
      <c r="A551" s="1" t="s">
        <v>554</v>
      </c>
      <c r="B551" s="4"/>
      <c r="F551" s="3">
        <f>9%*Table1[[#This Row],[Cost ]]</f>
        <v>0</v>
      </c>
      <c r="J551" s="49">
        <f>SUMIF('Multi-level BOM'!D$4:D$467,Table1[[#This Row],[Part Number]],'Multi-level BOM'!H$4:H$467)</f>
        <v>0</v>
      </c>
      <c r="K551" s="10">
        <f>Table1[[#This Row],[extended quantity]]*(Table1[[#This Row],[Cost ]]+Table1[[#This Row],[shipping]]+Table1[[#This Row],[Tax]])</f>
        <v>0</v>
      </c>
      <c r="L551" s="83" t="str">
        <f>IF(Table1[[#This Row],[Buy-now costs]]&gt;0,"X","")</f>
        <v/>
      </c>
      <c r="M551" s="83"/>
      <c r="N551" s="83"/>
      <c r="O551" s="40">
        <v>0</v>
      </c>
      <c r="P551" s="97">
        <f>Table1[[#This Row],[quantity on-hand]]*(Table1[[#This Row],[Cost ]]+Table1[[#This Row],[shipping]]+Table1[[#This Row],[Tax]])</f>
        <v>0</v>
      </c>
      <c r="Q551" s="40">
        <v>0</v>
      </c>
      <c r="R551" s="95">
        <f>Table1[[#This Row],[Quantity on order]]*(Table1[[#This Row],[Cost ]]+Table1[[#This Row],[shipping]]+Table1[[#This Row],[Tax]])</f>
        <v>0</v>
      </c>
      <c r="S5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1" s="49">
        <f>Table1[[#This Row],[Quantity  to  purchase]]+Table1[[#This Row],[Quantity purchased]]+Table1[[#This Row],[Quantity on order]]+Table1[[#This Row],[Quantity donated]]-Table1[[#This Row],[extended quantity]]</f>
        <v>0</v>
      </c>
      <c r="U5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1" s="51">
        <f>IFERROR(Table1[[#This Row],[Quantity  to  purchase]]*(Table1[[#This Row],[Cost ]]+Table1[[#This Row],[shipping]]+Table1[[#This Row],[Tax]]),0)</f>
        <v>0</v>
      </c>
      <c r="W551" s="36">
        <f>IFERROR(Table1[[#This Row],[leftover material]]*(Table1[[#This Row],[Cost ]]+Table1[[#This Row],[shipping]]+Table1[[#This Row],[Tax]]),0)</f>
        <v>0</v>
      </c>
      <c r="X551" s="36"/>
      <c r="Y551" s="87"/>
      <c r="Z551" s="87"/>
      <c r="AA551" s="87"/>
      <c r="AB551" s="36"/>
      <c r="AC551" s="36">
        <f>IF(ISNA(VLOOKUP(Table1[[#This Row],[Part Number]],'Multi-level BOM'!V$4:V$449,1,FALSE)),0,Table1[[#This Row],[Remaining Extended cost]])</f>
        <v>0</v>
      </c>
    </row>
    <row r="552" spans="1:29" x14ac:dyDescent="0.25">
      <c r="A552" s="1" t="s">
        <v>555</v>
      </c>
      <c r="B552" s="4"/>
      <c r="F552" s="3">
        <f>9%*Table1[[#This Row],[Cost ]]</f>
        <v>0</v>
      </c>
      <c r="J552" s="49">
        <f>SUMIF('Multi-level BOM'!D$4:D$467,Table1[[#This Row],[Part Number]],'Multi-level BOM'!H$4:H$467)</f>
        <v>0</v>
      </c>
      <c r="K552" s="10">
        <f>Table1[[#This Row],[extended quantity]]*(Table1[[#This Row],[Cost ]]+Table1[[#This Row],[shipping]]+Table1[[#This Row],[Tax]])</f>
        <v>0</v>
      </c>
      <c r="L552" s="83" t="str">
        <f>IF(Table1[[#This Row],[Buy-now costs]]&gt;0,"X","")</f>
        <v/>
      </c>
      <c r="M552" s="83"/>
      <c r="N552" s="83"/>
      <c r="O552" s="40">
        <v>0</v>
      </c>
      <c r="P552" s="97">
        <f>Table1[[#This Row],[quantity on-hand]]*(Table1[[#This Row],[Cost ]]+Table1[[#This Row],[shipping]]+Table1[[#This Row],[Tax]])</f>
        <v>0</v>
      </c>
      <c r="Q552" s="40">
        <v>0</v>
      </c>
      <c r="R552" s="95">
        <f>Table1[[#This Row],[Quantity on order]]*(Table1[[#This Row],[Cost ]]+Table1[[#This Row],[shipping]]+Table1[[#This Row],[Tax]])</f>
        <v>0</v>
      </c>
      <c r="S5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2" s="49">
        <f>Table1[[#This Row],[Quantity  to  purchase]]+Table1[[#This Row],[Quantity purchased]]+Table1[[#This Row],[Quantity on order]]+Table1[[#This Row],[Quantity donated]]-Table1[[#This Row],[extended quantity]]</f>
        <v>0</v>
      </c>
      <c r="U5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2" s="51">
        <f>IFERROR(Table1[[#This Row],[Quantity  to  purchase]]*(Table1[[#This Row],[Cost ]]+Table1[[#This Row],[shipping]]+Table1[[#This Row],[Tax]]),0)</f>
        <v>0</v>
      </c>
      <c r="W552" s="36">
        <f>IFERROR(Table1[[#This Row],[leftover material]]*(Table1[[#This Row],[Cost ]]+Table1[[#This Row],[shipping]]+Table1[[#This Row],[Tax]]),0)</f>
        <v>0</v>
      </c>
      <c r="X552" s="36"/>
      <c r="Y552" s="87"/>
      <c r="Z552" s="87"/>
      <c r="AA552" s="87"/>
      <c r="AB552" s="36"/>
      <c r="AC552" s="36">
        <f>IF(ISNA(VLOOKUP(Table1[[#This Row],[Part Number]],'Multi-level BOM'!V$4:V$449,1,FALSE)),0,Table1[[#This Row],[Remaining Extended cost]])</f>
        <v>0</v>
      </c>
    </row>
    <row r="553" spans="1:29" x14ac:dyDescent="0.25">
      <c r="A553" s="1" t="s">
        <v>556</v>
      </c>
      <c r="B553" s="4"/>
      <c r="F553" s="3">
        <f>9%*Table1[[#This Row],[Cost ]]</f>
        <v>0</v>
      </c>
      <c r="J553" s="49">
        <f>SUMIF('Multi-level BOM'!D$4:D$467,Table1[[#This Row],[Part Number]],'Multi-level BOM'!H$4:H$467)</f>
        <v>0</v>
      </c>
      <c r="K553" s="10">
        <f>Table1[[#This Row],[extended quantity]]*(Table1[[#This Row],[Cost ]]+Table1[[#This Row],[shipping]]+Table1[[#This Row],[Tax]])</f>
        <v>0</v>
      </c>
      <c r="L553" s="83" t="str">
        <f>IF(Table1[[#This Row],[Buy-now costs]]&gt;0,"X","")</f>
        <v/>
      </c>
      <c r="M553" s="83"/>
      <c r="N553" s="83"/>
      <c r="O553" s="40">
        <v>0</v>
      </c>
      <c r="P553" s="97">
        <f>Table1[[#This Row],[quantity on-hand]]*(Table1[[#This Row],[Cost ]]+Table1[[#This Row],[shipping]]+Table1[[#This Row],[Tax]])</f>
        <v>0</v>
      </c>
      <c r="Q553" s="40">
        <v>0</v>
      </c>
      <c r="R553" s="95">
        <f>Table1[[#This Row],[Quantity on order]]*(Table1[[#This Row],[Cost ]]+Table1[[#This Row],[shipping]]+Table1[[#This Row],[Tax]])</f>
        <v>0</v>
      </c>
      <c r="S5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3" s="49">
        <f>Table1[[#This Row],[Quantity  to  purchase]]+Table1[[#This Row],[Quantity purchased]]+Table1[[#This Row],[Quantity on order]]+Table1[[#This Row],[Quantity donated]]-Table1[[#This Row],[extended quantity]]</f>
        <v>0</v>
      </c>
      <c r="U5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3" s="51">
        <f>IFERROR(Table1[[#This Row],[Quantity  to  purchase]]*(Table1[[#This Row],[Cost ]]+Table1[[#This Row],[shipping]]+Table1[[#This Row],[Tax]]),0)</f>
        <v>0</v>
      </c>
      <c r="W553" s="36">
        <f>IFERROR(Table1[[#This Row],[leftover material]]*(Table1[[#This Row],[Cost ]]+Table1[[#This Row],[shipping]]+Table1[[#This Row],[Tax]]),0)</f>
        <v>0</v>
      </c>
      <c r="X553" s="36"/>
      <c r="Y553" s="87"/>
      <c r="Z553" s="87"/>
      <c r="AA553" s="87"/>
      <c r="AB553" s="36"/>
      <c r="AC553" s="36">
        <f>IF(ISNA(VLOOKUP(Table1[[#This Row],[Part Number]],'Multi-level BOM'!V$4:V$449,1,FALSE)),0,Table1[[#This Row],[Remaining Extended cost]])</f>
        <v>0</v>
      </c>
    </row>
    <row r="554" spans="1:29" x14ac:dyDescent="0.25">
      <c r="A554" s="1" t="s">
        <v>557</v>
      </c>
      <c r="B554" s="4"/>
      <c r="F554" s="3">
        <f>9%*Table1[[#This Row],[Cost ]]</f>
        <v>0</v>
      </c>
      <c r="J554" s="49">
        <f>SUMIF('Multi-level BOM'!D$4:D$467,Table1[[#This Row],[Part Number]],'Multi-level BOM'!H$4:H$467)</f>
        <v>0</v>
      </c>
      <c r="K554" s="10">
        <f>Table1[[#This Row],[extended quantity]]*(Table1[[#This Row],[Cost ]]+Table1[[#This Row],[shipping]]+Table1[[#This Row],[Tax]])</f>
        <v>0</v>
      </c>
      <c r="L554" s="83" t="str">
        <f>IF(Table1[[#This Row],[Buy-now costs]]&gt;0,"X","")</f>
        <v/>
      </c>
      <c r="M554" s="83"/>
      <c r="N554" s="83"/>
      <c r="O554" s="40">
        <v>0</v>
      </c>
      <c r="P554" s="97">
        <f>Table1[[#This Row],[quantity on-hand]]*(Table1[[#This Row],[Cost ]]+Table1[[#This Row],[shipping]]+Table1[[#This Row],[Tax]])</f>
        <v>0</v>
      </c>
      <c r="Q554" s="40">
        <v>0</v>
      </c>
      <c r="R554" s="95">
        <f>Table1[[#This Row],[Quantity on order]]*(Table1[[#This Row],[Cost ]]+Table1[[#This Row],[shipping]]+Table1[[#This Row],[Tax]])</f>
        <v>0</v>
      </c>
      <c r="S5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4" s="49">
        <f>Table1[[#This Row],[Quantity  to  purchase]]+Table1[[#This Row],[Quantity purchased]]+Table1[[#This Row],[Quantity on order]]+Table1[[#This Row],[Quantity donated]]-Table1[[#This Row],[extended quantity]]</f>
        <v>0</v>
      </c>
      <c r="U5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4" s="51">
        <f>IFERROR(Table1[[#This Row],[Quantity  to  purchase]]*(Table1[[#This Row],[Cost ]]+Table1[[#This Row],[shipping]]+Table1[[#This Row],[Tax]]),0)</f>
        <v>0</v>
      </c>
      <c r="W554" s="36">
        <f>IFERROR(Table1[[#This Row],[leftover material]]*(Table1[[#This Row],[Cost ]]+Table1[[#This Row],[shipping]]+Table1[[#This Row],[Tax]]),0)</f>
        <v>0</v>
      </c>
      <c r="X554" s="36"/>
      <c r="Y554" s="87"/>
      <c r="Z554" s="87"/>
      <c r="AA554" s="87"/>
      <c r="AB554" s="36"/>
      <c r="AC554" s="36">
        <f>IF(ISNA(VLOOKUP(Table1[[#This Row],[Part Number]],'Multi-level BOM'!V$4:V$449,1,FALSE)),0,Table1[[#This Row],[Remaining Extended cost]])</f>
        <v>0</v>
      </c>
    </row>
    <row r="555" spans="1:29" x14ac:dyDescent="0.25">
      <c r="A555" s="1" t="s">
        <v>558</v>
      </c>
      <c r="B555" s="4"/>
      <c r="F555" s="3">
        <f>9%*Table1[[#This Row],[Cost ]]</f>
        <v>0</v>
      </c>
      <c r="J555" s="49">
        <f>SUMIF('Multi-level BOM'!D$4:D$467,Table1[[#This Row],[Part Number]],'Multi-level BOM'!H$4:H$467)</f>
        <v>0</v>
      </c>
      <c r="K555" s="10">
        <f>Table1[[#This Row],[extended quantity]]*(Table1[[#This Row],[Cost ]]+Table1[[#This Row],[shipping]]+Table1[[#This Row],[Tax]])</f>
        <v>0</v>
      </c>
      <c r="L555" s="83" t="str">
        <f>IF(Table1[[#This Row],[Buy-now costs]]&gt;0,"X","")</f>
        <v/>
      </c>
      <c r="M555" s="83"/>
      <c r="N555" s="83"/>
      <c r="O555" s="40">
        <v>0</v>
      </c>
      <c r="P555" s="97">
        <f>Table1[[#This Row],[quantity on-hand]]*(Table1[[#This Row],[Cost ]]+Table1[[#This Row],[shipping]]+Table1[[#This Row],[Tax]])</f>
        <v>0</v>
      </c>
      <c r="Q555" s="40">
        <v>0</v>
      </c>
      <c r="R555" s="95">
        <f>Table1[[#This Row],[Quantity on order]]*(Table1[[#This Row],[Cost ]]+Table1[[#This Row],[shipping]]+Table1[[#This Row],[Tax]])</f>
        <v>0</v>
      </c>
      <c r="S5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5" s="49">
        <f>Table1[[#This Row],[Quantity  to  purchase]]+Table1[[#This Row],[Quantity purchased]]+Table1[[#This Row],[Quantity on order]]+Table1[[#This Row],[Quantity donated]]-Table1[[#This Row],[extended quantity]]</f>
        <v>0</v>
      </c>
      <c r="U5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5" s="51">
        <f>IFERROR(Table1[[#This Row],[Quantity  to  purchase]]*(Table1[[#This Row],[Cost ]]+Table1[[#This Row],[shipping]]+Table1[[#This Row],[Tax]]),0)</f>
        <v>0</v>
      </c>
      <c r="W555" s="36">
        <f>IFERROR(Table1[[#This Row],[leftover material]]*(Table1[[#This Row],[Cost ]]+Table1[[#This Row],[shipping]]+Table1[[#This Row],[Tax]]),0)</f>
        <v>0</v>
      </c>
      <c r="X555" s="36"/>
      <c r="Y555" s="87"/>
      <c r="Z555" s="87"/>
      <c r="AA555" s="87"/>
      <c r="AB555" s="36"/>
      <c r="AC555" s="36">
        <f>IF(ISNA(VLOOKUP(Table1[[#This Row],[Part Number]],'Multi-level BOM'!V$4:V$449,1,FALSE)),0,Table1[[#This Row],[Remaining Extended cost]])</f>
        <v>0</v>
      </c>
    </row>
    <row r="556" spans="1:29" x14ac:dyDescent="0.25">
      <c r="A556" s="1" t="s">
        <v>559</v>
      </c>
      <c r="B556" s="4"/>
      <c r="F556" s="3">
        <f>9%*Table1[[#This Row],[Cost ]]</f>
        <v>0</v>
      </c>
      <c r="J556" s="49">
        <f>SUMIF('Multi-level BOM'!D$4:D$467,Table1[[#This Row],[Part Number]],'Multi-level BOM'!H$4:H$467)</f>
        <v>0</v>
      </c>
      <c r="K556" s="10">
        <f>Table1[[#This Row],[extended quantity]]*(Table1[[#This Row],[Cost ]]+Table1[[#This Row],[shipping]]+Table1[[#This Row],[Tax]])</f>
        <v>0</v>
      </c>
      <c r="L556" s="83" t="str">
        <f>IF(Table1[[#This Row],[Buy-now costs]]&gt;0,"X","")</f>
        <v/>
      </c>
      <c r="M556" s="83"/>
      <c r="N556" s="83"/>
      <c r="O556" s="40">
        <v>0</v>
      </c>
      <c r="P556" s="97">
        <f>Table1[[#This Row],[quantity on-hand]]*(Table1[[#This Row],[Cost ]]+Table1[[#This Row],[shipping]]+Table1[[#This Row],[Tax]])</f>
        <v>0</v>
      </c>
      <c r="Q556" s="40">
        <v>0</v>
      </c>
      <c r="R556" s="95">
        <f>Table1[[#This Row],[Quantity on order]]*(Table1[[#This Row],[Cost ]]+Table1[[#This Row],[shipping]]+Table1[[#This Row],[Tax]])</f>
        <v>0</v>
      </c>
      <c r="S5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6" s="49">
        <f>Table1[[#This Row],[Quantity  to  purchase]]+Table1[[#This Row],[Quantity purchased]]+Table1[[#This Row],[Quantity on order]]+Table1[[#This Row],[Quantity donated]]-Table1[[#This Row],[extended quantity]]</f>
        <v>0</v>
      </c>
      <c r="U5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6" s="51">
        <f>IFERROR(Table1[[#This Row],[Quantity  to  purchase]]*(Table1[[#This Row],[Cost ]]+Table1[[#This Row],[shipping]]+Table1[[#This Row],[Tax]]),0)</f>
        <v>0</v>
      </c>
      <c r="W556" s="36">
        <f>IFERROR(Table1[[#This Row],[leftover material]]*(Table1[[#This Row],[Cost ]]+Table1[[#This Row],[shipping]]+Table1[[#This Row],[Tax]]),0)</f>
        <v>0</v>
      </c>
      <c r="X556" s="36"/>
      <c r="Y556" s="87"/>
      <c r="Z556" s="87"/>
      <c r="AA556" s="87"/>
      <c r="AB556" s="36"/>
      <c r="AC556" s="36">
        <f>IF(ISNA(VLOOKUP(Table1[[#This Row],[Part Number]],'Multi-level BOM'!V$4:V$449,1,FALSE)),0,Table1[[#This Row],[Remaining Extended cost]])</f>
        <v>0</v>
      </c>
    </row>
    <row r="557" spans="1:29" x14ac:dyDescent="0.25">
      <c r="A557" s="1" t="s">
        <v>560</v>
      </c>
      <c r="B557" s="4"/>
      <c r="F557" s="3">
        <f>9%*Table1[[#This Row],[Cost ]]</f>
        <v>0</v>
      </c>
      <c r="J557" s="49">
        <f>SUMIF('Multi-level BOM'!D$4:D$467,Table1[[#This Row],[Part Number]],'Multi-level BOM'!H$4:H$467)</f>
        <v>0</v>
      </c>
      <c r="K557" s="10">
        <f>Table1[[#This Row],[extended quantity]]*(Table1[[#This Row],[Cost ]]+Table1[[#This Row],[shipping]]+Table1[[#This Row],[Tax]])</f>
        <v>0</v>
      </c>
      <c r="L557" s="83" t="str">
        <f>IF(Table1[[#This Row],[Buy-now costs]]&gt;0,"X","")</f>
        <v/>
      </c>
      <c r="M557" s="83"/>
      <c r="N557" s="83"/>
      <c r="O557" s="40">
        <v>0</v>
      </c>
      <c r="P557" s="97">
        <f>Table1[[#This Row],[quantity on-hand]]*(Table1[[#This Row],[Cost ]]+Table1[[#This Row],[shipping]]+Table1[[#This Row],[Tax]])</f>
        <v>0</v>
      </c>
      <c r="Q557" s="40">
        <v>0</v>
      </c>
      <c r="R557" s="95">
        <f>Table1[[#This Row],[Quantity on order]]*(Table1[[#This Row],[Cost ]]+Table1[[#This Row],[shipping]]+Table1[[#This Row],[Tax]])</f>
        <v>0</v>
      </c>
      <c r="S5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7" s="49">
        <f>Table1[[#This Row],[Quantity  to  purchase]]+Table1[[#This Row],[Quantity purchased]]+Table1[[#This Row],[Quantity on order]]+Table1[[#This Row],[Quantity donated]]-Table1[[#This Row],[extended quantity]]</f>
        <v>0</v>
      </c>
      <c r="U5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7" s="51">
        <f>IFERROR(Table1[[#This Row],[Quantity  to  purchase]]*(Table1[[#This Row],[Cost ]]+Table1[[#This Row],[shipping]]+Table1[[#This Row],[Tax]]),0)</f>
        <v>0</v>
      </c>
      <c r="W557" s="36">
        <f>IFERROR(Table1[[#This Row],[leftover material]]*(Table1[[#This Row],[Cost ]]+Table1[[#This Row],[shipping]]+Table1[[#This Row],[Tax]]),0)</f>
        <v>0</v>
      </c>
      <c r="X557" s="36"/>
      <c r="Y557" s="87"/>
      <c r="Z557" s="87"/>
      <c r="AA557" s="87"/>
      <c r="AB557" s="36"/>
      <c r="AC557" s="36">
        <f>IF(ISNA(VLOOKUP(Table1[[#This Row],[Part Number]],'Multi-level BOM'!V$4:V$449,1,FALSE)),0,Table1[[#This Row],[Remaining Extended cost]])</f>
        <v>0</v>
      </c>
    </row>
    <row r="558" spans="1:29" x14ac:dyDescent="0.25">
      <c r="A558" s="1" t="s">
        <v>561</v>
      </c>
      <c r="B558" s="4"/>
      <c r="F558" s="3">
        <f>9%*Table1[[#This Row],[Cost ]]</f>
        <v>0</v>
      </c>
      <c r="J558" s="49">
        <f>SUMIF('Multi-level BOM'!D$4:D$467,Table1[[#This Row],[Part Number]],'Multi-level BOM'!H$4:H$467)</f>
        <v>0</v>
      </c>
      <c r="K558" s="10">
        <f>Table1[[#This Row],[extended quantity]]*(Table1[[#This Row],[Cost ]]+Table1[[#This Row],[shipping]]+Table1[[#This Row],[Tax]])</f>
        <v>0</v>
      </c>
      <c r="L558" s="83" t="str">
        <f>IF(Table1[[#This Row],[Buy-now costs]]&gt;0,"X","")</f>
        <v/>
      </c>
      <c r="M558" s="83"/>
      <c r="N558" s="83"/>
      <c r="O558" s="40">
        <v>0</v>
      </c>
      <c r="P558" s="97">
        <f>Table1[[#This Row],[quantity on-hand]]*(Table1[[#This Row],[Cost ]]+Table1[[#This Row],[shipping]]+Table1[[#This Row],[Tax]])</f>
        <v>0</v>
      </c>
      <c r="Q558" s="40">
        <v>0</v>
      </c>
      <c r="R558" s="95">
        <f>Table1[[#This Row],[Quantity on order]]*(Table1[[#This Row],[Cost ]]+Table1[[#This Row],[shipping]]+Table1[[#This Row],[Tax]])</f>
        <v>0</v>
      </c>
      <c r="S5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8" s="49">
        <f>Table1[[#This Row],[Quantity  to  purchase]]+Table1[[#This Row],[Quantity purchased]]+Table1[[#This Row],[Quantity on order]]+Table1[[#This Row],[Quantity donated]]-Table1[[#This Row],[extended quantity]]</f>
        <v>0</v>
      </c>
      <c r="U5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8" s="51">
        <f>IFERROR(Table1[[#This Row],[Quantity  to  purchase]]*(Table1[[#This Row],[Cost ]]+Table1[[#This Row],[shipping]]+Table1[[#This Row],[Tax]]),0)</f>
        <v>0</v>
      </c>
      <c r="W558" s="36">
        <f>IFERROR(Table1[[#This Row],[leftover material]]*(Table1[[#This Row],[Cost ]]+Table1[[#This Row],[shipping]]+Table1[[#This Row],[Tax]]),0)</f>
        <v>0</v>
      </c>
      <c r="X558" s="36"/>
      <c r="Y558" s="87"/>
      <c r="Z558" s="87"/>
      <c r="AA558" s="87"/>
      <c r="AB558" s="36"/>
      <c r="AC558" s="36">
        <f>IF(ISNA(VLOOKUP(Table1[[#This Row],[Part Number]],'Multi-level BOM'!V$4:V$449,1,FALSE)),0,Table1[[#This Row],[Remaining Extended cost]])</f>
        <v>0</v>
      </c>
    </row>
    <row r="559" spans="1:29" x14ac:dyDescent="0.25">
      <c r="A559" s="1" t="s">
        <v>562</v>
      </c>
      <c r="B559" s="4"/>
      <c r="F559" s="3">
        <f>9%*Table1[[#This Row],[Cost ]]</f>
        <v>0</v>
      </c>
      <c r="J559" s="49">
        <f>SUMIF('Multi-level BOM'!D$4:D$467,Table1[[#This Row],[Part Number]],'Multi-level BOM'!H$4:H$467)</f>
        <v>0</v>
      </c>
      <c r="K559" s="10">
        <f>Table1[[#This Row],[extended quantity]]*(Table1[[#This Row],[Cost ]]+Table1[[#This Row],[shipping]]+Table1[[#This Row],[Tax]])</f>
        <v>0</v>
      </c>
      <c r="L559" s="83" t="str">
        <f>IF(Table1[[#This Row],[Buy-now costs]]&gt;0,"X","")</f>
        <v/>
      </c>
      <c r="M559" s="83"/>
      <c r="N559" s="83"/>
      <c r="O559" s="40">
        <v>0</v>
      </c>
      <c r="P559" s="97">
        <f>Table1[[#This Row],[quantity on-hand]]*(Table1[[#This Row],[Cost ]]+Table1[[#This Row],[shipping]]+Table1[[#This Row],[Tax]])</f>
        <v>0</v>
      </c>
      <c r="Q559" s="40">
        <v>0</v>
      </c>
      <c r="R559" s="95">
        <f>Table1[[#This Row],[Quantity on order]]*(Table1[[#This Row],[Cost ]]+Table1[[#This Row],[shipping]]+Table1[[#This Row],[Tax]])</f>
        <v>0</v>
      </c>
      <c r="S5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9" s="49">
        <f>Table1[[#This Row],[Quantity  to  purchase]]+Table1[[#This Row],[Quantity purchased]]+Table1[[#This Row],[Quantity on order]]+Table1[[#This Row],[Quantity donated]]-Table1[[#This Row],[extended quantity]]</f>
        <v>0</v>
      </c>
      <c r="U5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9" s="51">
        <f>IFERROR(Table1[[#This Row],[Quantity  to  purchase]]*(Table1[[#This Row],[Cost ]]+Table1[[#This Row],[shipping]]+Table1[[#This Row],[Tax]]),0)</f>
        <v>0</v>
      </c>
      <c r="W559" s="36">
        <f>IFERROR(Table1[[#This Row],[leftover material]]*(Table1[[#This Row],[Cost ]]+Table1[[#This Row],[shipping]]+Table1[[#This Row],[Tax]]),0)</f>
        <v>0</v>
      </c>
      <c r="X559" s="36"/>
      <c r="Y559" s="87"/>
      <c r="Z559" s="87"/>
      <c r="AA559" s="87"/>
      <c r="AB559" s="36"/>
      <c r="AC559" s="36">
        <f>IF(ISNA(VLOOKUP(Table1[[#This Row],[Part Number]],'Multi-level BOM'!V$4:V$449,1,FALSE)),0,Table1[[#This Row],[Remaining Extended cost]])</f>
        <v>0</v>
      </c>
    </row>
    <row r="560" spans="1:29" x14ac:dyDescent="0.25">
      <c r="A560" s="1" t="s">
        <v>563</v>
      </c>
      <c r="B560" s="4"/>
      <c r="F560" s="3">
        <f>9%*Table1[[#This Row],[Cost ]]</f>
        <v>0</v>
      </c>
      <c r="J560" s="49">
        <f>SUMIF('Multi-level BOM'!D$4:D$467,Table1[[#This Row],[Part Number]],'Multi-level BOM'!H$4:H$467)</f>
        <v>0</v>
      </c>
      <c r="K560" s="10">
        <f>Table1[[#This Row],[extended quantity]]*(Table1[[#This Row],[Cost ]]+Table1[[#This Row],[shipping]]+Table1[[#This Row],[Tax]])</f>
        <v>0</v>
      </c>
      <c r="L560" s="83" t="str">
        <f>IF(Table1[[#This Row],[Buy-now costs]]&gt;0,"X","")</f>
        <v/>
      </c>
      <c r="M560" s="83"/>
      <c r="N560" s="83"/>
      <c r="O560" s="40">
        <v>0</v>
      </c>
      <c r="P560" s="97">
        <f>Table1[[#This Row],[quantity on-hand]]*(Table1[[#This Row],[Cost ]]+Table1[[#This Row],[shipping]]+Table1[[#This Row],[Tax]])</f>
        <v>0</v>
      </c>
      <c r="Q560" s="40">
        <v>0</v>
      </c>
      <c r="R560" s="95">
        <f>Table1[[#This Row],[Quantity on order]]*(Table1[[#This Row],[Cost ]]+Table1[[#This Row],[shipping]]+Table1[[#This Row],[Tax]])</f>
        <v>0</v>
      </c>
      <c r="S5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0" s="49">
        <f>Table1[[#This Row],[Quantity  to  purchase]]+Table1[[#This Row],[Quantity purchased]]+Table1[[#This Row],[Quantity on order]]+Table1[[#This Row],[Quantity donated]]-Table1[[#This Row],[extended quantity]]</f>
        <v>0</v>
      </c>
      <c r="U5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0" s="51">
        <f>IFERROR(Table1[[#This Row],[Quantity  to  purchase]]*(Table1[[#This Row],[Cost ]]+Table1[[#This Row],[shipping]]+Table1[[#This Row],[Tax]]),0)</f>
        <v>0</v>
      </c>
      <c r="W560" s="36">
        <f>IFERROR(Table1[[#This Row],[leftover material]]*(Table1[[#This Row],[Cost ]]+Table1[[#This Row],[shipping]]+Table1[[#This Row],[Tax]]),0)</f>
        <v>0</v>
      </c>
      <c r="X560" s="36"/>
      <c r="Y560" s="87"/>
      <c r="Z560" s="87"/>
      <c r="AA560" s="87"/>
      <c r="AB560" s="36"/>
      <c r="AC560" s="36">
        <f>IF(ISNA(VLOOKUP(Table1[[#This Row],[Part Number]],'Multi-level BOM'!V$4:V$449,1,FALSE)),0,Table1[[#This Row],[Remaining Extended cost]])</f>
        <v>0</v>
      </c>
    </row>
    <row r="561" spans="1:29" x14ac:dyDescent="0.25">
      <c r="A561" s="1" t="s">
        <v>564</v>
      </c>
      <c r="B561" s="4"/>
      <c r="F561" s="3">
        <f>9%*Table1[[#This Row],[Cost ]]</f>
        <v>0</v>
      </c>
      <c r="J561" s="49">
        <f>SUMIF('Multi-level BOM'!D$4:D$467,Table1[[#This Row],[Part Number]],'Multi-level BOM'!H$4:H$467)</f>
        <v>0</v>
      </c>
      <c r="K561" s="10">
        <f>Table1[[#This Row],[extended quantity]]*(Table1[[#This Row],[Cost ]]+Table1[[#This Row],[shipping]]+Table1[[#This Row],[Tax]])</f>
        <v>0</v>
      </c>
      <c r="L561" s="83" t="str">
        <f>IF(Table1[[#This Row],[Buy-now costs]]&gt;0,"X","")</f>
        <v/>
      </c>
      <c r="M561" s="83"/>
      <c r="N561" s="83"/>
      <c r="O561" s="40">
        <v>0</v>
      </c>
      <c r="P561" s="97">
        <f>Table1[[#This Row],[quantity on-hand]]*(Table1[[#This Row],[Cost ]]+Table1[[#This Row],[shipping]]+Table1[[#This Row],[Tax]])</f>
        <v>0</v>
      </c>
      <c r="Q561" s="40">
        <v>0</v>
      </c>
      <c r="R561" s="95">
        <f>Table1[[#This Row],[Quantity on order]]*(Table1[[#This Row],[Cost ]]+Table1[[#This Row],[shipping]]+Table1[[#This Row],[Tax]])</f>
        <v>0</v>
      </c>
      <c r="S5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1" s="49">
        <f>Table1[[#This Row],[Quantity  to  purchase]]+Table1[[#This Row],[Quantity purchased]]+Table1[[#This Row],[Quantity on order]]+Table1[[#This Row],[Quantity donated]]-Table1[[#This Row],[extended quantity]]</f>
        <v>0</v>
      </c>
      <c r="U5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1" s="51">
        <f>IFERROR(Table1[[#This Row],[Quantity  to  purchase]]*(Table1[[#This Row],[Cost ]]+Table1[[#This Row],[shipping]]+Table1[[#This Row],[Tax]]),0)</f>
        <v>0</v>
      </c>
      <c r="W561" s="36">
        <f>IFERROR(Table1[[#This Row],[leftover material]]*(Table1[[#This Row],[Cost ]]+Table1[[#This Row],[shipping]]+Table1[[#This Row],[Tax]]),0)</f>
        <v>0</v>
      </c>
      <c r="X561" s="36"/>
      <c r="Y561" s="87"/>
      <c r="Z561" s="87"/>
      <c r="AA561" s="87"/>
      <c r="AB561" s="36"/>
      <c r="AC561" s="36">
        <f>IF(ISNA(VLOOKUP(Table1[[#This Row],[Part Number]],'Multi-level BOM'!V$4:V$449,1,FALSE)),0,Table1[[#This Row],[Remaining Extended cost]])</f>
        <v>0</v>
      </c>
    </row>
    <row r="562" spans="1:29" x14ac:dyDescent="0.25">
      <c r="A562" s="1" t="s">
        <v>565</v>
      </c>
      <c r="B562" s="4"/>
      <c r="F562" s="3">
        <f>9%*Table1[[#This Row],[Cost ]]</f>
        <v>0</v>
      </c>
      <c r="J562" s="49">
        <f>SUMIF('Multi-level BOM'!D$4:D$467,Table1[[#This Row],[Part Number]],'Multi-level BOM'!H$4:H$467)</f>
        <v>0</v>
      </c>
      <c r="K562" s="10">
        <f>Table1[[#This Row],[extended quantity]]*(Table1[[#This Row],[Cost ]]+Table1[[#This Row],[shipping]]+Table1[[#This Row],[Tax]])</f>
        <v>0</v>
      </c>
      <c r="L562" s="83" t="str">
        <f>IF(Table1[[#This Row],[Buy-now costs]]&gt;0,"X","")</f>
        <v/>
      </c>
      <c r="M562" s="83"/>
      <c r="N562" s="83"/>
      <c r="O562" s="40">
        <v>0</v>
      </c>
      <c r="P562" s="97">
        <f>Table1[[#This Row],[quantity on-hand]]*(Table1[[#This Row],[Cost ]]+Table1[[#This Row],[shipping]]+Table1[[#This Row],[Tax]])</f>
        <v>0</v>
      </c>
      <c r="Q562" s="40">
        <v>0</v>
      </c>
      <c r="R562" s="95">
        <f>Table1[[#This Row],[Quantity on order]]*(Table1[[#This Row],[Cost ]]+Table1[[#This Row],[shipping]]+Table1[[#This Row],[Tax]])</f>
        <v>0</v>
      </c>
      <c r="S5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2" s="49">
        <f>Table1[[#This Row],[Quantity  to  purchase]]+Table1[[#This Row],[Quantity purchased]]+Table1[[#This Row],[Quantity on order]]+Table1[[#This Row],[Quantity donated]]-Table1[[#This Row],[extended quantity]]</f>
        <v>0</v>
      </c>
      <c r="U5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2" s="51">
        <f>IFERROR(Table1[[#This Row],[Quantity  to  purchase]]*(Table1[[#This Row],[Cost ]]+Table1[[#This Row],[shipping]]+Table1[[#This Row],[Tax]]),0)</f>
        <v>0</v>
      </c>
      <c r="W562" s="36">
        <f>IFERROR(Table1[[#This Row],[leftover material]]*(Table1[[#This Row],[Cost ]]+Table1[[#This Row],[shipping]]+Table1[[#This Row],[Tax]]),0)</f>
        <v>0</v>
      </c>
      <c r="X562" s="36"/>
      <c r="Y562" s="87"/>
      <c r="Z562" s="87"/>
      <c r="AA562" s="87"/>
      <c r="AB562" s="36"/>
      <c r="AC562" s="36">
        <f>IF(ISNA(VLOOKUP(Table1[[#This Row],[Part Number]],'Multi-level BOM'!V$4:V$449,1,FALSE)),0,Table1[[#This Row],[Remaining Extended cost]])</f>
        <v>0</v>
      </c>
    </row>
    <row r="563" spans="1:29" x14ac:dyDescent="0.25">
      <c r="A563" s="1" t="s">
        <v>566</v>
      </c>
      <c r="B563" s="4"/>
      <c r="F563" s="3">
        <f>9%*Table1[[#This Row],[Cost ]]</f>
        <v>0</v>
      </c>
      <c r="J563" s="49">
        <f>SUMIF('Multi-level BOM'!D$4:D$467,Table1[[#This Row],[Part Number]],'Multi-level BOM'!H$4:H$467)</f>
        <v>0</v>
      </c>
      <c r="K563" s="10">
        <f>Table1[[#This Row],[extended quantity]]*(Table1[[#This Row],[Cost ]]+Table1[[#This Row],[shipping]]+Table1[[#This Row],[Tax]])</f>
        <v>0</v>
      </c>
      <c r="L563" s="83" t="str">
        <f>IF(Table1[[#This Row],[Buy-now costs]]&gt;0,"X","")</f>
        <v/>
      </c>
      <c r="M563" s="83"/>
      <c r="N563" s="83"/>
      <c r="O563" s="40">
        <v>0</v>
      </c>
      <c r="P563" s="97">
        <f>Table1[[#This Row],[quantity on-hand]]*(Table1[[#This Row],[Cost ]]+Table1[[#This Row],[shipping]]+Table1[[#This Row],[Tax]])</f>
        <v>0</v>
      </c>
      <c r="Q563" s="40">
        <v>0</v>
      </c>
      <c r="R563" s="95">
        <f>Table1[[#This Row],[Quantity on order]]*(Table1[[#This Row],[Cost ]]+Table1[[#This Row],[shipping]]+Table1[[#This Row],[Tax]])</f>
        <v>0</v>
      </c>
      <c r="S5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3" s="49">
        <f>Table1[[#This Row],[Quantity  to  purchase]]+Table1[[#This Row],[Quantity purchased]]+Table1[[#This Row],[Quantity on order]]+Table1[[#This Row],[Quantity donated]]-Table1[[#This Row],[extended quantity]]</f>
        <v>0</v>
      </c>
      <c r="U5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3" s="51">
        <f>IFERROR(Table1[[#This Row],[Quantity  to  purchase]]*(Table1[[#This Row],[Cost ]]+Table1[[#This Row],[shipping]]+Table1[[#This Row],[Tax]]),0)</f>
        <v>0</v>
      </c>
      <c r="W563" s="36">
        <f>IFERROR(Table1[[#This Row],[leftover material]]*(Table1[[#This Row],[Cost ]]+Table1[[#This Row],[shipping]]+Table1[[#This Row],[Tax]]),0)</f>
        <v>0</v>
      </c>
      <c r="X563" s="36"/>
      <c r="Y563" s="87"/>
      <c r="Z563" s="87"/>
      <c r="AA563" s="87"/>
      <c r="AB563" s="36"/>
      <c r="AC563" s="36">
        <f>IF(ISNA(VLOOKUP(Table1[[#This Row],[Part Number]],'Multi-level BOM'!V$4:V$449,1,FALSE)),0,Table1[[#This Row],[Remaining Extended cost]])</f>
        <v>0</v>
      </c>
    </row>
    <row r="564" spans="1:29" x14ac:dyDescent="0.25">
      <c r="A564" s="1" t="s">
        <v>567</v>
      </c>
      <c r="B564" s="4"/>
      <c r="F564" s="3">
        <f>9%*Table1[[#This Row],[Cost ]]</f>
        <v>0</v>
      </c>
      <c r="J564" s="49">
        <f>SUMIF('Multi-level BOM'!D$4:D$467,Table1[[#This Row],[Part Number]],'Multi-level BOM'!H$4:H$467)</f>
        <v>0</v>
      </c>
      <c r="K564" s="10">
        <f>Table1[[#This Row],[extended quantity]]*(Table1[[#This Row],[Cost ]]+Table1[[#This Row],[shipping]]+Table1[[#This Row],[Tax]])</f>
        <v>0</v>
      </c>
      <c r="L564" s="83" t="str">
        <f>IF(Table1[[#This Row],[Buy-now costs]]&gt;0,"X","")</f>
        <v/>
      </c>
      <c r="M564" s="83"/>
      <c r="N564" s="83"/>
      <c r="O564" s="40">
        <v>0</v>
      </c>
      <c r="P564" s="97">
        <f>Table1[[#This Row],[quantity on-hand]]*(Table1[[#This Row],[Cost ]]+Table1[[#This Row],[shipping]]+Table1[[#This Row],[Tax]])</f>
        <v>0</v>
      </c>
      <c r="Q564" s="40">
        <v>0</v>
      </c>
      <c r="R564" s="95">
        <f>Table1[[#This Row],[Quantity on order]]*(Table1[[#This Row],[Cost ]]+Table1[[#This Row],[shipping]]+Table1[[#This Row],[Tax]])</f>
        <v>0</v>
      </c>
      <c r="S5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4" s="49">
        <f>Table1[[#This Row],[Quantity  to  purchase]]+Table1[[#This Row],[Quantity purchased]]+Table1[[#This Row],[Quantity on order]]+Table1[[#This Row],[Quantity donated]]-Table1[[#This Row],[extended quantity]]</f>
        <v>0</v>
      </c>
      <c r="U5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4" s="51">
        <f>IFERROR(Table1[[#This Row],[Quantity  to  purchase]]*(Table1[[#This Row],[Cost ]]+Table1[[#This Row],[shipping]]+Table1[[#This Row],[Tax]]),0)</f>
        <v>0</v>
      </c>
      <c r="W564" s="36">
        <f>IFERROR(Table1[[#This Row],[leftover material]]*(Table1[[#This Row],[Cost ]]+Table1[[#This Row],[shipping]]+Table1[[#This Row],[Tax]]),0)</f>
        <v>0</v>
      </c>
      <c r="X564" s="36"/>
      <c r="Y564" s="87"/>
      <c r="Z564" s="87"/>
      <c r="AA564" s="87"/>
      <c r="AB564" s="36"/>
      <c r="AC564" s="36">
        <f>IF(ISNA(VLOOKUP(Table1[[#This Row],[Part Number]],'Multi-level BOM'!V$4:V$449,1,FALSE)),0,Table1[[#This Row],[Remaining Extended cost]])</f>
        <v>0</v>
      </c>
    </row>
    <row r="565" spans="1:29" x14ac:dyDescent="0.25">
      <c r="A565" s="1" t="s">
        <v>568</v>
      </c>
      <c r="B565" s="4"/>
      <c r="F565" s="3">
        <f>9%*Table1[[#This Row],[Cost ]]</f>
        <v>0</v>
      </c>
      <c r="J565" s="49">
        <f>SUMIF('Multi-level BOM'!D$4:D$467,Table1[[#This Row],[Part Number]],'Multi-level BOM'!H$4:H$467)</f>
        <v>0</v>
      </c>
      <c r="K565" s="10">
        <f>Table1[[#This Row],[extended quantity]]*(Table1[[#This Row],[Cost ]]+Table1[[#This Row],[shipping]]+Table1[[#This Row],[Tax]])</f>
        <v>0</v>
      </c>
      <c r="L565" s="83" t="str">
        <f>IF(Table1[[#This Row],[Buy-now costs]]&gt;0,"X","")</f>
        <v/>
      </c>
      <c r="M565" s="83"/>
      <c r="N565" s="83"/>
      <c r="O565" s="40">
        <v>0</v>
      </c>
      <c r="P565" s="97">
        <f>Table1[[#This Row],[quantity on-hand]]*(Table1[[#This Row],[Cost ]]+Table1[[#This Row],[shipping]]+Table1[[#This Row],[Tax]])</f>
        <v>0</v>
      </c>
      <c r="Q565" s="40">
        <v>0</v>
      </c>
      <c r="R565" s="95">
        <f>Table1[[#This Row],[Quantity on order]]*(Table1[[#This Row],[Cost ]]+Table1[[#This Row],[shipping]]+Table1[[#This Row],[Tax]])</f>
        <v>0</v>
      </c>
      <c r="S5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5" s="49">
        <f>Table1[[#This Row],[Quantity  to  purchase]]+Table1[[#This Row],[Quantity purchased]]+Table1[[#This Row],[Quantity on order]]+Table1[[#This Row],[Quantity donated]]-Table1[[#This Row],[extended quantity]]</f>
        <v>0</v>
      </c>
      <c r="U5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5" s="51">
        <f>IFERROR(Table1[[#This Row],[Quantity  to  purchase]]*(Table1[[#This Row],[Cost ]]+Table1[[#This Row],[shipping]]+Table1[[#This Row],[Tax]]),0)</f>
        <v>0</v>
      </c>
      <c r="W565" s="36">
        <f>IFERROR(Table1[[#This Row],[leftover material]]*(Table1[[#This Row],[Cost ]]+Table1[[#This Row],[shipping]]+Table1[[#This Row],[Tax]]),0)</f>
        <v>0</v>
      </c>
      <c r="X565" s="36"/>
      <c r="Y565" s="87"/>
      <c r="Z565" s="87"/>
      <c r="AA565" s="87"/>
      <c r="AB565" s="36"/>
      <c r="AC565" s="36">
        <f>IF(ISNA(VLOOKUP(Table1[[#This Row],[Part Number]],'Multi-level BOM'!V$4:V$449,1,FALSE)),0,Table1[[#This Row],[Remaining Extended cost]])</f>
        <v>0</v>
      </c>
    </row>
    <row r="566" spans="1:29" x14ac:dyDescent="0.25">
      <c r="A566" s="1" t="s">
        <v>569</v>
      </c>
      <c r="B566" s="4"/>
      <c r="F566" s="3">
        <f>9%*Table1[[#This Row],[Cost ]]</f>
        <v>0</v>
      </c>
      <c r="J566" s="49">
        <f>SUMIF('Multi-level BOM'!D$4:D$467,Table1[[#This Row],[Part Number]],'Multi-level BOM'!H$4:H$467)</f>
        <v>0</v>
      </c>
      <c r="K566" s="10">
        <f>Table1[[#This Row],[extended quantity]]*(Table1[[#This Row],[Cost ]]+Table1[[#This Row],[shipping]]+Table1[[#This Row],[Tax]])</f>
        <v>0</v>
      </c>
      <c r="L566" s="83" t="str">
        <f>IF(Table1[[#This Row],[Buy-now costs]]&gt;0,"X","")</f>
        <v/>
      </c>
      <c r="M566" s="83"/>
      <c r="N566" s="83"/>
      <c r="O566" s="40">
        <v>0</v>
      </c>
      <c r="P566" s="97">
        <f>Table1[[#This Row],[quantity on-hand]]*(Table1[[#This Row],[Cost ]]+Table1[[#This Row],[shipping]]+Table1[[#This Row],[Tax]])</f>
        <v>0</v>
      </c>
      <c r="Q566" s="40">
        <v>0</v>
      </c>
      <c r="R566" s="95">
        <f>Table1[[#This Row],[Quantity on order]]*(Table1[[#This Row],[Cost ]]+Table1[[#This Row],[shipping]]+Table1[[#This Row],[Tax]])</f>
        <v>0</v>
      </c>
      <c r="S5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6" s="49">
        <f>Table1[[#This Row],[Quantity  to  purchase]]+Table1[[#This Row],[Quantity purchased]]+Table1[[#This Row],[Quantity on order]]+Table1[[#This Row],[Quantity donated]]-Table1[[#This Row],[extended quantity]]</f>
        <v>0</v>
      </c>
      <c r="U5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6" s="51">
        <f>IFERROR(Table1[[#This Row],[Quantity  to  purchase]]*(Table1[[#This Row],[Cost ]]+Table1[[#This Row],[shipping]]+Table1[[#This Row],[Tax]]),0)</f>
        <v>0</v>
      </c>
      <c r="W566" s="36">
        <f>IFERROR(Table1[[#This Row],[leftover material]]*(Table1[[#This Row],[Cost ]]+Table1[[#This Row],[shipping]]+Table1[[#This Row],[Tax]]),0)</f>
        <v>0</v>
      </c>
      <c r="X566" s="36"/>
      <c r="Y566" s="87"/>
      <c r="Z566" s="87"/>
      <c r="AA566" s="87"/>
      <c r="AB566" s="36"/>
      <c r="AC566" s="36">
        <f>IF(ISNA(VLOOKUP(Table1[[#This Row],[Part Number]],'Multi-level BOM'!V$4:V$449,1,FALSE)),0,Table1[[#This Row],[Remaining Extended cost]])</f>
        <v>0</v>
      </c>
    </row>
    <row r="567" spans="1:29" x14ac:dyDescent="0.25">
      <c r="A567" s="1" t="s">
        <v>570</v>
      </c>
      <c r="B567" s="4"/>
      <c r="F567" s="3">
        <f>9%*Table1[[#This Row],[Cost ]]</f>
        <v>0</v>
      </c>
      <c r="J567" s="49">
        <f>SUMIF('Multi-level BOM'!D$4:D$467,Table1[[#This Row],[Part Number]],'Multi-level BOM'!H$4:H$467)</f>
        <v>0</v>
      </c>
      <c r="K567" s="10">
        <f>Table1[[#This Row],[extended quantity]]*(Table1[[#This Row],[Cost ]]+Table1[[#This Row],[shipping]]+Table1[[#This Row],[Tax]])</f>
        <v>0</v>
      </c>
      <c r="L567" s="83" t="str">
        <f>IF(Table1[[#This Row],[Buy-now costs]]&gt;0,"X","")</f>
        <v/>
      </c>
      <c r="M567" s="83"/>
      <c r="N567" s="83"/>
      <c r="O567" s="40">
        <v>0</v>
      </c>
      <c r="P567" s="97">
        <f>Table1[[#This Row],[quantity on-hand]]*(Table1[[#This Row],[Cost ]]+Table1[[#This Row],[shipping]]+Table1[[#This Row],[Tax]])</f>
        <v>0</v>
      </c>
      <c r="Q567" s="40">
        <v>0</v>
      </c>
      <c r="R567" s="95">
        <f>Table1[[#This Row],[Quantity on order]]*(Table1[[#This Row],[Cost ]]+Table1[[#This Row],[shipping]]+Table1[[#This Row],[Tax]])</f>
        <v>0</v>
      </c>
      <c r="S5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7" s="49">
        <f>Table1[[#This Row],[Quantity  to  purchase]]+Table1[[#This Row],[Quantity purchased]]+Table1[[#This Row],[Quantity on order]]+Table1[[#This Row],[Quantity donated]]-Table1[[#This Row],[extended quantity]]</f>
        <v>0</v>
      </c>
      <c r="U5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7" s="51">
        <f>IFERROR(Table1[[#This Row],[Quantity  to  purchase]]*(Table1[[#This Row],[Cost ]]+Table1[[#This Row],[shipping]]+Table1[[#This Row],[Tax]]),0)</f>
        <v>0</v>
      </c>
      <c r="W567" s="36">
        <f>IFERROR(Table1[[#This Row],[leftover material]]*(Table1[[#This Row],[Cost ]]+Table1[[#This Row],[shipping]]+Table1[[#This Row],[Tax]]),0)</f>
        <v>0</v>
      </c>
      <c r="X567" s="36"/>
      <c r="Y567" s="87"/>
      <c r="Z567" s="87"/>
      <c r="AA567" s="87"/>
      <c r="AB567" s="36"/>
      <c r="AC567" s="36">
        <f>IF(ISNA(VLOOKUP(Table1[[#This Row],[Part Number]],'Multi-level BOM'!V$4:V$449,1,FALSE)),0,Table1[[#This Row],[Remaining Extended cost]])</f>
        <v>0</v>
      </c>
    </row>
    <row r="568" spans="1:29" x14ac:dyDescent="0.25">
      <c r="A568" s="1" t="s">
        <v>571</v>
      </c>
      <c r="B568" s="4"/>
      <c r="F568" s="3">
        <f>9%*Table1[[#This Row],[Cost ]]</f>
        <v>0</v>
      </c>
      <c r="J568" s="49">
        <f>SUMIF('Multi-level BOM'!D$4:D$467,Table1[[#This Row],[Part Number]],'Multi-level BOM'!H$4:H$467)</f>
        <v>0</v>
      </c>
      <c r="K568" s="10">
        <f>Table1[[#This Row],[extended quantity]]*(Table1[[#This Row],[Cost ]]+Table1[[#This Row],[shipping]]+Table1[[#This Row],[Tax]])</f>
        <v>0</v>
      </c>
      <c r="L568" s="83" t="str">
        <f>IF(Table1[[#This Row],[Buy-now costs]]&gt;0,"X","")</f>
        <v/>
      </c>
      <c r="M568" s="83"/>
      <c r="N568" s="83"/>
      <c r="O568" s="40">
        <v>0</v>
      </c>
      <c r="P568" s="97">
        <f>Table1[[#This Row],[quantity on-hand]]*(Table1[[#This Row],[Cost ]]+Table1[[#This Row],[shipping]]+Table1[[#This Row],[Tax]])</f>
        <v>0</v>
      </c>
      <c r="Q568" s="40">
        <v>0</v>
      </c>
      <c r="R568" s="95">
        <f>Table1[[#This Row],[Quantity on order]]*(Table1[[#This Row],[Cost ]]+Table1[[#This Row],[shipping]]+Table1[[#This Row],[Tax]])</f>
        <v>0</v>
      </c>
      <c r="S5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8" s="49">
        <f>Table1[[#This Row],[Quantity  to  purchase]]+Table1[[#This Row],[Quantity purchased]]+Table1[[#This Row],[Quantity on order]]+Table1[[#This Row],[Quantity donated]]-Table1[[#This Row],[extended quantity]]</f>
        <v>0</v>
      </c>
      <c r="U5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8" s="51">
        <f>IFERROR(Table1[[#This Row],[Quantity  to  purchase]]*(Table1[[#This Row],[Cost ]]+Table1[[#This Row],[shipping]]+Table1[[#This Row],[Tax]]),0)</f>
        <v>0</v>
      </c>
      <c r="W568" s="36">
        <f>IFERROR(Table1[[#This Row],[leftover material]]*(Table1[[#This Row],[Cost ]]+Table1[[#This Row],[shipping]]+Table1[[#This Row],[Tax]]),0)</f>
        <v>0</v>
      </c>
      <c r="X568" s="36"/>
      <c r="Y568" s="87"/>
      <c r="Z568" s="87"/>
      <c r="AA568" s="87"/>
      <c r="AB568" s="36"/>
      <c r="AC568" s="36">
        <f>IF(ISNA(VLOOKUP(Table1[[#This Row],[Part Number]],'Multi-level BOM'!V$4:V$449,1,FALSE)),0,Table1[[#This Row],[Remaining Extended cost]])</f>
        <v>0</v>
      </c>
    </row>
    <row r="569" spans="1:29" x14ac:dyDescent="0.25">
      <c r="A569" s="1" t="s">
        <v>572</v>
      </c>
      <c r="B569" s="4"/>
      <c r="F569" s="3">
        <f>9%*Table1[[#This Row],[Cost ]]</f>
        <v>0</v>
      </c>
      <c r="J569" s="49">
        <f>SUMIF('Multi-level BOM'!D$4:D$467,Table1[[#This Row],[Part Number]],'Multi-level BOM'!H$4:H$467)</f>
        <v>0</v>
      </c>
      <c r="K569" s="10">
        <f>Table1[[#This Row],[extended quantity]]*(Table1[[#This Row],[Cost ]]+Table1[[#This Row],[shipping]]+Table1[[#This Row],[Tax]])</f>
        <v>0</v>
      </c>
      <c r="L569" s="83" t="str">
        <f>IF(Table1[[#This Row],[Buy-now costs]]&gt;0,"X","")</f>
        <v/>
      </c>
      <c r="M569" s="83"/>
      <c r="N569" s="83"/>
      <c r="O569" s="40">
        <v>0</v>
      </c>
      <c r="P569" s="97">
        <f>Table1[[#This Row],[quantity on-hand]]*(Table1[[#This Row],[Cost ]]+Table1[[#This Row],[shipping]]+Table1[[#This Row],[Tax]])</f>
        <v>0</v>
      </c>
      <c r="Q569" s="40">
        <v>0</v>
      </c>
      <c r="R569" s="95">
        <f>Table1[[#This Row],[Quantity on order]]*(Table1[[#This Row],[Cost ]]+Table1[[#This Row],[shipping]]+Table1[[#This Row],[Tax]])</f>
        <v>0</v>
      </c>
      <c r="S5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9" s="49">
        <f>Table1[[#This Row],[Quantity  to  purchase]]+Table1[[#This Row],[Quantity purchased]]+Table1[[#This Row],[Quantity on order]]+Table1[[#This Row],[Quantity donated]]-Table1[[#This Row],[extended quantity]]</f>
        <v>0</v>
      </c>
      <c r="U5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9" s="51">
        <f>IFERROR(Table1[[#This Row],[Quantity  to  purchase]]*(Table1[[#This Row],[Cost ]]+Table1[[#This Row],[shipping]]+Table1[[#This Row],[Tax]]),0)</f>
        <v>0</v>
      </c>
      <c r="W569" s="36">
        <f>IFERROR(Table1[[#This Row],[leftover material]]*(Table1[[#This Row],[Cost ]]+Table1[[#This Row],[shipping]]+Table1[[#This Row],[Tax]]),0)</f>
        <v>0</v>
      </c>
      <c r="X569" s="36"/>
      <c r="Y569" s="87"/>
      <c r="Z569" s="87"/>
      <c r="AA569" s="87"/>
      <c r="AB569" s="36"/>
      <c r="AC569" s="36">
        <f>IF(ISNA(VLOOKUP(Table1[[#This Row],[Part Number]],'Multi-level BOM'!V$4:V$449,1,FALSE)),0,Table1[[#This Row],[Remaining Extended cost]])</f>
        <v>0</v>
      </c>
    </row>
    <row r="570" spans="1:29" x14ac:dyDescent="0.25">
      <c r="A570" s="1" t="s">
        <v>573</v>
      </c>
      <c r="B570" s="4"/>
      <c r="F570" s="3">
        <f>9%*Table1[[#This Row],[Cost ]]</f>
        <v>0</v>
      </c>
      <c r="J570" s="49">
        <f>SUMIF('Multi-level BOM'!D$4:D$467,Table1[[#This Row],[Part Number]],'Multi-level BOM'!H$4:H$467)</f>
        <v>0</v>
      </c>
      <c r="K570" s="10">
        <f>Table1[[#This Row],[extended quantity]]*(Table1[[#This Row],[Cost ]]+Table1[[#This Row],[shipping]]+Table1[[#This Row],[Tax]])</f>
        <v>0</v>
      </c>
      <c r="L570" s="83" t="str">
        <f>IF(Table1[[#This Row],[Buy-now costs]]&gt;0,"X","")</f>
        <v/>
      </c>
      <c r="M570" s="83"/>
      <c r="N570" s="83"/>
      <c r="O570" s="40">
        <v>0</v>
      </c>
      <c r="P570" s="97">
        <f>Table1[[#This Row],[quantity on-hand]]*(Table1[[#This Row],[Cost ]]+Table1[[#This Row],[shipping]]+Table1[[#This Row],[Tax]])</f>
        <v>0</v>
      </c>
      <c r="Q570" s="40">
        <v>0</v>
      </c>
      <c r="R570" s="95">
        <f>Table1[[#This Row],[Quantity on order]]*(Table1[[#This Row],[Cost ]]+Table1[[#This Row],[shipping]]+Table1[[#This Row],[Tax]])</f>
        <v>0</v>
      </c>
      <c r="S5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0" s="49">
        <f>Table1[[#This Row],[Quantity  to  purchase]]+Table1[[#This Row],[Quantity purchased]]+Table1[[#This Row],[Quantity on order]]+Table1[[#This Row],[Quantity donated]]-Table1[[#This Row],[extended quantity]]</f>
        <v>0</v>
      </c>
      <c r="U5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0" s="51">
        <f>IFERROR(Table1[[#This Row],[Quantity  to  purchase]]*(Table1[[#This Row],[Cost ]]+Table1[[#This Row],[shipping]]+Table1[[#This Row],[Tax]]),0)</f>
        <v>0</v>
      </c>
      <c r="W570" s="36">
        <f>IFERROR(Table1[[#This Row],[leftover material]]*(Table1[[#This Row],[Cost ]]+Table1[[#This Row],[shipping]]+Table1[[#This Row],[Tax]]),0)</f>
        <v>0</v>
      </c>
      <c r="X570" s="36"/>
      <c r="Y570" s="87"/>
      <c r="Z570" s="87"/>
      <c r="AA570" s="87"/>
      <c r="AB570" s="36"/>
      <c r="AC570" s="36">
        <f>IF(ISNA(VLOOKUP(Table1[[#This Row],[Part Number]],'Multi-level BOM'!V$4:V$449,1,FALSE)),0,Table1[[#This Row],[Remaining Extended cost]])</f>
        <v>0</v>
      </c>
    </row>
    <row r="571" spans="1:29" x14ac:dyDescent="0.25">
      <c r="A571" s="1" t="s">
        <v>574</v>
      </c>
      <c r="B571" s="4"/>
      <c r="F571" s="3">
        <f>9%*Table1[[#This Row],[Cost ]]</f>
        <v>0</v>
      </c>
      <c r="J571" s="49">
        <f>SUMIF('Multi-level BOM'!D$4:D$467,Table1[[#This Row],[Part Number]],'Multi-level BOM'!H$4:H$467)</f>
        <v>0</v>
      </c>
      <c r="K571" s="10">
        <f>Table1[[#This Row],[extended quantity]]*(Table1[[#This Row],[Cost ]]+Table1[[#This Row],[shipping]]+Table1[[#This Row],[Tax]])</f>
        <v>0</v>
      </c>
      <c r="L571" s="83" t="str">
        <f>IF(Table1[[#This Row],[Buy-now costs]]&gt;0,"X","")</f>
        <v/>
      </c>
      <c r="M571" s="83"/>
      <c r="N571" s="83"/>
      <c r="O571" s="40">
        <v>0</v>
      </c>
      <c r="P571" s="97">
        <f>Table1[[#This Row],[quantity on-hand]]*(Table1[[#This Row],[Cost ]]+Table1[[#This Row],[shipping]]+Table1[[#This Row],[Tax]])</f>
        <v>0</v>
      </c>
      <c r="Q571" s="40">
        <v>0</v>
      </c>
      <c r="R571" s="95">
        <f>Table1[[#This Row],[Quantity on order]]*(Table1[[#This Row],[Cost ]]+Table1[[#This Row],[shipping]]+Table1[[#This Row],[Tax]])</f>
        <v>0</v>
      </c>
      <c r="S5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1" s="49">
        <f>Table1[[#This Row],[Quantity  to  purchase]]+Table1[[#This Row],[Quantity purchased]]+Table1[[#This Row],[Quantity on order]]+Table1[[#This Row],[Quantity donated]]-Table1[[#This Row],[extended quantity]]</f>
        <v>0</v>
      </c>
      <c r="U5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1" s="51">
        <f>IFERROR(Table1[[#This Row],[Quantity  to  purchase]]*(Table1[[#This Row],[Cost ]]+Table1[[#This Row],[shipping]]+Table1[[#This Row],[Tax]]),0)</f>
        <v>0</v>
      </c>
      <c r="W571" s="36">
        <f>IFERROR(Table1[[#This Row],[leftover material]]*(Table1[[#This Row],[Cost ]]+Table1[[#This Row],[shipping]]+Table1[[#This Row],[Tax]]),0)</f>
        <v>0</v>
      </c>
      <c r="X571" s="36"/>
      <c r="Y571" s="87"/>
      <c r="Z571" s="87"/>
      <c r="AA571" s="87"/>
      <c r="AB571" s="36"/>
      <c r="AC571" s="36">
        <f>IF(ISNA(VLOOKUP(Table1[[#This Row],[Part Number]],'Multi-level BOM'!V$4:V$449,1,FALSE)),0,Table1[[#This Row],[Remaining Extended cost]])</f>
        <v>0</v>
      </c>
    </row>
    <row r="572" spans="1:29" x14ac:dyDescent="0.25">
      <c r="A572" s="1" t="s">
        <v>575</v>
      </c>
      <c r="B572" s="4"/>
      <c r="F572" s="3">
        <f>9%*Table1[[#This Row],[Cost ]]</f>
        <v>0</v>
      </c>
      <c r="J572" s="49">
        <f>SUMIF('Multi-level BOM'!D$4:D$467,Table1[[#This Row],[Part Number]],'Multi-level BOM'!H$4:H$467)</f>
        <v>0</v>
      </c>
      <c r="K572" s="10">
        <f>Table1[[#This Row],[extended quantity]]*(Table1[[#This Row],[Cost ]]+Table1[[#This Row],[shipping]]+Table1[[#This Row],[Tax]])</f>
        <v>0</v>
      </c>
      <c r="L572" s="83" t="str">
        <f>IF(Table1[[#This Row],[Buy-now costs]]&gt;0,"X","")</f>
        <v/>
      </c>
      <c r="M572" s="83"/>
      <c r="N572" s="83"/>
      <c r="O572" s="40">
        <v>0</v>
      </c>
      <c r="P572" s="97">
        <f>Table1[[#This Row],[quantity on-hand]]*(Table1[[#This Row],[Cost ]]+Table1[[#This Row],[shipping]]+Table1[[#This Row],[Tax]])</f>
        <v>0</v>
      </c>
      <c r="Q572" s="40">
        <v>0</v>
      </c>
      <c r="R572" s="95">
        <f>Table1[[#This Row],[Quantity on order]]*(Table1[[#This Row],[Cost ]]+Table1[[#This Row],[shipping]]+Table1[[#This Row],[Tax]])</f>
        <v>0</v>
      </c>
      <c r="S5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2" s="49">
        <f>Table1[[#This Row],[Quantity  to  purchase]]+Table1[[#This Row],[Quantity purchased]]+Table1[[#This Row],[Quantity on order]]+Table1[[#This Row],[Quantity donated]]-Table1[[#This Row],[extended quantity]]</f>
        <v>0</v>
      </c>
      <c r="U5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2" s="51">
        <f>IFERROR(Table1[[#This Row],[Quantity  to  purchase]]*(Table1[[#This Row],[Cost ]]+Table1[[#This Row],[shipping]]+Table1[[#This Row],[Tax]]),0)</f>
        <v>0</v>
      </c>
      <c r="W572" s="36">
        <f>IFERROR(Table1[[#This Row],[leftover material]]*(Table1[[#This Row],[Cost ]]+Table1[[#This Row],[shipping]]+Table1[[#This Row],[Tax]]),0)</f>
        <v>0</v>
      </c>
      <c r="X572" s="36"/>
      <c r="Y572" s="87"/>
      <c r="Z572" s="87"/>
      <c r="AA572" s="87"/>
      <c r="AB572" s="36"/>
      <c r="AC572" s="36">
        <f>IF(ISNA(VLOOKUP(Table1[[#This Row],[Part Number]],'Multi-level BOM'!V$4:V$449,1,FALSE)),0,Table1[[#This Row],[Remaining Extended cost]])</f>
        <v>0</v>
      </c>
    </row>
    <row r="573" spans="1:29" x14ac:dyDescent="0.25">
      <c r="A573" s="1" t="s">
        <v>576</v>
      </c>
      <c r="B573" s="4"/>
      <c r="F573" s="3">
        <f>9%*Table1[[#This Row],[Cost ]]</f>
        <v>0</v>
      </c>
      <c r="J573" s="49">
        <f>SUMIF('Multi-level BOM'!D$4:D$467,Table1[[#This Row],[Part Number]],'Multi-level BOM'!H$4:H$467)</f>
        <v>0</v>
      </c>
      <c r="K573" s="10">
        <f>Table1[[#This Row],[extended quantity]]*(Table1[[#This Row],[Cost ]]+Table1[[#This Row],[shipping]]+Table1[[#This Row],[Tax]])</f>
        <v>0</v>
      </c>
      <c r="L573" s="83" t="str">
        <f>IF(Table1[[#This Row],[Buy-now costs]]&gt;0,"X","")</f>
        <v/>
      </c>
      <c r="M573" s="83"/>
      <c r="N573" s="83"/>
      <c r="O573" s="40">
        <v>0</v>
      </c>
      <c r="P573" s="97">
        <f>Table1[[#This Row],[quantity on-hand]]*(Table1[[#This Row],[Cost ]]+Table1[[#This Row],[shipping]]+Table1[[#This Row],[Tax]])</f>
        <v>0</v>
      </c>
      <c r="Q573" s="40">
        <v>0</v>
      </c>
      <c r="R573" s="95">
        <f>Table1[[#This Row],[Quantity on order]]*(Table1[[#This Row],[Cost ]]+Table1[[#This Row],[shipping]]+Table1[[#This Row],[Tax]])</f>
        <v>0</v>
      </c>
      <c r="S5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3" s="49">
        <f>Table1[[#This Row],[Quantity  to  purchase]]+Table1[[#This Row],[Quantity purchased]]+Table1[[#This Row],[Quantity on order]]+Table1[[#This Row],[Quantity donated]]-Table1[[#This Row],[extended quantity]]</f>
        <v>0</v>
      </c>
      <c r="U5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3" s="51">
        <f>IFERROR(Table1[[#This Row],[Quantity  to  purchase]]*(Table1[[#This Row],[Cost ]]+Table1[[#This Row],[shipping]]+Table1[[#This Row],[Tax]]),0)</f>
        <v>0</v>
      </c>
      <c r="W573" s="36">
        <f>IFERROR(Table1[[#This Row],[leftover material]]*(Table1[[#This Row],[Cost ]]+Table1[[#This Row],[shipping]]+Table1[[#This Row],[Tax]]),0)</f>
        <v>0</v>
      </c>
      <c r="X573" s="36"/>
      <c r="Y573" s="87"/>
      <c r="Z573" s="87"/>
      <c r="AA573" s="87"/>
      <c r="AB573" s="36"/>
      <c r="AC573" s="36">
        <f>IF(ISNA(VLOOKUP(Table1[[#This Row],[Part Number]],'Multi-level BOM'!V$4:V$449,1,FALSE)),0,Table1[[#This Row],[Remaining Extended cost]])</f>
        <v>0</v>
      </c>
    </row>
    <row r="574" spans="1:29" x14ac:dyDescent="0.25">
      <c r="A574" s="1" t="s">
        <v>577</v>
      </c>
      <c r="B574" s="4"/>
      <c r="F574" s="3">
        <f>9%*Table1[[#This Row],[Cost ]]</f>
        <v>0</v>
      </c>
      <c r="J574" s="49">
        <f>SUMIF('Multi-level BOM'!D$4:D$467,Table1[[#This Row],[Part Number]],'Multi-level BOM'!H$4:H$467)</f>
        <v>0</v>
      </c>
      <c r="K574" s="10">
        <f>Table1[[#This Row],[extended quantity]]*(Table1[[#This Row],[Cost ]]+Table1[[#This Row],[shipping]]+Table1[[#This Row],[Tax]])</f>
        <v>0</v>
      </c>
      <c r="L574" s="83" t="str">
        <f>IF(Table1[[#This Row],[Buy-now costs]]&gt;0,"X","")</f>
        <v/>
      </c>
      <c r="M574" s="83"/>
      <c r="N574" s="83"/>
      <c r="O574" s="40">
        <v>0</v>
      </c>
      <c r="P574" s="97">
        <f>Table1[[#This Row],[quantity on-hand]]*(Table1[[#This Row],[Cost ]]+Table1[[#This Row],[shipping]]+Table1[[#This Row],[Tax]])</f>
        <v>0</v>
      </c>
      <c r="Q574" s="40">
        <v>0</v>
      </c>
      <c r="R574" s="95">
        <f>Table1[[#This Row],[Quantity on order]]*(Table1[[#This Row],[Cost ]]+Table1[[#This Row],[shipping]]+Table1[[#This Row],[Tax]])</f>
        <v>0</v>
      </c>
      <c r="S5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4" s="49">
        <f>Table1[[#This Row],[Quantity  to  purchase]]+Table1[[#This Row],[Quantity purchased]]+Table1[[#This Row],[Quantity on order]]+Table1[[#This Row],[Quantity donated]]-Table1[[#This Row],[extended quantity]]</f>
        <v>0</v>
      </c>
      <c r="U5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4" s="51">
        <f>IFERROR(Table1[[#This Row],[Quantity  to  purchase]]*(Table1[[#This Row],[Cost ]]+Table1[[#This Row],[shipping]]+Table1[[#This Row],[Tax]]),0)</f>
        <v>0</v>
      </c>
      <c r="W574" s="36">
        <f>IFERROR(Table1[[#This Row],[leftover material]]*(Table1[[#This Row],[Cost ]]+Table1[[#This Row],[shipping]]+Table1[[#This Row],[Tax]]),0)</f>
        <v>0</v>
      </c>
      <c r="X574" s="36"/>
      <c r="Y574" s="87"/>
      <c r="Z574" s="87"/>
      <c r="AA574" s="87"/>
      <c r="AB574" s="36"/>
      <c r="AC574" s="36">
        <f>IF(ISNA(VLOOKUP(Table1[[#This Row],[Part Number]],'Multi-level BOM'!V$4:V$449,1,FALSE)),0,Table1[[#This Row],[Remaining Extended cost]])</f>
        <v>0</v>
      </c>
    </row>
    <row r="575" spans="1:29" x14ac:dyDescent="0.25">
      <c r="A575" s="1" t="s">
        <v>578</v>
      </c>
      <c r="B575" s="4"/>
      <c r="F575" s="3">
        <f>9%*Table1[[#This Row],[Cost ]]</f>
        <v>0</v>
      </c>
      <c r="J575" s="49">
        <f>SUMIF('Multi-level BOM'!D$4:D$467,Table1[[#This Row],[Part Number]],'Multi-level BOM'!H$4:H$467)</f>
        <v>0</v>
      </c>
      <c r="K575" s="10">
        <f>Table1[[#This Row],[extended quantity]]*(Table1[[#This Row],[Cost ]]+Table1[[#This Row],[shipping]]+Table1[[#This Row],[Tax]])</f>
        <v>0</v>
      </c>
      <c r="L575" s="83" t="str">
        <f>IF(Table1[[#This Row],[Buy-now costs]]&gt;0,"X","")</f>
        <v/>
      </c>
      <c r="M575" s="83"/>
      <c r="N575" s="83"/>
      <c r="O575" s="40">
        <v>0</v>
      </c>
      <c r="P575" s="97">
        <f>Table1[[#This Row],[quantity on-hand]]*(Table1[[#This Row],[Cost ]]+Table1[[#This Row],[shipping]]+Table1[[#This Row],[Tax]])</f>
        <v>0</v>
      </c>
      <c r="Q575" s="40">
        <v>0</v>
      </c>
      <c r="R575" s="95">
        <f>Table1[[#This Row],[Quantity on order]]*(Table1[[#This Row],[Cost ]]+Table1[[#This Row],[shipping]]+Table1[[#This Row],[Tax]])</f>
        <v>0</v>
      </c>
      <c r="S5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5" s="49">
        <f>Table1[[#This Row],[Quantity  to  purchase]]+Table1[[#This Row],[Quantity purchased]]+Table1[[#This Row],[Quantity on order]]+Table1[[#This Row],[Quantity donated]]-Table1[[#This Row],[extended quantity]]</f>
        <v>0</v>
      </c>
      <c r="U5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5" s="51">
        <f>IFERROR(Table1[[#This Row],[Quantity  to  purchase]]*(Table1[[#This Row],[Cost ]]+Table1[[#This Row],[shipping]]+Table1[[#This Row],[Tax]]),0)</f>
        <v>0</v>
      </c>
      <c r="W575" s="36">
        <f>IFERROR(Table1[[#This Row],[leftover material]]*(Table1[[#This Row],[Cost ]]+Table1[[#This Row],[shipping]]+Table1[[#This Row],[Tax]]),0)</f>
        <v>0</v>
      </c>
      <c r="X575" s="36"/>
      <c r="Y575" s="87"/>
      <c r="Z575" s="87"/>
      <c r="AA575" s="87"/>
      <c r="AB575" s="36"/>
      <c r="AC575" s="36">
        <f>IF(ISNA(VLOOKUP(Table1[[#This Row],[Part Number]],'Multi-level BOM'!V$4:V$449,1,FALSE)),0,Table1[[#This Row],[Remaining Extended cost]])</f>
        <v>0</v>
      </c>
    </row>
    <row r="576" spans="1:29" x14ac:dyDescent="0.25">
      <c r="A576" s="1" t="s">
        <v>579</v>
      </c>
      <c r="B576" s="4"/>
      <c r="F576" s="3">
        <f>9%*Table1[[#This Row],[Cost ]]</f>
        <v>0</v>
      </c>
      <c r="J576" s="49">
        <f>SUMIF('Multi-level BOM'!D$4:D$467,Table1[[#This Row],[Part Number]],'Multi-level BOM'!H$4:H$467)</f>
        <v>0</v>
      </c>
      <c r="K576" s="10">
        <f>Table1[[#This Row],[extended quantity]]*(Table1[[#This Row],[Cost ]]+Table1[[#This Row],[shipping]]+Table1[[#This Row],[Tax]])</f>
        <v>0</v>
      </c>
      <c r="L576" s="83" t="str">
        <f>IF(Table1[[#This Row],[Buy-now costs]]&gt;0,"X","")</f>
        <v/>
      </c>
      <c r="M576" s="83"/>
      <c r="N576" s="83"/>
      <c r="O576" s="40">
        <v>0</v>
      </c>
      <c r="P576" s="97">
        <f>Table1[[#This Row],[quantity on-hand]]*(Table1[[#This Row],[Cost ]]+Table1[[#This Row],[shipping]]+Table1[[#This Row],[Tax]])</f>
        <v>0</v>
      </c>
      <c r="Q576" s="40">
        <v>0</v>
      </c>
      <c r="R576" s="95">
        <f>Table1[[#This Row],[Quantity on order]]*(Table1[[#This Row],[Cost ]]+Table1[[#This Row],[shipping]]+Table1[[#This Row],[Tax]])</f>
        <v>0</v>
      </c>
      <c r="S5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6" s="49">
        <f>Table1[[#This Row],[Quantity  to  purchase]]+Table1[[#This Row],[Quantity purchased]]+Table1[[#This Row],[Quantity on order]]+Table1[[#This Row],[Quantity donated]]-Table1[[#This Row],[extended quantity]]</f>
        <v>0</v>
      </c>
      <c r="U5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6" s="51">
        <f>IFERROR(Table1[[#This Row],[Quantity  to  purchase]]*(Table1[[#This Row],[Cost ]]+Table1[[#This Row],[shipping]]+Table1[[#This Row],[Tax]]),0)</f>
        <v>0</v>
      </c>
      <c r="W576" s="36">
        <f>IFERROR(Table1[[#This Row],[leftover material]]*(Table1[[#This Row],[Cost ]]+Table1[[#This Row],[shipping]]+Table1[[#This Row],[Tax]]),0)</f>
        <v>0</v>
      </c>
      <c r="X576" s="36"/>
      <c r="Y576" s="87"/>
      <c r="Z576" s="87"/>
      <c r="AA576" s="87"/>
      <c r="AB576" s="36"/>
      <c r="AC576" s="36">
        <f>IF(ISNA(VLOOKUP(Table1[[#This Row],[Part Number]],'Multi-level BOM'!V$4:V$449,1,FALSE)),0,Table1[[#This Row],[Remaining Extended cost]])</f>
        <v>0</v>
      </c>
    </row>
    <row r="577" spans="1:29" x14ac:dyDescent="0.25">
      <c r="A577" s="1" t="s">
        <v>580</v>
      </c>
      <c r="B577" s="4"/>
      <c r="F577" s="3">
        <f>9%*Table1[[#This Row],[Cost ]]</f>
        <v>0</v>
      </c>
      <c r="J577" s="49">
        <f>SUMIF('Multi-level BOM'!D$4:D$467,Table1[[#This Row],[Part Number]],'Multi-level BOM'!H$4:H$467)</f>
        <v>0</v>
      </c>
      <c r="K577" s="10">
        <f>Table1[[#This Row],[extended quantity]]*(Table1[[#This Row],[Cost ]]+Table1[[#This Row],[shipping]]+Table1[[#This Row],[Tax]])</f>
        <v>0</v>
      </c>
      <c r="L577" s="83" t="str">
        <f>IF(Table1[[#This Row],[Buy-now costs]]&gt;0,"X","")</f>
        <v/>
      </c>
      <c r="M577" s="83"/>
      <c r="N577" s="83"/>
      <c r="O577" s="40">
        <v>0</v>
      </c>
      <c r="P577" s="97">
        <f>Table1[[#This Row],[quantity on-hand]]*(Table1[[#This Row],[Cost ]]+Table1[[#This Row],[shipping]]+Table1[[#This Row],[Tax]])</f>
        <v>0</v>
      </c>
      <c r="Q577" s="40">
        <v>0</v>
      </c>
      <c r="R577" s="95">
        <f>Table1[[#This Row],[Quantity on order]]*(Table1[[#This Row],[Cost ]]+Table1[[#This Row],[shipping]]+Table1[[#This Row],[Tax]])</f>
        <v>0</v>
      </c>
      <c r="S5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7" s="49">
        <f>Table1[[#This Row],[Quantity  to  purchase]]+Table1[[#This Row],[Quantity purchased]]+Table1[[#This Row],[Quantity on order]]+Table1[[#This Row],[Quantity donated]]-Table1[[#This Row],[extended quantity]]</f>
        <v>0</v>
      </c>
      <c r="U5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7" s="51">
        <f>IFERROR(Table1[[#This Row],[Quantity  to  purchase]]*(Table1[[#This Row],[Cost ]]+Table1[[#This Row],[shipping]]+Table1[[#This Row],[Tax]]),0)</f>
        <v>0</v>
      </c>
      <c r="W577" s="36">
        <f>IFERROR(Table1[[#This Row],[leftover material]]*(Table1[[#This Row],[Cost ]]+Table1[[#This Row],[shipping]]+Table1[[#This Row],[Tax]]),0)</f>
        <v>0</v>
      </c>
      <c r="X577" s="36"/>
      <c r="Y577" s="87"/>
      <c r="Z577" s="87"/>
      <c r="AA577" s="87"/>
      <c r="AB577" s="36"/>
      <c r="AC577" s="36">
        <f>IF(ISNA(VLOOKUP(Table1[[#This Row],[Part Number]],'Multi-level BOM'!V$4:V$449,1,FALSE)),0,Table1[[#This Row],[Remaining Extended cost]])</f>
        <v>0</v>
      </c>
    </row>
    <row r="578" spans="1:29" x14ac:dyDescent="0.25">
      <c r="A578" s="1" t="s">
        <v>581</v>
      </c>
      <c r="B578" s="4"/>
      <c r="F578" s="3">
        <f>9%*Table1[[#This Row],[Cost ]]</f>
        <v>0</v>
      </c>
      <c r="J578" s="49">
        <f>SUMIF('Multi-level BOM'!D$4:D$467,Table1[[#This Row],[Part Number]],'Multi-level BOM'!H$4:H$467)</f>
        <v>0</v>
      </c>
      <c r="K578" s="10">
        <f>Table1[[#This Row],[extended quantity]]*(Table1[[#This Row],[Cost ]]+Table1[[#This Row],[shipping]]+Table1[[#This Row],[Tax]])</f>
        <v>0</v>
      </c>
      <c r="L578" s="83" t="str">
        <f>IF(Table1[[#This Row],[Buy-now costs]]&gt;0,"X","")</f>
        <v/>
      </c>
      <c r="M578" s="83"/>
      <c r="N578" s="83"/>
      <c r="O578" s="40">
        <v>0</v>
      </c>
      <c r="P578" s="97">
        <f>Table1[[#This Row],[quantity on-hand]]*(Table1[[#This Row],[Cost ]]+Table1[[#This Row],[shipping]]+Table1[[#This Row],[Tax]])</f>
        <v>0</v>
      </c>
      <c r="Q578" s="40">
        <v>0</v>
      </c>
      <c r="R578" s="95">
        <f>Table1[[#This Row],[Quantity on order]]*(Table1[[#This Row],[Cost ]]+Table1[[#This Row],[shipping]]+Table1[[#This Row],[Tax]])</f>
        <v>0</v>
      </c>
      <c r="S5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8" s="49">
        <f>Table1[[#This Row],[Quantity  to  purchase]]+Table1[[#This Row],[Quantity purchased]]+Table1[[#This Row],[Quantity on order]]+Table1[[#This Row],[Quantity donated]]-Table1[[#This Row],[extended quantity]]</f>
        <v>0</v>
      </c>
      <c r="U5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8" s="51">
        <f>IFERROR(Table1[[#This Row],[Quantity  to  purchase]]*(Table1[[#This Row],[Cost ]]+Table1[[#This Row],[shipping]]+Table1[[#This Row],[Tax]]),0)</f>
        <v>0</v>
      </c>
      <c r="W578" s="36">
        <f>IFERROR(Table1[[#This Row],[leftover material]]*(Table1[[#This Row],[Cost ]]+Table1[[#This Row],[shipping]]+Table1[[#This Row],[Tax]]),0)</f>
        <v>0</v>
      </c>
      <c r="X578" s="36"/>
      <c r="Y578" s="87"/>
      <c r="Z578" s="87"/>
      <c r="AA578" s="87"/>
      <c r="AB578" s="36"/>
      <c r="AC578" s="36">
        <f>IF(ISNA(VLOOKUP(Table1[[#This Row],[Part Number]],'Multi-level BOM'!V$4:V$449,1,FALSE)),0,Table1[[#This Row],[Remaining Extended cost]])</f>
        <v>0</v>
      </c>
    </row>
    <row r="579" spans="1:29" x14ac:dyDescent="0.25">
      <c r="A579" s="1" t="s">
        <v>582</v>
      </c>
      <c r="B579" s="4"/>
      <c r="F579" s="3">
        <f>9%*Table1[[#This Row],[Cost ]]</f>
        <v>0</v>
      </c>
      <c r="J579" s="49">
        <f>SUMIF('Multi-level BOM'!D$4:D$467,Table1[[#This Row],[Part Number]],'Multi-level BOM'!H$4:H$467)</f>
        <v>0</v>
      </c>
      <c r="K579" s="10">
        <f>Table1[[#This Row],[extended quantity]]*(Table1[[#This Row],[Cost ]]+Table1[[#This Row],[shipping]]+Table1[[#This Row],[Tax]])</f>
        <v>0</v>
      </c>
      <c r="L579" s="83" t="str">
        <f>IF(Table1[[#This Row],[Buy-now costs]]&gt;0,"X","")</f>
        <v/>
      </c>
      <c r="M579" s="83"/>
      <c r="N579" s="83"/>
      <c r="O579" s="40">
        <v>0</v>
      </c>
      <c r="P579" s="97">
        <f>Table1[[#This Row],[quantity on-hand]]*(Table1[[#This Row],[Cost ]]+Table1[[#This Row],[shipping]]+Table1[[#This Row],[Tax]])</f>
        <v>0</v>
      </c>
      <c r="Q579" s="40">
        <v>0</v>
      </c>
      <c r="R579" s="95">
        <f>Table1[[#This Row],[Quantity on order]]*(Table1[[#This Row],[Cost ]]+Table1[[#This Row],[shipping]]+Table1[[#This Row],[Tax]])</f>
        <v>0</v>
      </c>
      <c r="S5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9" s="49">
        <f>Table1[[#This Row],[Quantity  to  purchase]]+Table1[[#This Row],[Quantity purchased]]+Table1[[#This Row],[Quantity on order]]+Table1[[#This Row],[Quantity donated]]-Table1[[#This Row],[extended quantity]]</f>
        <v>0</v>
      </c>
      <c r="U5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9" s="51">
        <f>IFERROR(Table1[[#This Row],[Quantity  to  purchase]]*(Table1[[#This Row],[Cost ]]+Table1[[#This Row],[shipping]]+Table1[[#This Row],[Tax]]),0)</f>
        <v>0</v>
      </c>
      <c r="W579" s="36">
        <f>IFERROR(Table1[[#This Row],[leftover material]]*(Table1[[#This Row],[Cost ]]+Table1[[#This Row],[shipping]]+Table1[[#This Row],[Tax]]),0)</f>
        <v>0</v>
      </c>
      <c r="X579" s="36"/>
      <c r="Y579" s="87"/>
      <c r="Z579" s="87"/>
      <c r="AA579" s="87"/>
      <c r="AB579" s="36"/>
      <c r="AC579" s="36">
        <f>IF(ISNA(VLOOKUP(Table1[[#This Row],[Part Number]],'Multi-level BOM'!V$4:V$449,1,FALSE)),0,Table1[[#This Row],[Remaining Extended cost]])</f>
        <v>0</v>
      </c>
    </row>
    <row r="580" spans="1:29" x14ac:dyDescent="0.25">
      <c r="A580" s="1" t="s">
        <v>583</v>
      </c>
      <c r="B580" s="4"/>
      <c r="F580" s="3">
        <f>9%*Table1[[#This Row],[Cost ]]</f>
        <v>0</v>
      </c>
      <c r="J580" s="49">
        <f>SUMIF('Multi-level BOM'!D$4:D$467,Table1[[#This Row],[Part Number]],'Multi-level BOM'!H$4:H$467)</f>
        <v>0</v>
      </c>
      <c r="K580" s="10">
        <f>Table1[[#This Row],[extended quantity]]*(Table1[[#This Row],[Cost ]]+Table1[[#This Row],[shipping]]+Table1[[#This Row],[Tax]])</f>
        <v>0</v>
      </c>
      <c r="L580" s="83" t="str">
        <f>IF(Table1[[#This Row],[Buy-now costs]]&gt;0,"X","")</f>
        <v/>
      </c>
      <c r="M580" s="83"/>
      <c r="N580" s="83"/>
      <c r="O580" s="40">
        <v>0</v>
      </c>
      <c r="P580" s="97">
        <f>Table1[[#This Row],[quantity on-hand]]*(Table1[[#This Row],[Cost ]]+Table1[[#This Row],[shipping]]+Table1[[#This Row],[Tax]])</f>
        <v>0</v>
      </c>
      <c r="Q580" s="40">
        <v>0</v>
      </c>
      <c r="R580" s="95">
        <f>Table1[[#This Row],[Quantity on order]]*(Table1[[#This Row],[Cost ]]+Table1[[#This Row],[shipping]]+Table1[[#This Row],[Tax]])</f>
        <v>0</v>
      </c>
      <c r="S5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0" s="49">
        <f>Table1[[#This Row],[Quantity  to  purchase]]+Table1[[#This Row],[Quantity purchased]]+Table1[[#This Row],[Quantity on order]]+Table1[[#This Row],[Quantity donated]]-Table1[[#This Row],[extended quantity]]</f>
        <v>0</v>
      </c>
      <c r="U5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0" s="51">
        <f>IFERROR(Table1[[#This Row],[Quantity  to  purchase]]*(Table1[[#This Row],[Cost ]]+Table1[[#This Row],[shipping]]+Table1[[#This Row],[Tax]]),0)</f>
        <v>0</v>
      </c>
      <c r="W580" s="36">
        <f>IFERROR(Table1[[#This Row],[leftover material]]*(Table1[[#This Row],[Cost ]]+Table1[[#This Row],[shipping]]+Table1[[#This Row],[Tax]]),0)</f>
        <v>0</v>
      </c>
      <c r="X580" s="36"/>
      <c r="Y580" s="87"/>
      <c r="Z580" s="87"/>
      <c r="AA580" s="87"/>
      <c r="AB580" s="36"/>
      <c r="AC580" s="36">
        <f>IF(ISNA(VLOOKUP(Table1[[#This Row],[Part Number]],'Multi-level BOM'!V$4:V$449,1,FALSE)),0,Table1[[#This Row],[Remaining Extended cost]])</f>
        <v>0</v>
      </c>
    </row>
    <row r="581" spans="1:29" x14ac:dyDescent="0.25">
      <c r="A581" s="1" t="s">
        <v>584</v>
      </c>
      <c r="B581" s="4"/>
      <c r="F581" s="3">
        <f>9%*Table1[[#This Row],[Cost ]]</f>
        <v>0</v>
      </c>
      <c r="J581" s="49">
        <f>SUMIF('Multi-level BOM'!D$4:D$467,Table1[[#This Row],[Part Number]],'Multi-level BOM'!H$4:H$467)</f>
        <v>0</v>
      </c>
      <c r="K581" s="10">
        <f>Table1[[#This Row],[extended quantity]]*(Table1[[#This Row],[Cost ]]+Table1[[#This Row],[shipping]]+Table1[[#This Row],[Tax]])</f>
        <v>0</v>
      </c>
      <c r="L581" s="83" t="str">
        <f>IF(Table1[[#This Row],[Buy-now costs]]&gt;0,"X","")</f>
        <v/>
      </c>
      <c r="M581" s="83"/>
      <c r="N581" s="83"/>
      <c r="O581" s="40">
        <v>0</v>
      </c>
      <c r="P581" s="97">
        <f>Table1[[#This Row],[quantity on-hand]]*(Table1[[#This Row],[Cost ]]+Table1[[#This Row],[shipping]]+Table1[[#This Row],[Tax]])</f>
        <v>0</v>
      </c>
      <c r="Q581" s="40">
        <v>0</v>
      </c>
      <c r="R581" s="95">
        <f>Table1[[#This Row],[Quantity on order]]*(Table1[[#This Row],[Cost ]]+Table1[[#This Row],[shipping]]+Table1[[#This Row],[Tax]])</f>
        <v>0</v>
      </c>
      <c r="S5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1" s="49">
        <f>Table1[[#This Row],[Quantity  to  purchase]]+Table1[[#This Row],[Quantity purchased]]+Table1[[#This Row],[Quantity on order]]+Table1[[#This Row],[Quantity donated]]-Table1[[#This Row],[extended quantity]]</f>
        <v>0</v>
      </c>
      <c r="U5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1" s="51">
        <f>IFERROR(Table1[[#This Row],[Quantity  to  purchase]]*(Table1[[#This Row],[Cost ]]+Table1[[#This Row],[shipping]]+Table1[[#This Row],[Tax]]),0)</f>
        <v>0</v>
      </c>
      <c r="W581" s="36">
        <f>IFERROR(Table1[[#This Row],[leftover material]]*(Table1[[#This Row],[Cost ]]+Table1[[#This Row],[shipping]]+Table1[[#This Row],[Tax]]),0)</f>
        <v>0</v>
      </c>
      <c r="X581" s="36"/>
      <c r="Y581" s="87"/>
      <c r="Z581" s="87"/>
      <c r="AA581" s="87"/>
      <c r="AB581" s="36"/>
      <c r="AC581" s="36">
        <f>IF(ISNA(VLOOKUP(Table1[[#This Row],[Part Number]],'Multi-level BOM'!V$4:V$449,1,FALSE)),0,Table1[[#This Row],[Remaining Extended cost]])</f>
        <v>0</v>
      </c>
    </row>
    <row r="582" spans="1:29" x14ac:dyDescent="0.25">
      <c r="A582" s="1" t="s">
        <v>585</v>
      </c>
      <c r="B582" s="4"/>
      <c r="F582" s="3">
        <f>9%*Table1[[#This Row],[Cost ]]</f>
        <v>0</v>
      </c>
      <c r="J582" s="49">
        <f>SUMIF('Multi-level BOM'!D$4:D$467,Table1[[#This Row],[Part Number]],'Multi-level BOM'!H$4:H$467)</f>
        <v>0</v>
      </c>
      <c r="K582" s="10">
        <f>Table1[[#This Row],[extended quantity]]*(Table1[[#This Row],[Cost ]]+Table1[[#This Row],[shipping]]+Table1[[#This Row],[Tax]])</f>
        <v>0</v>
      </c>
      <c r="L582" s="83" t="str">
        <f>IF(Table1[[#This Row],[Buy-now costs]]&gt;0,"X","")</f>
        <v/>
      </c>
      <c r="M582" s="83"/>
      <c r="N582" s="83"/>
      <c r="O582" s="40">
        <v>0</v>
      </c>
      <c r="P582" s="97">
        <f>Table1[[#This Row],[quantity on-hand]]*(Table1[[#This Row],[Cost ]]+Table1[[#This Row],[shipping]]+Table1[[#This Row],[Tax]])</f>
        <v>0</v>
      </c>
      <c r="Q582" s="40">
        <v>0</v>
      </c>
      <c r="R582" s="95">
        <f>Table1[[#This Row],[Quantity on order]]*(Table1[[#This Row],[Cost ]]+Table1[[#This Row],[shipping]]+Table1[[#This Row],[Tax]])</f>
        <v>0</v>
      </c>
      <c r="S5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2" s="49">
        <f>Table1[[#This Row],[Quantity  to  purchase]]+Table1[[#This Row],[Quantity purchased]]+Table1[[#This Row],[Quantity on order]]+Table1[[#This Row],[Quantity donated]]-Table1[[#This Row],[extended quantity]]</f>
        <v>0</v>
      </c>
      <c r="U5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2" s="51">
        <f>IFERROR(Table1[[#This Row],[Quantity  to  purchase]]*(Table1[[#This Row],[Cost ]]+Table1[[#This Row],[shipping]]+Table1[[#This Row],[Tax]]),0)</f>
        <v>0</v>
      </c>
      <c r="W582" s="36">
        <f>IFERROR(Table1[[#This Row],[leftover material]]*(Table1[[#This Row],[Cost ]]+Table1[[#This Row],[shipping]]+Table1[[#This Row],[Tax]]),0)</f>
        <v>0</v>
      </c>
      <c r="X582" s="36"/>
      <c r="Y582" s="87"/>
      <c r="Z582" s="87"/>
      <c r="AA582" s="87"/>
      <c r="AB582" s="36"/>
      <c r="AC582" s="36">
        <f>IF(ISNA(VLOOKUP(Table1[[#This Row],[Part Number]],'Multi-level BOM'!V$4:V$449,1,FALSE)),0,Table1[[#This Row],[Remaining Extended cost]])</f>
        <v>0</v>
      </c>
    </row>
    <row r="583" spans="1:29" x14ac:dyDescent="0.25">
      <c r="A583" s="1" t="s">
        <v>586</v>
      </c>
      <c r="B583" s="4"/>
      <c r="F583" s="3">
        <f>9%*Table1[[#This Row],[Cost ]]</f>
        <v>0</v>
      </c>
      <c r="J583" s="49">
        <f>SUMIF('Multi-level BOM'!D$4:D$467,Table1[[#This Row],[Part Number]],'Multi-level BOM'!H$4:H$467)</f>
        <v>0</v>
      </c>
      <c r="K583" s="10">
        <f>Table1[[#This Row],[extended quantity]]*(Table1[[#This Row],[Cost ]]+Table1[[#This Row],[shipping]]+Table1[[#This Row],[Tax]])</f>
        <v>0</v>
      </c>
      <c r="L583" s="83" t="str">
        <f>IF(Table1[[#This Row],[Buy-now costs]]&gt;0,"X","")</f>
        <v/>
      </c>
      <c r="M583" s="83"/>
      <c r="N583" s="83"/>
      <c r="O583" s="40">
        <v>0</v>
      </c>
      <c r="P583" s="97">
        <f>Table1[[#This Row],[quantity on-hand]]*(Table1[[#This Row],[Cost ]]+Table1[[#This Row],[shipping]]+Table1[[#This Row],[Tax]])</f>
        <v>0</v>
      </c>
      <c r="Q583" s="40">
        <v>0</v>
      </c>
      <c r="R583" s="95">
        <f>Table1[[#This Row],[Quantity on order]]*(Table1[[#This Row],[Cost ]]+Table1[[#This Row],[shipping]]+Table1[[#This Row],[Tax]])</f>
        <v>0</v>
      </c>
      <c r="S5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3" s="49">
        <f>Table1[[#This Row],[Quantity  to  purchase]]+Table1[[#This Row],[Quantity purchased]]+Table1[[#This Row],[Quantity on order]]+Table1[[#This Row],[Quantity donated]]-Table1[[#This Row],[extended quantity]]</f>
        <v>0</v>
      </c>
      <c r="U5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3" s="51">
        <f>IFERROR(Table1[[#This Row],[Quantity  to  purchase]]*(Table1[[#This Row],[Cost ]]+Table1[[#This Row],[shipping]]+Table1[[#This Row],[Tax]]),0)</f>
        <v>0</v>
      </c>
      <c r="W583" s="36">
        <f>IFERROR(Table1[[#This Row],[leftover material]]*(Table1[[#This Row],[Cost ]]+Table1[[#This Row],[shipping]]+Table1[[#This Row],[Tax]]),0)</f>
        <v>0</v>
      </c>
      <c r="X583" s="36"/>
      <c r="Y583" s="87"/>
      <c r="Z583" s="87"/>
      <c r="AA583" s="87"/>
      <c r="AB583" s="36"/>
      <c r="AC583" s="36">
        <f>IF(ISNA(VLOOKUP(Table1[[#This Row],[Part Number]],'Multi-level BOM'!V$4:V$449,1,FALSE)),0,Table1[[#This Row],[Remaining Extended cost]])</f>
        <v>0</v>
      </c>
    </row>
    <row r="584" spans="1:29" x14ac:dyDescent="0.25">
      <c r="A584" s="1" t="s">
        <v>587</v>
      </c>
      <c r="B584" s="4"/>
      <c r="F584" s="3">
        <f>9%*Table1[[#This Row],[Cost ]]</f>
        <v>0</v>
      </c>
      <c r="J584" s="49">
        <f>SUMIF('Multi-level BOM'!D$4:D$467,Table1[[#This Row],[Part Number]],'Multi-level BOM'!H$4:H$467)</f>
        <v>0</v>
      </c>
      <c r="K584" s="10">
        <f>Table1[[#This Row],[extended quantity]]*(Table1[[#This Row],[Cost ]]+Table1[[#This Row],[shipping]]+Table1[[#This Row],[Tax]])</f>
        <v>0</v>
      </c>
      <c r="L584" s="83" t="str">
        <f>IF(Table1[[#This Row],[Buy-now costs]]&gt;0,"X","")</f>
        <v/>
      </c>
      <c r="M584" s="83"/>
      <c r="N584" s="83"/>
      <c r="O584" s="40">
        <v>0</v>
      </c>
      <c r="P584" s="97">
        <f>Table1[[#This Row],[quantity on-hand]]*(Table1[[#This Row],[Cost ]]+Table1[[#This Row],[shipping]]+Table1[[#This Row],[Tax]])</f>
        <v>0</v>
      </c>
      <c r="Q584" s="40">
        <v>0</v>
      </c>
      <c r="R584" s="95">
        <f>Table1[[#This Row],[Quantity on order]]*(Table1[[#This Row],[Cost ]]+Table1[[#This Row],[shipping]]+Table1[[#This Row],[Tax]])</f>
        <v>0</v>
      </c>
      <c r="S5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4" s="49">
        <f>Table1[[#This Row],[Quantity  to  purchase]]+Table1[[#This Row],[Quantity purchased]]+Table1[[#This Row],[Quantity on order]]+Table1[[#This Row],[Quantity donated]]-Table1[[#This Row],[extended quantity]]</f>
        <v>0</v>
      </c>
      <c r="U5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4" s="51">
        <f>IFERROR(Table1[[#This Row],[Quantity  to  purchase]]*(Table1[[#This Row],[Cost ]]+Table1[[#This Row],[shipping]]+Table1[[#This Row],[Tax]]),0)</f>
        <v>0</v>
      </c>
      <c r="W584" s="36">
        <f>IFERROR(Table1[[#This Row],[leftover material]]*(Table1[[#This Row],[Cost ]]+Table1[[#This Row],[shipping]]+Table1[[#This Row],[Tax]]),0)</f>
        <v>0</v>
      </c>
      <c r="X584" s="36"/>
      <c r="Y584" s="87"/>
      <c r="Z584" s="87"/>
      <c r="AA584" s="87"/>
      <c r="AB584" s="36"/>
      <c r="AC584" s="36">
        <f>IF(ISNA(VLOOKUP(Table1[[#This Row],[Part Number]],'Multi-level BOM'!V$4:V$449,1,FALSE)),0,Table1[[#This Row],[Remaining Extended cost]])</f>
        <v>0</v>
      </c>
    </row>
    <row r="585" spans="1:29" x14ac:dyDescent="0.25">
      <c r="A585" s="1" t="s">
        <v>588</v>
      </c>
      <c r="B585" s="4"/>
      <c r="F585" s="3">
        <f>9%*Table1[[#This Row],[Cost ]]</f>
        <v>0</v>
      </c>
      <c r="J585" s="49">
        <f>SUMIF('Multi-level BOM'!D$4:D$467,Table1[[#This Row],[Part Number]],'Multi-level BOM'!H$4:H$467)</f>
        <v>0</v>
      </c>
      <c r="K585" s="10">
        <f>Table1[[#This Row],[extended quantity]]*(Table1[[#This Row],[Cost ]]+Table1[[#This Row],[shipping]]+Table1[[#This Row],[Tax]])</f>
        <v>0</v>
      </c>
      <c r="L585" s="83" t="str">
        <f>IF(Table1[[#This Row],[Buy-now costs]]&gt;0,"X","")</f>
        <v/>
      </c>
      <c r="M585" s="83"/>
      <c r="N585" s="83"/>
      <c r="O585" s="40">
        <v>0</v>
      </c>
      <c r="P585" s="97">
        <f>Table1[[#This Row],[quantity on-hand]]*(Table1[[#This Row],[Cost ]]+Table1[[#This Row],[shipping]]+Table1[[#This Row],[Tax]])</f>
        <v>0</v>
      </c>
      <c r="Q585" s="40">
        <v>0</v>
      </c>
      <c r="R585" s="95">
        <f>Table1[[#This Row],[Quantity on order]]*(Table1[[#This Row],[Cost ]]+Table1[[#This Row],[shipping]]+Table1[[#This Row],[Tax]])</f>
        <v>0</v>
      </c>
      <c r="S5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5" s="49">
        <f>Table1[[#This Row],[Quantity  to  purchase]]+Table1[[#This Row],[Quantity purchased]]+Table1[[#This Row],[Quantity on order]]+Table1[[#This Row],[Quantity donated]]-Table1[[#This Row],[extended quantity]]</f>
        <v>0</v>
      </c>
      <c r="U5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5" s="51">
        <f>IFERROR(Table1[[#This Row],[Quantity  to  purchase]]*(Table1[[#This Row],[Cost ]]+Table1[[#This Row],[shipping]]+Table1[[#This Row],[Tax]]),0)</f>
        <v>0</v>
      </c>
      <c r="W585" s="36">
        <f>IFERROR(Table1[[#This Row],[leftover material]]*(Table1[[#This Row],[Cost ]]+Table1[[#This Row],[shipping]]+Table1[[#This Row],[Tax]]),0)</f>
        <v>0</v>
      </c>
      <c r="X585" s="36"/>
      <c r="Y585" s="87"/>
      <c r="Z585" s="87"/>
      <c r="AA585" s="87"/>
      <c r="AB585" s="36"/>
      <c r="AC585" s="36">
        <f>IF(ISNA(VLOOKUP(Table1[[#This Row],[Part Number]],'Multi-level BOM'!V$4:V$449,1,FALSE)),0,Table1[[#This Row],[Remaining Extended cost]])</f>
        <v>0</v>
      </c>
    </row>
    <row r="586" spans="1:29" x14ac:dyDescent="0.25">
      <c r="A586" s="1" t="s">
        <v>589</v>
      </c>
      <c r="B586" s="4"/>
      <c r="F586" s="3">
        <f>9%*Table1[[#This Row],[Cost ]]</f>
        <v>0</v>
      </c>
      <c r="J586" s="49">
        <f>SUMIF('Multi-level BOM'!D$4:D$467,Table1[[#This Row],[Part Number]],'Multi-level BOM'!H$4:H$467)</f>
        <v>0</v>
      </c>
      <c r="K586" s="10">
        <f>Table1[[#This Row],[extended quantity]]*(Table1[[#This Row],[Cost ]]+Table1[[#This Row],[shipping]]+Table1[[#This Row],[Tax]])</f>
        <v>0</v>
      </c>
      <c r="L586" s="83" t="str">
        <f>IF(Table1[[#This Row],[Buy-now costs]]&gt;0,"X","")</f>
        <v/>
      </c>
      <c r="M586" s="83"/>
      <c r="N586" s="83"/>
      <c r="O586" s="40">
        <v>0</v>
      </c>
      <c r="P586" s="97">
        <f>Table1[[#This Row],[quantity on-hand]]*(Table1[[#This Row],[Cost ]]+Table1[[#This Row],[shipping]]+Table1[[#This Row],[Tax]])</f>
        <v>0</v>
      </c>
      <c r="Q586" s="40">
        <v>0</v>
      </c>
      <c r="R586" s="95">
        <f>Table1[[#This Row],[Quantity on order]]*(Table1[[#This Row],[Cost ]]+Table1[[#This Row],[shipping]]+Table1[[#This Row],[Tax]])</f>
        <v>0</v>
      </c>
      <c r="S5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6" s="49">
        <f>Table1[[#This Row],[Quantity  to  purchase]]+Table1[[#This Row],[Quantity purchased]]+Table1[[#This Row],[Quantity on order]]+Table1[[#This Row],[Quantity donated]]-Table1[[#This Row],[extended quantity]]</f>
        <v>0</v>
      </c>
      <c r="U5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6" s="51">
        <f>IFERROR(Table1[[#This Row],[Quantity  to  purchase]]*(Table1[[#This Row],[Cost ]]+Table1[[#This Row],[shipping]]+Table1[[#This Row],[Tax]]),0)</f>
        <v>0</v>
      </c>
      <c r="W586" s="36">
        <f>IFERROR(Table1[[#This Row],[leftover material]]*(Table1[[#This Row],[Cost ]]+Table1[[#This Row],[shipping]]+Table1[[#This Row],[Tax]]),0)</f>
        <v>0</v>
      </c>
      <c r="X586" s="36"/>
      <c r="Y586" s="87"/>
      <c r="Z586" s="87"/>
      <c r="AA586" s="87"/>
      <c r="AB586" s="36"/>
      <c r="AC586" s="36">
        <f>IF(ISNA(VLOOKUP(Table1[[#This Row],[Part Number]],'Multi-level BOM'!V$4:V$449,1,FALSE)),0,Table1[[#This Row],[Remaining Extended cost]])</f>
        <v>0</v>
      </c>
    </row>
    <row r="587" spans="1:29" x14ac:dyDescent="0.25">
      <c r="A587" s="1" t="s">
        <v>590</v>
      </c>
      <c r="B587" s="4"/>
      <c r="F587" s="3">
        <f>9%*Table1[[#This Row],[Cost ]]</f>
        <v>0</v>
      </c>
      <c r="J587" s="49">
        <f>SUMIF('Multi-level BOM'!D$4:D$467,Table1[[#This Row],[Part Number]],'Multi-level BOM'!H$4:H$467)</f>
        <v>0</v>
      </c>
      <c r="K587" s="10">
        <f>Table1[[#This Row],[extended quantity]]*(Table1[[#This Row],[Cost ]]+Table1[[#This Row],[shipping]]+Table1[[#This Row],[Tax]])</f>
        <v>0</v>
      </c>
      <c r="L587" s="83" t="str">
        <f>IF(Table1[[#This Row],[Buy-now costs]]&gt;0,"X","")</f>
        <v/>
      </c>
      <c r="M587" s="83"/>
      <c r="N587" s="83"/>
      <c r="O587" s="40">
        <v>0</v>
      </c>
      <c r="P587" s="97">
        <f>Table1[[#This Row],[quantity on-hand]]*(Table1[[#This Row],[Cost ]]+Table1[[#This Row],[shipping]]+Table1[[#This Row],[Tax]])</f>
        <v>0</v>
      </c>
      <c r="Q587" s="40">
        <v>0</v>
      </c>
      <c r="R587" s="95">
        <f>Table1[[#This Row],[Quantity on order]]*(Table1[[#This Row],[Cost ]]+Table1[[#This Row],[shipping]]+Table1[[#This Row],[Tax]])</f>
        <v>0</v>
      </c>
      <c r="S5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7" s="49">
        <f>Table1[[#This Row],[Quantity  to  purchase]]+Table1[[#This Row],[Quantity purchased]]+Table1[[#This Row],[Quantity on order]]+Table1[[#This Row],[Quantity donated]]-Table1[[#This Row],[extended quantity]]</f>
        <v>0</v>
      </c>
      <c r="U5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7" s="51">
        <f>IFERROR(Table1[[#This Row],[Quantity  to  purchase]]*(Table1[[#This Row],[Cost ]]+Table1[[#This Row],[shipping]]+Table1[[#This Row],[Tax]]),0)</f>
        <v>0</v>
      </c>
      <c r="W587" s="36">
        <f>IFERROR(Table1[[#This Row],[leftover material]]*(Table1[[#This Row],[Cost ]]+Table1[[#This Row],[shipping]]+Table1[[#This Row],[Tax]]),0)</f>
        <v>0</v>
      </c>
      <c r="X587" s="36"/>
      <c r="Y587" s="87"/>
      <c r="Z587" s="87"/>
      <c r="AA587" s="87"/>
      <c r="AB587" s="36"/>
      <c r="AC587" s="36">
        <f>IF(ISNA(VLOOKUP(Table1[[#This Row],[Part Number]],'Multi-level BOM'!V$4:V$449,1,FALSE)),0,Table1[[#This Row],[Remaining Extended cost]])</f>
        <v>0</v>
      </c>
    </row>
    <row r="588" spans="1:29" x14ac:dyDescent="0.25">
      <c r="A588" s="1" t="s">
        <v>591</v>
      </c>
      <c r="B588" s="4"/>
      <c r="F588" s="3">
        <f>9%*Table1[[#This Row],[Cost ]]</f>
        <v>0</v>
      </c>
      <c r="J588" s="49">
        <f>SUMIF('Multi-level BOM'!D$4:D$467,Table1[[#This Row],[Part Number]],'Multi-level BOM'!H$4:H$467)</f>
        <v>0</v>
      </c>
      <c r="K588" s="10">
        <f>Table1[[#This Row],[extended quantity]]*(Table1[[#This Row],[Cost ]]+Table1[[#This Row],[shipping]]+Table1[[#This Row],[Tax]])</f>
        <v>0</v>
      </c>
      <c r="L588" s="83" t="str">
        <f>IF(Table1[[#This Row],[Buy-now costs]]&gt;0,"X","")</f>
        <v/>
      </c>
      <c r="M588" s="83"/>
      <c r="N588" s="83"/>
      <c r="O588" s="40">
        <v>0</v>
      </c>
      <c r="P588" s="97">
        <f>Table1[[#This Row],[quantity on-hand]]*(Table1[[#This Row],[Cost ]]+Table1[[#This Row],[shipping]]+Table1[[#This Row],[Tax]])</f>
        <v>0</v>
      </c>
      <c r="Q588" s="40">
        <v>0</v>
      </c>
      <c r="R588" s="95">
        <f>Table1[[#This Row],[Quantity on order]]*(Table1[[#This Row],[Cost ]]+Table1[[#This Row],[shipping]]+Table1[[#This Row],[Tax]])</f>
        <v>0</v>
      </c>
      <c r="S5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8" s="49">
        <f>Table1[[#This Row],[Quantity  to  purchase]]+Table1[[#This Row],[Quantity purchased]]+Table1[[#This Row],[Quantity on order]]+Table1[[#This Row],[Quantity donated]]-Table1[[#This Row],[extended quantity]]</f>
        <v>0</v>
      </c>
      <c r="U5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8" s="51">
        <f>IFERROR(Table1[[#This Row],[Quantity  to  purchase]]*(Table1[[#This Row],[Cost ]]+Table1[[#This Row],[shipping]]+Table1[[#This Row],[Tax]]),0)</f>
        <v>0</v>
      </c>
      <c r="W588" s="36">
        <f>IFERROR(Table1[[#This Row],[leftover material]]*(Table1[[#This Row],[Cost ]]+Table1[[#This Row],[shipping]]+Table1[[#This Row],[Tax]]),0)</f>
        <v>0</v>
      </c>
      <c r="X588" s="36"/>
      <c r="Y588" s="87"/>
      <c r="Z588" s="87"/>
      <c r="AA588" s="87"/>
      <c r="AB588" s="36"/>
      <c r="AC588" s="36">
        <f>IF(ISNA(VLOOKUP(Table1[[#This Row],[Part Number]],'Multi-level BOM'!V$4:V$449,1,FALSE)),0,Table1[[#This Row],[Remaining Extended cost]])</f>
        <v>0</v>
      </c>
    </row>
    <row r="589" spans="1:29" x14ac:dyDescent="0.25">
      <c r="A589" s="1" t="s">
        <v>592</v>
      </c>
      <c r="B589" s="4"/>
      <c r="F589" s="3">
        <f>9%*Table1[[#This Row],[Cost ]]</f>
        <v>0</v>
      </c>
      <c r="J589" s="49">
        <f>SUMIF('Multi-level BOM'!D$4:D$467,Table1[[#This Row],[Part Number]],'Multi-level BOM'!H$4:H$467)</f>
        <v>0</v>
      </c>
      <c r="K589" s="10">
        <f>Table1[[#This Row],[extended quantity]]*(Table1[[#This Row],[Cost ]]+Table1[[#This Row],[shipping]]+Table1[[#This Row],[Tax]])</f>
        <v>0</v>
      </c>
      <c r="L589" s="83" t="str">
        <f>IF(Table1[[#This Row],[Buy-now costs]]&gt;0,"X","")</f>
        <v/>
      </c>
      <c r="M589" s="83"/>
      <c r="N589" s="83"/>
      <c r="O589" s="40">
        <v>0</v>
      </c>
      <c r="P589" s="97">
        <f>Table1[[#This Row],[quantity on-hand]]*(Table1[[#This Row],[Cost ]]+Table1[[#This Row],[shipping]]+Table1[[#This Row],[Tax]])</f>
        <v>0</v>
      </c>
      <c r="Q589" s="40">
        <v>0</v>
      </c>
      <c r="R589" s="95">
        <f>Table1[[#This Row],[Quantity on order]]*(Table1[[#This Row],[Cost ]]+Table1[[#This Row],[shipping]]+Table1[[#This Row],[Tax]])</f>
        <v>0</v>
      </c>
      <c r="S5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9" s="49">
        <f>Table1[[#This Row],[Quantity  to  purchase]]+Table1[[#This Row],[Quantity purchased]]+Table1[[#This Row],[Quantity on order]]+Table1[[#This Row],[Quantity donated]]-Table1[[#This Row],[extended quantity]]</f>
        <v>0</v>
      </c>
      <c r="U5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9" s="51">
        <f>IFERROR(Table1[[#This Row],[Quantity  to  purchase]]*(Table1[[#This Row],[Cost ]]+Table1[[#This Row],[shipping]]+Table1[[#This Row],[Tax]]),0)</f>
        <v>0</v>
      </c>
      <c r="W589" s="36">
        <f>IFERROR(Table1[[#This Row],[leftover material]]*(Table1[[#This Row],[Cost ]]+Table1[[#This Row],[shipping]]+Table1[[#This Row],[Tax]]),0)</f>
        <v>0</v>
      </c>
      <c r="X589" s="36"/>
      <c r="Y589" s="87"/>
      <c r="Z589" s="87"/>
      <c r="AA589" s="87"/>
      <c r="AB589" s="36"/>
      <c r="AC589" s="36">
        <f>IF(ISNA(VLOOKUP(Table1[[#This Row],[Part Number]],'Multi-level BOM'!V$4:V$449,1,FALSE)),0,Table1[[#This Row],[Remaining Extended cost]])</f>
        <v>0</v>
      </c>
    </row>
    <row r="590" spans="1:29" x14ac:dyDescent="0.25">
      <c r="A590" s="1" t="s">
        <v>593</v>
      </c>
      <c r="B590" s="4"/>
      <c r="F590" s="3">
        <f>9%*Table1[[#This Row],[Cost ]]</f>
        <v>0</v>
      </c>
      <c r="J590" s="49">
        <f>SUMIF('Multi-level BOM'!D$4:D$467,Table1[[#This Row],[Part Number]],'Multi-level BOM'!H$4:H$467)</f>
        <v>0</v>
      </c>
      <c r="K590" s="10">
        <f>Table1[[#This Row],[extended quantity]]*(Table1[[#This Row],[Cost ]]+Table1[[#This Row],[shipping]]+Table1[[#This Row],[Tax]])</f>
        <v>0</v>
      </c>
      <c r="L590" s="83" t="str">
        <f>IF(Table1[[#This Row],[Buy-now costs]]&gt;0,"X","")</f>
        <v/>
      </c>
      <c r="M590" s="83"/>
      <c r="N590" s="83"/>
      <c r="O590" s="40">
        <v>0</v>
      </c>
      <c r="P590" s="97">
        <f>Table1[[#This Row],[quantity on-hand]]*(Table1[[#This Row],[Cost ]]+Table1[[#This Row],[shipping]]+Table1[[#This Row],[Tax]])</f>
        <v>0</v>
      </c>
      <c r="Q590" s="40">
        <v>0</v>
      </c>
      <c r="R590" s="95">
        <f>Table1[[#This Row],[Quantity on order]]*(Table1[[#This Row],[Cost ]]+Table1[[#This Row],[shipping]]+Table1[[#This Row],[Tax]])</f>
        <v>0</v>
      </c>
      <c r="S5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0" s="49">
        <f>Table1[[#This Row],[Quantity  to  purchase]]+Table1[[#This Row],[Quantity purchased]]+Table1[[#This Row],[Quantity on order]]+Table1[[#This Row],[Quantity donated]]-Table1[[#This Row],[extended quantity]]</f>
        <v>0</v>
      </c>
      <c r="U5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0" s="51">
        <f>IFERROR(Table1[[#This Row],[Quantity  to  purchase]]*(Table1[[#This Row],[Cost ]]+Table1[[#This Row],[shipping]]+Table1[[#This Row],[Tax]]),0)</f>
        <v>0</v>
      </c>
      <c r="W590" s="36">
        <f>IFERROR(Table1[[#This Row],[leftover material]]*(Table1[[#This Row],[Cost ]]+Table1[[#This Row],[shipping]]+Table1[[#This Row],[Tax]]),0)</f>
        <v>0</v>
      </c>
      <c r="X590" s="36"/>
      <c r="Y590" s="87"/>
      <c r="Z590" s="87"/>
      <c r="AA590" s="87"/>
      <c r="AB590" s="36"/>
      <c r="AC590" s="36">
        <f>IF(ISNA(VLOOKUP(Table1[[#This Row],[Part Number]],'Multi-level BOM'!V$4:V$449,1,FALSE)),0,Table1[[#This Row],[Remaining Extended cost]])</f>
        <v>0</v>
      </c>
    </row>
    <row r="591" spans="1:29" x14ac:dyDescent="0.25">
      <c r="A591" s="1" t="s">
        <v>594</v>
      </c>
      <c r="B591" s="4"/>
      <c r="F591" s="3">
        <f>9%*Table1[[#This Row],[Cost ]]</f>
        <v>0</v>
      </c>
      <c r="J591" s="49">
        <f>SUMIF('Multi-level BOM'!D$4:D$467,Table1[[#This Row],[Part Number]],'Multi-level BOM'!H$4:H$467)</f>
        <v>0</v>
      </c>
      <c r="K591" s="10">
        <f>Table1[[#This Row],[extended quantity]]*(Table1[[#This Row],[Cost ]]+Table1[[#This Row],[shipping]]+Table1[[#This Row],[Tax]])</f>
        <v>0</v>
      </c>
      <c r="L591" s="83" t="str">
        <f>IF(Table1[[#This Row],[Buy-now costs]]&gt;0,"X","")</f>
        <v/>
      </c>
      <c r="M591" s="83"/>
      <c r="N591" s="83"/>
      <c r="O591" s="40">
        <v>0</v>
      </c>
      <c r="P591" s="97">
        <f>Table1[[#This Row],[quantity on-hand]]*(Table1[[#This Row],[Cost ]]+Table1[[#This Row],[shipping]]+Table1[[#This Row],[Tax]])</f>
        <v>0</v>
      </c>
      <c r="Q591" s="40">
        <v>0</v>
      </c>
      <c r="R591" s="95">
        <f>Table1[[#This Row],[Quantity on order]]*(Table1[[#This Row],[Cost ]]+Table1[[#This Row],[shipping]]+Table1[[#This Row],[Tax]])</f>
        <v>0</v>
      </c>
      <c r="S5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1" s="49">
        <f>Table1[[#This Row],[Quantity  to  purchase]]+Table1[[#This Row],[Quantity purchased]]+Table1[[#This Row],[Quantity on order]]+Table1[[#This Row],[Quantity donated]]-Table1[[#This Row],[extended quantity]]</f>
        <v>0</v>
      </c>
      <c r="U5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1" s="51">
        <f>IFERROR(Table1[[#This Row],[Quantity  to  purchase]]*(Table1[[#This Row],[Cost ]]+Table1[[#This Row],[shipping]]+Table1[[#This Row],[Tax]]),0)</f>
        <v>0</v>
      </c>
      <c r="W591" s="36">
        <f>IFERROR(Table1[[#This Row],[leftover material]]*(Table1[[#This Row],[Cost ]]+Table1[[#This Row],[shipping]]+Table1[[#This Row],[Tax]]),0)</f>
        <v>0</v>
      </c>
      <c r="X591" s="36"/>
      <c r="Y591" s="87"/>
      <c r="Z591" s="87"/>
      <c r="AA591" s="87"/>
      <c r="AB591" s="36"/>
      <c r="AC591" s="36">
        <f>IF(ISNA(VLOOKUP(Table1[[#This Row],[Part Number]],'Multi-level BOM'!V$4:V$449,1,FALSE)),0,Table1[[#This Row],[Remaining Extended cost]])</f>
        <v>0</v>
      </c>
    </row>
    <row r="592" spans="1:29" x14ac:dyDescent="0.25">
      <c r="A592" s="1" t="s">
        <v>595</v>
      </c>
      <c r="B592" s="4"/>
      <c r="F592" s="3">
        <f>9%*Table1[[#This Row],[Cost ]]</f>
        <v>0</v>
      </c>
      <c r="J592" s="49">
        <f>SUMIF('Multi-level BOM'!D$4:D$467,Table1[[#This Row],[Part Number]],'Multi-level BOM'!H$4:H$467)</f>
        <v>0</v>
      </c>
      <c r="K592" s="10">
        <f>Table1[[#This Row],[extended quantity]]*(Table1[[#This Row],[Cost ]]+Table1[[#This Row],[shipping]]+Table1[[#This Row],[Tax]])</f>
        <v>0</v>
      </c>
      <c r="L592" s="83" t="str">
        <f>IF(Table1[[#This Row],[Buy-now costs]]&gt;0,"X","")</f>
        <v/>
      </c>
      <c r="M592" s="83"/>
      <c r="N592" s="83"/>
      <c r="O592" s="40">
        <v>0</v>
      </c>
      <c r="P592" s="97">
        <f>Table1[[#This Row],[quantity on-hand]]*(Table1[[#This Row],[Cost ]]+Table1[[#This Row],[shipping]]+Table1[[#This Row],[Tax]])</f>
        <v>0</v>
      </c>
      <c r="Q592" s="40">
        <v>0</v>
      </c>
      <c r="R592" s="95">
        <f>Table1[[#This Row],[Quantity on order]]*(Table1[[#This Row],[Cost ]]+Table1[[#This Row],[shipping]]+Table1[[#This Row],[Tax]])</f>
        <v>0</v>
      </c>
      <c r="S5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2" s="49">
        <f>Table1[[#This Row],[Quantity  to  purchase]]+Table1[[#This Row],[Quantity purchased]]+Table1[[#This Row],[Quantity on order]]+Table1[[#This Row],[Quantity donated]]-Table1[[#This Row],[extended quantity]]</f>
        <v>0</v>
      </c>
      <c r="U5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2" s="51">
        <f>IFERROR(Table1[[#This Row],[Quantity  to  purchase]]*(Table1[[#This Row],[Cost ]]+Table1[[#This Row],[shipping]]+Table1[[#This Row],[Tax]]),0)</f>
        <v>0</v>
      </c>
      <c r="W592" s="36">
        <f>IFERROR(Table1[[#This Row],[leftover material]]*(Table1[[#This Row],[Cost ]]+Table1[[#This Row],[shipping]]+Table1[[#This Row],[Tax]]),0)</f>
        <v>0</v>
      </c>
      <c r="X592" s="36"/>
      <c r="Y592" s="87"/>
      <c r="Z592" s="87"/>
      <c r="AA592" s="87"/>
      <c r="AB592" s="36"/>
      <c r="AC592" s="36">
        <f>IF(ISNA(VLOOKUP(Table1[[#This Row],[Part Number]],'Multi-level BOM'!V$4:V$449,1,FALSE)),0,Table1[[#This Row],[Remaining Extended cost]])</f>
        <v>0</v>
      </c>
    </row>
    <row r="593" spans="1:29" x14ac:dyDescent="0.25">
      <c r="A593" s="1" t="s">
        <v>596</v>
      </c>
      <c r="B593" s="4"/>
      <c r="F593" s="3">
        <f>9%*Table1[[#This Row],[Cost ]]</f>
        <v>0</v>
      </c>
      <c r="J593" s="49">
        <f>SUMIF('Multi-level BOM'!D$4:D$467,Table1[[#This Row],[Part Number]],'Multi-level BOM'!H$4:H$467)</f>
        <v>0</v>
      </c>
      <c r="K593" s="10">
        <f>Table1[[#This Row],[extended quantity]]*(Table1[[#This Row],[Cost ]]+Table1[[#This Row],[shipping]]+Table1[[#This Row],[Tax]])</f>
        <v>0</v>
      </c>
      <c r="L593" s="83" t="str">
        <f>IF(Table1[[#This Row],[Buy-now costs]]&gt;0,"X","")</f>
        <v/>
      </c>
      <c r="M593" s="83"/>
      <c r="N593" s="83"/>
      <c r="O593" s="40">
        <v>0</v>
      </c>
      <c r="P593" s="97">
        <f>Table1[[#This Row],[quantity on-hand]]*(Table1[[#This Row],[Cost ]]+Table1[[#This Row],[shipping]]+Table1[[#This Row],[Tax]])</f>
        <v>0</v>
      </c>
      <c r="Q593" s="40">
        <v>0</v>
      </c>
      <c r="R593" s="95">
        <f>Table1[[#This Row],[Quantity on order]]*(Table1[[#This Row],[Cost ]]+Table1[[#This Row],[shipping]]+Table1[[#This Row],[Tax]])</f>
        <v>0</v>
      </c>
      <c r="S5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3" s="49">
        <f>Table1[[#This Row],[Quantity  to  purchase]]+Table1[[#This Row],[Quantity purchased]]+Table1[[#This Row],[Quantity on order]]+Table1[[#This Row],[Quantity donated]]-Table1[[#This Row],[extended quantity]]</f>
        <v>0</v>
      </c>
      <c r="U5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3" s="51">
        <f>IFERROR(Table1[[#This Row],[Quantity  to  purchase]]*(Table1[[#This Row],[Cost ]]+Table1[[#This Row],[shipping]]+Table1[[#This Row],[Tax]]),0)</f>
        <v>0</v>
      </c>
      <c r="W593" s="36">
        <f>IFERROR(Table1[[#This Row],[leftover material]]*(Table1[[#This Row],[Cost ]]+Table1[[#This Row],[shipping]]+Table1[[#This Row],[Tax]]),0)</f>
        <v>0</v>
      </c>
      <c r="X593" s="36"/>
      <c r="Y593" s="87"/>
      <c r="Z593" s="87"/>
      <c r="AA593" s="87"/>
      <c r="AB593" s="36"/>
      <c r="AC593" s="36">
        <f>IF(ISNA(VLOOKUP(Table1[[#This Row],[Part Number]],'Multi-level BOM'!V$4:V$449,1,FALSE)),0,Table1[[#This Row],[Remaining Extended cost]])</f>
        <v>0</v>
      </c>
    </row>
    <row r="594" spans="1:29" x14ac:dyDescent="0.25">
      <c r="A594" s="1" t="s">
        <v>597</v>
      </c>
      <c r="B594" s="4"/>
      <c r="F594" s="3">
        <f>9%*Table1[[#This Row],[Cost ]]</f>
        <v>0</v>
      </c>
      <c r="J594" s="49">
        <f>SUMIF('Multi-level BOM'!D$4:D$467,Table1[[#This Row],[Part Number]],'Multi-level BOM'!H$4:H$467)</f>
        <v>0</v>
      </c>
      <c r="K594" s="10">
        <f>Table1[[#This Row],[extended quantity]]*(Table1[[#This Row],[Cost ]]+Table1[[#This Row],[shipping]]+Table1[[#This Row],[Tax]])</f>
        <v>0</v>
      </c>
      <c r="L594" s="83" t="str">
        <f>IF(Table1[[#This Row],[Buy-now costs]]&gt;0,"X","")</f>
        <v/>
      </c>
      <c r="M594" s="83"/>
      <c r="N594" s="83"/>
      <c r="O594" s="40">
        <v>0</v>
      </c>
      <c r="P594" s="97">
        <f>Table1[[#This Row],[quantity on-hand]]*(Table1[[#This Row],[Cost ]]+Table1[[#This Row],[shipping]]+Table1[[#This Row],[Tax]])</f>
        <v>0</v>
      </c>
      <c r="Q594" s="40">
        <v>0</v>
      </c>
      <c r="R594" s="95">
        <f>Table1[[#This Row],[Quantity on order]]*(Table1[[#This Row],[Cost ]]+Table1[[#This Row],[shipping]]+Table1[[#This Row],[Tax]])</f>
        <v>0</v>
      </c>
      <c r="S5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4" s="49">
        <f>Table1[[#This Row],[Quantity  to  purchase]]+Table1[[#This Row],[Quantity purchased]]+Table1[[#This Row],[Quantity on order]]+Table1[[#This Row],[Quantity donated]]-Table1[[#This Row],[extended quantity]]</f>
        <v>0</v>
      </c>
      <c r="U5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4" s="51">
        <f>IFERROR(Table1[[#This Row],[Quantity  to  purchase]]*(Table1[[#This Row],[Cost ]]+Table1[[#This Row],[shipping]]+Table1[[#This Row],[Tax]]),0)</f>
        <v>0</v>
      </c>
      <c r="W594" s="36">
        <f>IFERROR(Table1[[#This Row],[leftover material]]*(Table1[[#This Row],[Cost ]]+Table1[[#This Row],[shipping]]+Table1[[#This Row],[Tax]]),0)</f>
        <v>0</v>
      </c>
      <c r="X594" s="36"/>
      <c r="Y594" s="87"/>
      <c r="Z594" s="87"/>
      <c r="AA594" s="87"/>
      <c r="AB594" s="36"/>
      <c r="AC594" s="36">
        <f>IF(ISNA(VLOOKUP(Table1[[#This Row],[Part Number]],'Multi-level BOM'!V$4:V$449,1,FALSE)),0,Table1[[#This Row],[Remaining Extended cost]])</f>
        <v>0</v>
      </c>
    </row>
    <row r="595" spans="1:29" x14ac:dyDescent="0.25">
      <c r="A595" s="1" t="s">
        <v>598</v>
      </c>
      <c r="B595" s="4"/>
      <c r="F595" s="3">
        <f>9%*Table1[[#This Row],[Cost ]]</f>
        <v>0</v>
      </c>
      <c r="J595" s="49">
        <f>SUMIF('Multi-level BOM'!D$4:D$467,Table1[[#This Row],[Part Number]],'Multi-level BOM'!H$4:H$467)</f>
        <v>0</v>
      </c>
      <c r="K595" s="10">
        <f>Table1[[#This Row],[extended quantity]]*(Table1[[#This Row],[Cost ]]+Table1[[#This Row],[shipping]]+Table1[[#This Row],[Tax]])</f>
        <v>0</v>
      </c>
      <c r="L595" s="83" t="str">
        <f>IF(Table1[[#This Row],[Buy-now costs]]&gt;0,"X","")</f>
        <v/>
      </c>
      <c r="M595" s="83"/>
      <c r="N595" s="83"/>
      <c r="O595" s="40">
        <v>0</v>
      </c>
      <c r="P595" s="97">
        <f>Table1[[#This Row],[quantity on-hand]]*(Table1[[#This Row],[Cost ]]+Table1[[#This Row],[shipping]]+Table1[[#This Row],[Tax]])</f>
        <v>0</v>
      </c>
      <c r="Q595" s="40">
        <v>0</v>
      </c>
      <c r="R595" s="95">
        <f>Table1[[#This Row],[Quantity on order]]*(Table1[[#This Row],[Cost ]]+Table1[[#This Row],[shipping]]+Table1[[#This Row],[Tax]])</f>
        <v>0</v>
      </c>
      <c r="S5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5" s="49">
        <f>Table1[[#This Row],[Quantity  to  purchase]]+Table1[[#This Row],[Quantity purchased]]+Table1[[#This Row],[Quantity on order]]+Table1[[#This Row],[Quantity donated]]-Table1[[#This Row],[extended quantity]]</f>
        <v>0</v>
      </c>
      <c r="U5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5" s="51">
        <f>IFERROR(Table1[[#This Row],[Quantity  to  purchase]]*(Table1[[#This Row],[Cost ]]+Table1[[#This Row],[shipping]]+Table1[[#This Row],[Tax]]),0)</f>
        <v>0</v>
      </c>
      <c r="W595" s="36">
        <f>IFERROR(Table1[[#This Row],[leftover material]]*(Table1[[#This Row],[Cost ]]+Table1[[#This Row],[shipping]]+Table1[[#This Row],[Tax]]),0)</f>
        <v>0</v>
      </c>
      <c r="X595" s="36"/>
      <c r="Y595" s="87"/>
      <c r="Z595" s="87"/>
      <c r="AA595" s="87"/>
      <c r="AB595" s="36"/>
      <c r="AC595" s="36">
        <f>IF(ISNA(VLOOKUP(Table1[[#This Row],[Part Number]],'Multi-level BOM'!V$4:V$449,1,FALSE)),0,Table1[[#This Row],[Remaining Extended cost]])</f>
        <v>0</v>
      </c>
    </row>
    <row r="596" spans="1:29" x14ac:dyDescent="0.25">
      <c r="A596" s="1" t="s">
        <v>599</v>
      </c>
      <c r="B596" s="4"/>
      <c r="F596" s="3">
        <f>9%*Table1[[#This Row],[Cost ]]</f>
        <v>0</v>
      </c>
      <c r="J596" s="49">
        <f>SUMIF('Multi-level BOM'!D$4:D$467,Table1[[#This Row],[Part Number]],'Multi-level BOM'!H$4:H$467)</f>
        <v>0</v>
      </c>
      <c r="K596" s="10">
        <f>Table1[[#This Row],[extended quantity]]*(Table1[[#This Row],[Cost ]]+Table1[[#This Row],[shipping]]+Table1[[#This Row],[Tax]])</f>
        <v>0</v>
      </c>
      <c r="L596" s="83" t="str">
        <f>IF(Table1[[#This Row],[Buy-now costs]]&gt;0,"X","")</f>
        <v/>
      </c>
      <c r="M596" s="83"/>
      <c r="N596" s="83"/>
      <c r="O596" s="40">
        <v>0</v>
      </c>
      <c r="P596" s="97">
        <f>Table1[[#This Row],[quantity on-hand]]*(Table1[[#This Row],[Cost ]]+Table1[[#This Row],[shipping]]+Table1[[#This Row],[Tax]])</f>
        <v>0</v>
      </c>
      <c r="Q596" s="40">
        <v>0</v>
      </c>
      <c r="R596" s="95">
        <f>Table1[[#This Row],[Quantity on order]]*(Table1[[#This Row],[Cost ]]+Table1[[#This Row],[shipping]]+Table1[[#This Row],[Tax]])</f>
        <v>0</v>
      </c>
      <c r="S5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6" s="49">
        <f>Table1[[#This Row],[Quantity  to  purchase]]+Table1[[#This Row],[Quantity purchased]]+Table1[[#This Row],[Quantity on order]]+Table1[[#This Row],[Quantity donated]]-Table1[[#This Row],[extended quantity]]</f>
        <v>0</v>
      </c>
      <c r="U5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6" s="51">
        <f>IFERROR(Table1[[#This Row],[Quantity  to  purchase]]*(Table1[[#This Row],[Cost ]]+Table1[[#This Row],[shipping]]+Table1[[#This Row],[Tax]]),0)</f>
        <v>0</v>
      </c>
      <c r="W596" s="36">
        <f>IFERROR(Table1[[#This Row],[leftover material]]*(Table1[[#This Row],[Cost ]]+Table1[[#This Row],[shipping]]+Table1[[#This Row],[Tax]]),0)</f>
        <v>0</v>
      </c>
      <c r="X596" s="36"/>
      <c r="Y596" s="87"/>
      <c r="Z596" s="87"/>
      <c r="AA596" s="87"/>
      <c r="AB596" s="36"/>
      <c r="AC596" s="36">
        <f>IF(ISNA(VLOOKUP(Table1[[#This Row],[Part Number]],'Multi-level BOM'!V$4:V$449,1,FALSE)),0,Table1[[#This Row],[Remaining Extended cost]])</f>
        <v>0</v>
      </c>
    </row>
    <row r="597" spans="1:29" x14ac:dyDescent="0.25">
      <c r="A597" s="1" t="s">
        <v>600</v>
      </c>
      <c r="B597" s="4"/>
      <c r="F597" s="3">
        <f>9%*Table1[[#This Row],[Cost ]]</f>
        <v>0</v>
      </c>
      <c r="J597" s="49">
        <f>SUMIF('Multi-level BOM'!D$4:D$467,Table1[[#This Row],[Part Number]],'Multi-level BOM'!H$4:H$467)</f>
        <v>0</v>
      </c>
      <c r="K597" s="10">
        <f>Table1[[#This Row],[extended quantity]]*(Table1[[#This Row],[Cost ]]+Table1[[#This Row],[shipping]]+Table1[[#This Row],[Tax]])</f>
        <v>0</v>
      </c>
      <c r="L597" s="83" t="str">
        <f>IF(Table1[[#This Row],[Buy-now costs]]&gt;0,"X","")</f>
        <v/>
      </c>
      <c r="M597" s="83"/>
      <c r="N597" s="83"/>
      <c r="O597" s="40">
        <v>0</v>
      </c>
      <c r="P597" s="97">
        <f>Table1[[#This Row],[quantity on-hand]]*(Table1[[#This Row],[Cost ]]+Table1[[#This Row],[shipping]]+Table1[[#This Row],[Tax]])</f>
        <v>0</v>
      </c>
      <c r="Q597" s="40">
        <v>0</v>
      </c>
      <c r="R597" s="95">
        <f>Table1[[#This Row],[Quantity on order]]*(Table1[[#This Row],[Cost ]]+Table1[[#This Row],[shipping]]+Table1[[#This Row],[Tax]])</f>
        <v>0</v>
      </c>
      <c r="S5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7" s="49">
        <f>Table1[[#This Row],[Quantity  to  purchase]]+Table1[[#This Row],[Quantity purchased]]+Table1[[#This Row],[Quantity on order]]+Table1[[#This Row],[Quantity donated]]-Table1[[#This Row],[extended quantity]]</f>
        <v>0</v>
      </c>
      <c r="U5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7" s="51">
        <f>IFERROR(Table1[[#This Row],[Quantity  to  purchase]]*(Table1[[#This Row],[Cost ]]+Table1[[#This Row],[shipping]]+Table1[[#This Row],[Tax]]),0)</f>
        <v>0</v>
      </c>
      <c r="W597" s="36">
        <f>IFERROR(Table1[[#This Row],[leftover material]]*(Table1[[#This Row],[Cost ]]+Table1[[#This Row],[shipping]]+Table1[[#This Row],[Tax]]),0)</f>
        <v>0</v>
      </c>
      <c r="X597" s="36"/>
      <c r="Y597" s="87"/>
      <c r="Z597" s="87"/>
      <c r="AA597" s="87"/>
      <c r="AB597" s="36"/>
      <c r="AC597" s="36">
        <f>IF(ISNA(VLOOKUP(Table1[[#This Row],[Part Number]],'Multi-level BOM'!V$4:V$449,1,FALSE)),0,Table1[[#This Row],[Remaining Extended cost]])</f>
        <v>0</v>
      </c>
    </row>
    <row r="598" spans="1:29" x14ac:dyDescent="0.25">
      <c r="A598" s="1" t="s">
        <v>601</v>
      </c>
      <c r="B598" s="4"/>
      <c r="F598" s="3">
        <f>9%*Table1[[#This Row],[Cost ]]</f>
        <v>0</v>
      </c>
      <c r="J598" s="49">
        <f>SUMIF('Multi-level BOM'!D$4:D$467,Table1[[#This Row],[Part Number]],'Multi-level BOM'!H$4:H$467)</f>
        <v>0</v>
      </c>
      <c r="K598" s="10">
        <f>Table1[[#This Row],[extended quantity]]*(Table1[[#This Row],[Cost ]]+Table1[[#This Row],[shipping]]+Table1[[#This Row],[Tax]])</f>
        <v>0</v>
      </c>
      <c r="L598" s="83" t="str">
        <f>IF(Table1[[#This Row],[Buy-now costs]]&gt;0,"X","")</f>
        <v/>
      </c>
      <c r="M598" s="83"/>
      <c r="N598" s="83"/>
      <c r="O598" s="40">
        <v>0</v>
      </c>
      <c r="P598" s="97">
        <f>Table1[[#This Row],[quantity on-hand]]*(Table1[[#This Row],[Cost ]]+Table1[[#This Row],[shipping]]+Table1[[#This Row],[Tax]])</f>
        <v>0</v>
      </c>
      <c r="Q598" s="40">
        <v>0</v>
      </c>
      <c r="R598" s="95">
        <f>Table1[[#This Row],[Quantity on order]]*(Table1[[#This Row],[Cost ]]+Table1[[#This Row],[shipping]]+Table1[[#This Row],[Tax]])</f>
        <v>0</v>
      </c>
      <c r="S5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8" s="49">
        <f>Table1[[#This Row],[Quantity  to  purchase]]+Table1[[#This Row],[Quantity purchased]]+Table1[[#This Row],[Quantity on order]]+Table1[[#This Row],[Quantity donated]]-Table1[[#This Row],[extended quantity]]</f>
        <v>0</v>
      </c>
      <c r="U5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8" s="51">
        <f>IFERROR(Table1[[#This Row],[Quantity  to  purchase]]*(Table1[[#This Row],[Cost ]]+Table1[[#This Row],[shipping]]+Table1[[#This Row],[Tax]]),0)</f>
        <v>0</v>
      </c>
      <c r="W598" s="36">
        <f>IFERROR(Table1[[#This Row],[leftover material]]*(Table1[[#This Row],[Cost ]]+Table1[[#This Row],[shipping]]+Table1[[#This Row],[Tax]]),0)</f>
        <v>0</v>
      </c>
      <c r="X598" s="36"/>
      <c r="Y598" s="87"/>
      <c r="Z598" s="87"/>
      <c r="AA598" s="87"/>
      <c r="AB598" s="36"/>
      <c r="AC598" s="36">
        <f>IF(ISNA(VLOOKUP(Table1[[#This Row],[Part Number]],'Multi-level BOM'!V$4:V$449,1,FALSE)),0,Table1[[#This Row],[Remaining Extended cost]])</f>
        <v>0</v>
      </c>
    </row>
    <row r="599" spans="1:29" x14ac:dyDescent="0.25">
      <c r="A599" s="1" t="s">
        <v>602</v>
      </c>
      <c r="B599" s="4"/>
      <c r="F599" s="3">
        <f>9%*Table1[[#This Row],[Cost ]]</f>
        <v>0</v>
      </c>
      <c r="J599" s="49">
        <f>SUMIF('Multi-level BOM'!D$4:D$467,Table1[[#This Row],[Part Number]],'Multi-level BOM'!H$4:H$467)</f>
        <v>0</v>
      </c>
      <c r="K599" s="10">
        <f>Table1[[#This Row],[extended quantity]]*(Table1[[#This Row],[Cost ]]+Table1[[#This Row],[shipping]]+Table1[[#This Row],[Tax]])</f>
        <v>0</v>
      </c>
      <c r="L599" s="83" t="str">
        <f>IF(Table1[[#This Row],[Buy-now costs]]&gt;0,"X","")</f>
        <v/>
      </c>
      <c r="M599" s="83"/>
      <c r="N599" s="83"/>
      <c r="O599" s="40">
        <v>0</v>
      </c>
      <c r="P599" s="97">
        <f>Table1[[#This Row],[quantity on-hand]]*(Table1[[#This Row],[Cost ]]+Table1[[#This Row],[shipping]]+Table1[[#This Row],[Tax]])</f>
        <v>0</v>
      </c>
      <c r="Q599" s="40">
        <v>0</v>
      </c>
      <c r="R599" s="95">
        <f>Table1[[#This Row],[Quantity on order]]*(Table1[[#This Row],[Cost ]]+Table1[[#This Row],[shipping]]+Table1[[#This Row],[Tax]])</f>
        <v>0</v>
      </c>
      <c r="S5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9" s="49">
        <f>Table1[[#This Row],[Quantity  to  purchase]]+Table1[[#This Row],[Quantity purchased]]+Table1[[#This Row],[Quantity on order]]+Table1[[#This Row],[Quantity donated]]-Table1[[#This Row],[extended quantity]]</f>
        <v>0</v>
      </c>
      <c r="U5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9" s="51">
        <f>IFERROR(Table1[[#This Row],[Quantity  to  purchase]]*(Table1[[#This Row],[Cost ]]+Table1[[#This Row],[shipping]]+Table1[[#This Row],[Tax]]),0)</f>
        <v>0</v>
      </c>
      <c r="W599" s="36">
        <f>IFERROR(Table1[[#This Row],[leftover material]]*(Table1[[#This Row],[Cost ]]+Table1[[#This Row],[shipping]]+Table1[[#This Row],[Tax]]),0)</f>
        <v>0</v>
      </c>
      <c r="X599" s="36"/>
      <c r="Y599" s="87"/>
      <c r="Z599" s="87"/>
      <c r="AA599" s="87"/>
      <c r="AB599" s="36"/>
      <c r="AC599" s="36">
        <f>IF(ISNA(VLOOKUP(Table1[[#This Row],[Part Number]],'Multi-level BOM'!V$4:V$449,1,FALSE)),0,Table1[[#This Row],[Remaining Extended cost]])</f>
        <v>0</v>
      </c>
    </row>
    <row r="600" spans="1:29" x14ac:dyDescent="0.25">
      <c r="A600" s="1" t="s">
        <v>603</v>
      </c>
      <c r="B600" s="4"/>
      <c r="F600" s="3">
        <f>9%*Table1[[#This Row],[Cost ]]</f>
        <v>0</v>
      </c>
      <c r="J600" s="49">
        <f>SUMIF('Multi-level BOM'!D$4:D$467,Table1[[#This Row],[Part Number]],'Multi-level BOM'!H$4:H$467)</f>
        <v>0</v>
      </c>
      <c r="K600" s="10">
        <f>Table1[[#This Row],[extended quantity]]*(Table1[[#This Row],[Cost ]]+Table1[[#This Row],[shipping]]+Table1[[#This Row],[Tax]])</f>
        <v>0</v>
      </c>
      <c r="L600" s="83" t="str">
        <f>IF(Table1[[#This Row],[Buy-now costs]]&gt;0,"X","")</f>
        <v/>
      </c>
      <c r="M600" s="83"/>
      <c r="N600" s="83"/>
      <c r="O600" s="40">
        <v>0</v>
      </c>
      <c r="P600" s="97">
        <f>Table1[[#This Row],[quantity on-hand]]*(Table1[[#This Row],[Cost ]]+Table1[[#This Row],[shipping]]+Table1[[#This Row],[Tax]])</f>
        <v>0</v>
      </c>
      <c r="Q600" s="40">
        <v>0</v>
      </c>
      <c r="R600" s="95">
        <f>Table1[[#This Row],[Quantity on order]]*(Table1[[#This Row],[Cost ]]+Table1[[#This Row],[shipping]]+Table1[[#This Row],[Tax]])</f>
        <v>0</v>
      </c>
      <c r="S6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0" s="49">
        <f>Table1[[#This Row],[Quantity  to  purchase]]+Table1[[#This Row],[Quantity purchased]]+Table1[[#This Row],[Quantity on order]]+Table1[[#This Row],[Quantity donated]]-Table1[[#This Row],[extended quantity]]</f>
        <v>0</v>
      </c>
      <c r="U6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0" s="51">
        <f>IFERROR(Table1[[#This Row],[Quantity  to  purchase]]*(Table1[[#This Row],[Cost ]]+Table1[[#This Row],[shipping]]+Table1[[#This Row],[Tax]]),0)</f>
        <v>0</v>
      </c>
      <c r="W600" s="36">
        <f>IFERROR(Table1[[#This Row],[leftover material]]*(Table1[[#This Row],[Cost ]]+Table1[[#This Row],[shipping]]+Table1[[#This Row],[Tax]]),0)</f>
        <v>0</v>
      </c>
      <c r="X600" s="36"/>
      <c r="Y600" s="87"/>
      <c r="Z600" s="87"/>
      <c r="AA600" s="87"/>
      <c r="AB600" s="36"/>
      <c r="AC600" s="36">
        <f>IF(ISNA(VLOOKUP(Table1[[#This Row],[Part Number]],'Multi-level BOM'!V$4:V$449,1,FALSE)),0,Table1[[#This Row],[Remaining Extended cost]])</f>
        <v>0</v>
      </c>
    </row>
    <row r="601" spans="1:29" x14ac:dyDescent="0.25">
      <c r="A601" s="1" t="s">
        <v>604</v>
      </c>
      <c r="B601" s="4"/>
      <c r="F601" s="3">
        <f>9%*Table1[[#This Row],[Cost ]]</f>
        <v>0</v>
      </c>
      <c r="J601" s="49">
        <f>SUMIF('Multi-level BOM'!D$4:D$467,Table1[[#This Row],[Part Number]],'Multi-level BOM'!H$4:H$467)</f>
        <v>0</v>
      </c>
      <c r="K601" s="10">
        <f>Table1[[#This Row],[extended quantity]]*(Table1[[#This Row],[Cost ]]+Table1[[#This Row],[shipping]]+Table1[[#This Row],[Tax]])</f>
        <v>0</v>
      </c>
      <c r="L601" s="83" t="str">
        <f>IF(Table1[[#This Row],[Buy-now costs]]&gt;0,"X","")</f>
        <v/>
      </c>
      <c r="M601" s="83"/>
      <c r="N601" s="83"/>
      <c r="O601" s="40">
        <v>0</v>
      </c>
      <c r="P601" s="97">
        <f>Table1[[#This Row],[quantity on-hand]]*(Table1[[#This Row],[Cost ]]+Table1[[#This Row],[shipping]]+Table1[[#This Row],[Tax]])</f>
        <v>0</v>
      </c>
      <c r="Q601" s="40">
        <v>0</v>
      </c>
      <c r="R601" s="95">
        <f>Table1[[#This Row],[Quantity on order]]*(Table1[[#This Row],[Cost ]]+Table1[[#This Row],[shipping]]+Table1[[#This Row],[Tax]])</f>
        <v>0</v>
      </c>
      <c r="S6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1" s="49">
        <f>Table1[[#This Row],[Quantity  to  purchase]]+Table1[[#This Row],[Quantity purchased]]+Table1[[#This Row],[Quantity on order]]+Table1[[#This Row],[Quantity donated]]-Table1[[#This Row],[extended quantity]]</f>
        <v>0</v>
      </c>
      <c r="U6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1" s="51">
        <f>IFERROR(Table1[[#This Row],[Quantity  to  purchase]]*(Table1[[#This Row],[Cost ]]+Table1[[#This Row],[shipping]]+Table1[[#This Row],[Tax]]),0)</f>
        <v>0</v>
      </c>
      <c r="W601" s="36">
        <f>IFERROR(Table1[[#This Row],[leftover material]]*(Table1[[#This Row],[Cost ]]+Table1[[#This Row],[shipping]]+Table1[[#This Row],[Tax]]),0)</f>
        <v>0</v>
      </c>
      <c r="X601" s="36"/>
      <c r="Y601" s="87"/>
      <c r="Z601" s="87"/>
      <c r="AA601" s="87"/>
      <c r="AB601" s="36"/>
      <c r="AC601" s="36">
        <f>IF(ISNA(VLOOKUP(Table1[[#This Row],[Part Number]],'Multi-level BOM'!V$4:V$449,1,FALSE)),0,Table1[[#This Row],[Remaining Extended cost]])</f>
        <v>0</v>
      </c>
    </row>
    <row r="602" spans="1:29" x14ac:dyDescent="0.25">
      <c r="A602" s="1" t="s">
        <v>605</v>
      </c>
      <c r="B602" s="4"/>
      <c r="F602" s="3">
        <f>9%*Table1[[#This Row],[Cost ]]</f>
        <v>0</v>
      </c>
      <c r="J602" s="49">
        <f>SUMIF('Multi-level BOM'!D$4:D$467,Table1[[#This Row],[Part Number]],'Multi-level BOM'!H$4:H$467)</f>
        <v>0</v>
      </c>
      <c r="K602" s="10">
        <f>Table1[[#This Row],[extended quantity]]*(Table1[[#This Row],[Cost ]]+Table1[[#This Row],[shipping]]+Table1[[#This Row],[Tax]])</f>
        <v>0</v>
      </c>
      <c r="L602" s="83" t="str">
        <f>IF(Table1[[#This Row],[Buy-now costs]]&gt;0,"X","")</f>
        <v/>
      </c>
      <c r="M602" s="83"/>
      <c r="N602" s="83"/>
      <c r="O602" s="40">
        <v>0</v>
      </c>
      <c r="P602" s="97">
        <f>Table1[[#This Row],[quantity on-hand]]*(Table1[[#This Row],[Cost ]]+Table1[[#This Row],[shipping]]+Table1[[#This Row],[Tax]])</f>
        <v>0</v>
      </c>
      <c r="Q602" s="40">
        <v>0</v>
      </c>
      <c r="R602" s="95">
        <f>Table1[[#This Row],[Quantity on order]]*(Table1[[#This Row],[Cost ]]+Table1[[#This Row],[shipping]]+Table1[[#This Row],[Tax]])</f>
        <v>0</v>
      </c>
      <c r="S6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2" s="49">
        <f>Table1[[#This Row],[Quantity  to  purchase]]+Table1[[#This Row],[Quantity purchased]]+Table1[[#This Row],[Quantity on order]]+Table1[[#This Row],[Quantity donated]]-Table1[[#This Row],[extended quantity]]</f>
        <v>0</v>
      </c>
      <c r="U6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2" s="51">
        <f>IFERROR(Table1[[#This Row],[Quantity  to  purchase]]*(Table1[[#This Row],[Cost ]]+Table1[[#This Row],[shipping]]+Table1[[#This Row],[Tax]]),0)</f>
        <v>0</v>
      </c>
      <c r="W602" s="36">
        <f>IFERROR(Table1[[#This Row],[leftover material]]*(Table1[[#This Row],[Cost ]]+Table1[[#This Row],[shipping]]+Table1[[#This Row],[Tax]]),0)</f>
        <v>0</v>
      </c>
      <c r="X602" s="36"/>
      <c r="Y602" s="87"/>
      <c r="Z602" s="87"/>
      <c r="AA602" s="87"/>
      <c r="AB602" s="36"/>
      <c r="AC602" s="36">
        <f>IF(ISNA(VLOOKUP(Table1[[#This Row],[Part Number]],'Multi-level BOM'!V$4:V$449,1,FALSE)),0,Table1[[#This Row],[Remaining Extended cost]])</f>
        <v>0</v>
      </c>
    </row>
    <row r="603" spans="1:29" x14ac:dyDescent="0.25">
      <c r="A603" s="1" t="s">
        <v>606</v>
      </c>
      <c r="B603" s="4"/>
      <c r="F603" s="3">
        <f>9%*Table1[[#This Row],[Cost ]]</f>
        <v>0</v>
      </c>
      <c r="J603" s="49">
        <f>SUMIF('Multi-level BOM'!D$4:D$467,Table1[[#This Row],[Part Number]],'Multi-level BOM'!H$4:H$467)</f>
        <v>0</v>
      </c>
      <c r="K603" s="10">
        <f>Table1[[#This Row],[extended quantity]]*(Table1[[#This Row],[Cost ]]+Table1[[#This Row],[shipping]]+Table1[[#This Row],[Tax]])</f>
        <v>0</v>
      </c>
      <c r="L603" s="83" t="str">
        <f>IF(Table1[[#This Row],[Buy-now costs]]&gt;0,"X","")</f>
        <v/>
      </c>
      <c r="M603" s="83"/>
      <c r="N603" s="83"/>
      <c r="O603" s="40">
        <v>0</v>
      </c>
      <c r="P603" s="97">
        <f>Table1[[#This Row],[quantity on-hand]]*(Table1[[#This Row],[Cost ]]+Table1[[#This Row],[shipping]]+Table1[[#This Row],[Tax]])</f>
        <v>0</v>
      </c>
      <c r="Q603" s="40">
        <v>0</v>
      </c>
      <c r="R603" s="95">
        <f>Table1[[#This Row],[Quantity on order]]*(Table1[[#This Row],[Cost ]]+Table1[[#This Row],[shipping]]+Table1[[#This Row],[Tax]])</f>
        <v>0</v>
      </c>
      <c r="S6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3" s="49">
        <f>Table1[[#This Row],[Quantity  to  purchase]]+Table1[[#This Row],[Quantity purchased]]+Table1[[#This Row],[Quantity on order]]+Table1[[#This Row],[Quantity donated]]-Table1[[#This Row],[extended quantity]]</f>
        <v>0</v>
      </c>
      <c r="U6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3" s="51">
        <f>IFERROR(Table1[[#This Row],[Quantity  to  purchase]]*(Table1[[#This Row],[Cost ]]+Table1[[#This Row],[shipping]]+Table1[[#This Row],[Tax]]),0)</f>
        <v>0</v>
      </c>
      <c r="W603" s="36">
        <f>IFERROR(Table1[[#This Row],[leftover material]]*(Table1[[#This Row],[Cost ]]+Table1[[#This Row],[shipping]]+Table1[[#This Row],[Tax]]),0)</f>
        <v>0</v>
      </c>
      <c r="X603" s="36"/>
      <c r="Y603" s="87"/>
      <c r="Z603" s="87"/>
      <c r="AA603" s="87"/>
      <c r="AB603" s="36"/>
      <c r="AC603" s="36">
        <f>IF(ISNA(VLOOKUP(Table1[[#This Row],[Part Number]],'Multi-level BOM'!V$4:V$449,1,FALSE)),0,Table1[[#This Row],[Remaining Extended cost]])</f>
        <v>0</v>
      </c>
    </row>
    <row r="604" spans="1:29" x14ac:dyDescent="0.25">
      <c r="A604" s="1" t="s">
        <v>607</v>
      </c>
      <c r="B604" s="4"/>
      <c r="F604" s="3">
        <f>9%*Table1[[#This Row],[Cost ]]</f>
        <v>0</v>
      </c>
      <c r="J604" s="49">
        <f>SUMIF('Multi-level BOM'!D$4:D$467,Table1[[#This Row],[Part Number]],'Multi-level BOM'!H$4:H$467)</f>
        <v>0</v>
      </c>
      <c r="K604" s="10">
        <f>Table1[[#This Row],[extended quantity]]*(Table1[[#This Row],[Cost ]]+Table1[[#This Row],[shipping]]+Table1[[#This Row],[Tax]])</f>
        <v>0</v>
      </c>
      <c r="L604" s="83" t="str">
        <f>IF(Table1[[#This Row],[Buy-now costs]]&gt;0,"X","")</f>
        <v/>
      </c>
      <c r="M604" s="83"/>
      <c r="N604" s="83"/>
      <c r="O604" s="40">
        <v>0</v>
      </c>
      <c r="P604" s="97">
        <f>Table1[[#This Row],[quantity on-hand]]*(Table1[[#This Row],[Cost ]]+Table1[[#This Row],[shipping]]+Table1[[#This Row],[Tax]])</f>
        <v>0</v>
      </c>
      <c r="Q604" s="40">
        <v>0</v>
      </c>
      <c r="R604" s="95">
        <f>Table1[[#This Row],[Quantity on order]]*(Table1[[#This Row],[Cost ]]+Table1[[#This Row],[shipping]]+Table1[[#This Row],[Tax]])</f>
        <v>0</v>
      </c>
      <c r="S6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4" s="49">
        <f>Table1[[#This Row],[Quantity  to  purchase]]+Table1[[#This Row],[Quantity purchased]]+Table1[[#This Row],[Quantity on order]]+Table1[[#This Row],[Quantity donated]]-Table1[[#This Row],[extended quantity]]</f>
        <v>0</v>
      </c>
      <c r="U6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4" s="51">
        <f>IFERROR(Table1[[#This Row],[Quantity  to  purchase]]*(Table1[[#This Row],[Cost ]]+Table1[[#This Row],[shipping]]+Table1[[#This Row],[Tax]]),0)</f>
        <v>0</v>
      </c>
      <c r="W604" s="36">
        <f>IFERROR(Table1[[#This Row],[leftover material]]*(Table1[[#This Row],[Cost ]]+Table1[[#This Row],[shipping]]+Table1[[#This Row],[Tax]]),0)</f>
        <v>0</v>
      </c>
      <c r="X604" s="36"/>
      <c r="Y604" s="87"/>
      <c r="Z604" s="87"/>
      <c r="AA604" s="87"/>
      <c r="AB604" s="36"/>
      <c r="AC604" s="36">
        <f>IF(ISNA(VLOOKUP(Table1[[#This Row],[Part Number]],'Multi-level BOM'!V$4:V$449,1,FALSE)),0,Table1[[#This Row],[Remaining Extended cost]])</f>
        <v>0</v>
      </c>
    </row>
    <row r="605" spans="1:29" x14ac:dyDescent="0.25">
      <c r="A605" s="1" t="s">
        <v>608</v>
      </c>
      <c r="B605" s="4"/>
      <c r="F605" s="3">
        <f>9%*Table1[[#This Row],[Cost ]]</f>
        <v>0</v>
      </c>
      <c r="J605" s="49">
        <f>SUMIF('Multi-level BOM'!D$4:D$467,Table1[[#This Row],[Part Number]],'Multi-level BOM'!H$4:H$467)</f>
        <v>0</v>
      </c>
      <c r="K605" s="10">
        <f>Table1[[#This Row],[extended quantity]]*(Table1[[#This Row],[Cost ]]+Table1[[#This Row],[shipping]]+Table1[[#This Row],[Tax]])</f>
        <v>0</v>
      </c>
      <c r="L605" s="83" t="str">
        <f>IF(Table1[[#This Row],[Buy-now costs]]&gt;0,"X","")</f>
        <v/>
      </c>
      <c r="M605" s="83"/>
      <c r="N605" s="83"/>
      <c r="O605" s="40">
        <v>0</v>
      </c>
      <c r="P605" s="97">
        <f>Table1[[#This Row],[quantity on-hand]]*(Table1[[#This Row],[Cost ]]+Table1[[#This Row],[shipping]]+Table1[[#This Row],[Tax]])</f>
        <v>0</v>
      </c>
      <c r="Q605" s="40">
        <v>0</v>
      </c>
      <c r="R605" s="95">
        <f>Table1[[#This Row],[Quantity on order]]*(Table1[[#This Row],[Cost ]]+Table1[[#This Row],[shipping]]+Table1[[#This Row],[Tax]])</f>
        <v>0</v>
      </c>
      <c r="S6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5" s="49">
        <f>Table1[[#This Row],[Quantity  to  purchase]]+Table1[[#This Row],[Quantity purchased]]+Table1[[#This Row],[Quantity on order]]+Table1[[#This Row],[Quantity donated]]-Table1[[#This Row],[extended quantity]]</f>
        <v>0</v>
      </c>
      <c r="U6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5" s="51">
        <f>IFERROR(Table1[[#This Row],[Quantity  to  purchase]]*(Table1[[#This Row],[Cost ]]+Table1[[#This Row],[shipping]]+Table1[[#This Row],[Tax]]),0)</f>
        <v>0</v>
      </c>
      <c r="W605" s="36">
        <f>IFERROR(Table1[[#This Row],[leftover material]]*(Table1[[#This Row],[Cost ]]+Table1[[#This Row],[shipping]]+Table1[[#This Row],[Tax]]),0)</f>
        <v>0</v>
      </c>
      <c r="X605" s="36"/>
      <c r="Y605" s="87"/>
      <c r="Z605" s="87"/>
      <c r="AA605" s="87"/>
      <c r="AB605" s="36"/>
      <c r="AC605" s="36">
        <f>IF(ISNA(VLOOKUP(Table1[[#This Row],[Part Number]],'Multi-level BOM'!V$4:V$449,1,FALSE)),0,Table1[[#This Row],[Remaining Extended cost]])</f>
        <v>0</v>
      </c>
    </row>
    <row r="606" spans="1:29" x14ac:dyDescent="0.25">
      <c r="A606" s="1" t="s">
        <v>609</v>
      </c>
      <c r="B606" s="4"/>
      <c r="F606" s="3">
        <f>9%*Table1[[#This Row],[Cost ]]</f>
        <v>0</v>
      </c>
      <c r="J606" s="49">
        <f>SUMIF('Multi-level BOM'!D$4:D$467,Table1[[#This Row],[Part Number]],'Multi-level BOM'!H$4:H$467)</f>
        <v>0</v>
      </c>
      <c r="K606" s="10">
        <f>Table1[[#This Row],[extended quantity]]*(Table1[[#This Row],[Cost ]]+Table1[[#This Row],[shipping]]+Table1[[#This Row],[Tax]])</f>
        <v>0</v>
      </c>
      <c r="L606" s="83" t="str">
        <f>IF(Table1[[#This Row],[Buy-now costs]]&gt;0,"X","")</f>
        <v/>
      </c>
      <c r="M606" s="83"/>
      <c r="N606" s="83"/>
      <c r="O606" s="40">
        <v>0</v>
      </c>
      <c r="P606" s="97">
        <f>Table1[[#This Row],[quantity on-hand]]*(Table1[[#This Row],[Cost ]]+Table1[[#This Row],[shipping]]+Table1[[#This Row],[Tax]])</f>
        <v>0</v>
      </c>
      <c r="Q606" s="40">
        <v>0</v>
      </c>
      <c r="R606" s="95">
        <f>Table1[[#This Row],[Quantity on order]]*(Table1[[#This Row],[Cost ]]+Table1[[#This Row],[shipping]]+Table1[[#This Row],[Tax]])</f>
        <v>0</v>
      </c>
      <c r="S6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6" s="49">
        <f>Table1[[#This Row],[Quantity  to  purchase]]+Table1[[#This Row],[Quantity purchased]]+Table1[[#This Row],[Quantity on order]]+Table1[[#This Row],[Quantity donated]]-Table1[[#This Row],[extended quantity]]</f>
        <v>0</v>
      </c>
      <c r="U6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6" s="51">
        <f>IFERROR(Table1[[#This Row],[Quantity  to  purchase]]*(Table1[[#This Row],[Cost ]]+Table1[[#This Row],[shipping]]+Table1[[#This Row],[Tax]]),0)</f>
        <v>0</v>
      </c>
      <c r="W606" s="36">
        <f>IFERROR(Table1[[#This Row],[leftover material]]*(Table1[[#This Row],[Cost ]]+Table1[[#This Row],[shipping]]+Table1[[#This Row],[Tax]]),0)</f>
        <v>0</v>
      </c>
      <c r="X606" s="36"/>
      <c r="Y606" s="87"/>
      <c r="Z606" s="87"/>
      <c r="AA606" s="87"/>
      <c r="AB606" s="36"/>
      <c r="AC606" s="36">
        <f>IF(ISNA(VLOOKUP(Table1[[#This Row],[Part Number]],'Multi-level BOM'!V$4:V$449,1,FALSE)),0,Table1[[#This Row],[Remaining Extended cost]])</f>
        <v>0</v>
      </c>
    </row>
    <row r="607" spans="1:29" x14ac:dyDescent="0.25">
      <c r="A607" s="1" t="s">
        <v>610</v>
      </c>
      <c r="B607" s="4"/>
      <c r="F607" s="3">
        <f>9%*Table1[[#This Row],[Cost ]]</f>
        <v>0</v>
      </c>
      <c r="J607" s="49">
        <f>SUMIF('Multi-level BOM'!D$4:D$467,Table1[[#This Row],[Part Number]],'Multi-level BOM'!H$4:H$467)</f>
        <v>0</v>
      </c>
      <c r="K607" s="10">
        <f>Table1[[#This Row],[extended quantity]]*(Table1[[#This Row],[Cost ]]+Table1[[#This Row],[shipping]]+Table1[[#This Row],[Tax]])</f>
        <v>0</v>
      </c>
      <c r="L607" s="83" t="str">
        <f>IF(Table1[[#This Row],[Buy-now costs]]&gt;0,"X","")</f>
        <v/>
      </c>
      <c r="M607" s="83"/>
      <c r="N607" s="83"/>
      <c r="O607" s="40">
        <v>0</v>
      </c>
      <c r="P607" s="97">
        <f>Table1[[#This Row],[quantity on-hand]]*(Table1[[#This Row],[Cost ]]+Table1[[#This Row],[shipping]]+Table1[[#This Row],[Tax]])</f>
        <v>0</v>
      </c>
      <c r="Q607" s="40">
        <v>0</v>
      </c>
      <c r="R607" s="95">
        <f>Table1[[#This Row],[Quantity on order]]*(Table1[[#This Row],[Cost ]]+Table1[[#This Row],[shipping]]+Table1[[#This Row],[Tax]])</f>
        <v>0</v>
      </c>
      <c r="S6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7" s="49">
        <f>Table1[[#This Row],[Quantity  to  purchase]]+Table1[[#This Row],[Quantity purchased]]+Table1[[#This Row],[Quantity on order]]+Table1[[#This Row],[Quantity donated]]-Table1[[#This Row],[extended quantity]]</f>
        <v>0</v>
      </c>
      <c r="U6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7" s="51">
        <f>IFERROR(Table1[[#This Row],[Quantity  to  purchase]]*(Table1[[#This Row],[Cost ]]+Table1[[#This Row],[shipping]]+Table1[[#This Row],[Tax]]),0)</f>
        <v>0</v>
      </c>
      <c r="W607" s="36">
        <f>IFERROR(Table1[[#This Row],[leftover material]]*(Table1[[#This Row],[Cost ]]+Table1[[#This Row],[shipping]]+Table1[[#This Row],[Tax]]),0)</f>
        <v>0</v>
      </c>
      <c r="X607" s="36"/>
      <c r="Y607" s="87"/>
      <c r="Z607" s="87"/>
      <c r="AA607" s="87"/>
      <c r="AB607" s="36"/>
      <c r="AC607" s="36">
        <f>IF(ISNA(VLOOKUP(Table1[[#This Row],[Part Number]],'Multi-level BOM'!V$4:V$449,1,FALSE)),0,Table1[[#This Row],[Remaining Extended cost]])</f>
        <v>0</v>
      </c>
    </row>
    <row r="608" spans="1:29" x14ac:dyDescent="0.25">
      <c r="A608" s="1" t="s">
        <v>611</v>
      </c>
      <c r="B608" s="4"/>
      <c r="F608" s="3">
        <f>9%*Table1[[#This Row],[Cost ]]</f>
        <v>0</v>
      </c>
      <c r="J608" s="49">
        <f>SUMIF('Multi-level BOM'!D$4:D$467,Table1[[#This Row],[Part Number]],'Multi-level BOM'!H$4:H$467)</f>
        <v>0</v>
      </c>
      <c r="K608" s="10">
        <f>Table1[[#This Row],[extended quantity]]*(Table1[[#This Row],[Cost ]]+Table1[[#This Row],[shipping]]+Table1[[#This Row],[Tax]])</f>
        <v>0</v>
      </c>
      <c r="L608" s="83" t="str">
        <f>IF(Table1[[#This Row],[Buy-now costs]]&gt;0,"X","")</f>
        <v/>
      </c>
      <c r="M608" s="83"/>
      <c r="N608" s="83"/>
      <c r="O608" s="40">
        <v>0</v>
      </c>
      <c r="P608" s="97">
        <f>Table1[[#This Row],[quantity on-hand]]*(Table1[[#This Row],[Cost ]]+Table1[[#This Row],[shipping]]+Table1[[#This Row],[Tax]])</f>
        <v>0</v>
      </c>
      <c r="Q608" s="40">
        <v>0</v>
      </c>
      <c r="R608" s="95">
        <f>Table1[[#This Row],[Quantity on order]]*(Table1[[#This Row],[Cost ]]+Table1[[#This Row],[shipping]]+Table1[[#This Row],[Tax]])</f>
        <v>0</v>
      </c>
      <c r="S6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8" s="49">
        <f>Table1[[#This Row],[Quantity  to  purchase]]+Table1[[#This Row],[Quantity purchased]]+Table1[[#This Row],[Quantity on order]]+Table1[[#This Row],[Quantity donated]]-Table1[[#This Row],[extended quantity]]</f>
        <v>0</v>
      </c>
      <c r="U6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8" s="51">
        <f>IFERROR(Table1[[#This Row],[Quantity  to  purchase]]*(Table1[[#This Row],[Cost ]]+Table1[[#This Row],[shipping]]+Table1[[#This Row],[Tax]]),0)</f>
        <v>0</v>
      </c>
      <c r="W608" s="36">
        <f>IFERROR(Table1[[#This Row],[leftover material]]*(Table1[[#This Row],[Cost ]]+Table1[[#This Row],[shipping]]+Table1[[#This Row],[Tax]]),0)</f>
        <v>0</v>
      </c>
      <c r="X608" s="36"/>
      <c r="Y608" s="87"/>
      <c r="Z608" s="87"/>
      <c r="AA608" s="87"/>
      <c r="AB608" s="36"/>
      <c r="AC608" s="36">
        <f>IF(ISNA(VLOOKUP(Table1[[#This Row],[Part Number]],'Multi-level BOM'!V$4:V$449,1,FALSE)),0,Table1[[#This Row],[Remaining Extended cost]])</f>
        <v>0</v>
      </c>
    </row>
    <row r="609" spans="1:29" x14ac:dyDescent="0.25">
      <c r="A609" s="1" t="s">
        <v>612</v>
      </c>
      <c r="B609" s="4"/>
      <c r="F609" s="3">
        <f>9%*Table1[[#This Row],[Cost ]]</f>
        <v>0</v>
      </c>
      <c r="J609" s="49">
        <f>SUMIF('Multi-level BOM'!D$4:D$467,Table1[[#This Row],[Part Number]],'Multi-level BOM'!H$4:H$467)</f>
        <v>0</v>
      </c>
      <c r="K609" s="10">
        <f>Table1[[#This Row],[extended quantity]]*(Table1[[#This Row],[Cost ]]+Table1[[#This Row],[shipping]]+Table1[[#This Row],[Tax]])</f>
        <v>0</v>
      </c>
      <c r="L609" s="83" t="str">
        <f>IF(Table1[[#This Row],[Buy-now costs]]&gt;0,"X","")</f>
        <v/>
      </c>
      <c r="M609" s="83"/>
      <c r="N609" s="83"/>
      <c r="O609" s="40">
        <v>0</v>
      </c>
      <c r="P609" s="97">
        <f>Table1[[#This Row],[quantity on-hand]]*(Table1[[#This Row],[Cost ]]+Table1[[#This Row],[shipping]]+Table1[[#This Row],[Tax]])</f>
        <v>0</v>
      </c>
      <c r="Q609" s="40">
        <v>0</v>
      </c>
      <c r="R609" s="95">
        <f>Table1[[#This Row],[Quantity on order]]*(Table1[[#This Row],[Cost ]]+Table1[[#This Row],[shipping]]+Table1[[#This Row],[Tax]])</f>
        <v>0</v>
      </c>
      <c r="S6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9" s="49">
        <f>Table1[[#This Row],[Quantity  to  purchase]]+Table1[[#This Row],[Quantity purchased]]+Table1[[#This Row],[Quantity on order]]+Table1[[#This Row],[Quantity donated]]-Table1[[#This Row],[extended quantity]]</f>
        <v>0</v>
      </c>
      <c r="U6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9" s="51">
        <f>IFERROR(Table1[[#This Row],[Quantity  to  purchase]]*(Table1[[#This Row],[Cost ]]+Table1[[#This Row],[shipping]]+Table1[[#This Row],[Tax]]),0)</f>
        <v>0</v>
      </c>
      <c r="W609" s="36">
        <f>IFERROR(Table1[[#This Row],[leftover material]]*(Table1[[#This Row],[Cost ]]+Table1[[#This Row],[shipping]]+Table1[[#This Row],[Tax]]),0)</f>
        <v>0</v>
      </c>
      <c r="X609" s="36"/>
      <c r="Y609" s="87"/>
      <c r="Z609" s="87"/>
      <c r="AA609" s="87"/>
      <c r="AB609" s="36"/>
      <c r="AC609" s="36">
        <f>IF(ISNA(VLOOKUP(Table1[[#This Row],[Part Number]],'Multi-level BOM'!V$4:V$449,1,FALSE)),0,Table1[[#This Row],[Remaining Extended cost]])</f>
        <v>0</v>
      </c>
    </row>
    <row r="610" spans="1:29" x14ac:dyDescent="0.25">
      <c r="A610" s="1" t="s">
        <v>613</v>
      </c>
      <c r="B610" s="4"/>
      <c r="F610" s="3">
        <f>9%*Table1[[#This Row],[Cost ]]</f>
        <v>0</v>
      </c>
      <c r="J610" s="49">
        <f>SUMIF('Multi-level BOM'!D$4:D$467,Table1[[#This Row],[Part Number]],'Multi-level BOM'!H$4:H$467)</f>
        <v>0</v>
      </c>
      <c r="K610" s="10">
        <f>Table1[[#This Row],[extended quantity]]*(Table1[[#This Row],[Cost ]]+Table1[[#This Row],[shipping]]+Table1[[#This Row],[Tax]])</f>
        <v>0</v>
      </c>
      <c r="L610" s="83" t="str">
        <f>IF(Table1[[#This Row],[Buy-now costs]]&gt;0,"X","")</f>
        <v/>
      </c>
      <c r="M610" s="83"/>
      <c r="N610" s="83"/>
      <c r="O610" s="40">
        <v>0</v>
      </c>
      <c r="P610" s="97">
        <f>Table1[[#This Row],[quantity on-hand]]*(Table1[[#This Row],[Cost ]]+Table1[[#This Row],[shipping]]+Table1[[#This Row],[Tax]])</f>
        <v>0</v>
      </c>
      <c r="Q610" s="40">
        <v>0</v>
      </c>
      <c r="R610" s="95">
        <f>Table1[[#This Row],[Quantity on order]]*(Table1[[#This Row],[Cost ]]+Table1[[#This Row],[shipping]]+Table1[[#This Row],[Tax]])</f>
        <v>0</v>
      </c>
      <c r="S6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0" s="49">
        <f>Table1[[#This Row],[Quantity  to  purchase]]+Table1[[#This Row],[Quantity purchased]]+Table1[[#This Row],[Quantity on order]]+Table1[[#This Row],[Quantity donated]]-Table1[[#This Row],[extended quantity]]</f>
        <v>0</v>
      </c>
      <c r="U6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0" s="51">
        <f>IFERROR(Table1[[#This Row],[Quantity  to  purchase]]*(Table1[[#This Row],[Cost ]]+Table1[[#This Row],[shipping]]+Table1[[#This Row],[Tax]]),0)</f>
        <v>0</v>
      </c>
      <c r="W610" s="36">
        <f>IFERROR(Table1[[#This Row],[leftover material]]*(Table1[[#This Row],[Cost ]]+Table1[[#This Row],[shipping]]+Table1[[#This Row],[Tax]]),0)</f>
        <v>0</v>
      </c>
      <c r="X610" s="36"/>
      <c r="Y610" s="87"/>
      <c r="Z610" s="87"/>
      <c r="AA610" s="87"/>
      <c r="AB610" s="36"/>
      <c r="AC610" s="36">
        <f>IF(ISNA(VLOOKUP(Table1[[#This Row],[Part Number]],'Multi-level BOM'!V$4:V$449,1,FALSE)),0,Table1[[#This Row],[Remaining Extended cost]])</f>
        <v>0</v>
      </c>
    </row>
    <row r="611" spans="1:29" x14ac:dyDescent="0.25">
      <c r="A611" s="1" t="s">
        <v>614</v>
      </c>
      <c r="B611" s="4"/>
      <c r="F611" s="3">
        <f>9%*Table1[[#This Row],[Cost ]]</f>
        <v>0</v>
      </c>
      <c r="J611" s="49">
        <f>SUMIF('Multi-level BOM'!D$4:D$467,Table1[[#This Row],[Part Number]],'Multi-level BOM'!H$4:H$467)</f>
        <v>0</v>
      </c>
      <c r="K611" s="10">
        <f>Table1[[#This Row],[extended quantity]]*(Table1[[#This Row],[Cost ]]+Table1[[#This Row],[shipping]]+Table1[[#This Row],[Tax]])</f>
        <v>0</v>
      </c>
      <c r="L611" s="83" t="str">
        <f>IF(Table1[[#This Row],[Buy-now costs]]&gt;0,"X","")</f>
        <v/>
      </c>
      <c r="M611" s="83"/>
      <c r="N611" s="83"/>
      <c r="O611" s="40">
        <v>0</v>
      </c>
      <c r="P611" s="97">
        <f>Table1[[#This Row],[quantity on-hand]]*(Table1[[#This Row],[Cost ]]+Table1[[#This Row],[shipping]]+Table1[[#This Row],[Tax]])</f>
        <v>0</v>
      </c>
      <c r="Q611" s="40">
        <v>0</v>
      </c>
      <c r="R611" s="95">
        <f>Table1[[#This Row],[Quantity on order]]*(Table1[[#This Row],[Cost ]]+Table1[[#This Row],[shipping]]+Table1[[#This Row],[Tax]])</f>
        <v>0</v>
      </c>
      <c r="S6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1" s="49">
        <f>Table1[[#This Row],[Quantity  to  purchase]]+Table1[[#This Row],[Quantity purchased]]+Table1[[#This Row],[Quantity on order]]+Table1[[#This Row],[Quantity donated]]-Table1[[#This Row],[extended quantity]]</f>
        <v>0</v>
      </c>
      <c r="U6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1" s="51">
        <f>IFERROR(Table1[[#This Row],[Quantity  to  purchase]]*(Table1[[#This Row],[Cost ]]+Table1[[#This Row],[shipping]]+Table1[[#This Row],[Tax]]),0)</f>
        <v>0</v>
      </c>
      <c r="W611" s="36">
        <f>IFERROR(Table1[[#This Row],[leftover material]]*(Table1[[#This Row],[Cost ]]+Table1[[#This Row],[shipping]]+Table1[[#This Row],[Tax]]),0)</f>
        <v>0</v>
      </c>
      <c r="X611" s="36"/>
      <c r="Y611" s="87"/>
      <c r="Z611" s="87"/>
      <c r="AA611" s="87"/>
      <c r="AB611" s="36"/>
      <c r="AC611" s="36">
        <f>IF(ISNA(VLOOKUP(Table1[[#This Row],[Part Number]],'Multi-level BOM'!V$4:V$449,1,FALSE)),0,Table1[[#This Row],[Remaining Extended cost]])</f>
        <v>0</v>
      </c>
    </row>
    <row r="612" spans="1:29" x14ac:dyDescent="0.25">
      <c r="A612" s="1" t="s">
        <v>615</v>
      </c>
      <c r="B612" s="4"/>
      <c r="F612" s="3">
        <f>9%*Table1[[#This Row],[Cost ]]</f>
        <v>0</v>
      </c>
      <c r="J612" s="49">
        <f>SUMIF('Multi-level BOM'!D$4:D$467,Table1[[#This Row],[Part Number]],'Multi-level BOM'!H$4:H$467)</f>
        <v>0</v>
      </c>
      <c r="K612" s="10">
        <f>Table1[[#This Row],[extended quantity]]*(Table1[[#This Row],[Cost ]]+Table1[[#This Row],[shipping]]+Table1[[#This Row],[Tax]])</f>
        <v>0</v>
      </c>
      <c r="L612" s="83" t="str">
        <f>IF(Table1[[#This Row],[Buy-now costs]]&gt;0,"X","")</f>
        <v/>
      </c>
      <c r="M612" s="83"/>
      <c r="N612" s="83"/>
      <c r="O612" s="40">
        <v>0</v>
      </c>
      <c r="P612" s="97">
        <f>Table1[[#This Row],[quantity on-hand]]*(Table1[[#This Row],[Cost ]]+Table1[[#This Row],[shipping]]+Table1[[#This Row],[Tax]])</f>
        <v>0</v>
      </c>
      <c r="Q612" s="40">
        <v>0</v>
      </c>
      <c r="R612" s="95">
        <f>Table1[[#This Row],[Quantity on order]]*(Table1[[#This Row],[Cost ]]+Table1[[#This Row],[shipping]]+Table1[[#This Row],[Tax]])</f>
        <v>0</v>
      </c>
      <c r="S6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2" s="49">
        <f>Table1[[#This Row],[Quantity  to  purchase]]+Table1[[#This Row],[Quantity purchased]]+Table1[[#This Row],[Quantity on order]]+Table1[[#This Row],[Quantity donated]]-Table1[[#This Row],[extended quantity]]</f>
        <v>0</v>
      </c>
      <c r="U6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2" s="51">
        <f>IFERROR(Table1[[#This Row],[Quantity  to  purchase]]*(Table1[[#This Row],[Cost ]]+Table1[[#This Row],[shipping]]+Table1[[#This Row],[Tax]]),0)</f>
        <v>0</v>
      </c>
      <c r="W612" s="36">
        <f>IFERROR(Table1[[#This Row],[leftover material]]*(Table1[[#This Row],[Cost ]]+Table1[[#This Row],[shipping]]+Table1[[#This Row],[Tax]]),0)</f>
        <v>0</v>
      </c>
      <c r="X612" s="36"/>
      <c r="Y612" s="87"/>
      <c r="Z612" s="87"/>
      <c r="AA612" s="87"/>
      <c r="AB612" s="36"/>
      <c r="AC612" s="36">
        <f>IF(ISNA(VLOOKUP(Table1[[#This Row],[Part Number]],'Multi-level BOM'!V$4:V$449,1,FALSE)),0,Table1[[#This Row],[Remaining Extended cost]])</f>
        <v>0</v>
      </c>
    </row>
    <row r="613" spans="1:29" x14ac:dyDescent="0.25">
      <c r="A613" s="1" t="s">
        <v>616</v>
      </c>
      <c r="B613" s="4"/>
      <c r="F613" s="3">
        <f>9%*Table1[[#This Row],[Cost ]]</f>
        <v>0</v>
      </c>
      <c r="J613" s="49">
        <f>SUMIF('Multi-level BOM'!D$4:D$467,Table1[[#This Row],[Part Number]],'Multi-level BOM'!H$4:H$467)</f>
        <v>0</v>
      </c>
      <c r="K613" s="10">
        <f>Table1[[#This Row],[extended quantity]]*(Table1[[#This Row],[Cost ]]+Table1[[#This Row],[shipping]]+Table1[[#This Row],[Tax]])</f>
        <v>0</v>
      </c>
      <c r="L613" s="83" t="str">
        <f>IF(Table1[[#This Row],[Buy-now costs]]&gt;0,"X","")</f>
        <v/>
      </c>
      <c r="M613" s="83"/>
      <c r="N613" s="83"/>
      <c r="O613" s="40">
        <v>0</v>
      </c>
      <c r="P613" s="97">
        <f>Table1[[#This Row],[quantity on-hand]]*(Table1[[#This Row],[Cost ]]+Table1[[#This Row],[shipping]]+Table1[[#This Row],[Tax]])</f>
        <v>0</v>
      </c>
      <c r="Q613" s="40">
        <v>0</v>
      </c>
      <c r="R613" s="95">
        <f>Table1[[#This Row],[Quantity on order]]*(Table1[[#This Row],[Cost ]]+Table1[[#This Row],[shipping]]+Table1[[#This Row],[Tax]])</f>
        <v>0</v>
      </c>
      <c r="S6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3" s="49">
        <f>Table1[[#This Row],[Quantity  to  purchase]]+Table1[[#This Row],[Quantity purchased]]+Table1[[#This Row],[Quantity on order]]+Table1[[#This Row],[Quantity donated]]-Table1[[#This Row],[extended quantity]]</f>
        <v>0</v>
      </c>
      <c r="U6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3" s="51">
        <f>IFERROR(Table1[[#This Row],[Quantity  to  purchase]]*(Table1[[#This Row],[Cost ]]+Table1[[#This Row],[shipping]]+Table1[[#This Row],[Tax]]),0)</f>
        <v>0</v>
      </c>
      <c r="W613" s="36">
        <f>IFERROR(Table1[[#This Row],[leftover material]]*(Table1[[#This Row],[Cost ]]+Table1[[#This Row],[shipping]]+Table1[[#This Row],[Tax]]),0)</f>
        <v>0</v>
      </c>
      <c r="X613" s="36"/>
      <c r="Y613" s="87"/>
      <c r="Z613" s="87"/>
      <c r="AA613" s="87"/>
      <c r="AB613" s="36"/>
      <c r="AC613" s="36">
        <f>IF(ISNA(VLOOKUP(Table1[[#This Row],[Part Number]],'Multi-level BOM'!V$4:V$449,1,FALSE)),0,Table1[[#This Row],[Remaining Extended cost]])</f>
        <v>0</v>
      </c>
    </row>
    <row r="614" spans="1:29" x14ac:dyDescent="0.25">
      <c r="A614" s="1" t="s">
        <v>617</v>
      </c>
      <c r="B614" s="4"/>
      <c r="F614" s="3">
        <f>9%*Table1[[#This Row],[Cost ]]</f>
        <v>0</v>
      </c>
      <c r="J614" s="49">
        <f>SUMIF('Multi-level BOM'!D$4:D$467,Table1[[#This Row],[Part Number]],'Multi-level BOM'!H$4:H$467)</f>
        <v>0</v>
      </c>
      <c r="K614" s="10">
        <f>Table1[[#This Row],[extended quantity]]*(Table1[[#This Row],[Cost ]]+Table1[[#This Row],[shipping]]+Table1[[#This Row],[Tax]])</f>
        <v>0</v>
      </c>
      <c r="L614" s="83" t="str">
        <f>IF(Table1[[#This Row],[Buy-now costs]]&gt;0,"X","")</f>
        <v/>
      </c>
      <c r="M614" s="83"/>
      <c r="N614" s="83"/>
      <c r="O614" s="40">
        <v>0</v>
      </c>
      <c r="P614" s="97">
        <f>Table1[[#This Row],[quantity on-hand]]*(Table1[[#This Row],[Cost ]]+Table1[[#This Row],[shipping]]+Table1[[#This Row],[Tax]])</f>
        <v>0</v>
      </c>
      <c r="Q614" s="40">
        <v>0</v>
      </c>
      <c r="R614" s="95">
        <f>Table1[[#This Row],[Quantity on order]]*(Table1[[#This Row],[Cost ]]+Table1[[#This Row],[shipping]]+Table1[[#This Row],[Tax]])</f>
        <v>0</v>
      </c>
      <c r="S6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4" s="49">
        <f>Table1[[#This Row],[Quantity  to  purchase]]+Table1[[#This Row],[Quantity purchased]]+Table1[[#This Row],[Quantity on order]]+Table1[[#This Row],[Quantity donated]]-Table1[[#This Row],[extended quantity]]</f>
        <v>0</v>
      </c>
      <c r="U6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4" s="51">
        <f>IFERROR(Table1[[#This Row],[Quantity  to  purchase]]*(Table1[[#This Row],[Cost ]]+Table1[[#This Row],[shipping]]+Table1[[#This Row],[Tax]]),0)</f>
        <v>0</v>
      </c>
      <c r="W614" s="36">
        <f>IFERROR(Table1[[#This Row],[leftover material]]*(Table1[[#This Row],[Cost ]]+Table1[[#This Row],[shipping]]+Table1[[#This Row],[Tax]]),0)</f>
        <v>0</v>
      </c>
      <c r="X614" s="36"/>
      <c r="Y614" s="87"/>
      <c r="Z614" s="87"/>
      <c r="AA614" s="87"/>
      <c r="AB614" s="36"/>
      <c r="AC614" s="36">
        <f>IF(ISNA(VLOOKUP(Table1[[#This Row],[Part Number]],'Multi-level BOM'!V$4:V$449,1,FALSE)),0,Table1[[#This Row],[Remaining Extended cost]])</f>
        <v>0</v>
      </c>
    </row>
    <row r="615" spans="1:29" x14ac:dyDescent="0.25">
      <c r="A615" s="1" t="s">
        <v>618</v>
      </c>
      <c r="B615" s="4"/>
      <c r="F615" s="3">
        <f>9%*Table1[[#This Row],[Cost ]]</f>
        <v>0</v>
      </c>
      <c r="J615" s="49">
        <f>SUMIF('Multi-level BOM'!D$4:D$467,Table1[[#This Row],[Part Number]],'Multi-level BOM'!H$4:H$467)</f>
        <v>0</v>
      </c>
      <c r="K615" s="10">
        <f>Table1[[#This Row],[extended quantity]]*(Table1[[#This Row],[Cost ]]+Table1[[#This Row],[shipping]]+Table1[[#This Row],[Tax]])</f>
        <v>0</v>
      </c>
      <c r="L615" s="83" t="str">
        <f>IF(Table1[[#This Row],[Buy-now costs]]&gt;0,"X","")</f>
        <v/>
      </c>
      <c r="M615" s="83"/>
      <c r="N615" s="83"/>
      <c r="O615" s="40">
        <v>0</v>
      </c>
      <c r="P615" s="97">
        <f>Table1[[#This Row],[quantity on-hand]]*(Table1[[#This Row],[Cost ]]+Table1[[#This Row],[shipping]]+Table1[[#This Row],[Tax]])</f>
        <v>0</v>
      </c>
      <c r="Q615" s="40">
        <v>0</v>
      </c>
      <c r="R615" s="95">
        <f>Table1[[#This Row],[Quantity on order]]*(Table1[[#This Row],[Cost ]]+Table1[[#This Row],[shipping]]+Table1[[#This Row],[Tax]])</f>
        <v>0</v>
      </c>
      <c r="S6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5" s="49">
        <f>Table1[[#This Row],[Quantity  to  purchase]]+Table1[[#This Row],[Quantity purchased]]+Table1[[#This Row],[Quantity on order]]+Table1[[#This Row],[Quantity donated]]-Table1[[#This Row],[extended quantity]]</f>
        <v>0</v>
      </c>
      <c r="U6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5" s="51">
        <f>IFERROR(Table1[[#This Row],[Quantity  to  purchase]]*(Table1[[#This Row],[Cost ]]+Table1[[#This Row],[shipping]]+Table1[[#This Row],[Tax]]),0)</f>
        <v>0</v>
      </c>
      <c r="W615" s="36">
        <f>IFERROR(Table1[[#This Row],[leftover material]]*(Table1[[#This Row],[Cost ]]+Table1[[#This Row],[shipping]]+Table1[[#This Row],[Tax]]),0)</f>
        <v>0</v>
      </c>
      <c r="X615" s="36"/>
      <c r="Y615" s="87"/>
      <c r="Z615" s="87"/>
      <c r="AA615" s="87"/>
      <c r="AB615" s="36"/>
      <c r="AC615" s="36">
        <f>IF(ISNA(VLOOKUP(Table1[[#This Row],[Part Number]],'Multi-level BOM'!V$4:V$449,1,FALSE)),0,Table1[[#This Row],[Remaining Extended cost]])</f>
        <v>0</v>
      </c>
    </row>
    <row r="616" spans="1:29" x14ac:dyDescent="0.25">
      <c r="A616" s="1" t="s">
        <v>619</v>
      </c>
      <c r="B616" s="4"/>
      <c r="F616" s="3">
        <f>9%*Table1[[#This Row],[Cost ]]</f>
        <v>0</v>
      </c>
      <c r="J616" s="49">
        <f>SUMIF('Multi-level BOM'!D$4:D$467,Table1[[#This Row],[Part Number]],'Multi-level BOM'!H$4:H$467)</f>
        <v>0</v>
      </c>
      <c r="K616" s="10">
        <f>Table1[[#This Row],[extended quantity]]*(Table1[[#This Row],[Cost ]]+Table1[[#This Row],[shipping]]+Table1[[#This Row],[Tax]])</f>
        <v>0</v>
      </c>
      <c r="L616" s="83" t="str">
        <f>IF(Table1[[#This Row],[Buy-now costs]]&gt;0,"X","")</f>
        <v/>
      </c>
      <c r="M616" s="83"/>
      <c r="N616" s="83"/>
      <c r="O616" s="40">
        <v>0</v>
      </c>
      <c r="P616" s="97">
        <f>Table1[[#This Row],[quantity on-hand]]*(Table1[[#This Row],[Cost ]]+Table1[[#This Row],[shipping]]+Table1[[#This Row],[Tax]])</f>
        <v>0</v>
      </c>
      <c r="Q616" s="40">
        <v>0</v>
      </c>
      <c r="R616" s="95">
        <f>Table1[[#This Row],[Quantity on order]]*(Table1[[#This Row],[Cost ]]+Table1[[#This Row],[shipping]]+Table1[[#This Row],[Tax]])</f>
        <v>0</v>
      </c>
      <c r="S6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6" s="49">
        <f>Table1[[#This Row],[Quantity  to  purchase]]+Table1[[#This Row],[Quantity purchased]]+Table1[[#This Row],[Quantity on order]]+Table1[[#This Row],[Quantity donated]]-Table1[[#This Row],[extended quantity]]</f>
        <v>0</v>
      </c>
      <c r="U6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6" s="51">
        <f>IFERROR(Table1[[#This Row],[Quantity  to  purchase]]*(Table1[[#This Row],[Cost ]]+Table1[[#This Row],[shipping]]+Table1[[#This Row],[Tax]]),0)</f>
        <v>0</v>
      </c>
      <c r="W616" s="36">
        <f>IFERROR(Table1[[#This Row],[leftover material]]*(Table1[[#This Row],[Cost ]]+Table1[[#This Row],[shipping]]+Table1[[#This Row],[Tax]]),0)</f>
        <v>0</v>
      </c>
      <c r="X616" s="36"/>
      <c r="Y616" s="87"/>
      <c r="Z616" s="87"/>
      <c r="AA616" s="87"/>
      <c r="AB616" s="36"/>
      <c r="AC616" s="36">
        <f>IF(ISNA(VLOOKUP(Table1[[#This Row],[Part Number]],'Multi-level BOM'!V$4:V$449,1,FALSE)),0,Table1[[#This Row],[Remaining Extended cost]])</f>
        <v>0</v>
      </c>
    </row>
    <row r="617" spans="1:29" x14ac:dyDescent="0.25">
      <c r="A617" s="1" t="s">
        <v>620</v>
      </c>
      <c r="B617" s="4"/>
      <c r="F617" s="3">
        <f>9%*Table1[[#This Row],[Cost ]]</f>
        <v>0</v>
      </c>
      <c r="J617" s="49">
        <f>SUMIF('Multi-level BOM'!D$4:D$467,Table1[[#This Row],[Part Number]],'Multi-level BOM'!H$4:H$467)</f>
        <v>0</v>
      </c>
      <c r="K617" s="10">
        <f>Table1[[#This Row],[extended quantity]]*(Table1[[#This Row],[Cost ]]+Table1[[#This Row],[shipping]]+Table1[[#This Row],[Tax]])</f>
        <v>0</v>
      </c>
      <c r="L617" s="83" t="str">
        <f>IF(Table1[[#This Row],[Buy-now costs]]&gt;0,"X","")</f>
        <v/>
      </c>
      <c r="M617" s="83"/>
      <c r="N617" s="83"/>
      <c r="O617" s="40">
        <v>0</v>
      </c>
      <c r="P617" s="97">
        <f>Table1[[#This Row],[quantity on-hand]]*(Table1[[#This Row],[Cost ]]+Table1[[#This Row],[shipping]]+Table1[[#This Row],[Tax]])</f>
        <v>0</v>
      </c>
      <c r="Q617" s="40">
        <v>0</v>
      </c>
      <c r="R617" s="95">
        <f>Table1[[#This Row],[Quantity on order]]*(Table1[[#This Row],[Cost ]]+Table1[[#This Row],[shipping]]+Table1[[#This Row],[Tax]])</f>
        <v>0</v>
      </c>
      <c r="S6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7" s="49">
        <f>Table1[[#This Row],[Quantity  to  purchase]]+Table1[[#This Row],[Quantity purchased]]+Table1[[#This Row],[Quantity on order]]+Table1[[#This Row],[Quantity donated]]-Table1[[#This Row],[extended quantity]]</f>
        <v>0</v>
      </c>
      <c r="U6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7" s="51">
        <f>IFERROR(Table1[[#This Row],[Quantity  to  purchase]]*(Table1[[#This Row],[Cost ]]+Table1[[#This Row],[shipping]]+Table1[[#This Row],[Tax]]),0)</f>
        <v>0</v>
      </c>
      <c r="W617" s="36">
        <f>IFERROR(Table1[[#This Row],[leftover material]]*(Table1[[#This Row],[Cost ]]+Table1[[#This Row],[shipping]]+Table1[[#This Row],[Tax]]),0)</f>
        <v>0</v>
      </c>
      <c r="X617" s="36"/>
      <c r="Y617" s="87"/>
      <c r="Z617" s="87"/>
      <c r="AA617" s="87"/>
      <c r="AB617" s="36"/>
      <c r="AC617" s="36">
        <f>IF(ISNA(VLOOKUP(Table1[[#This Row],[Part Number]],'Multi-level BOM'!V$4:V$449,1,FALSE)),0,Table1[[#This Row],[Remaining Extended cost]])</f>
        <v>0</v>
      </c>
    </row>
    <row r="618" spans="1:29" x14ac:dyDescent="0.25">
      <c r="A618" s="1" t="s">
        <v>621</v>
      </c>
      <c r="B618" s="4"/>
      <c r="F618" s="3">
        <f>9%*Table1[[#This Row],[Cost ]]</f>
        <v>0</v>
      </c>
      <c r="J618" s="49">
        <f>SUMIF('Multi-level BOM'!D$4:D$467,Table1[[#This Row],[Part Number]],'Multi-level BOM'!H$4:H$467)</f>
        <v>0</v>
      </c>
      <c r="K618" s="10">
        <f>Table1[[#This Row],[extended quantity]]*(Table1[[#This Row],[Cost ]]+Table1[[#This Row],[shipping]]+Table1[[#This Row],[Tax]])</f>
        <v>0</v>
      </c>
      <c r="L618" s="83" t="str">
        <f>IF(Table1[[#This Row],[Buy-now costs]]&gt;0,"X","")</f>
        <v/>
      </c>
      <c r="M618" s="83"/>
      <c r="N618" s="83"/>
      <c r="O618" s="40">
        <v>0</v>
      </c>
      <c r="P618" s="97">
        <f>Table1[[#This Row],[quantity on-hand]]*(Table1[[#This Row],[Cost ]]+Table1[[#This Row],[shipping]]+Table1[[#This Row],[Tax]])</f>
        <v>0</v>
      </c>
      <c r="Q618" s="40">
        <v>0</v>
      </c>
      <c r="R618" s="95">
        <f>Table1[[#This Row],[Quantity on order]]*(Table1[[#This Row],[Cost ]]+Table1[[#This Row],[shipping]]+Table1[[#This Row],[Tax]])</f>
        <v>0</v>
      </c>
      <c r="S6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8" s="49">
        <f>Table1[[#This Row],[Quantity  to  purchase]]+Table1[[#This Row],[Quantity purchased]]+Table1[[#This Row],[Quantity on order]]+Table1[[#This Row],[Quantity donated]]-Table1[[#This Row],[extended quantity]]</f>
        <v>0</v>
      </c>
      <c r="U6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8" s="51">
        <f>IFERROR(Table1[[#This Row],[Quantity  to  purchase]]*(Table1[[#This Row],[Cost ]]+Table1[[#This Row],[shipping]]+Table1[[#This Row],[Tax]]),0)</f>
        <v>0</v>
      </c>
      <c r="W618" s="36">
        <f>IFERROR(Table1[[#This Row],[leftover material]]*(Table1[[#This Row],[Cost ]]+Table1[[#This Row],[shipping]]+Table1[[#This Row],[Tax]]),0)</f>
        <v>0</v>
      </c>
      <c r="X618" s="36"/>
      <c r="Y618" s="87"/>
      <c r="Z618" s="87"/>
      <c r="AA618" s="87"/>
      <c r="AB618" s="36"/>
      <c r="AC618" s="36">
        <f>IF(ISNA(VLOOKUP(Table1[[#This Row],[Part Number]],'Multi-level BOM'!V$4:V$449,1,FALSE)),0,Table1[[#This Row],[Remaining Extended cost]])</f>
        <v>0</v>
      </c>
    </row>
    <row r="619" spans="1:29" x14ac:dyDescent="0.25">
      <c r="A619" s="1" t="s">
        <v>622</v>
      </c>
      <c r="B619" s="4"/>
      <c r="F619" s="3">
        <f>9%*Table1[[#This Row],[Cost ]]</f>
        <v>0</v>
      </c>
      <c r="J619" s="49">
        <f>SUMIF('Multi-level BOM'!D$4:D$467,Table1[[#This Row],[Part Number]],'Multi-level BOM'!H$4:H$467)</f>
        <v>0</v>
      </c>
      <c r="K619" s="10">
        <f>Table1[[#This Row],[extended quantity]]*(Table1[[#This Row],[Cost ]]+Table1[[#This Row],[shipping]]+Table1[[#This Row],[Tax]])</f>
        <v>0</v>
      </c>
      <c r="L619" s="83" t="str">
        <f>IF(Table1[[#This Row],[Buy-now costs]]&gt;0,"X","")</f>
        <v/>
      </c>
      <c r="M619" s="83"/>
      <c r="N619" s="83"/>
      <c r="O619" s="40">
        <v>0</v>
      </c>
      <c r="P619" s="97">
        <f>Table1[[#This Row],[quantity on-hand]]*(Table1[[#This Row],[Cost ]]+Table1[[#This Row],[shipping]]+Table1[[#This Row],[Tax]])</f>
        <v>0</v>
      </c>
      <c r="Q619" s="40">
        <v>0</v>
      </c>
      <c r="R619" s="95">
        <f>Table1[[#This Row],[Quantity on order]]*(Table1[[#This Row],[Cost ]]+Table1[[#This Row],[shipping]]+Table1[[#This Row],[Tax]])</f>
        <v>0</v>
      </c>
      <c r="S6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9" s="49">
        <f>Table1[[#This Row],[Quantity  to  purchase]]+Table1[[#This Row],[Quantity purchased]]+Table1[[#This Row],[Quantity on order]]+Table1[[#This Row],[Quantity donated]]-Table1[[#This Row],[extended quantity]]</f>
        <v>0</v>
      </c>
      <c r="U6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9" s="51">
        <f>IFERROR(Table1[[#This Row],[Quantity  to  purchase]]*(Table1[[#This Row],[Cost ]]+Table1[[#This Row],[shipping]]+Table1[[#This Row],[Tax]]),0)</f>
        <v>0</v>
      </c>
      <c r="W619" s="36">
        <f>IFERROR(Table1[[#This Row],[leftover material]]*(Table1[[#This Row],[Cost ]]+Table1[[#This Row],[shipping]]+Table1[[#This Row],[Tax]]),0)</f>
        <v>0</v>
      </c>
      <c r="X619" s="36"/>
      <c r="Y619" s="87"/>
      <c r="Z619" s="87"/>
      <c r="AA619" s="87"/>
      <c r="AB619" s="36"/>
      <c r="AC619" s="36">
        <f>IF(ISNA(VLOOKUP(Table1[[#This Row],[Part Number]],'Multi-level BOM'!V$4:V$449,1,FALSE)),0,Table1[[#This Row],[Remaining Extended cost]])</f>
        <v>0</v>
      </c>
    </row>
    <row r="620" spans="1:29" x14ac:dyDescent="0.25">
      <c r="A620" s="1" t="s">
        <v>623</v>
      </c>
      <c r="B620" s="4"/>
      <c r="F620" s="3">
        <f>9%*Table1[[#This Row],[Cost ]]</f>
        <v>0</v>
      </c>
      <c r="J620" s="49">
        <f>SUMIF('Multi-level BOM'!D$4:D$467,Table1[[#This Row],[Part Number]],'Multi-level BOM'!H$4:H$467)</f>
        <v>0</v>
      </c>
      <c r="K620" s="10">
        <f>Table1[[#This Row],[extended quantity]]*(Table1[[#This Row],[Cost ]]+Table1[[#This Row],[shipping]]+Table1[[#This Row],[Tax]])</f>
        <v>0</v>
      </c>
      <c r="L620" s="83" t="str">
        <f>IF(Table1[[#This Row],[Buy-now costs]]&gt;0,"X","")</f>
        <v/>
      </c>
      <c r="M620" s="83"/>
      <c r="N620" s="83"/>
      <c r="O620" s="40">
        <v>0</v>
      </c>
      <c r="P620" s="97">
        <f>Table1[[#This Row],[quantity on-hand]]*(Table1[[#This Row],[Cost ]]+Table1[[#This Row],[shipping]]+Table1[[#This Row],[Tax]])</f>
        <v>0</v>
      </c>
      <c r="Q620" s="40">
        <v>0</v>
      </c>
      <c r="R620" s="95">
        <f>Table1[[#This Row],[Quantity on order]]*(Table1[[#This Row],[Cost ]]+Table1[[#This Row],[shipping]]+Table1[[#This Row],[Tax]])</f>
        <v>0</v>
      </c>
      <c r="S6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0" s="49">
        <f>Table1[[#This Row],[Quantity  to  purchase]]+Table1[[#This Row],[Quantity purchased]]+Table1[[#This Row],[Quantity on order]]+Table1[[#This Row],[Quantity donated]]-Table1[[#This Row],[extended quantity]]</f>
        <v>0</v>
      </c>
      <c r="U6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0" s="51">
        <f>IFERROR(Table1[[#This Row],[Quantity  to  purchase]]*(Table1[[#This Row],[Cost ]]+Table1[[#This Row],[shipping]]+Table1[[#This Row],[Tax]]),0)</f>
        <v>0</v>
      </c>
      <c r="W620" s="36">
        <f>IFERROR(Table1[[#This Row],[leftover material]]*(Table1[[#This Row],[Cost ]]+Table1[[#This Row],[shipping]]+Table1[[#This Row],[Tax]]),0)</f>
        <v>0</v>
      </c>
      <c r="X620" s="36"/>
      <c r="Y620" s="87"/>
      <c r="Z620" s="87"/>
      <c r="AA620" s="87"/>
      <c r="AB620" s="36"/>
      <c r="AC620" s="36">
        <f>IF(ISNA(VLOOKUP(Table1[[#This Row],[Part Number]],'Multi-level BOM'!V$4:V$449,1,FALSE)),0,Table1[[#This Row],[Remaining Extended cost]])</f>
        <v>0</v>
      </c>
    </row>
    <row r="621" spans="1:29" x14ac:dyDescent="0.25">
      <c r="A621" s="1" t="s">
        <v>624</v>
      </c>
      <c r="B621" s="4"/>
      <c r="F621" s="3">
        <f>9%*Table1[[#This Row],[Cost ]]</f>
        <v>0</v>
      </c>
      <c r="J621" s="49">
        <f>SUMIF('Multi-level BOM'!D$4:D$467,Table1[[#This Row],[Part Number]],'Multi-level BOM'!H$4:H$467)</f>
        <v>0</v>
      </c>
      <c r="K621" s="10">
        <f>Table1[[#This Row],[extended quantity]]*(Table1[[#This Row],[Cost ]]+Table1[[#This Row],[shipping]]+Table1[[#This Row],[Tax]])</f>
        <v>0</v>
      </c>
      <c r="L621" s="83" t="str">
        <f>IF(Table1[[#This Row],[Buy-now costs]]&gt;0,"X","")</f>
        <v/>
      </c>
      <c r="M621" s="83"/>
      <c r="N621" s="83"/>
      <c r="O621" s="40">
        <v>0</v>
      </c>
      <c r="P621" s="97">
        <f>Table1[[#This Row],[quantity on-hand]]*(Table1[[#This Row],[Cost ]]+Table1[[#This Row],[shipping]]+Table1[[#This Row],[Tax]])</f>
        <v>0</v>
      </c>
      <c r="Q621" s="40">
        <v>0</v>
      </c>
      <c r="R621" s="95">
        <f>Table1[[#This Row],[Quantity on order]]*(Table1[[#This Row],[Cost ]]+Table1[[#This Row],[shipping]]+Table1[[#This Row],[Tax]])</f>
        <v>0</v>
      </c>
      <c r="S6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1" s="49">
        <f>Table1[[#This Row],[Quantity  to  purchase]]+Table1[[#This Row],[Quantity purchased]]+Table1[[#This Row],[Quantity on order]]+Table1[[#This Row],[Quantity donated]]-Table1[[#This Row],[extended quantity]]</f>
        <v>0</v>
      </c>
      <c r="U6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1" s="51">
        <f>IFERROR(Table1[[#This Row],[Quantity  to  purchase]]*(Table1[[#This Row],[Cost ]]+Table1[[#This Row],[shipping]]+Table1[[#This Row],[Tax]]),0)</f>
        <v>0</v>
      </c>
      <c r="W621" s="36">
        <f>IFERROR(Table1[[#This Row],[leftover material]]*(Table1[[#This Row],[Cost ]]+Table1[[#This Row],[shipping]]+Table1[[#This Row],[Tax]]),0)</f>
        <v>0</v>
      </c>
      <c r="X621" s="36"/>
      <c r="Y621" s="87"/>
      <c r="Z621" s="87"/>
      <c r="AA621" s="87"/>
      <c r="AB621" s="36"/>
      <c r="AC621" s="36">
        <f>IF(ISNA(VLOOKUP(Table1[[#This Row],[Part Number]],'Multi-level BOM'!V$4:V$449,1,FALSE)),0,Table1[[#This Row],[Remaining Extended cost]])</f>
        <v>0</v>
      </c>
    </row>
    <row r="622" spans="1:29" x14ac:dyDescent="0.25">
      <c r="A622" s="1" t="s">
        <v>625</v>
      </c>
      <c r="B622" s="4"/>
      <c r="F622" s="3">
        <f>9%*Table1[[#This Row],[Cost ]]</f>
        <v>0</v>
      </c>
      <c r="J622" s="49">
        <f>SUMIF('Multi-level BOM'!D$4:D$467,Table1[[#This Row],[Part Number]],'Multi-level BOM'!H$4:H$467)</f>
        <v>0</v>
      </c>
      <c r="K622" s="10">
        <f>Table1[[#This Row],[extended quantity]]*(Table1[[#This Row],[Cost ]]+Table1[[#This Row],[shipping]]+Table1[[#This Row],[Tax]])</f>
        <v>0</v>
      </c>
      <c r="L622" s="83" t="str">
        <f>IF(Table1[[#This Row],[Buy-now costs]]&gt;0,"X","")</f>
        <v/>
      </c>
      <c r="M622" s="83"/>
      <c r="N622" s="83"/>
      <c r="O622" s="40">
        <v>0</v>
      </c>
      <c r="P622" s="97">
        <f>Table1[[#This Row],[quantity on-hand]]*(Table1[[#This Row],[Cost ]]+Table1[[#This Row],[shipping]]+Table1[[#This Row],[Tax]])</f>
        <v>0</v>
      </c>
      <c r="Q622" s="40">
        <v>0</v>
      </c>
      <c r="R622" s="95">
        <f>Table1[[#This Row],[Quantity on order]]*(Table1[[#This Row],[Cost ]]+Table1[[#This Row],[shipping]]+Table1[[#This Row],[Tax]])</f>
        <v>0</v>
      </c>
      <c r="S6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2" s="49">
        <f>Table1[[#This Row],[Quantity  to  purchase]]+Table1[[#This Row],[Quantity purchased]]+Table1[[#This Row],[Quantity on order]]+Table1[[#This Row],[Quantity donated]]-Table1[[#This Row],[extended quantity]]</f>
        <v>0</v>
      </c>
      <c r="U6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2" s="51">
        <f>IFERROR(Table1[[#This Row],[Quantity  to  purchase]]*(Table1[[#This Row],[Cost ]]+Table1[[#This Row],[shipping]]+Table1[[#This Row],[Tax]]),0)</f>
        <v>0</v>
      </c>
      <c r="W622" s="36">
        <f>IFERROR(Table1[[#This Row],[leftover material]]*(Table1[[#This Row],[Cost ]]+Table1[[#This Row],[shipping]]+Table1[[#This Row],[Tax]]),0)</f>
        <v>0</v>
      </c>
      <c r="X622" s="36"/>
      <c r="Y622" s="87"/>
      <c r="Z622" s="87"/>
      <c r="AA622" s="87"/>
      <c r="AB622" s="36"/>
      <c r="AC622" s="36">
        <f>IF(ISNA(VLOOKUP(Table1[[#This Row],[Part Number]],'Multi-level BOM'!V$4:V$449,1,FALSE)),0,Table1[[#This Row],[Remaining Extended cost]])</f>
        <v>0</v>
      </c>
    </row>
    <row r="623" spans="1:29" x14ac:dyDescent="0.25">
      <c r="A623" s="1" t="s">
        <v>626</v>
      </c>
      <c r="B623" s="4"/>
      <c r="F623" s="3">
        <f>9%*Table1[[#This Row],[Cost ]]</f>
        <v>0</v>
      </c>
      <c r="J623" s="49">
        <f>SUMIF('Multi-level BOM'!D$4:D$467,Table1[[#This Row],[Part Number]],'Multi-level BOM'!H$4:H$467)</f>
        <v>0</v>
      </c>
      <c r="K623" s="10">
        <f>Table1[[#This Row],[extended quantity]]*(Table1[[#This Row],[Cost ]]+Table1[[#This Row],[shipping]]+Table1[[#This Row],[Tax]])</f>
        <v>0</v>
      </c>
      <c r="L623" s="83" t="str">
        <f>IF(Table1[[#This Row],[Buy-now costs]]&gt;0,"X","")</f>
        <v/>
      </c>
      <c r="M623" s="83"/>
      <c r="N623" s="83"/>
      <c r="O623" s="40">
        <v>0</v>
      </c>
      <c r="P623" s="97">
        <f>Table1[[#This Row],[quantity on-hand]]*(Table1[[#This Row],[Cost ]]+Table1[[#This Row],[shipping]]+Table1[[#This Row],[Tax]])</f>
        <v>0</v>
      </c>
      <c r="Q623" s="40">
        <v>0</v>
      </c>
      <c r="R623" s="95">
        <f>Table1[[#This Row],[Quantity on order]]*(Table1[[#This Row],[Cost ]]+Table1[[#This Row],[shipping]]+Table1[[#This Row],[Tax]])</f>
        <v>0</v>
      </c>
      <c r="S6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3" s="49">
        <f>Table1[[#This Row],[Quantity  to  purchase]]+Table1[[#This Row],[Quantity purchased]]+Table1[[#This Row],[Quantity on order]]+Table1[[#This Row],[Quantity donated]]-Table1[[#This Row],[extended quantity]]</f>
        <v>0</v>
      </c>
      <c r="U6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3" s="51">
        <f>IFERROR(Table1[[#This Row],[Quantity  to  purchase]]*(Table1[[#This Row],[Cost ]]+Table1[[#This Row],[shipping]]+Table1[[#This Row],[Tax]]),0)</f>
        <v>0</v>
      </c>
      <c r="W623" s="36">
        <f>IFERROR(Table1[[#This Row],[leftover material]]*(Table1[[#This Row],[Cost ]]+Table1[[#This Row],[shipping]]+Table1[[#This Row],[Tax]]),0)</f>
        <v>0</v>
      </c>
      <c r="X623" s="36"/>
      <c r="Y623" s="87"/>
      <c r="Z623" s="87"/>
      <c r="AA623" s="87"/>
      <c r="AB623" s="36"/>
      <c r="AC623" s="36">
        <f>IF(ISNA(VLOOKUP(Table1[[#This Row],[Part Number]],'Multi-level BOM'!V$4:V$449,1,FALSE)),0,Table1[[#This Row],[Remaining Extended cost]])</f>
        <v>0</v>
      </c>
    </row>
    <row r="624" spans="1:29" x14ac:dyDescent="0.25">
      <c r="A624" s="1" t="s">
        <v>627</v>
      </c>
      <c r="B624" s="4"/>
      <c r="F624" s="3">
        <f>9%*Table1[[#This Row],[Cost ]]</f>
        <v>0</v>
      </c>
      <c r="J624" s="49">
        <f>SUMIF('Multi-level BOM'!D$4:D$467,Table1[[#This Row],[Part Number]],'Multi-level BOM'!H$4:H$467)</f>
        <v>0</v>
      </c>
      <c r="K624" s="10">
        <f>Table1[[#This Row],[extended quantity]]*(Table1[[#This Row],[Cost ]]+Table1[[#This Row],[shipping]]+Table1[[#This Row],[Tax]])</f>
        <v>0</v>
      </c>
      <c r="L624" s="83" t="str">
        <f>IF(Table1[[#This Row],[Buy-now costs]]&gt;0,"X","")</f>
        <v/>
      </c>
      <c r="M624" s="83"/>
      <c r="N624" s="83"/>
      <c r="O624" s="40">
        <v>0</v>
      </c>
      <c r="P624" s="97">
        <f>Table1[[#This Row],[quantity on-hand]]*(Table1[[#This Row],[Cost ]]+Table1[[#This Row],[shipping]]+Table1[[#This Row],[Tax]])</f>
        <v>0</v>
      </c>
      <c r="Q624" s="40">
        <v>0</v>
      </c>
      <c r="R624" s="95">
        <f>Table1[[#This Row],[Quantity on order]]*(Table1[[#This Row],[Cost ]]+Table1[[#This Row],[shipping]]+Table1[[#This Row],[Tax]])</f>
        <v>0</v>
      </c>
      <c r="S6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4" s="49">
        <f>Table1[[#This Row],[Quantity  to  purchase]]+Table1[[#This Row],[Quantity purchased]]+Table1[[#This Row],[Quantity on order]]+Table1[[#This Row],[Quantity donated]]-Table1[[#This Row],[extended quantity]]</f>
        <v>0</v>
      </c>
      <c r="U6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4" s="51">
        <f>IFERROR(Table1[[#This Row],[Quantity  to  purchase]]*(Table1[[#This Row],[Cost ]]+Table1[[#This Row],[shipping]]+Table1[[#This Row],[Tax]]),0)</f>
        <v>0</v>
      </c>
      <c r="W624" s="36">
        <f>IFERROR(Table1[[#This Row],[leftover material]]*(Table1[[#This Row],[Cost ]]+Table1[[#This Row],[shipping]]+Table1[[#This Row],[Tax]]),0)</f>
        <v>0</v>
      </c>
      <c r="X624" s="36"/>
      <c r="Y624" s="87"/>
      <c r="Z624" s="87"/>
      <c r="AA624" s="87"/>
      <c r="AB624" s="36"/>
      <c r="AC624" s="36">
        <f>IF(ISNA(VLOOKUP(Table1[[#This Row],[Part Number]],'Multi-level BOM'!V$4:V$449,1,FALSE)),0,Table1[[#This Row],[Remaining Extended cost]])</f>
        <v>0</v>
      </c>
    </row>
    <row r="625" spans="1:29" x14ac:dyDescent="0.25">
      <c r="A625" s="1" t="s">
        <v>628</v>
      </c>
      <c r="B625" s="4"/>
      <c r="F625" s="3">
        <f>9%*Table1[[#This Row],[Cost ]]</f>
        <v>0</v>
      </c>
      <c r="J625" s="49">
        <f>SUMIF('Multi-level BOM'!D$4:D$467,Table1[[#This Row],[Part Number]],'Multi-level BOM'!H$4:H$467)</f>
        <v>0</v>
      </c>
      <c r="K625" s="10">
        <f>Table1[[#This Row],[extended quantity]]*(Table1[[#This Row],[Cost ]]+Table1[[#This Row],[shipping]]+Table1[[#This Row],[Tax]])</f>
        <v>0</v>
      </c>
      <c r="L625" s="83" t="str">
        <f>IF(Table1[[#This Row],[Buy-now costs]]&gt;0,"X","")</f>
        <v/>
      </c>
      <c r="M625" s="83"/>
      <c r="N625" s="83"/>
      <c r="O625" s="40">
        <v>0</v>
      </c>
      <c r="P625" s="97">
        <f>Table1[[#This Row],[quantity on-hand]]*(Table1[[#This Row],[Cost ]]+Table1[[#This Row],[shipping]]+Table1[[#This Row],[Tax]])</f>
        <v>0</v>
      </c>
      <c r="Q625" s="40">
        <v>0</v>
      </c>
      <c r="R625" s="95">
        <f>Table1[[#This Row],[Quantity on order]]*(Table1[[#This Row],[Cost ]]+Table1[[#This Row],[shipping]]+Table1[[#This Row],[Tax]])</f>
        <v>0</v>
      </c>
      <c r="S6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5" s="49">
        <f>Table1[[#This Row],[Quantity  to  purchase]]+Table1[[#This Row],[Quantity purchased]]+Table1[[#This Row],[Quantity on order]]+Table1[[#This Row],[Quantity donated]]-Table1[[#This Row],[extended quantity]]</f>
        <v>0</v>
      </c>
      <c r="U6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5" s="51">
        <f>IFERROR(Table1[[#This Row],[Quantity  to  purchase]]*(Table1[[#This Row],[Cost ]]+Table1[[#This Row],[shipping]]+Table1[[#This Row],[Tax]]),0)</f>
        <v>0</v>
      </c>
      <c r="W625" s="36">
        <f>IFERROR(Table1[[#This Row],[leftover material]]*(Table1[[#This Row],[Cost ]]+Table1[[#This Row],[shipping]]+Table1[[#This Row],[Tax]]),0)</f>
        <v>0</v>
      </c>
      <c r="X625" s="36"/>
      <c r="Y625" s="87"/>
      <c r="Z625" s="87"/>
      <c r="AA625" s="87"/>
      <c r="AB625" s="36"/>
      <c r="AC625" s="36">
        <f>IF(ISNA(VLOOKUP(Table1[[#This Row],[Part Number]],'Multi-level BOM'!V$4:V$449,1,FALSE)),0,Table1[[#This Row],[Remaining Extended cost]])</f>
        <v>0</v>
      </c>
    </row>
    <row r="626" spans="1:29" x14ac:dyDescent="0.25">
      <c r="A626" s="1" t="s">
        <v>629</v>
      </c>
      <c r="B626" s="4"/>
      <c r="F626" s="3">
        <f>9%*Table1[[#This Row],[Cost ]]</f>
        <v>0</v>
      </c>
      <c r="J626" s="49">
        <f>SUMIF('Multi-level BOM'!D$4:D$467,Table1[[#This Row],[Part Number]],'Multi-level BOM'!H$4:H$467)</f>
        <v>0</v>
      </c>
      <c r="K626" s="10">
        <f>Table1[[#This Row],[extended quantity]]*(Table1[[#This Row],[Cost ]]+Table1[[#This Row],[shipping]]+Table1[[#This Row],[Tax]])</f>
        <v>0</v>
      </c>
      <c r="L626" s="83" t="str">
        <f>IF(Table1[[#This Row],[Buy-now costs]]&gt;0,"X","")</f>
        <v/>
      </c>
      <c r="M626" s="83"/>
      <c r="N626" s="83"/>
      <c r="O626" s="40">
        <v>0</v>
      </c>
      <c r="P626" s="97">
        <f>Table1[[#This Row],[quantity on-hand]]*(Table1[[#This Row],[Cost ]]+Table1[[#This Row],[shipping]]+Table1[[#This Row],[Tax]])</f>
        <v>0</v>
      </c>
      <c r="Q626" s="40">
        <v>0</v>
      </c>
      <c r="R626" s="95">
        <f>Table1[[#This Row],[Quantity on order]]*(Table1[[#This Row],[Cost ]]+Table1[[#This Row],[shipping]]+Table1[[#This Row],[Tax]])</f>
        <v>0</v>
      </c>
      <c r="S6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6" s="49">
        <f>Table1[[#This Row],[Quantity  to  purchase]]+Table1[[#This Row],[Quantity purchased]]+Table1[[#This Row],[Quantity on order]]+Table1[[#This Row],[Quantity donated]]-Table1[[#This Row],[extended quantity]]</f>
        <v>0</v>
      </c>
      <c r="U6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6" s="51">
        <f>IFERROR(Table1[[#This Row],[Quantity  to  purchase]]*(Table1[[#This Row],[Cost ]]+Table1[[#This Row],[shipping]]+Table1[[#This Row],[Tax]]),0)</f>
        <v>0</v>
      </c>
      <c r="W626" s="36">
        <f>IFERROR(Table1[[#This Row],[leftover material]]*(Table1[[#This Row],[Cost ]]+Table1[[#This Row],[shipping]]+Table1[[#This Row],[Tax]]),0)</f>
        <v>0</v>
      </c>
      <c r="X626" s="36"/>
      <c r="Y626" s="87"/>
      <c r="Z626" s="87"/>
      <c r="AA626" s="87"/>
      <c r="AB626" s="36"/>
      <c r="AC626" s="36">
        <f>IF(ISNA(VLOOKUP(Table1[[#This Row],[Part Number]],'Multi-level BOM'!V$4:V$449,1,FALSE)),0,Table1[[#This Row],[Remaining Extended cost]])</f>
        <v>0</v>
      </c>
    </row>
    <row r="627" spans="1:29" x14ac:dyDescent="0.25">
      <c r="A627" s="1" t="s">
        <v>630</v>
      </c>
      <c r="B627" s="4"/>
      <c r="F627" s="3">
        <f>9%*Table1[[#This Row],[Cost ]]</f>
        <v>0</v>
      </c>
      <c r="J627" s="49">
        <f>SUMIF('Multi-level BOM'!D$4:D$467,Table1[[#This Row],[Part Number]],'Multi-level BOM'!H$4:H$467)</f>
        <v>0</v>
      </c>
      <c r="K627" s="10">
        <f>Table1[[#This Row],[extended quantity]]*(Table1[[#This Row],[Cost ]]+Table1[[#This Row],[shipping]]+Table1[[#This Row],[Tax]])</f>
        <v>0</v>
      </c>
      <c r="L627" s="83" t="str">
        <f>IF(Table1[[#This Row],[Buy-now costs]]&gt;0,"X","")</f>
        <v/>
      </c>
      <c r="M627" s="83"/>
      <c r="N627" s="83"/>
      <c r="O627" s="40">
        <v>0</v>
      </c>
      <c r="P627" s="97">
        <f>Table1[[#This Row],[quantity on-hand]]*(Table1[[#This Row],[Cost ]]+Table1[[#This Row],[shipping]]+Table1[[#This Row],[Tax]])</f>
        <v>0</v>
      </c>
      <c r="Q627" s="40">
        <v>0</v>
      </c>
      <c r="R627" s="95">
        <f>Table1[[#This Row],[Quantity on order]]*(Table1[[#This Row],[Cost ]]+Table1[[#This Row],[shipping]]+Table1[[#This Row],[Tax]])</f>
        <v>0</v>
      </c>
      <c r="S6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7" s="49">
        <f>Table1[[#This Row],[Quantity  to  purchase]]+Table1[[#This Row],[Quantity purchased]]+Table1[[#This Row],[Quantity on order]]+Table1[[#This Row],[Quantity donated]]-Table1[[#This Row],[extended quantity]]</f>
        <v>0</v>
      </c>
      <c r="U6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7" s="51">
        <f>IFERROR(Table1[[#This Row],[Quantity  to  purchase]]*(Table1[[#This Row],[Cost ]]+Table1[[#This Row],[shipping]]+Table1[[#This Row],[Tax]]),0)</f>
        <v>0</v>
      </c>
      <c r="W627" s="36">
        <f>IFERROR(Table1[[#This Row],[leftover material]]*(Table1[[#This Row],[Cost ]]+Table1[[#This Row],[shipping]]+Table1[[#This Row],[Tax]]),0)</f>
        <v>0</v>
      </c>
      <c r="X627" s="36"/>
      <c r="Y627" s="87"/>
      <c r="Z627" s="87"/>
      <c r="AA627" s="87"/>
      <c r="AB627" s="36"/>
      <c r="AC627" s="36">
        <f>IF(ISNA(VLOOKUP(Table1[[#This Row],[Part Number]],'Multi-level BOM'!V$4:V$449,1,FALSE)),0,Table1[[#This Row],[Remaining Extended cost]])</f>
        <v>0</v>
      </c>
    </row>
    <row r="628" spans="1:29" x14ac:dyDescent="0.25">
      <c r="A628" s="1" t="s">
        <v>631</v>
      </c>
      <c r="B628" s="4"/>
      <c r="F628" s="3">
        <f>9%*Table1[[#This Row],[Cost ]]</f>
        <v>0</v>
      </c>
      <c r="J628" s="49">
        <f>SUMIF('Multi-level BOM'!D$4:D$467,Table1[[#This Row],[Part Number]],'Multi-level BOM'!H$4:H$467)</f>
        <v>0</v>
      </c>
      <c r="K628" s="10">
        <f>Table1[[#This Row],[extended quantity]]*(Table1[[#This Row],[Cost ]]+Table1[[#This Row],[shipping]]+Table1[[#This Row],[Tax]])</f>
        <v>0</v>
      </c>
      <c r="L628" s="83" t="str">
        <f>IF(Table1[[#This Row],[Buy-now costs]]&gt;0,"X","")</f>
        <v/>
      </c>
      <c r="M628" s="83"/>
      <c r="N628" s="83"/>
      <c r="O628" s="40">
        <v>0</v>
      </c>
      <c r="P628" s="97">
        <f>Table1[[#This Row],[quantity on-hand]]*(Table1[[#This Row],[Cost ]]+Table1[[#This Row],[shipping]]+Table1[[#This Row],[Tax]])</f>
        <v>0</v>
      </c>
      <c r="Q628" s="40">
        <v>0</v>
      </c>
      <c r="R628" s="95">
        <f>Table1[[#This Row],[Quantity on order]]*(Table1[[#This Row],[Cost ]]+Table1[[#This Row],[shipping]]+Table1[[#This Row],[Tax]])</f>
        <v>0</v>
      </c>
      <c r="S6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8" s="49">
        <f>Table1[[#This Row],[Quantity  to  purchase]]+Table1[[#This Row],[Quantity purchased]]+Table1[[#This Row],[Quantity on order]]+Table1[[#This Row],[Quantity donated]]-Table1[[#This Row],[extended quantity]]</f>
        <v>0</v>
      </c>
      <c r="U6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8" s="51">
        <f>IFERROR(Table1[[#This Row],[Quantity  to  purchase]]*(Table1[[#This Row],[Cost ]]+Table1[[#This Row],[shipping]]+Table1[[#This Row],[Tax]]),0)</f>
        <v>0</v>
      </c>
      <c r="W628" s="36">
        <f>IFERROR(Table1[[#This Row],[leftover material]]*(Table1[[#This Row],[Cost ]]+Table1[[#This Row],[shipping]]+Table1[[#This Row],[Tax]]),0)</f>
        <v>0</v>
      </c>
      <c r="X628" s="36"/>
      <c r="Y628" s="87"/>
      <c r="Z628" s="87"/>
      <c r="AA628" s="87"/>
      <c r="AB628" s="36"/>
      <c r="AC628" s="36">
        <f>IF(ISNA(VLOOKUP(Table1[[#This Row],[Part Number]],'Multi-level BOM'!V$4:V$449,1,FALSE)),0,Table1[[#This Row],[Remaining Extended cost]])</f>
        <v>0</v>
      </c>
    </row>
    <row r="629" spans="1:29" x14ac:dyDescent="0.25">
      <c r="A629" s="1" t="s">
        <v>632</v>
      </c>
      <c r="B629" s="4"/>
      <c r="F629" s="3">
        <f>9%*Table1[[#This Row],[Cost ]]</f>
        <v>0</v>
      </c>
      <c r="J629" s="49">
        <f>SUMIF('Multi-level BOM'!D$4:D$467,Table1[[#This Row],[Part Number]],'Multi-level BOM'!H$4:H$467)</f>
        <v>0</v>
      </c>
      <c r="K629" s="10">
        <f>Table1[[#This Row],[extended quantity]]*(Table1[[#This Row],[Cost ]]+Table1[[#This Row],[shipping]]+Table1[[#This Row],[Tax]])</f>
        <v>0</v>
      </c>
      <c r="L629" s="83" t="str">
        <f>IF(Table1[[#This Row],[Buy-now costs]]&gt;0,"X","")</f>
        <v/>
      </c>
      <c r="M629" s="83"/>
      <c r="N629" s="83"/>
      <c r="O629" s="40">
        <v>0</v>
      </c>
      <c r="P629" s="97">
        <f>Table1[[#This Row],[quantity on-hand]]*(Table1[[#This Row],[Cost ]]+Table1[[#This Row],[shipping]]+Table1[[#This Row],[Tax]])</f>
        <v>0</v>
      </c>
      <c r="Q629" s="40">
        <v>0</v>
      </c>
      <c r="R629" s="95">
        <f>Table1[[#This Row],[Quantity on order]]*(Table1[[#This Row],[Cost ]]+Table1[[#This Row],[shipping]]+Table1[[#This Row],[Tax]])</f>
        <v>0</v>
      </c>
      <c r="S6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9" s="49">
        <f>Table1[[#This Row],[Quantity  to  purchase]]+Table1[[#This Row],[Quantity purchased]]+Table1[[#This Row],[Quantity on order]]+Table1[[#This Row],[Quantity donated]]-Table1[[#This Row],[extended quantity]]</f>
        <v>0</v>
      </c>
      <c r="U6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9" s="51">
        <f>IFERROR(Table1[[#This Row],[Quantity  to  purchase]]*(Table1[[#This Row],[Cost ]]+Table1[[#This Row],[shipping]]+Table1[[#This Row],[Tax]]),0)</f>
        <v>0</v>
      </c>
      <c r="W629" s="36">
        <f>IFERROR(Table1[[#This Row],[leftover material]]*(Table1[[#This Row],[Cost ]]+Table1[[#This Row],[shipping]]+Table1[[#This Row],[Tax]]),0)</f>
        <v>0</v>
      </c>
      <c r="X629" s="36"/>
      <c r="Y629" s="87"/>
      <c r="Z629" s="87"/>
      <c r="AA629" s="87"/>
      <c r="AB629" s="36"/>
      <c r="AC629" s="36">
        <f>IF(ISNA(VLOOKUP(Table1[[#This Row],[Part Number]],'Multi-level BOM'!V$4:V$449,1,FALSE)),0,Table1[[#This Row],[Remaining Extended cost]])</f>
        <v>0</v>
      </c>
    </row>
    <row r="630" spans="1:29" x14ac:dyDescent="0.25">
      <c r="A630" s="1" t="s">
        <v>633</v>
      </c>
      <c r="B630" s="4"/>
      <c r="F630" s="3">
        <f>9%*Table1[[#This Row],[Cost ]]</f>
        <v>0</v>
      </c>
      <c r="J630" s="49">
        <f>SUMIF('Multi-level BOM'!D$4:D$467,Table1[[#This Row],[Part Number]],'Multi-level BOM'!H$4:H$467)</f>
        <v>0</v>
      </c>
      <c r="K630" s="10">
        <f>Table1[[#This Row],[extended quantity]]*(Table1[[#This Row],[Cost ]]+Table1[[#This Row],[shipping]]+Table1[[#This Row],[Tax]])</f>
        <v>0</v>
      </c>
      <c r="L630" s="83" t="str">
        <f>IF(Table1[[#This Row],[Buy-now costs]]&gt;0,"X","")</f>
        <v/>
      </c>
      <c r="M630" s="83"/>
      <c r="N630" s="83"/>
      <c r="O630" s="40">
        <v>0</v>
      </c>
      <c r="P630" s="97">
        <f>Table1[[#This Row],[quantity on-hand]]*(Table1[[#This Row],[Cost ]]+Table1[[#This Row],[shipping]]+Table1[[#This Row],[Tax]])</f>
        <v>0</v>
      </c>
      <c r="Q630" s="40">
        <v>0</v>
      </c>
      <c r="R630" s="95">
        <f>Table1[[#This Row],[Quantity on order]]*(Table1[[#This Row],[Cost ]]+Table1[[#This Row],[shipping]]+Table1[[#This Row],[Tax]])</f>
        <v>0</v>
      </c>
      <c r="S6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0" s="49">
        <f>Table1[[#This Row],[Quantity  to  purchase]]+Table1[[#This Row],[Quantity purchased]]+Table1[[#This Row],[Quantity on order]]+Table1[[#This Row],[Quantity donated]]-Table1[[#This Row],[extended quantity]]</f>
        <v>0</v>
      </c>
      <c r="U6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0" s="51">
        <f>IFERROR(Table1[[#This Row],[Quantity  to  purchase]]*(Table1[[#This Row],[Cost ]]+Table1[[#This Row],[shipping]]+Table1[[#This Row],[Tax]]),0)</f>
        <v>0</v>
      </c>
      <c r="W630" s="36">
        <f>IFERROR(Table1[[#This Row],[leftover material]]*(Table1[[#This Row],[Cost ]]+Table1[[#This Row],[shipping]]+Table1[[#This Row],[Tax]]),0)</f>
        <v>0</v>
      </c>
      <c r="X630" s="36"/>
      <c r="Y630" s="87"/>
      <c r="Z630" s="87"/>
      <c r="AA630" s="87"/>
      <c r="AB630" s="36"/>
      <c r="AC630" s="36">
        <f>IF(ISNA(VLOOKUP(Table1[[#This Row],[Part Number]],'Multi-level BOM'!V$4:V$449,1,FALSE)),0,Table1[[#This Row],[Remaining Extended cost]])</f>
        <v>0</v>
      </c>
    </row>
    <row r="631" spans="1:29" x14ac:dyDescent="0.25">
      <c r="A631" s="1" t="s">
        <v>634</v>
      </c>
      <c r="B631" s="4"/>
      <c r="F631" s="3">
        <f>9%*Table1[[#This Row],[Cost ]]</f>
        <v>0</v>
      </c>
      <c r="J631" s="49">
        <f>SUMIF('Multi-level BOM'!D$4:D$467,Table1[[#This Row],[Part Number]],'Multi-level BOM'!H$4:H$467)</f>
        <v>0</v>
      </c>
      <c r="K631" s="10">
        <f>Table1[[#This Row],[extended quantity]]*(Table1[[#This Row],[Cost ]]+Table1[[#This Row],[shipping]]+Table1[[#This Row],[Tax]])</f>
        <v>0</v>
      </c>
      <c r="L631" s="83" t="str">
        <f>IF(Table1[[#This Row],[Buy-now costs]]&gt;0,"X","")</f>
        <v/>
      </c>
      <c r="M631" s="83"/>
      <c r="N631" s="83"/>
      <c r="O631" s="40">
        <v>0</v>
      </c>
      <c r="P631" s="97">
        <f>Table1[[#This Row],[quantity on-hand]]*(Table1[[#This Row],[Cost ]]+Table1[[#This Row],[shipping]]+Table1[[#This Row],[Tax]])</f>
        <v>0</v>
      </c>
      <c r="Q631" s="40">
        <v>0</v>
      </c>
      <c r="R631" s="95">
        <f>Table1[[#This Row],[Quantity on order]]*(Table1[[#This Row],[Cost ]]+Table1[[#This Row],[shipping]]+Table1[[#This Row],[Tax]])</f>
        <v>0</v>
      </c>
      <c r="S6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1" s="49">
        <f>Table1[[#This Row],[Quantity  to  purchase]]+Table1[[#This Row],[Quantity purchased]]+Table1[[#This Row],[Quantity on order]]+Table1[[#This Row],[Quantity donated]]-Table1[[#This Row],[extended quantity]]</f>
        <v>0</v>
      </c>
      <c r="U6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1" s="51">
        <f>IFERROR(Table1[[#This Row],[Quantity  to  purchase]]*(Table1[[#This Row],[Cost ]]+Table1[[#This Row],[shipping]]+Table1[[#This Row],[Tax]]),0)</f>
        <v>0</v>
      </c>
      <c r="W631" s="36">
        <f>IFERROR(Table1[[#This Row],[leftover material]]*(Table1[[#This Row],[Cost ]]+Table1[[#This Row],[shipping]]+Table1[[#This Row],[Tax]]),0)</f>
        <v>0</v>
      </c>
      <c r="X631" s="36"/>
      <c r="Y631" s="87"/>
      <c r="Z631" s="87"/>
      <c r="AA631" s="87"/>
      <c r="AB631" s="36"/>
      <c r="AC631" s="36">
        <f>IF(ISNA(VLOOKUP(Table1[[#This Row],[Part Number]],'Multi-level BOM'!V$4:V$449,1,FALSE)),0,Table1[[#This Row],[Remaining Extended cost]])</f>
        <v>0</v>
      </c>
    </row>
    <row r="632" spans="1:29" x14ac:dyDescent="0.25">
      <c r="A632" s="1" t="s">
        <v>635</v>
      </c>
      <c r="B632" s="4"/>
      <c r="F632" s="3">
        <f>9%*Table1[[#This Row],[Cost ]]</f>
        <v>0</v>
      </c>
      <c r="J632" s="49">
        <f>SUMIF('Multi-level BOM'!D$4:D$467,Table1[[#This Row],[Part Number]],'Multi-level BOM'!H$4:H$467)</f>
        <v>0</v>
      </c>
      <c r="K632" s="10">
        <f>Table1[[#This Row],[extended quantity]]*(Table1[[#This Row],[Cost ]]+Table1[[#This Row],[shipping]]+Table1[[#This Row],[Tax]])</f>
        <v>0</v>
      </c>
      <c r="L632" s="83" t="str">
        <f>IF(Table1[[#This Row],[Buy-now costs]]&gt;0,"X","")</f>
        <v/>
      </c>
      <c r="M632" s="83"/>
      <c r="N632" s="83"/>
      <c r="O632" s="40">
        <v>0</v>
      </c>
      <c r="P632" s="97">
        <f>Table1[[#This Row],[quantity on-hand]]*(Table1[[#This Row],[Cost ]]+Table1[[#This Row],[shipping]]+Table1[[#This Row],[Tax]])</f>
        <v>0</v>
      </c>
      <c r="Q632" s="40">
        <v>0</v>
      </c>
      <c r="R632" s="95">
        <f>Table1[[#This Row],[Quantity on order]]*(Table1[[#This Row],[Cost ]]+Table1[[#This Row],[shipping]]+Table1[[#This Row],[Tax]])</f>
        <v>0</v>
      </c>
      <c r="S6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2" s="49">
        <f>Table1[[#This Row],[Quantity  to  purchase]]+Table1[[#This Row],[Quantity purchased]]+Table1[[#This Row],[Quantity on order]]+Table1[[#This Row],[Quantity donated]]-Table1[[#This Row],[extended quantity]]</f>
        <v>0</v>
      </c>
      <c r="U6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2" s="51">
        <f>IFERROR(Table1[[#This Row],[Quantity  to  purchase]]*(Table1[[#This Row],[Cost ]]+Table1[[#This Row],[shipping]]+Table1[[#This Row],[Tax]]),0)</f>
        <v>0</v>
      </c>
      <c r="W632" s="36">
        <f>IFERROR(Table1[[#This Row],[leftover material]]*(Table1[[#This Row],[Cost ]]+Table1[[#This Row],[shipping]]+Table1[[#This Row],[Tax]]),0)</f>
        <v>0</v>
      </c>
      <c r="X632" s="36"/>
      <c r="Y632" s="87"/>
      <c r="Z632" s="87"/>
      <c r="AA632" s="87"/>
      <c r="AB632" s="36"/>
      <c r="AC632" s="36">
        <f>IF(ISNA(VLOOKUP(Table1[[#This Row],[Part Number]],'Multi-level BOM'!V$4:V$449,1,FALSE)),0,Table1[[#This Row],[Remaining Extended cost]])</f>
        <v>0</v>
      </c>
    </row>
    <row r="633" spans="1:29" x14ac:dyDescent="0.25">
      <c r="A633" s="1" t="s">
        <v>636</v>
      </c>
      <c r="B633" s="4"/>
      <c r="F633" s="3">
        <f>9%*Table1[[#This Row],[Cost ]]</f>
        <v>0</v>
      </c>
      <c r="J633" s="49">
        <f>SUMIF('Multi-level BOM'!D$4:D$467,Table1[[#This Row],[Part Number]],'Multi-level BOM'!H$4:H$467)</f>
        <v>0</v>
      </c>
      <c r="K633" s="10">
        <f>Table1[[#This Row],[extended quantity]]*(Table1[[#This Row],[Cost ]]+Table1[[#This Row],[shipping]]+Table1[[#This Row],[Tax]])</f>
        <v>0</v>
      </c>
      <c r="L633" s="83" t="str">
        <f>IF(Table1[[#This Row],[Buy-now costs]]&gt;0,"X","")</f>
        <v/>
      </c>
      <c r="M633" s="83"/>
      <c r="N633" s="83"/>
      <c r="O633" s="40">
        <v>0</v>
      </c>
      <c r="P633" s="97">
        <f>Table1[[#This Row],[quantity on-hand]]*(Table1[[#This Row],[Cost ]]+Table1[[#This Row],[shipping]]+Table1[[#This Row],[Tax]])</f>
        <v>0</v>
      </c>
      <c r="Q633" s="40">
        <v>0</v>
      </c>
      <c r="R633" s="95">
        <f>Table1[[#This Row],[Quantity on order]]*(Table1[[#This Row],[Cost ]]+Table1[[#This Row],[shipping]]+Table1[[#This Row],[Tax]])</f>
        <v>0</v>
      </c>
      <c r="S6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3" s="49">
        <f>Table1[[#This Row],[Quantity  to  purchase]]+Table1[[#This Row],[Quantity purchased]]+Table1[[#This Row],[Quantity on order]]+Table1[[#This Row],[Quantity donated]]-Table1[[#This Row],[extended quantity]]</f>
        <v>0</v>
      </c>
      <c r="U6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3" s="51">
        <f>IFERROR(Table1[[#This Row],[Quantity  to  purchase]]*(Table1[[#This Row],[Cost ]]+Table1[[#This Row],[shipping]]+Table1[[#This Row],[Tax]]),0)</f>
        <v>0</v>
      </c>
      <c r="W633" s="36">
        <f>IFERROR(Table1[[#This Row],[leftover material]]*(Table1[[#This Row],[Cost ]]+Table1[[#This Row],[shipping]]+Table1[[#This Row],[Tax]]),0)</f>
        <v>0</v>
      </c>
      <c r="X633" s="36"/>
      <c r="Y633" s="87"/>
      <c r="Z633" s="87"/>
      <c r="AA633" s="87"/>
      <c r="AB633" s="36"/>
      <c r="AC633" s="36">
        <f>IF(ISNA(VLOOKUP(Table1[[#This Row],[Part Number]],'Multi-level BOM'!V$4:V$449,1,FALSE)),0,Table1[[#This Row],[Remaining Extended cost]])</f>
        <v>0</v>
      </c>
    </row>
    <row r="634" spans="1:29" x14ac:dyDescent="0.25">
      <c r="A634" s="1" t="s">
        <v>637</v>
      </c>
      <c r="B634" s="4"/>
      <c r="F634" s="3">
        <f>9%*Table1[[#This Row],[Cost ]]</f>
        <v>0</v>
      </c>
      <c r="J634" s="49">
        <f>SUMIF('Multi-level BOM'!D$4:D$467,Table1[[#This Row],[Part Number]],'Multi-level BOM'!H$4:H$467)</f>
        <v>0</v>
      </c>
      <c r="K634" s="10">
        <f>Table1[[#This Row],[extended quantity]]*(Table1[[#This Row],[Cost ]]+Table1[[#This Row],[shipping]]+Table1[[#This Row],[Tax]])</f>
        <v>0</v>
      </c>
      <c r="L634" s="83" t="str">
        <f>IF(Table1[[#This Row],[Buy-now costs]]&gt;0,"X","")</f>
        <v/>
      </c>
      <c r="M634" s="83"/>
      <c r="N634" s="83"/>
      <c r="O634" s="40">
        <v>0</v>
      </c>
      <c r="P634" s="97">
        <f>Table1[[#This Row],[quantity on-hand]]*(Table1[[#This Row],[Cost ]]+Table1[[#This Row],[shipping]]+Table1[[#This Row],[Tax]])</f>
        <v>0</v>
      </c>
      <c r="Q634" s="40">
        <v>0</v>
      </c>
      <c r="R634" s="95">
        <f>Table1[[#This Row],[Quantity on order]]*(Table1[[#This Row],[Cost ]]+Table1[[#This Row],[shipping]]+Table1[[#This Row],[Tax]])</f>
        <v>0</v>
      </c>
      <c r="S6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4" s="49">
        <f>Table1[[#This Row],[Quantity  to  purchase]]+Table1[[#This Row],[Quantity purchased]]+Table1[[#This Row],[Quantity on order]]+Table1[[#This Row],[Quantity donated]]-Table1[[#This Row],[extended quantity]]</f>
        <v>0</v>
      </c>
      <c r="U6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4" s="51">
        <f>IFERROR(Table1[[#This Row],[Quantity  to  purchase]]*(Table1[[#This Row],[Cost ]]+Table1[[#This Row],[shipping]]+Table1[[#This Row],[Tax]]),0)</f>
        <v>0</v>
      </c>
      <c r="W634" s="36">
        <f>IFERROR(Table1[[#This Row],[leftover material]]*(Table1[[#This Row],[Cost ]]+Table1[[#This Row],[shipping]]+Table1[[#This Row],[Tax]]),0)</f>
        <v>0</v>
      </c>
      <c r="X634" s="36"/>
      <c r="Y634" s="87"/>
      <c r="Z634" s="87"/>
      <c r="AA634" s="87"/>
      <c r="AB634" s="36"/>
      <c r="AC634" s="36">
        <f>IF(ISNA(VLOOKUP(Table1[[#This Row],[Part Number]],'Multi-level BOM'!V$4:V$449,1,FALSE)),0,Table1[[#This Row],[Remaining Extended cost]])</f>
        <v>0</v>
      </c>
    </row>
    <row r="635" spans="1:29" x14ac:dyDescent="0.25">
      <c r="A635" s="1" t="s">
        <v>638</v>
      </c>
      <c r="B635" s="4"/>
      <c r="F635" s="3">
        <f>9%*Table1[[#This Row],[Cost ]]</f>
        <v>0</v>
      </c>
      <c r="J635" s="49">
        <f>SUMIF('Multi-level BOM'!D$4:D$467,Table1[[#This Row],[Part Number]],'Multi-level BOM'!H$4:H$467)</f>
        <v>0</v>
      </c>
      <c r="K635" s="10">
        <f>Table1[[#This Row],[extended quantity]]*(Table1[[#This Row],[Cost ]]+Table1[[#This Row],[shipping]]+Table1[[#This Row],[Tax]])</f>
        <v>0</v>
      </c>
      <c r="L635" s="83" t="str">
        <f>IF(Table1[[#This Row],[Buy-now costs]]&gt;0,"X","")</f>
        <v/>
      </c>
      <c r="M635" s="83"/>
      <c r="N635" s="83"/>
      <c r="O635" s="40">
        <v>0</v>
      </c>
      <c r="P635" s="97">
        <f>Table1[[#This Row],[quantity on-hand]]*(Table1[[#This Row],[Cost ]]+Table1[[#This Row],[shipping]]+Table1[[#This Row],[Tax]])</f>
        <v>0</v>
      </c>
      <c r="Q635" s="40">
        <v>0</v>
      </c>
      <c r="R635" s="95">
        <f>Table1[[#This Row],[Quantity on order]]*(Table1[[#This Row],[Cost ]]+Table1[[#This Row],[shipping]]+Table1[[#This Row],[Tax]])</f>
        <v>0</v>
      </c>
      <c r="S6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5" s="49">
        <f>Table1[[#This Row],[Quantity  to  purchase]]+Table1[[#This Row],[Quantity purchased]]+Table1[[#This Row],[Quantity on order]]+Table1[[#This Row],[Quantity donated]]-Table1[[#This Row],[extended quantity]]</f>
        <v>0</v>
      </c>
      <c r="U6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5" s="51">
        <f>IFERROR(Table1[[#This Row],[Quantity  to  purchase]]*(Table1[[#This Row],[Cost ]]+Table1[[#This Row],[shipping]]+Table1[[#This Row],[Tax]]),0)</f>
        <v>0</v>
      </c>
      <c r="W635" s="36">
        <f>IFERROR(Table1[[#This Row],[leftover material]]*(Table1[[#This Row],[Cost ]]+Table1[[#This Row],[shipping]]+Table1[[#This Row],[Tax]]),0)</f>
        <v>0</v>
      </c>
      <c r="X635" s="36"/>
      <c r="Y635" s="87"/>
      <c r="Z635" s="87"/>
      <c r="AA635" s="87"/>
      <c r="AB635" s="36"/>
      <c r="AC635" s="36">
        <f>IF(ISNA(VLOOKUP(Table1[[#This Row],[Part Number]],'Multi-level BOM'!V$4:V$449,1,FALSE)),0,Table1[[#This Row],[Remaining Extended cost]])</f>
        <v>0</v>
      </c>
    </row>
    <row r="637" spans="1:29" x14ac:dyDescent="0.25">
      <c r="O637" s="38" t="s">
        <v>697</v>
      </c>
    </row>
  </sheetData>
  <hyperlinks>
    <hyperlink ref="G4" r:id="rId1"/>
    <hyperlink ref="G5" r:id="rId2"/>
    <hyperlink ref="G7" r:id="rId3"/>
    <hyperlink ref="G20" r:id="rId4"/>
    <hyperlink ref="G19" display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"/>
    <hyperlink ref="G8" r:id="rId5"/>
    <hyperlink ref="G40" r:id="rId6"/>
    <hyperlink ref="G56" r:id="rId7"/>
    <hyperlink ref="G49" r:id="rId8"/>
    <hyperlink ref="G29" r:id="rId9"/>
    <hyperlink ref="G15" r:id="rId10"/>
    <hyperlink ref="G43" r:id="rId11"/>
    <hyperlink ref="G57" r:id="rId12"/>
    <hyperlink ref="G42" r:id="rId13"/>
    <hyperlink ref="G52" r:id="rId14"/>
    <hyperlink ref="G63" r:id="rId15"/>
    <hyperlink ref="G13" r:id="rId16"/>
    <hyperlink ref="G36" r:id="rId17"/>
    <hyperlink ref="G32" r:id="rId18"/>
    <hyperlink ref="G16" r:id="rId19"/>
    <hyperlink ref="G22" r:id="rId20"/>
    <hyperlink ref="G30" r:id="rId21"/>
    <hyperlink ref="G60" r:id="rId22"/>
    <hyperlink ref="G28" r:id="rId23"/>
    <hyperlink ref="G11" r:id="rId24"/>
    <hyperlink ref="G89" r:id="rId25"/>
    <hyperlink ref="G90" r:id="rId26"/>
    <hyperlink ref="G91" r:id="rId27"/>
    <hyperlink ref="G96" r:id="rId28"/>
    <hyperlink ref="G14" r:id="rId29"/>
  </hyperlinks>
  <pageMargins left="0.7" right="0.7" top="0.75" bottom="0.75" header="0.3" footer="0.3"/>
  <pageSetup orientation="portrait" r:id="rId30"/>
  <legacyDrawing r:id="rId31"/>
  <tableParts count="1">
    <tablePart r:id="rId3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G7" sqref="G7"/>
    </sheetView>
  </sheetViews>
  <sheetFormatPr defaultRowHeight="15" x14ac:dyDescent="0.25"/>
  <cols>
    <col min="9" max="9" width="37" customWidth="1"/>
    <col min="14" max="14" width="47.85546875" customWidth="1"/>
  </cols>
  <sheetData>
    <row r="1" spans="1:14" x14ac:dyDescent="0.25">
      <c r="A1" t="s">
        <v>651</v>
      </c>
      <c r="B1" t="s">
        <v>650</v>
      </c>
      <c r="C1" s="2" t="s">
        <v>938</v>
      </c>
      <c r="D1" s="2" t="s">
        <v>939</v>
      </c>
      <c r="E1" t="s">
        <v>940</v>
      </c>
      <c r="G1" s="19"/>
      <c r="H1" s="20" t="s">
        <v>737</v>
      </c>
      <c r="I1" s="21"/>
      <c r="L1" s="19"/>
      <c r="M1" s="20" t="s">
        <v>750</v>
      </c>
      <c r="N1" s="21"/>
    </row>
    <row r="2" spans="1:14" x14ac:dyDescent="0.25">
      <c r="A2">
        <v>8</v>
      </c>
      <c r="B2">
        <f>A2/25.4</f>
        <v>0.31496062992125984</v>
      </c>
      <c r="C2">
        <f>B2*16</f>
        <v>5.0393700787401574</v>
      </c>
      <c r="D2">
        <f>B2*32</f>
        <v>10.078740157480315</v>
      </c>
      <c r="E2">
        <f>B2*64</f>
        <v>20.15748031496063</v>
      </c>
      <c r="G2" s="22"/>
      <c r="H2" s="23">
        <v>0.9</v>
      </c>
      <c r="I2" s="24" t="s">
        <v>731</v>
      </c>
      <c r="L2" s="22"/>
      <c r="M2" s="29">
        <v>5.9</v>
      </c>
      <c r="N2" s="24" t="s">
        <v>727</v>
      </c>
    </row>
    <row r="3" spans="1:14" x14ac:dyDescent="0.25">
      <c r="A3">
        <v>12</v>
      </c>
      <c r="B3">
        <f>A3/25.4</f>
        <v>0.47244094488188981</v>
      </c>
      <c r="G3" s="22"/>
      <c r="H3" s="23">
        <v>6</v>
      </c>
      <c r="I3" s="24" t="s">
        <v>732</v>
      </c>
      <c r="L3" s="22"/>
      <c r="M3" s="23">
        <v>0.9</v>
      </c>
      <c r="N3" s="24" t="s">
        <v>736</v>
      </c>
    </row>
    <row r="4" spans="1:14" x14ac:dyDescent="0.25">
      <c r="G4" s="22"/>
      <c r="H4" s="23">
        <v>0.25</v>
      </c>
      <c r="I4" s="24" t="s">
        <v>733</v>
      </c>
      <c r="L4" s="22"/>
      <c r="M4" s="23">
        <v>6</v>
      </c>
      <c r="N4" s="24" t="s">
        <v>732</v>
      </c>
    </row>
    <row r="5" spans="1:14" x14ac:dyDescent="0.25">
      <c r="G5" s="22"/>
      <c r="H5" s="23">
        <v>6</v>
      </c>
      <c r="I5" s="24" t="s">
        <v>732</v>
      </c>
      <c r="L5" s="22"/>
      <c r="M5" s="23">
        <v>0.25</v>
      </c>
      <c r="N5" s="24" t="s">
        <v>733</v>
      </c>
    </row>
    <row r="6" spans="1:14" x14ac:dyDescent="0.25">
      <c r="G6" s="22">
        <v>23.25</v>
      </c>
      <c r="H6" s="23">
        <f>G6</f>
        <v>23.25</v>
      </c>
      <c r="I6" s="24" t="s">
        <v>734</v>
      </c>
      <c r="L6" s="22"/>
      <c r="M6" s="23">
        <v>6</v>
      </c>
      <c r="N6" s="24" t="s">
        <v>732</v>
      </c>
    </row>
    <row r="7" spans="1:14" x14ac:dyDescent="0.25">
      <c r="A7">
        <f>11/32</f>
        <v>0.34375</v>
      </c>
      <c r="B7">
        <f>25.4*A7</f>
        <v>8.7312499999999993</v>
      </c>
      <c r="G7" s="22"/>
      <c r="H7" s="23">
        <v>9.52</v>
      </c>
      <c r="I7" s="24" t="s">
        <v>735</v>
      </c>
      <c r="L7" s="22"/>
      <c r="M7" s="23">
        <v>11.9</v>
      </c>
      <c r="N7" s="24" t="s">
        <v>736</v>
      </c>
    </row>
    <row r="8" spans="1:14" ht="15.75" thickBot="1" x14ac:dyDescent="0.3">
      <c r="A8">
        <f>21/64</f>
        <v>0.328125</v>
      </c>
      <c r="B8">
        <f>25.4*A8</f>
        <v>8.3343749999999996</v>
      </c>
      <c r="G8" s="22"/>
      <c r="H8" s="23">
        <v>0.9</v>
      </c>
      <c r="I8" s="24" t="s">
        <v>736</v>
      </c>
      <c r="L8" s="22"/>
      <c r="M8" s="18">
        <v>0.9</v>
      </c>
      <c r="N8" s="24" t="s">
        <v>751</v>
      </c>
    </row>
    <row r="9" spans="1:14" ht="16.5" thickTop="1" thickBot="1" x14ac:dyDescent="0.3">
      <c r="G9" s="22"/>
      <c r="H9" s="18">
        <v>5.9</v>
      </c>
      <c r="I9" s="24" t="s">
        <v>727</v>
      </c>
      <c r="L9" s="25"/>
      <c r="M9" s="26">
        <f>SUM(M2:M8)</f>
        <v>31.85</v>
      </c>
      <c r="N9" s="27"/>
    </row>
    <row r="10" spans="1:14" ht="16.5" thickTop="1" thickBot="1" x14ac:dyDescent="0.3">
      <c r="G10" s="25"/>
      <c r="H10" s="26">
        <f>SUM(H2:H9)</f>
        <v>52.72</v>
      </c>
      <c r="I10" s="27"/>
    </row>
    <row r="11" spans="1:14" ht="15.75" thickBot="1" x14ac:dyDescent="0.3"/>
    <row r="12" spans="1:14" x14ac:dyDescent="0.25">
      <c r="G12" s="19"/>
      <c r="H12" s="20" t="s">
        <v>738</v>
      </c>
      <c r="I12" s="21"/>
      <c r="L12" s="19"/>
      <c r="M12" s="20" t="s">
        <v>966</v>
      </c>
      <c r="N12" s="21"/>
    </row>
    <row r="13" spans="1:14" x14ac:dyDescent="0.25">
      <c r="G13" s="22"/>
      <c r="H13" s="23">
        <v>0.9</v>
      </c>
      <c r="I13" s="24" t="s">
        <v>731</v>
      </c>
      <c r="L13" s="22"/>
      <c r="M13" s="23">
        <v>1.6</v>
      </c>
      <c r="N13" s="24" t="s">
        <v>731</v>
      </c>
    </row>
    <row r="14" spans="1:14" x14ac:dyDescent="0.25">
      <c r="G14" s="22"/>
      <c r="H14" s="23">
        <v>6</v>
      </c>
      <c r="I14" s="24" t="s">
        <v>739</v>
      </c>
      <c r="L14" s="22"/>
      <c r="M14" s="23">
        <v>9.52</v>
      </c>
      <c r="N14" s="24" t="s">
        <v>735</v>
      </c>
    </row>
    <row r="15" spans="1:14" ht="15.75" thickBot="1" x14ac:dyDescent="0.3">
      <c r="G15" s="22">
        <v>49.5</v>
      </c>
      <c r="H15" s="23">
        <f>G15</f>
        <v>49.5</v>
      </c>
      <c r="I15" s="24" t="s">
        <v>734</v>
      </c>
      <c r="L15" s="22"/>
      <c r="M15" s="18">
        <v>15</v>
      </c>
      <c r="N15" s="24" t="s">
        <v>967</v>
      </c>
    </row>
    <row r="16" spans="1:14" ht="16.5" thickTop="1" thickBot="1" x14ac:dyDescent="0.3">
      <c r="G16" s="22"/>
      <c r="H16" s="23">
        <v>9.52</v>
      </c>
      <c r="I16" s="24" t="s">
        <v>735</v>
      </c>
      <c r="L16" s="25"/>
      <c r="M16" s="26">
        <f>SUM(M13:M15)</f>
        <v>26.119999999999997</v>
      </c>
      <c r="N16" s="27"/>
    </row>
    <row r="17" spans="7:14" x14ac:dyDescent="0.25">
      <c r="G17" s="22"/>
      <c r="H17" s="23">
        <v>0.9</v>
      </c>
      <c r="I17" s="24" t="s">
        <v>736</v>
      </c>
    </row>
    <row r="18" spans="7:14" ht="15.75" thickBot="1" x14ac:dyDescent="0.3">
      <c r="G18" s="22"/>
      <c r="H18" s="18">
        <v>5</v>
      </c>
      <c r="I18" s="24" t="s">
        <v>746</v>
      </c>
    </row>
    <row r="19" spans="7:14" ht="16.5" thickTop="1" thickBot="1" x14ac:dyDescent="0.3">
      <c r="G19" s="25"/>
      <c r="H19" s="26">
        <f>SUM(H13:H18)</f>
        <v>71.820000000000007</v>
      </c>
      <c r="I19" s="27"/>
      <c r="L19" s="19"/>
      <c r="M19" s="20" t="s">
        <v>754</v>
      </c>
      <c r="N19" s="21"/>
    </row>
    <row r="20" spans="7:14" x14ac:dyDescent="0.25">
      <c r="L20" s="22"/>
      <c r="M20" s="23">
        <f>13-4.5</f>
        <v>8.5</v>
      </c>
      <c r="N20" s="24" t="s">
        <v>743</v>
      </c>
    </row>
    <row r="21" spans="7:14" ht="15.75" thickBot="1" x14ac:dyDescent="0.3">
      <c r="L21" s="22"/>
      <c r="M21" s="23">
        <v>6.35</v>
      </c>
      <c r="N21" s="24" t="s">
        <v>755</v>
      </c>
    </row>
    <row r="22" spans="7:14" x14ac:dyDescent="0.25">
      <c r="G22" s="19"/>
      <c r="H22" s="20" t="s">
        <v>744</v>
      </c>
      <c r="I22" s="21"/>
      <c r="L22" s="22"/>
      <c r="M22" s="23">
        <v>0.5</v>
      </c>
      <c r="N22" s="24" t="s">
        <v>736</v>
      </c>
    </row>
    <row r="23" spans="7:14" ht="15.75" thickBot="1" x14ac:dyDescent="0.3">
      <c r="G23" s="22"/>
      <c r="H23" s="23">
        <f>16-4.5</f>
        <v>11.5</v>
      </c>
      <c r="I23" s="24" t="s">
        <v>743</v>
      </c>
      <c r="L23" s="22"/>
      <c r="M23" s="18">
        <v>3.9</v>
      </c>
      <c r="N23" s="24" t="s">
        <v>745</v>
      </c>
    </row>
    <row r="24" spans="7:14" ht="16.5" thickTop="1" thickBot="1" x14ac:dyDescent="0.3">
      <c r="G24" s="22"/>
      <c r="H24" s="23">
        <v>9.52</v>
      </c>
      <c r="I24" s="24" t="s">
        <v>735</v>
      </c>
      <c r="L24" s="25"/>
      <c r="M24" s="26">
        <f>SUM(M20:M23)</f>
        <v>19.25</v>
      </c>
      <c r="N24" s="27"/>
    </row>
    <row r="25" spans="7:14" x14ac:dyDescent="0.25">
      <c r="G25" s="22"/>
      <c r="H25" s="23">
        <v>0.5</v>
      </c>
      <c r="I25" s="24" t="s">
        <v>736</v>
      </c>
    </row>
    <row r="26" spans="7:14" ht="15.75" thickBot="1" x14ac:dyDescent="0.3">
      <c r="G26" s="22"/>
      <c r="H26" s="18">
        <v>3.9</v>
      </c>
      <c r="I26" s="24" t="s">
        <v>745</v>
      </c>
    </row>
    <row r="27" spans="7:14" ht="16.5" thickTop="1" thickBot="1" x14ac:dyDescent="0.3">
      <c r="G27" s="25"/>
      <c r="H27" s="26">
        <f>SUM(H23:H26)</f>
        <v>25.419999999999998</v>
      </c>
      <c r="I27" s="27"/>
    </row>
    <row r="29" spans="7:14" ht="15.75" thickBot="1" x14ac:dyDescent="0.3"/>
    <row r="30" spans="7:14" x14ac:dyDescent="0.25">
      <c r="G30" s="19"/>
      <c r="H30" s="20" t="s">
        <v>796</v>
      </c>
      <c r="I30" s="21"/>
    </row>
    <row r="31" spans="7:14" x14ac:dyDescent="0.25">
      <c r="G31" s="22"/>
      <c r="H31" s="23">
        <v>241.5</v>
      </c>
      <c r="I31" s="24" t="s">
        <v>792</v>
      </c>
    </row>
    <row r="32" spans="7:14" x14ac:dyDescent="0.25">
      <c r="G32" s="22"/>
      <c r="H32" s="23">
        <v>9.5</v>
      </c>
      <c r="I32" s="24" t="s">
        <v>782</v>
      </c>
    </row>
    <row r="33" spans="7:9" x14ac:dyDescent="0.25">
      <c r="G33" s="22"/>
      <c r="H33" s="23">
        <v>597.5</v>
      </c>
      <c r="I33" s="24" t="s">
        <v>783</v>
      </c>
    </row>
    <row r="34" spans="7:9" x14ac:dyDescent="0.25">
      <c r="G34" s="22"/>
      <c r="H34" s="31">
        <v>10.5</v>
      </c>
      <c r="I34" s="24" t="s">
        <v>784</v>
      </c>
    </row>
    <row r="35" spans="7:9" x14ac:dyDescent="0.25">
      <c r="G35" s="22"/>
      <c r="H35" s="31">
        <v>68.7</v>
      </c>
      <c r="I35" s="24" t="s">
        <v>786</v>
      </c>
    </row>
    <row r="36" spans="7:9" x14ac:dyDescent="0.25">
      <c r="G36" s="22"/>
      <c r="H36" s="31">
        <v>14.9</v>
      </c>
      <c r="I36" s="24" t="s">
        <v>785</v>
      </c>
    </row>
    <row r="37" spans="7:9" x14ac:dyDescent="0.25">
      <c r="G37" s="22"/>
      <c r="H37" s="31">
        <v>36.799999999999997</v>
      </c>
      <c r="I37" s="24" t="s">
        <v>787</v>
      </c>
    </row>
    <row r="38" spans="7:9" x14ac:dyDescent="0.25">
      <c r="G38" s="22"/>
      <c r="H38" s="31">
        <v>22.2</v>
      </c>
      <c r="I38" s="24" t="s">
        <v>788</v>
      </c>
    </row>
    <row r="39" spans="7:9" x14ac:dyDescent="0.25">
      <c r="G39" s="22"/>
      <c r="H39" s="31">
        <v>440</v>
      </c>
      <c r="I39" s="24" t="s">
        <v>789</v>
      </c>
    </row>
    <row r="40" spans="7:9" x14ac:dyDescent="0.25">
      <c r="G40" s="22"/>
      <c r="H40" s="31">
        <v>13.3</v>
      </c>
      <c r="I40" s="24" t="s">
        <v>790</v>
      </c>
    </row>
    <row r="41" spans="7:9" x14ac:dyDescent="0.25">
      <c r="G41" s="22"/>
      <c r="H41" s="31">
        <v>302</v>
      </c>
      <c r="I41" s="24" t="s">
        <v>791</v>
      </c>
    </row>
    <row r="42" spans="7:9" x14ac:dyDescent="0.25">
      <c r="G42" s="22"/>
      <c r="H42" s="31">
        <v>13.4</v>
      </c>
      <c r="I42" s="24" t="s">
        <v>793</v>
      </c>
    </row>
    <row r="43" spans="7:9" x14ac:dyDescent="0.25">
      <c r="G43" s="22"/>
      <c r="H43" s="31">
        <v>470</v>
      </c>
      <c r="I43" s="24" t="s">
        <v>794</v>
      </c>
    </row>
    <row r="44" spans="7:9" ht="15.75" thickBot="1" x14ac:dyDescent="0.3">
      <c r="G44" s="22"/>
      <c r="H44" s="33">
        <v>16.5</v>
      </c>
      <c r="I44" s="24" t="s">
        <v>795</v>
      </c>
    </row>
    <row r="45" spans="7:9" ht="16.5" thickTop="1" thickBot="1" x14ac:dyDescent="0.3">
      <c r="G45" s="25"/>
      <c r="H45" s="26">
        <f>SUM(H31:H44)</f>
        <v>2256.8000000000002</v>
      </c>
      <c r="I45" s="27"/>
    </row>
    <row r="47" spans="7:9" x14ac:dyDescent="0.25">
      <c r="H47">
        <f>2*H45/1000</f>
        <v>4.5136000000000003</v>
      </c>
      <c r="I47" s="32" t="s">
        <v>797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zoomScale="130" zoomScaleNormal="130" workbookViewId="0">
      <selection activeCell="I33" sqref="I33"/>
    </sheetView>
  </sheetViews>
  <sheetFormatPr defaultRowHeight="15" x14ac:dyDescent="0.25"/>
  <cols>
    <col min="1" max="1" width="14" customWidth="1"/>
    <col min="4" max="4" width="10" bestFit="1" customWidth="1"/>
  </cols>
  <sheetData>
    <row r="1" spans="1:5" x14ac:dyDescent="0.25">
      <c r="A1" t="s">
        <v>919</v>
      </c>
    </row>
    <row r="3" spans="1:5" x14ac:dyDescent="0.25">
      <c r="A3" t="s">
        <v>921</v>
      </c>
    </row>
    <row r="4" spans="1:5" x14ac:dyDescent="0.25">
      <c r="B4" t="s">
        <v>920</v>
      </c>
    </row>
    <row r="5" spans="1:5" x14ac:dyDescent="0.25">
      <c r="A5">
        <v>100</v>
      </c>
      <c r="B5">
        <v>3.03</v>
      </c>
    </row>
    <row r="6" spans="1:5" x14ac:dyDescent="0.25">
      <c r="A6">
        <f>A5+100</f>
        <v>200</v>
      </c>
      <c r="B6">
        <v>3.03</v>
      </c>
    </row>
    <row r="7" spans="1:5" x14ac:dyDescent="0.25">
      <c r="A7">
        <v>250</v>
      </c>
      <c r="B7">
        <v>3.03</v>
      </c>
    </row>
    <row r="8" spans="1:5" x14ac:dyDescent="0.25">
      <c r="A8">
        <v>275</v>
      </c>
      <c r="B8">
        <v>3.03</v>
      </c>
    </row>
    <row r="9" spans="1:5" x14ac:dyDescent="0.25">
      <c r="A9">
        <v>295</v>
      </c>
      <c r="B9">
        <v>3.03</v>
      </c>
    </row>
    <row r="10" spans="1:5" x14ac:dyDescent="0.25">
      <c r="A10">
        <f>A6+100</f>
        <v>300</v>
      </c>
      <c r="B10">
        <v>1.89</v>
      </c>
    </row>
    <row r="11" spans="1:5" x14ac:dyDescent="0.25">
      <c r="A11">
        <v>350</v>
      </c>
      <c r="B11">
        <v>2.2000000000000002</v>
      </c>
    </row>
    <row r="12" spans="1:5" x14ac:dyDescent="0.25">
      <c r="A12">
        <f>A10+100</f>
        <v>400</v>
      </c>
      <c r="B12">
        <v>2.52</v>
      </c>
    </row>
    <row r="13" spans="1:5" x14ac:dyDescent="0.25">
      <c r="A13">
        <f t="shared" ref="A13:A23" si="0">A12+100</f>
        <v>500</v>
      </c>
      <c r="B13">
        <v>3.15</v>
      </c>
    </row>
    <row r="14" spans="1:5" x14ac:dyDescent="0.25">
      <c r="A14">
        <f t="shared" si="0"/>
        <v>600</v>
      </c>
      <c r="B14">
        <v>3.78</v>
      </c>
      <c r="D14" t="s">
        <v>922</v>
      </c>
    </row>
    <row r="15" spans="1:5" x14ac:dyDescent="0.25">
      <c r="A15">
        <v>625</v>
      </c>
      <c r="B15">
        <v>3.93</v>
      </c>
      <c r="D15" s="53">
        <f>25*(B25-B10)/(A25-A10)</f>
        <v>0.1575</v>
      </c>
      <c r="E15" t="s">
        <v>923</v>
      </c>
    </row>
    <row r="16" spans="1:5" x14ac:dyDescent="0.25">
      <c r="A16">
        <f>A14+100</f>
        <v>700</v>
      </c>
      <c r="B16">
        <v>4.41</v>
      </c>
      <c r="D16" s="54"/>
    </row>
    <row r="17" spans="1:5" x14ac:dyDescent="0.25">
      <c r="A17">
        <f t="shared" si="0"/>
        <v>800</v>
      </c>
      <c r="B17">
        <v>5.04</v>
      </c>
      <c r="D17" s="55">
        <f>3.03/(D15/25)</f>
        <v>480.95238095238091</v>
      </c>
      <c r="E17" t="s">
        <v>924</v>
      </c>
    </row>
    <row r="18" spans="1:5" x14ac:dyDescent="0.25">
      <c r="A18">
        <f t="shared" si="0"/>
        <v>900</v>
      </c>
      <c r="B18">
        <v>5.67</v>
      </c>
    </row>
    <row r="19" spans="1:5" x14ac:dyDescent="0.25">
      <c r="A19">
        <f t="shared" si="0"/>
        <v>1000</v>
      </c>
      <c r="B19">
        <v>6.3</v>
      </c>
    </row>
    <row r="20" spans="1:5" x14ac:dyDescent="0.25">
      <c r="A20">
        <f t="shared" si="0"/>
        <v>1100</v>
      </c>
      <c r="B20">
        <v>6.93</v>
      </c>
    </row>
    <row r="21" spans="1:5" x14ac:dyDescent="0.25">
      <c r="A21">
        <f t="shared" si="0"/>
        <v>1200</v>
      </c>
      <c r="B21">
        <v>7.56</v>
      </c>
    </row>
    <row r="22" spans="1:5" x14ac:dyDescent="0.25">
      <c r="A22">
        <f t="shared" si="0"/>
        <v>1300</v>
      </c>
      <c r="B22">
        <v>8.19</v>
      </c>
    </row>
    <row r="23" spans="1:5" x14ac:dyDescent="0.25">
      <c r="A23">
        <f t="shared" si="0"/>
        <v>1400</v>
      </c>
      <c r="B23">
        <v>8.82</v>
      </c>
    </row>
    <row r="24" spans="1:5" x14ac:dyDescent="0.25">
      <c r="A24">
        <v>1500</v>
      </c>
      <c r="B24">
        <v>9.4499999999999993</v>
      </c>
    </row>
    <row r="25" spans="1:5" x14ac:dyDescent="0.25">
      <c r="A25">
        <v>2000</v>
      </c>
      <c r="B25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Summary</vt:lpstr>
      <vt:lpstr>Propose to buy now</vt:lpstr>
      <vt:lpstr>Not yet ordered</vt:lpstr>
      <vt:lpstr>Parts on-order</vt:lpstr>
      <vt:lpstr>Parts on-hand</vt:lpstr>
      <vt:lpstr>Multi-level BOM</vt:lpstr>
      <vt:lpstr>Parts</vt:lpstr>
      <vt:lpstr>Sheet3</vt:lpstr>
      <vt:lpstr>2020 cost analysis</vt:lpstr>
      <vt:lpstr>'Propose to buy now'!asasas</vt:lpstr>
      <vt:lpstr>asasas</vt:lpstr>
      <vt:lpstr>'Not yet ordered'!asdasdasdasdasdasdasd</vt:lpstr>
      <vt:lpstr>'Propose to buy now'!asdasdasdasdasdasdasd</vt:lpstr>
      <vt:lpstr>asdasdasdasdasdasdasd</vt:lpstr>
      <vt:lpstr>'Not yet ordered'!part_details</vt:lpstr>
      <vt:lpstr>'Parts on-order'!part_details</vt:lpstr>
      <vt:lpstr>'Propose to buy now'!part_details</vt:lpstr>
      <vt:lpstr>part_details</vt:lpstr>
      <vt:lpstr>'Not yet ordered'!Part_number</vt:lpstr>
      <vt:lpstr>'Parts on-order'!Part_number</vt:lpstr>
      <vt:lpstr>'Propose to buy now'!Part_number</vt:lpstr>
      <vt:lpstr>Part_number</vt:lpstr>
      <vt:lpstr>'Not yet ordered'!zccXCZXCZXCZXC</vt:lpstr>
      <vt:lpstr>'Propose to buy now'!zccXCZXCZXCZXC</vt:lpstr>
      <vt:lpstr>zccXCZXCZXCZXC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cp:lastPrinted>2020-02-23T23:56:23Z</cp:lastPrinted>
  <dcterms:created xsi:type="dcterms:W3CDTF">2020-01-20T15:36:08Z</dcterms:created>
  <dcterms:modified xsi:type="dcterms:W3CDTF">2020-02-29T14:20:46Z</dcterms:modified>
</cp:coreProperties>
</file>