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4915" windowHeight="11580"/>
  </bookViews>
  <sheets>
    <sheet name="Multi-level BOM" sheetId="2" r:id="rId1"/>
    <sheet name="Parts" sheetId="1" r:id="rId2"/>
    <sheet name="Sheet3" sheetId="3" r:id="rId3"/>
  </sheets>
  <definedNames>
    <definedName name="_xlnm._FilterDatabase" localSheetId="0" hidden="1">'Multi-level BOM'!$A$1:$C$446</definedName>
    <definedName name="part_details">Table1[]</definedName>
    <definedName name="Part_number">Table1[Part Number]</definedName>
  </definedNames>
  <calcPr calcId="145621"/>
</workbook>
</file>

<file path=xl/calcChain.xml><?xml version="1.0" encoding="utf-8"?>
<calcChain xmlns="http://schemas.openxmlformats.org/spreadsheetml/2006/main">
  <c r="G198" i="2" l="1"/>
  <c r="G199" i="2"/>
  <c r="G200" i="2"/>
  <c r="G204" i="2"/>
  <c r="G208" i="2"/>
  <c r="G209" i="2"/>
  <c r="G210" i="2"/>
  <c r="G211" i="2"/>
  <c r="G212" i="2"/>
  <c r="G213" i="2"/>
  <c r="G219" i="2"/>
  <c r="G220" i="2"/>
  <c r="G221" i="2"/>
  <c r="G222" i="2"/>
  <c r="G223" i="2"/>
  <c r="G224" i="2"/>
  <c r="G234" i="2"/>
  <c r="G236" i="2"/>
  <c r="G237" i="2"/>
  <c r="G61" i="2"/>
  <c r="G66" i="2"/>
  <c r="G68" i="2"/>
  <c r="G197" i="2"/>
  <c r="G192" i="2"/>
  <c r="G172" i="2"/>
  <c r="G151" i="2"/>
  <c r="G85" i="2"/>
  <c r="G7" i="2"/>
  <c r="G5" i="2"/>
  <c r="K126" i="2"/>
  <c r="L126" i="2"/>
  <c r="M126" i="2"/>
  <c r="N126" i="2"/>
  <c r="O126" i="2"/>
  <c r="P126" i="2"/>
  <c r="Q126" i="2"/>
  <c r="K127" i="2"/>
  <c r="L127" i="2"/>
  <c r="M127" i="2"/>
  <c r="N127" i="2"/>
  <c r="O127" i="2"/>
  <c r="P127" i="2"/>
  <c r="Q127" i="2"/>
  <c r="K128" i="2"/>
  <c r="K129" i="2" s="1"/>
  <c r="L128" i="2"/>
  <c r="L129" i="2" s="1"/>
  <c r="M128" i="2"/>
  <c r="M129" i="2" s="1"/>
  <c r="N128" i="2"/>
  <c r="N129" i="2" s="1"/>
  <c r="O128" i="2"/>
  <c r="O129" i="2" s="1"/>
  <c r="P128" i="2"/>
  <c r="P129" i="2" s="1"/>
  <c r="Q128" i="2"/>
  <c r="Q129" i="2" s="1"/>
  <c r="G129" i="2"/>
  <c r="I130" i="2"/>
  <c r="I131" i="2" s="1"/>
  <c r="I132" i="2" s="1"/>
  <c r="J130" i="2"/>
  <c r="J131" i="2" s="1"/>
  <c r="J132" i="2" s="1"/>
  <c r="K130" i="2"/>
  <c r="K131" i="2" s="1"/>
  <c r="K132" i="2" s="1"/>
  <c r="L130" i="2"/>
  <c r="L131" i="2" s="1"/>
  <c r="L132" i="2" s="1"/>
  <c r="M130" i="2"/>
  <c r="M131" i="2" s="1"/>
  <c r="M132" i="2" s="1"/>
  <c r="N130" i="2"/>
  <c r="N131" i="2" s="1"/>
  <c r="N132" i="2" s="1"/>
  <c r="O130" i="2"/>
  <c r="O131" i="2" s="1"/>
  <c r="O132" i="2" s="1"/>
  <c r="P130" i="2"/>
  <c r="P131" i="2" s="1"/>
  <c r="P132" i="2" s="1"/>
  <c r="Q130" i="2"/>
  <c r="Q131" i="2" s="1"/>
  <c r="Q132" i="2" s="1"/>
  <c r="G131" i="2"/>
  <c r="G132" i="2"/>
  <c r="J98" i="2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K98" i="2"/>
  <c r="L98" i="2"/>
  <c r="M98" i="2"/>
  <c r="N98" i="2"/>
  <c r="O98" i="2"/>
  <c r="P98" i="2"/>
  <c r="Q98" i="2"/>
  <c r="K99" i="2"/>
  <c r="L99" i="2"/>
  <c r="M99" i="2"/>
  <c r="N99" i="2"/>
  <c r="O99" i="2"/>
  <c r="P99" i="2"/>
  <c r="Q99" i="2"/>
  <c r="I67" i="2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J67" i="2"/>
  <c r="K67" i="2"/>
  <c r="L67" i="2"/>
  <c r="M67" i="2"/>
  <c r="N67" i="2"/>
  <c r="O67" i="2"/>
  <c r="P67" i="2"/>
  <c r="Q67" i="2"/>
  <c r="J68" i="2"/>
  <c r="K68" i="2"/>
  <c r="K69" i="2" s="1"/>
  <c r="L68" i="2"/>
  <c r="L69" i="2" s="1"/>
  <c r="M68" i="2"/>
  <c r="M69" i="2" s="1"/>
  <c r="N68" i="2"/>
  <c r="N69" i="2" s="1"/>
  <c r="O68" i="2"/>
  <c r="O69" i="2" s="1"/>
  <c r="P68" i="2"/>
  <c r="P69" i="2" s="1"/>
  <c r="Q68" i="2"/>
  <c r="Q69" i="2" s="1"/>
  <c r="J69" i="2"/>
  <c r="J70" i="2"/>
  <c r="K70" i="2"/>
  <c r="L70" i="2"/>
  <c r="M70" i="2"/>
  <c r="N70" i="2"/>
  <c r="O70" i="2"/>
  <c r="P70" i="2"/>
  <c r="Q70" i="2"/>
  <c r="J71" i="2"/>
  <c r="J72" i="2" s="1"/>
  <c r="J73" i="2" s="1"/>
  <c r="J74" i="2" s="1"/>
  <c r="J75" i="2" s="1"/>
  <c r="J76" i="2" s="1"/>
  <c r="K71" i="2"/>
  <c r="L71" i="2"/>
  <c r="M71" i="2"/>
  <c r="N71" i="2"/>
  <c r="O71" i="2"/>
  <c r="P71" i="2"/>
  <c r="Q71" i="2"/>
  <c r="K72" i="2"/>
  <c r="L72" i="2"/>
  <c r="M72" i="2"/>
  <c r="N72" i="2"/>
  <c r="O72" i="2"/>
  <c r="P72" i="2"/>
  <c r="Q72" i="2"/>
  <c r="K73" i="2"/>
  <c r="L73" i="2"/>
  <c r="M73" i="2"/>
  <c r="N73" i="2"/>
  <c r="O73" i="2"/>
  <c r="P73" i="2"/>
  <c r="Q73" i="2"/>
  <c r="K74" i="2"/>
  <c r="L74" i="2"/>
  <c r="M74" i="2"/>
  <c r="N74" i="2"/>
  <c r="O74" i="2"/>
  <c r="P74" i="2"/>
  <c r="Q74" i="2"/>
  <c r="K75" i="2"/>
  <c r="K76" i="2" s="1"/>
  <c r="L75" i="2"/>
  <c r="L76" i="2" s="1"/>
  <c r="M75" i="2"/>
  <c r="M76" i="2" s="1"/>
  <c r="N75" i="2"/>
  <c r="N76" i="2" s="1"/>
  <c r="O75" i="2"/>
  <c r="O76" i="2" s="1"/>
  <c r="P75" i="2"/>
  <c r="P76" i="2" s="1"/>
  <c r="Q75" i="2"/>
  <c r="Q76" i="2" s="1"/>
  <c r="J77" i="2"/>
  <c r="J78" i="2" s="1"/>
  <c r="J79" i="2" s="1"/>
  <c r="J80" i="2" s="1"/>
  <c r="J81" i="2" s="1"/>
  <c r="J82" i="2" s="1"/>
  <c r="J83" i="2" s="1"/>
  <c r="J84" i="2" s="1"/>
  <c r="K77" i="2"/>
  <c r="L77" i="2"/>
  <c r="M77" i="2"/>
  <c r="N77" i="2"/>
  <c r="O77" i="2"/>
  <c r="P77" i="2"/>
  <c r="Q77" i="2"/>
  <c r="K78" i="2"/>
  <c r="L78" i="2"/>
  <c r="M78" i="2"/>
  <c r="N78" i="2"/>
  <c r="O78" i="2"/>
  <c r="P78" i="2"/>
  <c r="Q78" i="2"/>
  <c r="L79" i="2"/>
  <c r="M79" i="2"/>
  <c r="N79" i="2"/>
  <c r="O79" i="2"/>
  <c r="P79" i="2"/>
  <c r="Q79" i="2"/>
  <c r="K80" i="2"/>
  <c r="L80" i="2"/>
  <c r="M80" i="2"/>
  <c r="N80" i="2"/>
  <c r="O80" i="2"/>
  <c r="P80" i="2"/>
  <c r="Q80" i="2"/>
  <c r="K81" i="2"/>
  <c r="L81" i="2"/>
  <c r="M81" i="2"/>
  <c r="N81" i="2"/>
  <c r="O81" i="2"/>
  <c r="P81" i="2"/>
  <c r="Q81" i="2"/>
  <c r="K82" i="2"/>
  <c r="L82" i="2"/>
  <c r="M82" i="2"/>
  <c r="N82" i="2"/>
  <c r="O82" i="2"/>
  <c r="P82" i="2"/>
  <c r="Q82" i="2"/>
  <c r="K83" i="2"/>
  <c r="K84" i="2" s="1"/>
  <c r="L83" i="2"/>
  <c r="L84" i="2" s="1"/>
  <c r="M83" i="2"/>
  <c r="M84" i="2" s="1"/>
  <c r="N83" i="2"/>
  <c r="N84" i="2" s="1"/>
  <c r="O83" i="2"/>
  <c r="O84" i="2" s="1"/>
  <c r="P83" i="2"/>
  <c r="P84" i="2" s="1"/>
  <c r="Q83" i="2"/>
  <c r="Q84" i="2" s="1"/>
  <c r="J85" i="2"/>
  <c r="K85" i="2"/>
  <c r="L85" i="2"/>
  <c r="M85" i="2"/>
  <c r="N85" i="2"/>
  <c r="O85" i="2"/>
  <c r="P85" i="2"/>
  <c r="Q85" i="2"/>
  <c r="J86" i="2"/>
  <c r="K86" i="2"/>
  <c r="K87" i="2" s="1"/>
  <c r="L86" i="2"/>
  <c r="L87" i="2" s="1"/>
  <c r="M86" i="2"/>
  <c r="M87" i="2" s="1"/>
  <c r="N86" i="2"/>
  <c r="N87" i="2" s="1"/>
  <c r="O86" i="2"/>
  <c r="O87" i="2" s="1"/>
  <c r="P86" i="2"/>
  <c r="P87" i="2" s="1"/>
  <c r="Q86" i="2"/>
  <c r="Q87" i="2" s="1"/>
  <c r="J87" i="2"/>
  <c r="J88" i="2"/>
  <c r="K88" i="2"/>
  <c r="L88" i="2"/>
  <c r="M88" i="2"/>
  <c r="N88" i="2"/>
  <c r="O88" i="2"/>
  <c r="P88" i="2"/>
  <c r="Q88" i="2"/>
  <c r="J89" i="2"/>
  <c r="K89" i="2"/>
  <c r="L89" i="2"/>
  <c r="M89" i="2"/>
  <c r="N89" i="2"/>
  <c r="O89" i="2"/>
  <c r="P89" i="2"/>
  <c r="Q89" i="2"/>
  <c r="J90" i="2"/>
  <c r="K90" i="2"/>
  <c r="K91" i="2" s="1"/>
  <c r="L90" i="2"/>
  <c r="L91" i="2" s="1"/>
  <c r="M90" i="2"/>
  <c r="M91" i="2" s="1"/>
  <c r="N90" i="2"/>
  <c r="N91" i="2" s="1"/>
  <c r="O90" i="2"/>
  <c r="O91" i="2" s="1"/>
  <c r="P90" i="2"/>
  <c r="P91" i="2" s="1"/>
  <c r="Q90" i="2"/>
  <c r="Q91" i="2" s="1"/>
  <c r="J91" i="2"/>
  <c r="I92" i="2"/>
  <c r="I93" i="2" s="1"/>
  <c r="I94" i="2" s="1"/>
  <c r="I95" i="2" s="1"/>
  <c r="I96" i="2" s="1"/>
  <c r="I97" i="2" s="1"/>
  <c r="I98" i="2" s="1"/>
  <c r="I99" i="2" s="1"/>
  <c r="J92" i="2"/>
  <c r="K92" i="2"/>
  <c r="L92" i="2"/>
  <c r="M92" i="2"/>
  <c r="N92" i="2"/>
  <c r="O92" i="2"/>
  <c r="P92" i="2"/>
  <c r="Q92" i="2"/>
  <c r="J93" i="2"/>
  <c r="K93" i="2"/>
  <c r="L93" i="2"/>
  <c r="M93" i="2"/>
  <c r="N93" i="2"/>
  <c r="O93" i="2"/>
  <c r="P93" i="2"/>
  <c r="Q93" i="2"/>
  <c r="J94" i="2"/>
  <c r="K94" i="2"/>
  <c r="L94" i="2"/>
  <c r="M94" i="2"/>
  <c r="N94" i="2"/>
  <c r="O94" i="2"/>
  <c r="P94" i="2"/>
  <c r="Q94" i="2"/>
  <c r="J95" i="2"/>
  <c r="J96" i="2" s="1"/>
  <c r="J97" i="2" s="1"/>
  <c r="K95" i="2"/>
  <c r="K96" i="2" s="1"/>
  <c r="K97" i="2" s="1"/>
  <c r="L95" i="2"/>
  <c r="L96" i="2" s="1"/>
  <c r="L97" i="2" s="1"/>
  <c r="M95" i="2"/>
  <c r="M96" i="2" s="1"/>
  <c r="M97" i="2" s="1"/>
  <c r="N95" i="2"/>
  <c r="N96" i="2" s="1"/>
  <c r="N97" i="2" s="1"/>
  <c r="O95" i="2"/>
  <c r="O96" i="2" s="1"/>
  <c r="O97" i="2" s="1"/>
  <c r="P95" i="2"/>
  <c r="P96" i="2" s="1"/>
  <c r="P97" i="2" s="1"/>
  <c r="Q95" i="2"/>
  <c r="Q96" i="2" s="1"/>
  <c r="Q97" i="2" s="1"/>
  <c r="K100" i="2"/>
  <c r="L100" i="2"/>
  <c r="M100" i="2"/>
  <c r="N100" i="2"/>
  <c r="O100" i="2"/>
  <c r="P100" i="2"/>
  <c r="Q100" i="2"/>
  <c r="K101" i="2"/>
  <c r="L101" i="2"/>
  <c r="M101" i="2"/>
  <c r="N101" i="2"/>
  <c r="O101" i="2"/>
  <c r="P101" i="2"/>
  <c r="Q101" i="2"/>
  <c r="K102" i="2"/>
  <c r="L102" i="2"/>
  <c r="M102" i="2"/>
  <c r="N102" i="2"/>
  <c r="O102" i="2"/>
  <c r="P102" i="2"/>
  <c r="Q102" i="2"/>
  <c r="K103" i="2"/>
  <c r="L103" i="2"/>
  <c r="M103" i="2"/>
  <c r="N103" i="2"/>
  <c r="O103" i="2"/>
  <c r="P103" i="2"/>
  <c r="Q103" i="2"/>
  <c r="K104" i="2"/>
  <c r="L104" i="2"/>
  <c r="M104" i="2"/>
  <c r="N104" i="2"/>
  <c r="O104" i="2"/>
  <c r="P104" i="2"/>
  <c r="Q104" i="2"/>
  <c r="K105" i="2"/>
  <c r="L105" i="2"/>
  <c r="M105" i="2"/>
  <c r="N105" i="2"/>
  <c r="O105" i="2"/>
  <c r="P105" i="2"/>
  <c r="Q105" i="2"/>
  <c r="K106" i="2"/>
  <c r="L106" i="2"/>
  <c r="M106" i="2"/>
  <c r="N106" i="2"/>
  <c r="O106" i="2"/>
  <c r="P106" i="2"/>
  <c r="Q106" i="2"/>
  <c r="K107" i="2"/>
  <c r="L107" i="2"/>
  <c r="M107" i="2"/>
  <c r="N107" i="2"/>
  <c r="O107" i="2"/>
  <c r="P107" i="2"/>
  <c r="Q107" i="2"/>
  <c r="K108" i="2"/>
  <c r="L108" i="2"/>
  <c r="M108" i="2"/>
  <c r="N108" i="2"/>
  <c r="O108" i="2"/>
  <c r="P108" i="2"/>
  <c r="Q108" i="2"/>
  <c r="K109" i="2"/>
  <c r="L109" i="2"/>
  <c r="M109" i="2"/>
  <c r="N109" i="2"/>
  <c r="O109" i="2"/>
  <c r="P109" i="2"/>
  <c r="Q109" i="2"/>
  <c r="K110" i="2"/>
  <c r="L110" i="2"/>
  <c r="M110" i="2"/>
  <c r="N110" i="2"/>
  <c r="O110" i="2"/>
  <c r="P110" i="2"/>
  <c r="Q110" i="2"/>
  <c r="K111" i="2"/>
  <c r="L111" i="2"/>
  <c r="M111" i="2"/>
  <c r="N111" i="2"/>
  <c r="O111" i="2"/>
  <c r="P111" i="2"/>
  <c r="Q111" i="2"/>
  <c r="K112" i="2"/>
  <c r="L112" i="2"/>
  <c r="M112" i="2"/>
  <c r="N112" i="2"/>
  <c r="O112" i="2"/>
  <c r="P112" i="2"/>
  <c r="Q112" i="2"/>
  <c r="K113" i="2"/>
  <c r="L113" i="2"/>
  <c r="M113" i="2"/>
  <c r="N113" i="2"/>
  <c r="O113" i="2"/>
  <c r="P113" i="2"/>
  <c r="Q113" i="2"/>
  <c r="K114" i="2"/>
  <c r="L114" i="2"/>
  <c r="M114" i="2"/>
  <c r="N114" i="2"/>
  <c r="O114" i="2"/>
  <c r="P114" i="2"/>
  <c r="Q114" i="2"/>
  <c r="K115" i="2"/>
  <c r="L115" i="2"/>
  <c r="M115" i="2"/>
  <c r="N115" i="2"/>
  <c r="O115" i="2"/>
  <c r="P115" i="2"/>
  <c r="Q115" i="2"/>
  <c r="K116" i="2"/>
  <c r="L116" i="2"/>
  <c r="M116" i="2"/>
  <c r="N116" i="2"/>
  <c r="O116" i="2"/>
  <c r="P116" i="2"/>
  <c r="Q116" i="2"/>
  <c r="K117" i="2"/>
  <c r="L117" i="2"/>
  <c r="M117" i="2"/>
  <c r="N117" i="2"/>
  <c r="O117" i="2"/>
  <c r="P117" i="2"/>
  <c r="Q117" i="2"/>
  <c r="K118" i="2"/>
  <c r="L118" i="2"/>
  <c r="M118" i="2"/>
  <c r="N118" i="2"/>
  <c r="O118" i="2"/>
  <c r="P118" i="2"/>
  <c r="Q118" i="2"/>
  <c r="K119" i="2"/>
  <c r="L119" i="2"/>
  <c r="M119" i="2"/>
  <c r="N119" i="2"/>
  <c r="O119" i="2"/>
  <c r="P119" i="2"/>
  <c r="Q119" i="2"/>
  <c r="K120" i="2"/>
  <c r="L120" i="2"/>
  <c r="M120" i="2"/>
  <c r="N120" i="2"/>
  <c r="O120" i="2"/>
  <c r="P120" i="2"/>
  <c r="Q120" i="2"/>
  <c r="K121" i="2"/>
  <c r="L121" i="2"/>
  <c r="M121" i="2"/>
  <c r="N121" i="2"/>
  <c r="O121" i="2"/>
  <c r="P121" i="2"/>
  <c r="Q121" i="2"/>
  <c r="K122" i="2"/>
  <c r="L122" i="2"/>
  <c r="M122" i="2"/>
  <c r="N122" i="2"/>
  <c r="O122" i="2"/>
  <c r="P122" i="2"/>
  <c r="Q122" i="2"/>
  <c r="K123" i="2"/>
  <c r="L123" i="2"/>
  <c r="M123" i="2"/>
  <c r="N123" i="2"/>
  <c r="O123" i="2"/>
  <c r="P123" i="2"/>
  <c r="Q123" i="2"/>
  <c r="K124" i="2"/>
  <c r="L124" i="2"/>
  <c r="M124" i="2"/>
  <c r="N124" i="2"/>
  <c r="O124" i="2"/>
  <c r="P124" i="2"/>
  <c r="Q124" i="2"/>
  <c r="K125" i="2"/>
  <c r="L125" i="2"/>
  <c r="M125" i="2"/>
  <c r="N125" i="2"/>
  <c r="O125" i="2"/>
  <c r="P125" i="2"/>
  <c r="Q125" i="2"/>
  <c r="I133" i="2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J133" i="2"/>
  <c r="K133" i="2"/>
  <c r="L133" i="2"/>
  <c r="M133" i="2"/>
  <c r="N133" i="2"/>
  <c r="O133" i="2"/>
  <c r="P133" i="2"/>
  <c r="Q133" i="2"/>
  <c r="J134" i="2"/>
  <c r="K134" i="2"/>
  <c r="L134" i="2"/>
  <c r="M134" i="2"/>
  <c r="N134" i="2"/>
  <c r="O134" i="2"/>
  <c r="P134" i="2"/>
  <c r="Q134" i="2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K135" i="2"/>
  <c r="L135" i="2"/>
  <c r="M135" i="2"/>
  <c r="N135" i="2"/>
  <c r="O135" i="2"/>
  <c r="P135" i="2"/>
  <c r="Q135" i="2"/>
  <c r="K136" i="2"/>
  <c r="L136" i="2"/>
  <c r="M136" i="2"/>
  <c r="N136" i="2"/>
  <c r="O136" i="2"/>
  <c r="P136" i="2"/>
  <c r="Q136" i="2"/>
  <c r="K137" i="2"/>
  <c r="L137" i="2"/>
  <c r="M137" i="2"/>
  <c r="N137" i="2"/>
  <c r="O137" i="2"/>
  <c r="P137" i="2"/>
  <c r="Q137" i="2"/>
  <c r="K138" i="2"/>
  <c r="L138" i="2"/>
  <c r="M138" i="2"/>
  <c r="N138" i="2"/>
  <c r="O138" i="2"/>
  <c r="P138" i="2"/>
  <c r="Q138" i="2"/>
  <c r="K139" i="2"/>
  <c r="L139" i="2"/>
  <c r="M139" i="2"/>
  <c r="N139" i="2"/>
  <c r="O139" i="2"/>
  <c r="P139" i="2"/>
  <c r="Q139" i="2"/>
  <c r="K140" i="2"/>
  <c r="L140" i="2"/>
  <c r="M140" i="2"/>
  <c r="N140" i="2"/>
  <c r="O140" i="2"/>
  <c r="P140" i="2"/>
  <c r="Q140" i="2"/>
  <c r="K141" i="2"/>
  <c r="L141" i="2"/>
  <c r="M141" i="2"/>
  <c r="N141" i="2"/>
  <c r="O141" i="2"/>
  <c r="P141" i="2"/>
  <c r="Q141" i="2"/>
  <c r="K142" i="2"/>
  <c r="L142" i="2"/>
  <c r="M142" i="2"/>
  <c r="N142" i="2"/>
  <c r="O142" i="2"/>
  <c r="P142" i="2"/>
  <c r="Q142" i="2"/>
  <c r="K143" i="2"/>
  <c r="L143" i="2"/>
  <c r="M143" i="2"/>
  <c r="N143" i="2"/>
  <c r="O143" i="2"/>
  <c r="P143" i="2"/>
  <c r="Q143" i="2"/>
  <c r="K144" i="2"/>
  <c r="L144" i="2"/>
  <c r="M144" i="2"/>
  <c r="N144" i="2"/>
  <c r="O144" i="2"/>
  <c r="P144" i="2"/>
  <c r="Q144" i="2"/>
  <c r="K145" i="2"/>
  <c r="L145" i="2"/>
  <c r="M145" i="2"/>
  <c r="N145" i="2"/>
  <c r="O145" i="2"/>
  <c r="P145" i="2"/>
  <c r="Q145" i="2"/>
  <c r="K146" i="2"/>
  <c r="L146" i="2"/>
  <c r="M146" i="2"/>
  <c r="N146" i="2"/>
  <c r="O146" i="2"/>
  <c r="P146" i="2"/>
  <c r="Q146" i="2"/>
  <c r="K147" i="2"/>
  <c r="L147" i="2"/>
  <c r="M147" i="2"/>
  <c r="N147" i="2"/>
  <c r="O147" i="2"/>
  <c r="P147" i="2"/>
  <c r="Q147" i="2"/>
  <c r="K148" i="2"/>
  <c r="L148" i="2"/>
  <c r="M148" i="2"/>
  <c r="N148" i="2"/>
  <c r="O148" i="2"/>
  <c r="P148" i="2"/>
  <c r="Q148" i="2"/>
  <c r="K149" i="2"/>
  <c r="L149" i="2"/>
  <c r="M149" i="2"/>
  <c r="N149" i="2"/>
  <c r="O149" i="2"/>
  <c r="P149" i="2"/>
  <c r="Q149" i="2"/>
  <c r="K150" i="2"/>
  <c r="L150" i="2"/>
  <c r="M150" i="2"/>
  <c r="N150" i="2"/>
  <c r="O150" i="2"/>
  <c r="P150" i="2"/>
  <c r="Q150" i="2"/>
  <c r="K151" i="2"/>
  <c r="L151" i="2"/>
  <c r="M151" i="2"/>
  <c r="N151" i="2"/>
  <c r="O151" i="2"/>
  <c r="P151" i="2"/>
  <c r="Q151" i="2"/>
  <c r="G15" i="2"/>
  <c r="G23" i="2"/>
  <c r="G33" i="2"/>
  <c r="G43" i="2"/>
  <c r="G51" i="2"/>
  <c r="G59" i="2"/>
  <c r="G96" i="2"/>
  <c r="G69" i="2"/>
  <c r="G76" i="2"/>
  <c r="G84" i="2"/>
  <c r="G87" i="2"/>
  <c r="G97" i="2"/>
  <c r="G154" i="2"/>
  <c r="G155" i="2"/>
  <c r="G175" i="2"/>
  <c r="G195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E42" i="1"/>
  <c r="E26" i="1"/>
  <c r="E27" i="1"/>
  <c r="D27" i="1"/>
  <c r="K189" i="2"/>
  <c r="L189" i="2"/>
  <c r="M189" i="2"/>
  <c r="N189" i="2"/>
  <c r="O189" i="2"/>
  <c r="P189" i="2"/>
  <c r="Q189" i="2"/>
  <c r="K190" i="2"/>
  <c r="L190" i="2"/>
  <c r="M190" i="2"/>
  <c r="N190" i="2"/>
  <c r="O190" i="2"/>
  <c r="P190" i="2"/>
  <c r="Q190" i="2"/>
  <c r="K191" i="2"/>
  <c r="L191" i="2"/>
  <c r="M191" i="2"/>
  <c r="N191" i="2"/>
  <c r="O191" i="2"/>
  <c r="P191" i="2"/>
  <c r="Q191" i="2"/>
  <c r="K192" i="2"/>
  <c r="L192" i="2"/>
  <c r="M192" i="2"/>
  <c r="N192" i="2"/>
  <c r="O192" i="2"/>
  <c r="P192" i="2"/>
  <c r="Q192" i="2"/>
  <c r="K193" i="2"/>
  <c r="L193" i="2"/>
  <c r="M193" i="2"/>
  <c r="N193" i="2"/>
  <c r="O193" i="2"/>
  <c r="P193" i="2"/>
  <c r="Q193" i="2"/>
  <c r="K169" i="2"/>
  <c r="L169" i="2"/>
  <c r="M169" i="2"/>
  <c r="N169" i="2"/>
  <c r="O169" i="2"/>
  <c r="P169" i="2"/>
  <c r="Q169" i="2"/>
  <c r="K170" i="2"/>
  <c r="L170" i="2"/>
  <c r="M170" i="2"/>
  <c r="N170" i="2"/>
  <c r="O170" i="2"/>
  <c r="P170" i="2"/>
  <c r="Q170" i="2"/>
  <c r="K171" i="2"/>
  <c r="L171" i="2"/>
  <c r="M171" i="2"/>
  <c r="N171" i="2"/>
  <c r="O171" i="2"/>
  <c r="P171" i="2"/>
  <c r="Q171" i="2"/>
  <c r="K172" i="2"/>
  <c r="L172" i="2"/>
  <c r="M172" i="2"/>
  <c r="N172" i="2"/>
  <c r="O172" i="2"/>
  <c r="P172" i="2"/>
  <c r="Q172" i="2"/>
  <c r="K173" i="2"/>
  <c r="L173" i="2"/>
  <c r="M173" i="2"/>
  <c r="N173" i="2"/>
  <c r="O173" i="2"/>
  <c r="P173" i="2"/>
  <c r="Q173" i="2"/>
  <c r="K152" i="2"/>
  <c r="L152" i="2"/>
  <c r="M152" i="2"/>
  <c r="N152" i="2"/>
  <c r="O152" i="2"/>
  <c r="P152" i="2"/>
  <c r="Q152" i="2"/>
  <c r="K153" i="2"/>
  <c r="K154" i="2" s="1"/>
  <c r="K155" i="2" s="1"/>
  <c r="L153" i="2"/>
  <c r="L154" i="2" s="1"/>
  <c r="L155" i="2" s="1"/>
  <c r="M153" i="2"/>
  <c r="M154" i="2" s="1"/>
  <c r="M155" i="2" s="1"/>
  <c r="N153" i="2"/>
  <c r="N154" i="2" s="1"/>
  <c r="N155" i="2" s="1"/>
  <c r="O153" i="2"/>
  <c r="O154" i="2" s="1"/>
  <c r="O155" i="2" s="1"/>
  <c r="P153" i="2"/>
  <c r="P154" i="2" s="1"/>
  <c r="P155" i="2" s="1"/>
  <c r="Q153" i="2"/>
  <c r="Q154" i="2" s="1"/>
  <c r="Q155" i="2" s="1"/>
  <c r="K174" i="2"/>
  <c r="K175" i="2" s="1"/>
  <c r="L174" i="2"/>
  <c r="L175" i="2" s="1"/>
  <c r="M174" i="2"/>
  <c r="M175" i="2" s="1"/>
  <c r="N174" i="2"/>
  <c r="N175" i="2" s="1"/>
  <c r="O174" i="2"/>
  <c r="O175" i="2" s="1"/>
  <c r="P174" i="2"/>
  <c r="P175" i="2" s="1"/>
  <c r="Q174" i="2"/>
  <c r="Q175" i="2" s="1"/>
  <c r="J176" i="2"/>
  <c r="K176" i="2"/>
  <c r="L176" i="2"/>
  <c r="M176" i="2"/>
  <c r="N176" i="2"/>
  <c r="O176" i="2"/>
  <c r="P176" i="2"/>
  <c r="Q176" i="2"/>
  <c r="D67" i="1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08" i="2"/>
  <c r="E107" i="2"/>
  <c r="E106" i="2"/>
  <c r="E103" i="2"/>
  <c r="E101" i="2"/>
  <c r="E102" i="2"/>
  <c r="E104" i="2"/>
  <c r="E105" i="2"/>
  <c r="D69" i="1"/>
  <c r="E97" i="2"/>
  <c r="E98" i="2"/>
  <c r="E99" i="2"/>
  <c r="E100" i="2"/>
  <c r="E109" i="2"/>
  <c r="E110" i="2"/>
  <c r="E132" i="2"/>
  <c r="E133" i="2"/>
  <c r="E134" i="2"/>
  <c r="E135" i="2"/>
  <c r="E136" i="2"/>
  <c r="I100" i="2" l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E43" i="2"/>
  <c r="Q42" i="2"/>
  <c r="P42" i="2"/>
  <c r="O42" i="2"/>
  <c r="N42" i="2"/>
  <c r="M42" i="2"/>
  <c r="L42" i="2"/>
  <c r="K42" i="2"/>
  <c r="E42" i="2"/>
  <c r="Q41" i="2"/>
  <c r="Q43" i="2" s="1"/>
  <c r="P41" i="2"/>
  <c r="P43" i="2" s="1"/>
  <c r="O41" i="2"/>
  <c r="O43" i="2" s="1"/>
  <c r="N41" i="2"/>
  <c r="N43" i="2" s="1"/>
  <c r="M41" i="2"/>
  <c r="M43" i="2" s="1"/>
  <c r="L41" i="2"/>
  <c r="L43" i="2" s="1"/>
  <c r="K41" i="2"/>
  <c r="K43" i="2" s="1"/>
  <c r="E41" i="2"/>
  <c r="Q40" i="2"/>
  <c r="P40" i="2"/>
  <c r="O40" i="2"/>
  <c r="N40" i="2"/>
  <c r="M40" i="2"/>
  <c r="L40" i="2"/>
  <c r="K40" i="2"/>
  <c r="E40" i="2"/>
  <c r="Q39" i="2"/>
  <c r="P39" i="2"/>
  <c r="O39" i="2"/>
  <c r="N39" i="2"/>
  <c r="M39" i="2"/>
  <c r="L39" i="2"/>
  <c r="K39" i="2"/>
  <c r="E39" i="2"/>
  <c r="Q38" i="2"/>
  <c r="P38" i="2"/>
  <c r="O38" i="2"/>
  <c r="N38" i="2"/>
  <c r="M38" i="2"/>
  <c r="L38" i="2"/>
  <c r="K38" i="2"/>
  <c r="E38" i="2"/>
  <c r="Q37" i="2"/>
  <c r="P37" i="2"/>
  <c r="O37" i="2"/>
  <c r="N37" i="2"/>
  <c r="M37" i="2"/>
  <c r="L37" i="2"/>
  <c r="K37" i="2"/>
  <c r="E37" i="2"/>
  <c r="Q36" i="2"/>
  <c r="P36" i="2"/>
  <c r="O36" i="2"/>
  <c r="N36" i="2"/>
  <c r="M36" i="2"/>
  <c r="L36" i="2"/>
  <c r="K36" i="2"/>
  <c r="E36" i="2"/>
  <c r="Q35" i="2"/>
  <c r="P35" i="2"/>
  <c r="O35" i="2"/>
  <c r="N35" i="2"/>
  <c r="M35" i="2"/>
  <c r="L35" i="2"/>
  <c r="K35" i="2"/>
  <c r="E35" i="2"/>
  <c r="Q34" i="2"/>
  <c r="P34" i="2"/>
  <c r="O34" i="2"/>
  <c r="N34" i="2"/>
  <c r="M34" i="2"/>
  <c r="L34" i="2"/>
  <c r="K34" i="2"/>
  <c r="J34" i="2"/>
  <c r="J35" i="2" s="1"/>
  <c r="J36" i="2" s="1"/>
  <c r="J37" i="2" s="1"/>
  <c r="J38" i="2" s="1"/>
  <c r="E34" i="2"/>
  <c r="E31" i="2"/>
  <c r="K31" i="2"/>
  <c r="K33" i="2" s="1"/>
  <c r="L31" i="2"/>
  <c r="L33" i="2" s="1"/>
  <c r="M31" i="2"/>
  <c r="M33" i="2" s="1"/>
  <c r="N31" i="2"/>
  <c r="N33" i="2" s="1"/>
  <c r="O31" i="2"/>
  <c r="O33" i="2" s="1"/>
  <c r="P31" i="2"/>
  <c r="P33" i="2" s="1"/>
  <c r="Q31" i="2"/>
  <c r="Q33" i="2" s="1"/>
  <c r="E32" i="2"/>
  <c r="K32" i="2"/>
  <c r="L32" i="2"/>
  <c r="M32" i="2"/>
  <c r="N32" i="2"/>
  <c r="O32" i="2"/>
  <c r="P32" i="2"/>
  <c r="Q32" i="2"/>
  <c r="E33" i="2"/>
  <c r="E44" i="2"/>
  <c r="J44" i="2"/>
  <c r="J46" i="2" s="1"/>
  <c r="K44" i="2"/>
  <c r="L44" i="2"/>
  <c r="M44" i="2"/>
  <c r="N44" i="2"/>
  <c r="O44" i="2"/>
  <c r="P44" i="2"/>
  <c r="Q44" i="2"/>
  <c r="E45" i="2"/>
  <c r="K45" i="2"/>
  <c r="L45" i="2"/>
  <c r="M45" i="2"/>
  <c r="N45" i="2"/>
  <c r="O45" i="2"/>
  <c r="P45" i="2"/>
  <c r="Q45" i="2"/>
  <c r="E46" i="2"/>
  <c r="L46" i="2"/>
  <c r="M46" i="2"/>
  <c r="N46" i="2"/>
  <c r="O46" i="2"/>
  <c r="P46" i="2"/>
  <c r="Q46" i="2"/>
  <c r="D66" i="1"/>
  <c r="F66" i="1"/>
  <c r="E30" i="2"/>
  <c r="Q29" i="2"/>
  <c r="P29" i="2"/>
  <c r="O29" i="2"/>
  <c r="N29" i="2"/>
  <c r="M29" i="2"/>
  <c r="L29" i="2"/>
  <c r="K29" i="2"/>
  <c r="E29" i="2"/>
  <c r="Q28" i="2"/>
  <c r="Q30" i="2" s="1"/>
  <c r="P28" i="2"/>
  <c r="P30" i="2" s="1"/>
  <c r="O28" i="2"/>
  <c r="O30" i="2" s="1"/>
  <c r="N28" i="2"/>
  <c r="N30" i="2" s="1"/>
  <c r="M28" i="2"/>
  <c r="M30" i="2" s="1"/>
  <c r="L28" i="2"/>
  <c r="L30" i="2" s="1"/>
  <c r="K28" i="2"/>
  <c r="K30" i="2" s="1"/>
  <c r="E28" i="2"/>
  <c r="Q27" i="2"/>
  <c r="P27" i="2"/>
  <c r="O27" i="2"/>
  <c r="N27" i="2"/>
  <c r="M27" i="2"/>
  <c r="L27" i="2"/>
  <c r="K27" i="2"/>
  <c r="E27" i="2"/>
  <c r="Q26" i="2"/>
  <c r="P26" i="2"/>
  <c r="O26" i="2"/>
  <c r="N26" i="2"/>
  <c r="M26" i="2"/>
  <c r="L26" i="2"/>
  <c r="K26" i="2"/>
  <c r="E26" i="2"/>
  <c r="Q25" i="2"/>
  <c r="P25" i="2"/>
  <c r="O25" i="2"/>
  <c r="N25" i="2"/>
  <c r="M25" i="2"/>
  <c r="L25" i="2"/>
  <c r="K25" i="2"/>
  <c r="E25" i="2"/>
  <c r="Q24" i="2"/>
  <c r="P24" i="2"/>
  <c r="O24" i="2"/>
  <c r="N24" i="2"/>
  <c r="M24" i="2"/>
  <c r="L24" i="2"/>
  <c r="K24" i="2"/>
  <c r="J24" i="2"/>
  <c r="J25" i="2" s="1"/>
  <c r="J26" i="2" s="1"/>
  <c r="J27" i="2" s="1"/>
  <c r="J28" i="2" s="1"/>
  <c r="E24" i="2"/>
  <c r="G38" i="2" l="1"/>
  <c r="G28" i="2"/>
  <c r="J40" i="2"/>
  <c r="J42" i="2" s="1"/>
  <c r="J39" i="2"/>
  <c r="J41" i="2" s="1"/>
  <c r="J43" i="2" s="1"/>
  <c r="J29" i="2"/>
  <c r="J31" i="2" s="1"/>
  <c r="J33" i="2" s="1"/>
  <c r="J45" i="2" s="1"/>
  <c r="J30" i="2"/>
  <c r="J32" i="2" s="1"/>
  <c r="F27" i="1"/>
  <c r="G149" i="2" s="1"/>
  <c r="E148" i="2"/>
  <c r="E149" i="2"/>
  <c r="K158" i="2" l="1"/>
  <c r="L158" i="2"/>
  <c r="M158" i="2"/>
  <c r="N158" i="2"/>
  <c r="O158" i="2"/>
  <c r="P158" i="2"/>
  <c r="Q158" i="2"/>
  <c r="K159" i="2"/>
  <c r="L159" i="2"/>
  <c r="M159" i="2"/>
  <c r="N159" i="2"/>
  <c r="O159" i="2"/>
  <c r="P159" i="2"/>
  <c r="Q159" i="2"/>
  <c r="K160" i="2"/>
  <c r="L160" i="2"/>
  <c r="M160" i="2"/>
  <c r="N160" i="2"/>
  <c r="O160" i="2"/>
  <c r="P160" i="2"/>
  <c r="Q160" i="2"/>
  <c r="K161" i="2"/>
  <c r="L161" i="2"/>
  <c r="M161" i="2"/>
  <c r="N161" i="2"/>
  <c r="O161" i="2"/>
  <c r="P161" i="2"/>
  <c r="Q161" i="2"/>
  <c r="K162" i="2"/>
  <c r="L162" i="2"/>
  <c r="M162" i="2"/>
  <c r="N162" i="2"/>
  <c r="O162" i="2"/>
  <c r="P162" i="2"/>
  <c r="Q162" i="2"/>
  <c r="K163" i="2"/>
  <c r="L163" i="2"/>
  <c r="M163" i="2"/>
  <c r="N163" i="2"/>
  <c r="O163" i="2"/>
  <c r="P163" i="2"/>
  <c r="Q163" i="2"/>
  <c r="K164" i="2"/>
  <c r="L164" i="2"/>
  <c r="M164" i="2"/>
  <c r="N164" i="2"/>
  <c r="O164" i="2"/>
  <c r="P164" i="2"/>
  <c r="Q164" i="2"/>
  <c r="K165" i="2"/>
  <c r="L165" i="2"/>
  <c r="M165" i="2"/>
  <c r="N165" i="2"/>
  <c r="O165" i="2"/>
  <c r="P165" i="2"/>
  <c r="Q165" i="2"/>
  <c r="K166" i="2"/>
  <c r="L166" i="2"/>
  <c r="M166" i="2"/>
  <c r="N166" i="2"/>
  <c r="O166" i="2"/>
  <c r="P166" i="2"/>
  <c r="Q166" i="2"/>
  <c r="K167" i="2"/>
  <c r="L167" i="2"/>
  <c r="M167" i="2"/>
  <c r="N167" i="2"/>
  <c r="O167" i="2"/>
  <c r="P167" i="2"/>
  <c r="Q167" i="2"/>
  <c r="K168" i="2"/>
  <c r="L168" i="2"/>
  <c r="M168" i="2"/>
  <c r="N168" i="2"/>
  <c r="O168" i="2"/>
  <c r="P168" i="2"/>
  <c r="Q168" i="2"/>
  <c r="J177" i="2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K177" i="2"/>
  <c r="L177" i="2"/>
  <c r="M177" i="2"/>
  <c r="N177" i="2"/>
  <c r="O177" i="2"/>
  <c r="P177" i="2"/>
  <c r="Q177" i="2"/>
  <c r="K178" i="2"/>
  <c r="L178" i="2"/>
  <c r="M178" i="2"/>
  <c r="N178" i="2"/>
  <c r="O178" i="2"/>
  <c r="P178" i="2"/>
  <c r="Q178" i="2"/>
  <c r="K179" i="2"/>
  <c r="L179" i="2"/>
  <c r="M179" i="2"/>
  <c r="N179" i="2"/>
  <c r="O179" i="2"/>
  <c r="P179" i="2"/>
  <c r="Q179" i="2"/>
  <c r="K180" i="2"/>
  <c r="L180" i="2"/>
  <c r="M180" i="2"/>
  <c r="N180" i="2"/>
  <c r="O180" i="2"/>
  <c r="P180" i="2"/>
  <c r="Q180" i="2"/>
  <c r="K181" i="2"/>
  <c r="L181" i="2"/>
  <c r="M181" i="2"/>
  <c r="N181" i="2"/>
  <c r="O181" i="2"/>
  <c r="P181" i="2"/>
  <c r="Q181" i="2"/>
  <c r="K182" i="2"/>
  <c r="L182" i="2"/>
  <c r="M182" i="2"/>
  <c r="N182" i="2"/>
  <c r="O182" i="2"/>
  <c r="P182" i="2"/>
  <c r="Q182" i="2"/>
  <c r="K183" i="2"/>
  <c r="L183" i="2"/>
  <c r="M183" i="2"/>
  <c r="N183" i="2"/>
  <c r="O183" i="2"/>
  <c r="P183" i="2"/>
  <c r="Q183" i="2"/>
  <c r="K184" i="2"/>
  <c r="L184" i="2"/>
  <c r="M184" i="2"/>
  <c r="N184" i="2"/>
  <c r="O184" i="2"/>
  <c r="P184" i="2"/>
  <c r="Q184" i="2"/>
  <c r="K185" i="2"/>
  <c r="L185" i="2"/>
  <c r="M185" i="2"/>
  <c r="N185" i="2"/>
  <c r="O185" i="2"/>
  <c r="P185" i="2"/>
  <c r="Q185" i="2"/>
  <c r="K186" i="2"/>
  <c r="L186" i="2"/>
  <c r="M186" i="2"/>
  <c r="N186" i="2"/>
  <c r="O186" i="2"/>
  <c r="P186" i="2"/>
  <c r="Q186" i="2"/>
  <c r="K187" i="2"/>
  <c r="L187" i="2"/>
  <c r="M187" i="2"/>
  <c r="N187" i="2"/>
  <c r="O187" i="2"/>
  <c r="P187" i="2"/>
  <c r="Q187" i="2"/>
  <c r="K188" i="2"/>
  <c r="L188" i="2"/>
  <c r="M188" i="2"/>
  <c r="N188" i="2"/>
  <c r="O188" i="2"/>
  <c r="P188" i="2"/>
  <c r="Q188" i="2"/>
  <c r="E189" i="2"/>
  <c r="E169" i="2"/>
  <c r="E187" i="2"/>
  <c r="E188" i="2"/>
  <c r="E184" i="2"/>
  <c r="E185" i="2"/>
  <c r="E164" i="2"/>
  <c r="E182" i="2"/>
  <c r="E181" i="2"/>
  <c r="E162" i="2"/>
  <c r="E161" i="2"/>
  <c r="E167" i="2"/>
  <c r="E168" i="2"/>
  <c r="E145" i="2"/>
  <c r="E146" i="2"/>
  <c r="D65" i="1"/>
  <c r="E139" i="2"/>
  <c r="E140" i="2"/>
  <c r="E141" i="2"/>
  <c r="E142" i="2"/>
  <c r="D64" i="1"/>
  <c r="E147" i="2"/>
  <c r="E143" i="2"/>
  <c r="E144" i="2"/>
  <c r="D63" i="1"/>
  <c r="J48" i="1" l="1"/>
  <c r="N48" i="1" s="1"/>
  <c r="O48" i="1" s="1"/>
  <c r="J62" i="1"/>
  <c r="N62" i="1" s="1"/>
  <c r="O62" i="1" s="1"/>
  <c r="J71" i="1"/>
  <c r="N71" i="1" s="1"/>
  <c r="O71" i="1" s="1"/>
  <c r="J72" i="1"/>
  <c r="N72" i="1" s="1"/>
  <c r="O72" i="1" s="1"/>
  <c r="J73" i="1"/>
  <c r="N73" i="1" s="1"/>
  <c r="O73" i="1" s="1"/>
  <c r="J74" i="1"/>
  <c r="N74" i="1" s="1"/>
  <c r="O74" i="1" s="1"/>
  <c r="J75" i="1"/>
  <c r="N75" i="1" s="1"/>
  <c r="O75" i="1" s="1"/>
  <c r="J76" i="1"/>
  <c r="N76" i="1" s="1"/>
  <c r="O76" i="1" s="1"/>
  <c r="J77" i="1"/>
  <c r="N77" i="1" s="1"/>
  <c r="O77" i="1" s="1"/>
  <c r="J78" i="1"/>
  <c r="N78" i="1" s="1"/>
  <c r="O78" i="1" s="1"/>
  <c r="J79" i="1"/>
  <c r="N79" i="1" s="1"/>
  <c r="O79" i="1" s="1"/>
  <c r="J80" i="1"/>
  <c r="N80" i="1" s="1"/>
  <c r="O80" i="1" s="1"/>
  <c r="J81" i="1"/>
  <c r="N81" i="1" s="1"/>
  <c r="O81" i="1" s="1"/>
  <c r="J82" i="1"/>
  <c r="N82" i="1" s="1"/>
  <c r="O82" i="1" s="1"/>
  <c r="J83" i="1"/>
  <c r="N83" i="1" s="1"/>
  <c r="O83" i="1" s="1"/>
  <c r="J84" i="1"/>
  <c r="N84" i="1" s="1"/>
  <c r="O84" i="1" s="1"/>
  <c r="J85" i="1"/>
  <c r="N85" i="1" s="1"/>
  <c r="O85" i="1" s="1"/>
  <c r="J86" i="1"/>
  <c r="N86" i="1" s="1"/>
  <c r="O86" i="1" s="1"/>
  <c r="J87" i="1"/>
  <c r="N87" i="1" s="1"/>
  <c r="O87" i="1" s="1"/>
  <c r="J88" i="1"/>
  <c r="N88" i="1" s="1"/>
  <c r="O88" i="1" s="1"/>
  <c r="J89" i="1"/>
  <c r="N89" i="1" s="1"/>
  <c r="O89" i="1" s="1"/>
  <c r="J90" i="1"/>
  <c r="N90" i="1" s="1"/>
  <c r="O90" i="1" s="1"/>
  <c r="J91" i="1"/>
  <c r="N91" i="1" s="1"/>
  <c r="O91" i="1" s="1"/>
  <c r="J92" i="1"/>
  <c r="N92" i="1" s="1"/>
  <c r="O92" i="1" s="1"/>
  <c r="J93" i="1"/>
  <c r="N93" i="1" s="1"/>
  <c r="O93" i="1" s="1"/>
  <c r="J94" i="1"/>
  <c r="N94" i="1" s="1"/>
  <c r="O94" i="1" s="1"/>
  <c r="J95" i="1"/>
  <c r="N95" i="1" s="1"/>
  <c r="O95" i="1" s="1"/>
  <c r="J96" i="1"/>
  <c r="N96" i="1" s="1"/>
  <c r="O96" i="1" s="1"/>
  <c r="J97" i="1"/>
  <c r="N97" i="1" s="1"/>
  <c r="O97" i="1" s="1"/>
  <c r="J98" i="1"/>
  <c r="N98" i="1" s="1"/>
  <c r="O98" i="1" s="1"/>
  <c r="J99" i="1"/>
  <c r="N99" i="1" s="1"/>
  <c r="O99" i="1" s="1"/>
  <c r="J100" i="1"/>
  <c r="N100" i="1" s="1"/>
  <c r="O100" i="1" s="1"/>
  <c r="J101" i="1"/>
  <c r="N101" i="1" s="1"/>
  <c r="O101" i="1" s="1"/>
  <c r="J102" i="1"/>
  <c r="N102" i="1" s="1"/>
  <c r="O102" i="1" s="1"/>
  <c r="J103" i="1"/>
  <c r="N103" i="1" s="1"/>
  <c r="O103" i="1" s="1"/>
  <c r="J104" i="1"/>
  <c r="N104" i="1" s="1"/>
  <c r="O104" i="1" s="1"/>
  <c r="J105" i="1"/>
  <c r="N105" i="1" s="1"/>
  <c r="O105" i="1" s="1"/>
  <c r="J106" i="1"/>
  <c r="N106" i="1" s="1"/>
  <c r="O106" i="1" s="1"/>
  <c r="J107" i="1"/>
  <c r="N107" i="1" s="1"/>
  <c r="O107" i="1" s="1"/>
  <c r="J108" i="1"/>
  <c r="N108" i="1" s="1"/>
  <c r="O108" i="1" s="1"/>
  <c r="J109" i="1"/>
  <c r="N109" i="1" s="1"/>
  <c r="O109" i="1" s="1"/>
  <c r="J110" i="1"/>
  <c r="N110" i="1" s="1"/>
  <c r="O110" i="1" s="1"/>
  <c r="J111" i="1"/>
  <c r="N111" i="1" s="1"/>
  <c r="O111" i="1" s="1"/>
  <c r="J112" i="1"/>
  <c r="N112" i="1" s="1"/>
  <c r="O112" i="1" s="1"/>
  <c r="J113" i="1"/>
  <c r="N113" i="1" s="1"/>
  <c r="O113" i="1" s="1"/>
  <c r="J114" i="1"/>
  <c r="N114" i="1" s="1"/>
  <c r="O114" i="1" s="1"/>
  <c r="J115" i="1"/>
  <c r="N115" i="1" s="1"/>
  <c r="O115" i="1" s="1"/>
  <c r="J116" i="1"/>
  <c r="N116" i="1" s="1"/>
  <c r="O116" i="1" s="1"/>
  <c r="J117" i="1"/>
  <c r="N117" i="1" s="1"/>
  <c r="O117" i="1" s="1"/>
  <c r="J118" i="1"/>
  <c r="N118" i="1" s="1"/>
  <c r="O118" i="1" s="1"/>
  <c r="J119" i="1"/>
  <c r="N119" i="1" s="1"/>
  <c r="O119" i="1" s="1"/>
  <c r="J120" i="1"/>
  <c r="N120" i="1" s="1"/>
  <c r="O120" i="1" s="1"/>
  <c r="J121" i="1"/>
  <c r="N121" i="1" s="1"/>
  <c r="O121" i="1" s="1"/>
  <c r="J122" i="1"/>
  <c r="N122" i="1" s="1"/>
  <c r="O122" i="1" s="1"/>
  <c r="J123" i="1"/>
  <c r="N123" i="1" s="1"/>
  <c r="O123" i="1" s="1"/>
  <c r="J124" i="1"/>
  <c r="N124" i="1" s="1"/>
  <c r="O124" i="1" s="1"/>
  <c r="J125" i="1"/>
  <c r="N125" i="1" s="1"/>
  <c r="O125" i="1" s="1"/>
  <c r="J126" i="1"/>
  <c r="N126" i="1" s="1"/>
  <c r="O126" i="1" s="1"/>
  <c r="J127" i="1"/>
  <c r="N127" i="1" s="1"/>
  <c r="O127" i="1" s="1"/>
  <c r="J128" i="1"/>
  <c r="N128" i="1" s="1"/>
  <c r="O128" i="1" s="1"/>
  <c r="J129" i="1"/>
  <c r="N129" i="1" s="1"/>
  <c r="O129" i="1" s="1"/>
  <c r="J130" i="1"/>
  <c r="N130" i="1" s="1"/>
  <c r="O130" i="1" s="1"/>
  <c r="J131" i="1"/>
  <c r="N131" i="1" s="1"/>
  <c r="O131" i="1" s="1"/>
  <c r="J132" i="1"/>
  <c r="N132" i="1" s="1"/>
  <c r="O132" i="1" s="1"/>
  <c r="J133" i="1"/>
  <c r="N133" i="1" s="1"/>
  <c r="O133" i="1" s="1"/>
  <c r="J134" i="1"/>
  <c r="N134" i="1" s="1"/>
  <c r="O134" i="1" s="1"/>
  <c r="J135" i="1"/>
  <c r="N135" i="1" s="1"/>
  <c r="O135" i="1" s="1"/>
  <c r="J136" i="1"/>
  <c r="N136" i="1" s="1"/>
  <c r="O136" i="1" s="1"/>
  <c r="J137" i="1"/>
  <c r="N137" i="1" s="1"/>
  <c r="O137" i="1" s="1"/>
  <c r="J138" i="1"/>
  <c r="N138" i="1" s="1"/>
  <c r="O138" i="1" s="1"/>
  <c r="J139" i="1"/>
  <c r="N139" i="1" s="1"/>
  <c r="O139" i="1" s="1"/>
  <c r="J140" i="1"/>
  <c r="N140" i="1" s="1"/>
  <c r="O140" i="1" s="1"/>
  <c r="J141" i="1"/>
  <c r="N141" i="1" s="1"/>
  <c r="O141" i="1" s="1"/>
  <c r="J142" i="1"/>
  <c r="N142" i="1" s="1"/>
  <c r="O142" i="1" s="1"/>
  <c r="J143" i="1"/>
  <c r="N143" i="1" s="1"/>
  <c r="O143" i="1" s="1"/>
  <c r="J144" i="1"/>
  <c r="N144" i="1" s="1"/>
  <c r="O144" i="1" s="1"/>
  <c r="J145" i="1"/>
  <c r="N145" i="1" s="1"/>
  <c r="O145" i="1" s="1"/>
  <c r="J146" i="1"/>
  <c r="N146" i="1" s="1"/>
  <c r="O146" i="1" s="1"/>
  <c r="J147" i="1"/>
  <c r="N147" i="1" s="1"/>
  <c r="O147" i="1" s="1"/>
  <c r="J148" i="1"/>
  <c r="N148" i="1" s="1"/>
  <c r="O148" i="1" s="1"/>
  <c r="J149" i="1"/>
  <c r="N149" i="1" s="1"/>
  <c r="O149" i="1" s="1"/>
  <c r="J150" i="1"/>
  <c r="N150" i="1" s="1"/>
  <c r="O150" i="1" s="1"/>
  <c r="J151" i="1"/>
  <c r="N151" i="1" s="1"/>
  <c r="O151" i="1" s="1"/>
  <c r="J152" i="1"/>
  <c r="N152" i="1" s="1"/>
  <c r="O152" i="1" s="1"/>
  <c r="J153" i="1"/>
  <c r="N153" i="1" s="1"/>
  <c r="O153" i="1" s="1"/>
  <c r="J154" i="1"/>
  <c r="N154" i="1" s="1"/>
  <c r="O154" i="1" s="1"/>
  <c r="J155" i="1"/>
  <c r="N155" i="1" s="1"/>
  <c r="O155" i="1" s="1"/>
  <c r="J156" i="1"/>
  <c r="N156" i="1" s="1"/>
  <c r="O156" i="1" s="1"/>
  <c r="J157" i="1"/>
  <c r="N157" i="1" s="1"/>
  <c r="O157" i="1" s="1"/>
  <c r="J158" i="1"/>
  <c r="N158" i="1" s="1"/>
  <c r="O158" i="1" s="1"/>
  <c r="J159" i="1"/>
  <c r="N159" i="1" s="1"/>
  <c r="O159" i="1" s="1"/>
  <c r="J160" i="1"/>
  <c r="N160" i="1" s="1"/>
  <c r="O160" i="1" s="1"/>
  <c r="J161" i="1"/>
  <c r="N161" i="1" s="1"/>
  <c r="O161" i="1" s="1"/>
  <c r="J162" i="1"/>
  <c r="N162" i="1" s="1"/>
  <c r="O162" i="1" s="1"/>
  <c r="J163" i="1"/>
  <c r="N163" i="1" s="1"/>
  <c r="O163" i="1" s="1"/>
  <c r="J164" i="1"/>
  <c r="N164" i="1" s="1"/>
  <c r="O164" i="1" s="1"/>
  <c r="J165" i="1"/>
  <c r="N165" i="1" s="1"/>
  <c r="O165" i="1" s="1"/>
  <c r="J166" i="1"/>
  <c r="N166" i="1" s="1"/>
  <c r="O166" i="1" s="1"/>
  <c r="J167" i="1"/>
  <c r="N167" i="1" s="1"/>
  <c r="O167" i="1" s="1"/>
  <c r="J168" i="1"/>
  <c r="N168" i="1" s="1"/>
  <c r="O168" i="1" s="1"/>
  <c r="J169" i="1"/>
  <c r="N169" i="1" s="1"/>
  <c r="O169" i="1" s="1"/>
  <c r="J170" i="1"/>
  <c r="N170" i="1" s="1"/>
  <c r="O170" i="1" s="1"/>
  <c r="J171" i="1"/>
  <c r="N171" i="1" s="1"/>
  <c r="O171" i="1" s="1"/>
  <c r="J172" i="1"/>
  <c r="N172" i="1" s="1"/>
  <c r="O172" i="1" s="1"/>
  <c r="J173" i="1"/>
  <c r="N173" i="1" s="1"/>
  <c r="O173" i="1" s="1"/>
  <c r="J174" i="1"/>
  <c r="N174" i="1" s="1"/>
  <c r="O174" i="1" s="1"/>
  <c r="J175" i="1"/>
  <c r="N175" i="1" s="1"/>
  <c r="O175" i="1" s="1"/>
  <c r="J176" i="1"/>
  <c r="N176" i="1" s="1"/>
  <c r="O176" i="1" s="1"/>
  <c r="J177" i="1"/>
  <c r="N177" i="1" s="1"/>
  <c r="O177" i="1" s="1"/>
  <c r="J178" i="1"/>
  <c r="N178" i="1" s="1"/>
  <c r="O178" i="1" s="1"/>
  <c r="J179" i="1"/>
  <c r="N179" i="1" s="1"/>
  <c r="O179" i="1" s="1"/>
  <c r="J180" i="1"/>
  <c r="N180" i="1" s="1"/>
  <c r="O180" i="1" s="1"/>
  <c r="J181" i="1"/>
  <c r="N181" i="1" s="1"/>
  <c r="O181" i="1" s="1"/>
  <c r="J182" i="1"/>
  <c r="N182" i="1" s="1"/>
  <c r="O182" i="1" s="1"/>
  <c r="J183" i="1"/>
  <c r="N183" i="1" s="1"/>
  <c r="O183" i="1" s="1"/>
  <c r="J184" i="1"/>
  <c r="N184" i="1" s="1"/>
  <c r="O184" i="1" s="1"/>
  <c r="J185" i="1"/>
  <c r="N185" i="1" s="1"/>
  <c r="O185" i="1" s="1"/>
  <c r="J186" i="1"/>
  <c r="N186" i="1" s="1"/>
  <c r="O186" i="1" s="1"/>
  <c r="J187" i="1"/>
  <c r="N187" i="1" s="1"/>
  <c r="O187" i="1" s="1"/>
  <c r="J188" i="1"/>
  <c r="N188" i="1" s="1"/>
  <c r="O188" i="1" s="1"/>
  <c r="J189" i="1"/>
  <c r="N189" i="1" s="1"/>
  <c r="O189" i="1" s="1"/>
  <c r="J190" i="1"/>
  <c r="N190" i="1" s="1"/>
  <c r="O190" i="1" s="1"/>
  <c r="J191" i="1"/>
  <c r="N191" i="1" s="1"/>
  <c r="O191" i="1" s="1"/>
  <c r="J192" i="1"/>
  <c r="N192" i="1" s="1"/>
  <c r="O192" i="1" s="1"/>
  <c r="J193" i="1"/>
  <c r="N193" i="1" s="1"/>
  <c r="O193" i="1" s="1"/>
  <c r="J194" i="1"/>
  <c r="N194" i="1" s="1"/>
  <c r="O194" i="1" s="1"/>
  <c r="J195" i="1"/>
  <c r="N195" i="1" s="1"/>
  <c r="O195" i="1" s="1"/>
  <c r="J196" i="1"/>
  <c r="N196" i="1" s="1"/>
  <c r="O196" i="1" s="1"/>
  <c r="J197" i="1"/>
  <c r="N197" i="1" s="1"/>
  <c r="O197" i="1" s="1"/>
  <c r="J198" i="1"/>
  <c r="N198" i="1" s="1"/>
  <c r="O198" i="1" s="1"/>
  <c r="J199" i="1"/>
  <c r="N199" i="1" s="1"/>
  <c r="O199" i="1" s="1"/>
  <c r="J200" i="1"/>
  <c r="N200" i="1" s="1"/>
  <c r="O200" i="1" s="1"/>
  <c r="J201" i="1"/>
  <c r="N201" i="1" s="1"/>
  <c r="O201" i="1" s="1"/>
  <c r="J202" i="1"/>
  <c r="N202" i="1" s="1"/>
  <c r="O202" i="1" s="1"/>
  <c r="J203" i="1"/>
  <c r="N203" i="1" s="1"/>
  <c r="O203" i="1" s="1"/>
  <c r="J204" i="1"/>
  <c r="N204" i="1" s="1"/>
  <c r="O204" i="1" s="1"/>
  <c r="J205" i="1"/>
  <c r="N205" i="1" s="1"/>
  <c r="O205" i="1" s="1"/>
  <c r="J206" i="1"/>
  <c r="N206" i="1" s="1"/>
  <c r="O206" i="1" s="1"/>
  <c r="J207" i="1"/>
  <c r="N207" i="1" s="1"/>
  <c r="O207" i="1" s="1"/>
  <c r="J208" i="1"/>
  <c r="N208" i="1" s="1"/>
  <c r="O208" i="1" s="1"/>
  <c r="J209" i="1"/>
  <c r="N209" i="1" s="1"/>
  <c r="O209" i="1" s="1"/>
  <c r="J210" i="1"/>
  <c r="N210" i="1" s="1"/>
  <c r="O210" i="1" s="1"/>
  <c r="J211" i="1"/>
  <c r="N211" i="1" s="1"/>
  <c r="O211" i="1" s="1"/>
  <c r="J212" i="1"/>
  <c r="N212" i="1" s="1"/>
  <c r="O212" i="1" s="1"/>
  <c r="J213" i="1"/>
  <c r="N213" i="1" s="1"/>
  <c r="O213" i="1" s="1"/>
  <c r="J214" i="1"/>
  <c r="N214" i="1" s="1"/>
  <c r="O214" i="1" s="1"/>
  <c r="J215" i="1"/>
  <c r="N215" i="1" s="1"/>
  <c r="O215" i="1" s="1"/>
  <c r="J216" i="1"/>
  <c r="N216" i="1" s="1"/>
  <c r="O216" i="1" s="1"/>
  <c r="J217" i="1"/>
  <c r="N217" i="1" s="1"/>
  <c r="O217" i="1" s="1"/>
  <c r="J218" i="1"/>
  <c r="N218" i="1" s="1"/>
  <c r="O218" i="1" s="1"/>
  <c r="J219" i="1"/>
  <c r="N219" i="1" s="1"/>
  <c r="O219" i="1" s="1"/>
  <c r="J220" i="1"/>
  <c r="N220" i="1" s="1"/>
  <c r="O220" i="1" s="1"/>
  <c r="J221" i="1"/>
  <c r="N221" i="1" s="1"/>
  <c r="O221" i="1" s="1"/>
  <c r="J222" i="1"/>
  <c r="N222" i="1" s="1"/>
  <c r="O222" i="1" s="1"/>
  <c r="J223" i="1"/>
  <c r="N223" i="1" s="1"/>
  <c r="O223" i="1" s="1"/>
  <c r="J224" i="1"/>
  <c r="N224" i="1" s="1"/>
  <c r="O224" i="1" s="1"/>
  <c r="J225" i="1"/>
  <c r="N225" i="1" s="1"/>
  <c r="O225" i="1" s="1"/>
  <c r="J226" i="1"/>
  <c r="N226" i="1" s="1"/>
  <c r="O226" i="1" s="1"/>
  <c r="J227" i="1"/>
  <c r="N227" i="1" s="1"/>
  <c r="O227" i="1" s="1"/>
  <c r="J228" i="1"/>
  <c r="N228" i="1" s="1"/>
  <c r="O228" i="1" s="1"/>
  <c r="J229" i="1"/>
  <c r="N229" i="1" s="1"/>
  <c r="O229" i="1" s="1"/>
  <c r="J230" i="1"/>
  <c r="N230" i="1" s="1"/>
  <c r="O230" i="1" s="1"/>
  <c r="J231" i="1"/>
  <c r="N231" i="1" s="1"/>
  <c r="O231" i="1" s="1"/>
  <c r="J232" i="1"/>
  <c r="N232" i="1" s="1"/>
  <c r="O232" i="1" s="1"/>
  <c r="J233" i="1"/>
  <c r="N233" i="1" s="1"/>
  <c r="O233" i="1" s="1"/>
  <c r="J234" i="1"/>
  <c r="N234" i="1" s="1"/>
  <c r="O234" i="1" s="1"/>
  <c r="J235" i="1"/>
  <c r="N235" i="1" s="1"/>
  <c r="O235" i="1" s="1"/>
  <c r="J236" i="1"/>
  <c r="N236" i="1" s="1"/>
  <c r="O236" i="1" s="1"/>
  <c r="J237" i="1"/>
  <c r="N237" i="1" s="1"/>
  <c r="O237" i="1" s="1"/>
  <c r="J238" i="1"/>
  <c r="N238" i="1" s="1"/>
  <c r="O238" i="1" s="1"/>
  <c r="J239" i="1"/>
  <c r="N239" i="1" s="1"/>
  <c r="O239" i="1" s="1"/>
  <c r="J240" i="1"/>
  <c r="N240" i="1" s="1"/>
  <c r="O240" i="1" s="1"/>
  <c r="J241" i="1"/>
  <c r="N241" i="1" s="1"/>
  <c r="O241" i="1" s="1"/>
  <c r="J242" i="1"/>
  <c r="N242" i="1" s="1"/>
  <c r="O242" i="1" s="1"/>
  <c r="J243" i="1"/>
  <c r="N243" i="1" s="1"/>
  <c r="O243" i="1" s="1"/>
  <c r="J244" i="1"/>
  <c r="N244" i="1" s="1"/>
  <c r="O244" i="1" s="1"/>
  <c r="J245" i="1"/>
  <c r="N245" i="1" s="1"/>
  <c r="O245" i="1" s="1"/>
  <c r="J246" i="1"/>
  <c r="N246" i="1" s="1"/>
  <c r="O246" i="1" s="1"/>
  <c r="J247" i="1"/>
  <c r="N247" i="1" s="1"/>
  <c r="O247" i="1" s="1"/>
  <c r="J248" i="1"/>
  <c r="N248" i="1" s="1"/>
  <c r="O248" i="1" s="1"/>
  <c r="J249" i="1"/>
  <c r="N249" i="1" s="1"/>
  <c r="O249" i="1" s="1"/>
  <c r="J250" i="1"/>
  <c r="N250" i="1" s="1"/>
  <c r="O250" i="1" s="1"/>
  <c r="J251" i="1"/>
  <c r="N251" i="1" s="1"/>
  <c r="O251" i="1" s="1"/>
  <c r="J252" i="1"/>
  <c r="N252" i="1" s="1"/>
  <c r="O252" i="1" s="1"/>
  <c r="J253" i="1"/>
  <c r="N253" i="1" s="1"/>
  <c r="O253" i="1" s="1"/>
  <c r="J254" i="1"/>
  <c r="N254" i="1" s="1"/>
  <c r="O254" i="1" s="1"/>
  <c r="J255" i="1"/>
  <c r="N255" i="1" s="1"/>
  <c r="O255" i="1" s="1"/>
  <c r="J256" i="1"/>
  <c r="N256" i="1" s="1"/>
  <c r="O256" i="1" s="1"/>
  <c r="J257" i="1"/>
  <c r="N257" i="1" s="1"/>
  <c r="O257" i="1" s="1"/>
  <c r="J258" i="1"/>
  <c r="N258" i="1" s="1"/>
  <c r="O258" i="1" s="1"/>
  <c r="J259" i="1"/>
  <c r="N259" i="1" s="1"/>
  <c r="O259" i="1" s="1"/>
  <c r="J260" i="1"/>
  <c r="N260" i="1" s="1"/>
  <c r="O260" i="1" s="1"/>
  <c r="J261" i="1"/>
  <c r="N261" i="1" s="1"/>
  <c r="O261" i="1" s="1"/>
  <c r="J262" i="1"/>
  <c r="N262" i="1" s="1"/>
  <c r="O262" i="1" s="1"/>
  <c r="J263" i="1"/>
  <c r="N263" i="1" s="1"/>
  <c r="O263" i="1" s="1"/>
  <c r="J264" i="1"/>
  <c r="N264" i="1" s="1"/>
  <c r="O264" i="1" s="1"/>
  <c r="J265" i="1"/>
  <c r="N265" i="1" s="1"/>
  <c r="O265" i="1" s="1"/>
  <c r="J266" i="1"/>
  <c r="N266" i="1" s="1"/>
  <c r="O266" i="1" s="1"/>
  <c r="J267" i="1"/>
  <c r="N267" i="1" s="1"/>
  <c r="O267" i="1" s="1"/>
  <c r="J268" i="1"/>
  <c r="N268" i="1" s="1"/>
  <c r="O268" i="1" s="1"/>
  <c r="J269" i="1"/>
  <c r="N269" i="1" s="1"/>
  <c r="O269" i="1" s="1"/>
  <c r="J270" i="1"/>
  <c r="N270" i="1" s="1"/>
  <c r="O270" i="1" s="1"/>
  <c r="J271" i="1"/>
  <c r="N271" i="1" s="1"/>
  <c r="O271" i="1" s="1"/>
  <c r="J272" i="1"/>
  <c r="N272" i="1" s="1"/>
  <c r="O272" i="1" s="1"/>
  <c r="J273" i="1"/>
  <c r="N273" i="1" s="1"/>
  <c r="O273" i="1" s="1"/>
  <c r="J274" i="1"/>
  <c r="N274" i="1" s="1"/>
  <c r="O274" i="1" s="1"/>
  <c r="J275" i="1"/>
  <c r="N275" i="1" s="1"/>
  <c r="O275" i="1" s="1"/>
  <c r="J276" i="1"/>
  <c r="N276" i="1" s="1"/>
  <c r="O276" i="1" s="1"/>
  <c r="J277" i="1"/>
  <c r="N277" i="1" s="1"/>
  <c r="O277" i="1" s="1"/>
  <c r="J278" i="1"/>
  <c r="N278" i="1" s="1"/>
  <c r="O278" i="1" s="1"/>
  <c r="J279" i="1"/>
  <c r="N279" i="1" s="1"/>
  <c r="O279" i="1" s="1"/>
  <c r="J280" i="1"/>
  <c r="N280" i="1" s="1"/>
  <c r="O280" i="1" s="1"/>
  <c r="J281" i="1"/>
  <c r="N281" i="1" s="1"/>
  <c r="O281" i="1" s="1"/>
  <c r="J282" i="1"/>
  <c r="N282" i="1" s="1"/>
  <c r="O282" i="1" s="1"/>
  <c r="J283" i="1"/>
  <c r="N283" i="1" s="1"/>
  <c r="O283" i="1" s="1"/>
  <c r="J284" i="1"/>
  <c r="N284" i="1" s="1"/>
  <c r="O284" i="1" s="1"/>
  <c r="J285" i="1"/>
  <c r="N285" i="1" s="1"/>
  <c r="O285" i="1" s="1"/>
  <c r="J286" i="1"/>
  <c r="N286" i="1" s="1"/>
  <c r="O286" i="1" s="1"/>
  <c r="J287" i="1"/>
  <c r="N287" i="1" s="1"/>
  <c r="O287" i="1" s="1"/>
  <c r="J288" i="1"/>
  <c r="N288" i="1" s="1"/>
  <c r="O288" i="1" s="1"/>
  <c r="J289" i="1"/>
  <c r="N289" i="1" s="1"/>
  <c r="O289" i="1" s="1"/>
  <c r="J290" i="1"/>
  <c r="N290" i="1" s="1"/>
  <c r="O290" i="1" s="1"/>
  <c r="J291" i="1"/>
  <c r="N291" i="1" s="1"/>
  <c r="O291" i="1" s="1"/>
  <c r="J292" i="1"/>
  <c r="N292" i="1" s="1"/>
  <c r="O292" i="1" s="1"/>
  <c r="J293" i="1"/>
  <c r="N293" i="1" s="1"/>
  <c r="O293" i="1" s="1"/>
  <c r="J294" i="1"/>
  <c r="N294" i="1" s="1"/>
  <c r="O294" i="1" s="1"/>
  <c r="J295" i="1"/>
  <c r="N295" i="1" s="1"/>
  <c r="O295" i="1" s="1"/>
  <c r="J296" i="1"/>
  <c r="N296" i="1" s="1"/>
  <c r="O296" i="1" s="1"/>
  <c r="J297" i="1"/>
  <c r="N297" i="1" s="1"/>
  <c r="O297" i="1" s="1"/>
  <c r="J298" i="1"/>
  <c r="N298" i="1" s="1"/>
  <c r="O298" i="1" s="1"/>
  <c r="J299" i="1"/>
  <c r="N299" i="1" s="1"/>
  <c r="O299" i="1" s="1"/>
  <c r="J300" i="1"/>
  <c r="N300" i="1" s="1"/>
  <c r="O300" i="1" s="1"/>
  <c r="J301" i="1"/>
  <c r="N301" i="1" s="1"/>
  <c r="O301" i="1" s="1"/>
  <c r="J302" i="1"/>
  <c r="N302" i="1" s="1"/>
  <c r="O302" i="1" s="1"/>
  <c r="J303" i="1"/>
  <c r="N303" i="1" s="1"/>
  <c r="O303" i="1" s="1"/>
  <c r="J304" i="1"/>
  <c r="N304" i="1" s="1"/>
  <c r="O304" i="1" s="1"/>
  <c r="J305" i="1"/>
  <c r="N305" i="1" s="1"/>
  <c r="O305" i="1" s="1"/>
  <c r="J306" i="1"/>
  <c r="N306" i="1" s="1"/>
  <c r="O306" i="1" s="1"/>
  <c r="J307" i="1"/>
  <c r="N307" i="1" s="1"/>
  <c r="O307" i="1" s="1"/>
  <c r="J308" i="1"/>
  <c r="N308" i="1" s="1"/>
  <c r="O308" i="1" s="1"/>
  <c r="J309" i="1"/>
  <c r="N309" i="1" s="1"/>
  <c r="O309" i="1" s="1"/>
  <c r="J310" i="1"/>
  <c r="N310" i="1" s="1"/>
  <c r="O310" i="1" s="1"/>
  <c r="J311" i="1"/>
  <c r="N311" i="1" s="1"/>
  <c r="O311" i="1" s="1"/>
  <c r="J312" i="1"/>
  <c r="N312" i="1" s="1"/>
  <c r="O312" i="1" s="1"/>
  <c r="J313" i="1"/>
  <c r="N313" i="1" s="1"/>
  <c r="O313" i="1" s="1"/>
  <c r="J314" i="1"/>
  <c r="N314" i="1" s="1"/>
  <c r="O314" i="1" s="1"/>
  <c r="J315" i="1"/>
  <c r="N315" i="1" s="1"/>
  <c r="O315" i="1" s="1"/>
  <c r="J316" i="1"/>
  <c r="N316" i="1" s="1"/>
  <c r="O316" i="1" s="1"/>
  <c r="J317" i="1"/>
  <c r="N317" i="1" s="1"/>
  <c r="O317" i="1" s="1"/>
  <c r="J318" i="1"/>
  <c r="N318" i="1" s="1"/>
  <c r="O318" i="1" s="1"/>
  <c r="J319" i="1"/>
  <c r="N319" i="1" s="1"/>
  <c r="O319" i="1" s="1"/>
  <c r="J320" i="1"/>
  <c r="N320" i="1" s="1"/>
  <c r="O320" i="1" s="1"/>
  <c r="J321" i="1"/>
  <c r="N321" i="1" s="1"/>
  <c r="O321" i="1" s="1"/>
  <c r="J322" i="1"/>
  <c r="N322" i="1" s="1"/>
  <c r="O322" i="1" s="1"/>
  <c r="J323" i="1"/>
  <c r="N323" i="1" s="1"/>
  <c r="O323" i="1" s="1"/>
  <c r="J324" i="1"/>
  <c r="N324" i="1" s="1"/>
  <c r="O324" i="1" s="1"/>
  <c r="J325" i="1"/>
  <c r="N325" i="1" s="1"/>
  <c r="O325" i="1" s="1"/>
  <c r="J326" i="1"/>
  <c r="N326" i="1" s="1"/>
  <c r="O326" i="1" s="1"/>
  <c r="J327" i="1"/>
  <c r="N327" i="1" s="1"/>
  <c r="O327" i="1" s="1"/>
  <c r="J328" i="1"/>
  <c r="N328" i="1" s="1"/>
  <c r="O328" i="1" s="1"/>
  <c r="J329" i="1"/>
  <c r="N329" i="1" s="1"/>
  <c r="O329" i="1" s="1"/>
  <c r="J330" i="1"/>
  <c r="N330" i="1" s="1"/>
  <c r="O330" i="1" s="1"/>
  <c r="J331" i="1"/>
  <c r="N331" i="1" s="1"/>
  <c r="O331" i="1" s="1"/>
  <c r="J332" i="1"/>
  <c r="N332" i="1" s="1"/>
  <c r="O332" i="1" s="1"/>
  <c r="J333" i="1"/>
  <c r="N333" i="1" s="1"/>
  <c r="O333" i="1" s="1"/>
  <c r="J334" i="1"/>
  <c r="N334" i="1" s="1"/>
  <c r="O334" i="1" s="1"/>
  <c r="J335" i="1"/>
  <c r="N335" i="1" s="1"/>
  <c r="O335" i="1" s="1"/>
  <c r="J336" i="1"/>
  <c r="N336" i="1" s="1"/>
  <c r="O336" i="1" s="1"/>
  <c r="J337" i="1"/>
  <c r="N337" i="1" s="1"/>
  <c r="O337" i="1" s="1"/>
  <c r="J338" i="1"/>
  <c r="N338" i="1" s="1"/>
  <c r="O338" i="1" s="1"/>
  <c r="J339" i="1"/>
  <c r="N339" i="1" s="1"/>
  <c r="O339" i="1" s="1"/>
  <c r="J340" i="1"/>
  <c r="N340" i="1" s="1"/>
  <c r="O340" i="1" s="1"/>
  <c r="J341" i="1"/>
  <c r="N341" i="1" s="1"/>
  <c r="O341" i="1" s="1"/>
  <c r="J342" i="1"/>
  <c r="N342" i="1" s="1"/>
  <c r="O342" i="1" s="1"/>
  <c r="J343" i="1"/>
  <c r="N343" i="1" s="1"/>
  <c r="O343" i="1" s="1"/>
  <c r="J344" i="1"/>
  <c r="N344" i="1" s="1"/>
  <c r="O344" i="1" s="1"/>
  <c r="J345" i="1"/>
  <c r="N345" i="1" s="1"/>
  <c r="O345" i="1" s="1"/>
  <c r="J346" i="1"/>
  <c r="N346" i="1" s="1"/>
  <c r="O346" i="1" s="1"/>
  <c r="J347" i="1"/>
  <c r="N347" i="1" s="1"/>
  <c r="O347" i="1" s="1"/>
  <c r="J348" i="1"/>
  <c r="N348" i="1" s="1"/>
  <c r="O348" i="1" s="1"/>
  <c r="J349" i="1"/>
  <c r="N349" i="1" s="1"/>
  <c r="O349" i="1" s="1"/>
  <c r="J350" i="1"/>
  <c r="N350" i="1" s="1"/>
  <c r="O350" i="1" s="1"/>
  <c r="J351" i="1"/>
  <c r="N351" i="1" s="1"/>
  <c r="O351" i="1" s="1"/>
  <c r="J352" i="1"/>
  <c r="N352" i="1" s="1"/>
  <c r="O352" i="1" s="1"/>
  <c r="J353" i="1"/>
  <c r="N353" i="1" s="1"/>
  <c r="O353" i="1" s="1"/>
  <c r="J354" i="1"/>
  <c r="N354" i="1" s="1"/>
  <c r="O354" i="1" s="1"/>
  <c r="J355" i="1"/>
  <c r="N355" i="1" s="1"/>
  <c r="O355" i="1" s="1"/>
  <c r="J356" i="1"/>
  <c r="N356" i="1" s="1"/>
  <c r="O356" i="1" s="1"/>
  <c r="J357" i="1"/>
  <c r="N357" i="1" s="1"/>
  <c r="O357" i="1" s="1"/>
  <c r="J358" i="1"/>
  <c r="N358" i="1" s="1"/>
  <c r="O358" i="1" s="1"/>
  <c r="J359" i="1"/>
  <c r="N359" i="1" s="1"/>
  <c r="O359" i="1" s="1"/>
  <c r="J360" i="1"/>
  <c r="N360" i="1" s="1"/>
  <c r="O360" i="1" s="1"/>
  <c r="J361" i="1"/>
  <c r="N361" i="1" s="1"/>
  <c r="O361" i="1" s="1"/>
  <c r="J362" i="1"/>
  <c r="N362" i="1" s="1"/>
  <c r="O362" i="1" s="1"/>
  <c r="J363" i="1"/>
  <c r="N363" i="1" s="1"/>
  <c r="O363" i="1" s="1"/>
  <c r="J364" i="1"/>
  <c r="N364" i="1" s="1"/>
  <c r="O364" i="1" s="1"/>
  <c r="J365" i="1"/>
  <c r="N365" i="1" s="1"/>
  <c r="O365" i="1" s="1"/>
  <c r="J366" i="1"/>
  <c r="N366" i="1" s="1"/>
  <c r="O366" i="1" s="1"/>
  <c r="J367" i="1"/>
  <c r="N367" i="1" s="1"/>
  <c r="O367" i="1" s="1"/>
  <c r="J368" i="1"/>
  <c r="N368" i="1" s="1"/>
  <c r="O368" i="1" s="1"/>
  <c r="J369" i="1"/>
  <c r="N369" i="1" s="1"/>
  <c r="O369" i="1" s="1"/>
  <c r="J370" i="1"/>
  <c r="N370" i="1" s="1"/>
  <c r="O370" i="1" s="1"/>
  <c r="J371" i="1"/>
  <c r="N371" i="1" s="1"/>
  <c r="O371" i="1" s="1"/>
  <c r="J372" i="1"/>
  <c r="N372" i="1" s="1"/>
  <c r="O372" i="1" s="1"/>
  <c r="J373" i="1"/>
  <c r="N373" i="1" s="1"/>
  <c r="O373" i="1" s="1"/>
  <c r="J374" i="1"/>
  <c r="N374" i="1" s="1"/>
  <c r="O374" i="1" s="1"/>
  <c r="J375" i="1"/>
  <c r="N375" i="1" s="1"/>
  <c r="O375" i="1" s="1"/>
  <c r="J376" i="1"/>
  <c r="N376" i="1" s="1"/>
  <c r="O376" i="1" s="1"/>
  <c r="J377" i="1"/>
  <c r="N377" i="1" s="1"/>
  <c r="O377" i="1" s="1"/>
  <c r="J378" i="1"/>
  <c r="N378" i="1" s="1"/>
  <c r="O378" i="1" s="1"/>
  <c r="J379" i="1"/>
  <c r="N379" i="1" s="1"/>
  <c r="O379" i="1" s="1"/>
  <c r="J380" i="1"/>
  <c r="N380" i="1" s="1"/>
  <c r="O380" i="1" s="1"/>
  <c r="J381" i="1"/>
  <c r="N381" i="1" s="1"/>
  <c r="O381" i="1" s="1"/>
  <c r="J382" i="1"/>
  <c r="N382" i="1" s="1"/>
  <c r="O382" i="1" s="1"/>
  <c r="J383" i="1"/>
  <c r="N383" i="1" s="1"/>
  <c r="O383" i="1" s="1"/>
  <c r="J384" i="1"/>
  <c r="N384" i="1" s="1"/>
  <c r="O384" i="1" s="1"/>
  <c r="J385" i="1"/>
  <c r="N385" i="1" s="1"/>
  <c r="O385" i="1" s="1"/>
  <c r="J386" i="1"/>
  <c r="N386" i="1" s="1"/>
  <c r="O386" i="1" s="1"/>
  <c r="J387" i="1"/>
  <c r="N387" i="1" s="1"/>
  <c r="O387" i="1" s="1"/>
  <c r="J388" i="1"/>
  <c r="N388" i="1" s="1"/>
  <c r="O388" i="1" s="1"/>
  <c r="J389" i="1"/>
  <c r="N389" i="1" s="1"/>
  <c r="O389" i="1" s="1"/>
  <c r="J390" i="1"/>
  <c r="N390" i="1" s="1"/>
  <c r="O390" i="1" s="1"/>
  <c r="J391" i="1"/>
  <c r="N391" i="1" s="1"/>
  <c r="O391" i="1" s="1"/>
  <c r="J392" i="1"/>
  <c r="N392" i="1" s="1"/>
  <c r="O392" i="1" s="1"/>
  <c r="J393" i="1"/>
  <c r="N393" i="1" s="1"/>
  <c r="O393" i="1" s="1"/>
  <c r="J394" i="1"/>
  <c r="N394" i="1" s="1"/>
  <c r="O394" i="1" s="1"/>
  <c r="J395" i="1"/>
  <c r="N395" i="1" s="1"/>
  <c r="O395" i="1" s="1"/>
  <c r="J396" i="1"/>
  <c r="N396" i="1" s="1"/>
  <c r="O396" i="1" s="1"/>
  <c r="J397" i="1"/>
  <c r="N397" i="1" s="1"/>
  <c r="O397" i="1" s="1"/>
  <c r="J398" i="1"/>
  <c r="N398" i="1" s="1"/>
  <c r="O398" i="1" s="1"/>
  <c r="J399" i="1"/>
  <c r="N399" i="1" s="1"/>
  <c r="O399" i="1" s="1"/>
  <c r="J400" i="1"/>
  <c r="N400" i="1" s="1"/>
  <c r="O400" i="1" s="1"/>
  <c r="J401" i="1"/>
  <c r="N401" i="1" s="1"/>
  <c r="O401" i="1" s="1"/>
  <c r="J402" i="1"/>
  <c r="N402" i="1" s="1"/>
  <c r="O402" i="1" s="1"/>
  <c r="J403" i="1"/>
  <c r="N403" i="1" s="1"/>
  <c r="O403" i="1" s="1"/>
  <c r="J404" i="1"/>
  <c r="N404" i="1" s="1"/>
  <c r="O404" i="1" s="1"/>
  <c r="J405" i="1"/>
  <c r="N405" i="1" s="1"/>
  <c r="O405" i="1" s="1"/>
  <c r="J406" i="1"/>
  <c r="N406" i="1" s="1"/>
  <c r="O406" i="1" s="1"/>
  <c r="J407" i="1"/>
  <c r="N407" i="1" s="1"/>
  <c r="O407" i="1" s="1"/>
  <c r="J408" i="1"/>
  <c r="N408" i="1" s="1"/>
  <c r="O408" i="1" s="1"/>
  <c r="J409" i="1"/>
  <c r="N409" i="1" s="1"/>
  <c r="O409" i="1" s="1"/>
  <c r="J410" i="1"/>
  <c r="N410" i="1" s="1"/>
  <c r="O410" i="1" s="1"/>
  <c r="J411" i="1"/>
  <c r="N411" i="1" s="1"/>
  <c r="O411" i="1" s="1"/>
  <c r="J412" i="1"/>
  <c r="N412" i="1" s="1"/>
  <c r="O412" i="1" s="1"/>
  <c r="J413" i="1"/>
  <c r="N413" i="1" s="1"/>
  <c r="O413" i="1" s="1"/>
  <c r="J414" i="1"/>
  <c r="N414" i="1" s="1"/>
  <c r="O414" i="1" s="1"/>
  <c r="J415" i="1"/>
  <c r="N415" i="1" s="1"/>
  <c r="O415" i="1" s="1"/>
  <c r="J416" i="1"/>
  <c r="N416" i="1" s="1"/>
  <c r="O416" i="1" s="1"/>
  <c r="J417" i="1"/>
  <c r="N417" i="1" s="1"/>
  <c r="O417" i="1" s="1"/>
  <c r="J418" i="1"/>
  <c r="N418" i="1" s="1"/>
  <c r="O418" i="1" s="1"/>
  <c r="J419" i="1"/>
  <c r="N419" i="1" s="1"/>
  <c r="O419" i="1" s="1"/>
  <c r="J420" i="1"/>
  <c r="N420" i="1" s="1"/>
  <c r="O420" i="1" s="1"/>
  <c r="J421" i="1"/>
  <c r="N421" i="1" s="1"/>
  <c r="O421" i="1" s="1"/>
  <c r="J422" i="1"/>
  <c r="N422" i="1" s="1"/>
  <c r="O422" i="1" s="1"/>
  <c r="J423" i="1"/>
  <c r="N423" i="1" s="1"/>
  <c r="O423" i="1" s="1"/>
  <c r="J424" i="1"/>
  <c r="N424" i="1" s="1"/>
  <c r="O424" i="1" s="1"/>
  <c r="J425" i="1"/>
  <c r="N425" i="1" s="1"/>
  <c r="O425" i="1" s="1"/>
  <c r="J426" i="1"/>
  <c r="N426" i="1" s="1"/>
  <c r="O426" i="1" s="1"/>
  <c r="J427" i="1"/>
  <c r="N427" i="1" s="1"/>
  <c r="O427" i="1" s="1"/>
  <c r="J428" i="1"/>
  <c r="N428" i="1" s="1"/>
  <c r="O428" i="1" s="1"/>
  <c r="J429" i="1"/>
  <c r="N429" i="1" s="1"/>
  <c r="O429" i="1" s="1"/>
  <c r="J430" i="1"/>
  <c r="N430" i="1" s="1"/>
  <c r="O430" i="1" s="1"/>
  <c r="J431" i="1"/>
  <c r="N431" i="1" s="1"/>
  <c r="O431" i="1" s="1"/>
  <c r="J432" i="1"/>
  <c r="N432" i="1" s="1"/>
  <c r="O432" i="1" s="1"/>
  <c r="J433" i="1"/>
  <c r="N433" i="1" s="1"/>
  <c r="O433" i="1" s="1"/>
  <c r="J434" i="1"/>
  <c r="N434" i="1" s="1"/>
  <c r="O434" i="1" s="1"/>
  <c r="J435" i="1"/>
  <c r="N435" i="1" s="1"/>
  <c r="O435" i="1" s="1"/>
  <c r="J436" i="1"/>
  <c r="N436" i="1" s="1"/>
  <c r="O436" i="1" s="1"/>
  <c r="J437" i="1"/>
  <c r="N437" i="1" s="1"/>
  <c r="O437" i="1" s="1"/>
  <c r="J438" i="1"/>
  <c r="N438" i="1" s="1"/>
  <c r="O438" i="1" s="1"/>
  <c r="J439" i="1"/>
  <c r="N439" i="1" s="1"/>
  <c r="O439" i="1" s="1"/>
  <c r="J440" i="1"/>
  <c r="N440" i="1" s="1"/>
  <c r="O440" i="1" s="1"/>
  <c r="J441" i="1"/>
  <c r="N441" i="1" s="1"/>
  <c r="O441" i="1" s="1"/>
  <c r="J442" i="1"/>
  <c r="N442" i="1" s="1"/>
  <c r="O442" i="1" s="1"/>
  <c r="J443" i="1"/>
  <c r="N443" i="1" s="1"/>
  <c r="O443" i="1" s="1"/>
  <c r="J444" i="1"/>
  <c r="N444" i="1" s="1"/>
  <c r="O444" i="1" s="1"/>
  <c r="J445" i="1"/>
  <c r="N445" i="1" s="1"/>
  <c r="O445" i="1" s="1"/>
  <c r="J446" i="1"/>
  <c r="N446" i="1" s="1"/>
  <c r="O446" i="1" s="1"/>
  <c r="J447" i="1"/>
  <c r="N447" i="1" s="1"/>
  <c r="O447" i="1" s="1"/>
  <c r="J448" i="1"/>
  <c r="N448" i="1" s="1"/>
  <c r="O448" i="1" s="1"/>
  <c r="J449" i="1"/>
  <c r="N449" i="1" s="1"/>
  <c r="O449" i="1" s="1"/>
  <c r="J450" i="1"/>
  <c r="N450" i="1" s="1"/>
  <c r="O450" i="1" s="1"/>
  <c r="J451" i="1"/>
  <c r="N451" i="1" s="1"/>
  <c r="O451" i="1" s="1"/>
  <c r="J452" i="1"/>
  <c r="N452" i="1" s="1"/>
  <c r="O452" i="1" s="1"/>
  <c r="J453" i="1"/>
  <c r="N453" i="1" s="1"/>
  <c r="O453" i="1" s="1"/>
  <c r="J454" i="1"/>
  <c r="N454" i="1" s="1"/>
  <c r="O454" i="1" s="1"/>
  <c r="J455" i="1"/>
  <c r="N455" i="1" s="1"/>
  <c r="O455" i="1" s="1"/>
  <c r="J456" i="1"/>
  <c r="N456" i="1" s="1"/>
  <c r="O456" i="1" s="1"/>
  <c r="J457" i="1"/>
  <c r="N457" i="1" s="1"/>
  <c r="O457" i="1" s="1"/>
  <c r="J458" i="1"/>
  <c r="N458" i="1" s="1"/>
  <c r="O458" i="1" s="1"/>
  <c r="J459" i="1"/>
  <c r="N459" i="1" s="1"/>
  <c r="O459" i="1" s="1"/>
  <c r="J460" i="1"/>
  <c r="N460" i="1" s="1"/>
  <c r="O460" i="1" s="1"/>
  <c r="J461" i="1"/>
  <c r="N461" i="1" s="1"/>
  <c r="O461" i="1" s="1"/>
  <c r="J462" i="1"/>
  <c r="N462" i="1" s="1"/>
  <c r="O462" i="1" s="1"/>
  <c r="J463" i="1"/>
  <c r="N463" i="1" s="1"/>
  <c r="O463" i="1" s="1"/>
  <c r="J464" i="1"/>
  <c r="N464" i="1" s="1"/>
  <c r="O464" i="1" s="1"/>
  <c r="J465" i="1"/>
  <c r="N465" i="1" s="1"/>
  <c r="O465" i="1" s="1"/>
  <c r="J466" i="1"/>
  <c r="N466" i="1" s="1"/>
  <c r="O466" i="1" s="1"/>
  <c r="J467" i="1"/>
  <c r="N467" i="1" s="1"/>
  <c r="O467" i="1" s="1"/>
  <c r="J468" i="1"/>
  <c r="N468" i="1" s="1"/>
  <c r="O468" i="1" s="1"/>
  <c r="J469" i="1"/>
  <c r="N469" i="1" s="1"/>
  <c r="O469" i="1" s="1"/>
  <c r="J470" i="1"/>
  <c r="N470" i="1" s="1"/>
  <c r="O470" i="1" s="1"/>
  <c r="J471" i="1"/>
  <c r="N471" i="1" s="1"/>
  <c r="O471" i="1" s="1"/>
  <c r="J472" i="1"/>
  <c r="N472" i="1" s="1"/>
  <c r="O472" i="1" s="1"/>
  <c r="J473" i="1"/>
  <c r="N473" i="1" s="1"/>
  <c r="O473" i="1" s="1"/>
  <c r="J474" i="1"/>
  <c r="N474" i="1" s="1"/>
  <c r="O474" i="1" s="1"/>
  <c r="J475" i="1"/>
  <c r="N475" i="1" s="1"/>
  <c r="O475" i="1" s="1"/>
  <c r="J476" i="1"/>
  <c r="N476" i="1" s="1"/>
  <c r="O476" i="1" s="1"/>
  <c r="J477" i="1"/>
  <c r="N477" i="1" s="1"/>
  <c r="O477" i="1" s="1"/>
  <c r="J478" i="1"/>
  <c r="N478" i="1" s="1"/>
  <c r="O478" i="1" s="1"/>
  <c r="J479" i="1"/>
  <c r="N479" i="1" s="1"/>
  <c r="O479" i="1" s="1"/>
  <c r="J480" i="1"/>
  <c r="N480" i="1" s="1"/>
  <c r="O480" i="1" s="1"/>
  <c r="J481" i="1"/>
  <c r="N481" i="1" s="1"/>
  <c r="O481" i="1" s="1"/>
  <c r="J482" i="1"/>
  <c r="N482" i="1" s="1"/>
  <c r="O482" i="1" s="1"/>
  <c r="J483" i="1"/>
  <c r="N483" i="1" s="1"/>
  <c r="O483" i="1" s="1"/>
  <c r="J484" i="1"/>
  <c r="N484" i="1" s="1"/>
  <c r="O484" i="1" s="1"/>
  <c r="J485" i="1"/>
  <c r="N485" i="1" s="1"/>
  <c r="O485" i="1" s="1"/>
  <c r="J486" i="1"/>
  <c r="N486" i="1" s="1"/>
  <c r="O486" i="1" s="1"/>
  <c r="J487" i="1"/>
  <c r="N487" i="1" s="1"/>
  <c r="O487" i="1" s="1"/>
  <c r="J488" i="1"/>
  <c r="N488" i="1" s="1"/>
  <c r="O488" i="1" s="1"/>
  <c r="J489" i="1"/>
  <c r="N489" i="1" s="1"/>
  <c r="O489" i="1" s="1"/>
  <c r="J490" i="1"/>
  <c r="N490" i="1" s="1"/>
  <c r="O490" i="1" s="1"/>
  <c r="J491" i="1"/>
  <c r="N491" i="1" s="1"/>
  <c r="O491" i="1" s="1"/>
  <c r="J492" i="1"/>
  <c r="N492" i="1" s="1"/>
  <c r="O492" i="1" s="1"/>
  <c r="J493" i="1"/>
  <c r="N493" i="1" s="1"/>
  <c r="O493" i="1" s="1"/>
  <c r="J494" i="1"/>
  <c r="N494" i="1" s="1"/>
  <c r="O494" i="1" s="1"/>
  <c r="J495" i="1"/>
  <c r="N495" i="1" s="1"/>
  <c r="O495" i="1" s="1"/>
  <c r="J496" i="1"/>
  <c r="N496" i="1" s="1"/>
  <c r="O496" i="1" s="1"/>
  <c r="J497" i="1"/>
  <c r="N497" i="1" s="1"/>
  <c r="O497" i="1" s="1"/>
  <c r="J498" i="1"/>
  <c r="N498" i="1" s="1"/>
  <c r="O498" i="1" s="1"/>
  <c r="J499" i="1"/>
  <c r="N499" i="1" s="1"/>
  <c r="O499" i="1" s="1"/>
  <c r="J500" i="1"/>
  <c r="N500" i="1" s="1"/>
  <c r="O500" i="1" s="1"/>
  <c r="J501" i="1"/>
  <c r="N501" i="1" s="1"/>
  <c r="O501" i="1" s="1"/>
  <c r="J502" i="1"/>
  <c r="N502" i="1" s="1"/>
  <c r="O502" i="1" s="1"/>
  <c r="J503" i="1"/>
  <c r="N503" i="1" s="1"/>
  <c r="O503" i="1" s="1"/>
  <c r="J504" i="1"/>
  <c r="N504" i="1" s="1"/>
  <c r="O504" i="1" s="1"/>
  <c r="J505" i="1"/>
  <c r="N505" i="1" s="1"/>
  <c r="O505" i="1" s="1"/>
  <c r="J506" i="1"/>
  <c r="N506" i="1" s="1"/>
  <c r="O506" i="1" s="1"/>
  <c r="J507" i="1"/>
  <c r="N507" i="1" s="1"/>
  <c r="O507" i="1" s="1"/>
  <c r="J508" i="1"/>
  <c r="N508" i="1" s="1"/>
  <c r="O508" i="1" s="1"/>
  <c r="J509" i="1"/>
  <c r="N509" i="1" s="1"/>
  <c r="O509" i="1" s="1"/>
  <c r="J510" i="1"/>
  <c r="N510" i="1" s="1"/>
  <c r="O510" i="1" s="1"/>
  <c r="J511" i="1"/>
  <c r="N511" i="1" s="1"/>
  <c r="O511" i="1" s="1"/>
  <c r="J512" i="1"/>
  <c r="N512" i="1" s="1"/>
  <c r="O512" i="1" s="1"/>
  <c r="J513" i="1"/>
  <c r="N513" i="1" s="1"/>
  <c r="O513" i="1" s="1"/>
  <c r="J514" i="1"/>
  <c r="N514" i="1" s="1"/>
  <c r="O514" i="1" s="1"/>
  <c r="J515" i="1"/>
  <c r="N515" i="1" s="1"/>
  <c r="O515" i="1" s="1"/>
  <c r="J516" i="1"/>
  <c r="N516" i="1" s="1"/>
  <c r="O516" i="1" s="1"/>
  <c r="J517" i="1"/>
  <c r="N517" i="1" s="1"/>
  <c r="O517" i="1" s="1"/>
  <c r="J518" i="1"/>
  <c r="N518" i="1" s="1"/>
  <c r="O518" i="1" s="1"/>
  <c r="J519" i="1"/>
  <c r="N519" i="1" s="1"/>
  <c r="O519" i="1" s="1"/>
  <c r="J520" i="1"/>
  <c r="N520" i="1" s="1"/>
  <c r="O520" i="1" s="1"/>
  <c r="J521" i="1"/>
  <c r="N521" i="1" s="1"/>
  <c r="O521" i="1" s="1"/>
  <c r="J522" i="1"/>
  <c r="N522" i="1" s="1"/>
  <c r="O522" i="1" s="1"/>
  <c r="J523" i="1"/>
  <c r="N523" i="1" s="1"/>
  <c r="O523" i="1" s="1"/>
  <c r="J524" i="1"/>
  <c r="N524" i="1" s="1"/>
  <c r="O524" i="1" s="1"/>
  <c r="J525" i="1"/>
  <c r="N525" i="1" s="1"/>
  <c r="O525" i="1" s="1"/>
  <c r="J526" i="1"/>
  <c r="N526" i="1" s="1"/>
  <c r="O526" i="1" s="1"/>
  <c r="J527" i="1"/>
  <c r="N527" i="1" s="1"/>
  <c r="O527" i="1" s="1"/>
  <c r="J528" i="1"/>
  <c r="N528" i="1" s="1"/>
  <c r="O528" i="1" s="1"/>
  <c r="J529" i="1"/>
  <c r="N529" i="1" s="1"/>
  <c r="O529" i="1" s="1"/>
  <c r="J530" i="1"/>
  <c r="N530" i="1" s="1"/>
  <c r="O530" i="1" s="1"/>
  <c r="J531" i="1"/>
  <c r="N531" i="1" s="1"/>
  <c r="O531" i="1" s="1"/>
  <c r="J532" i="1"/>
  <c r="N532" i="1" s="1"/>
  <c r="O532" i="1" s="1"/>
  <c r="J533" i="1"/>
  <c r="N533" i="1" s="1"/>
  <c r="O533" i="1" s="1"/>
  <c r="J534" i="1"/>
  <c r="N534" i="1" s="1"/>
  <c r="O534" i="1" s="1"/>
  <c r="J535" i="1"/>
  <c r="N535" i="1" s="1"/>
  <c r="O535" i="1" s="1"/>
  <c r="J536" i="1"/>
  <c r="N536" i="1" s="1"/>
  <c r="O536" i="1" s="1"/>
  <c r="J537" i="1"/>
  <c r="N537" i="1" s="1"/>
  <c r="O537" i="1" s="1"/>
  <c r="J538" i="1"/>
  <c r="N538" i="1" s="1"/>
  <c r="O538" i="1" s="1"/>
  <c r="J539" i="1"/>
  <c r="N539" i="1" s="1"/>
  <c r="O539" i="1" s="1"/>
  <c r="J540" i="1"/>
  <c r="N540" i="1" s="1"/>
  <c r="O540" i="1" s="1"/>
  <c r="J541" i="1"/>
  <c r="N541" i="1" s="1"/>
  <c r="O541" i="1" s="1"/>
  <c r="J542" i="1"/>
  <c r="N542" i="1" s="1"/>
  <c r="O542" i="1" s="1"/>
  <c r="J543" i="1"/>
  <c r="N543" i="1" s="1"/>
  <c r="O543" i="1" s="1"/>
  <c r="J544" i="1"/>
  <c r="N544" i="1" s="1"/>
  <c r="O544" i="1" s="1"/>
  <c r="J545" i="1"/>
  <c r="N545" i="1" s="1"/>
  <c r="O545" i="1" s="1"/>
  <c r="J546" i="1"/>
  <c r="N546" i="1" s="1"/>
  <c r="O546" i="1" s="1"/>
  <c r="J547" i="1"/>
  <c r="N547" i="1" s="1"/>
  <c r="O547" i="1" s="1"/>
  <c r="J548" i="1"/>
  <c r="N548" i="1" s="1"/>
  <c r="O548" i="1" s="1"/>
  <c r="J549" i="1"/>
  <c r="N549" i="1" s="1"/>
  <c r="O549" i="1" s="1"/>
  <c r="J550" i="1"/>
  <c r="N550" i="1" s="1"/>
  <c r="O550" i="1" s="1"/>
  <c r="J551" i="1"/>
  <c r="N551" i="1" s="1"/>
  <c r="O551" i="1" s="1"/>
  <c r="J552" i="1"/>
  <c r="N552" i="1" s="1"/>
  <c r="O552" i="1" s="1"/>
  <c r="J553" i="1"/>
  <c r="N553" i="1" s="1"/>
  <c r="O553" i="1" s="1"/>
  <c r="J554" i="1"/>
  <c r="N554" i="1" s="1"/>
  <c r="O554" i="1" s="1"/>
  <c r="J555" i="1"/>
  <c r="N555" i="1" s="1"/>
  <c r="O555" i="1" s="1"/>
  <c r="J556" i="1"/>
  <c r="N556" i="1" s="1"/>
  <c r="O556" i="1" s="1"/>
  <c r="J557" i="1"/>
  <c r="N557" i="1" s="1"/>
  <c r="O557" i="1" s="1"/>
  <c r="J558" i="1"/>
  <c r="N558" i="1" s="1"/>
  <c r="O558" i="1" s="1"/>
  <c r="J559" i="1"/>
  <c r="N559" i="1" s="1"/>
  <c r="O559" i="1" s="1"/>
  <c r="J560" i="1"/>
  <c r="N560" i="1" s="1"/>
  <c r="O560" i="1" s="1"/>
  <c r="J561" i="1"/>
  <c r="N561" i="1" s="1"/>
  <c r="O561" i="1" s="1"/>
  <c r="J562" i="1"/>
  <c r="N562" i="1" s="1"/>
  <c r="O562" i="1" s="1"/>
  <c r="J563" i="1"/>
  <c r="N563" i="1" s="1"/>
  <c r="O563" i="1" s="1"/>
  <c r="J564" i="1"/>
  <c r="N564" i="1" s="1"/>
  <c r="O564" i="1" s="1"/>
  <c r="J565" i="1"/>
  <c r="N565" i="1" s="1"/>
  <c r="O565" i="1" s="1"/>
  <c r="J566" i="1"/>
  <c r="N566" i="1" s="1"/>
  <c r="O566" i="1" s="1"/>
  <c r="J567" i="1"/>
  <c r="N567" i="1" s="1"/>
  <c r="O567" i="1" s="1"/>
  <c r="J568" i="1"/>
  <c r="N568" i="1" s="1"/>
  <c r="O568" i="1" s="1"/>
  <c r="J569" i="1"/>
  <c r="N569" i="1" s="1"/>
  <c r="O569" i="1" s="1"/>
  <c r="J570" i="1"/>
  <c r="N570" i="1" s="1"/>
  <c r="O570" i="1" s="1"/>
  <c r="J571" i="1"/>
  <c r="N571" i="1" s="1"/>
  <c r="O571" i="1" s="1"/>
  <c r="J572" i="1"/>
  <c r="N572" i="1" s="1"/>
  <c r="O572" i="1" s="1"/>
  <c r="J573" i="1"/>
  <c r="N573" i="1" s="1"/>
  <c r="O573" i="1" s="1"/>
  <c r="J574" i="1"/>
  <c r="N574" i="1" s="1"/>
  <c r="O574" i="1" s="1"/>
  <c r="J575" i="1"/>
  <c r="N575" i="1" s="1"/>
  <c r="O575" i="1" s="1"/>
  <c r="J576" i="1"/>
  <c r="N576" i="1" s="1"/>
  <c r="O576" i="1" s="1"/>
  <c r="J577" i="1"/>
  <c r="N577" i="1" s="1"/>
  <c r="O577" i="1" s="1"/>
  <c r="J578" i="1"/>
  <c r="N578" i="1" s="1"/>
  <c r="O578" i="1" s="1"/>
  <c r="J579" i="1"/>
  <c r="N579" i="1" s="1"/>
  <c r="O579" i="1" s="1"/>
  <c r="J580" i="1"/>
  <c r="N580" i="1" s="1"/>
  <c r="O580" i="1" s="1"/>
  <c r="J581" i="1"/>
  <c r="N581" i="1" s="1"/>
  <c r="O581" i="1" s="1"/>
  <c r="J582" i="1"/>
  <c r="N582" i="1" s="1"/>
  <c r="O582" i="1" s="1"/>
  <c r="J583" i="1"/>
  <c r="N583" i="1" s="1"/>
  <c r="O583" i="1" s="1"/>
  <c r="J584" i="1"/>
  <c r="N584" i="1" s="1"/>
  <c r="O584" i="1" s="1"/>
  <c r="J585" i="1"/>
  <c r="N585" i="1" s="1"/>
  <c r="O585" i="1" s="1"/>
  <c r="J586" i="1"/>
  <c r="N586" i="1" s="1"/>
  <c r="O586" i="1" s="1"/>
  <c r="J587" i="1"/>
  <c r="N587" i="1" s="1"/>
  <c r="O587" i="1" s="1"/>
  <c r="J588" i="1"/>
  <c r="N588" i="1" s="1"/>
  <c r="O588" i="1" s="1"/>
  <c r="J589" i="1"/>
  <c r="N589" i="1" s="1"/>
  <c r="O589" i="1" s="1"/>
  <c r="J590" i="1"/>
  <c r="N590" i="1" s="1"/>
  <c r="O590" i="1" s="1"/>
  <c r="J591" i="1"/>
  <c r="N591" i="1" s="1"/>
  <c r="O591" i="1" s="1"/>
  <c r="J592" i="1"/>
  <c r="N592" i="1" s="1"/>
  <c r="O592" i="1" s="1"/>
  <c r="J593" i="1"/>
  <c r="N593" i="1" s="1"/>
  <c r="O593" i="1" s="1"/>
  <c r="J594" i="1"/>
  <c r="N594" i="1" s="1"/>
  <c r="O594" i="1" s="1"/>
  <c r="J595" i="1"/>
  <c r="N595" i="1" s="1"/>
  <c r="O595" i="1" s="1"/>
  <c r="J596" i="1"/>
  <c r="N596" i="1" s="1"/>
  <c r="O596" i="1" s="1"/>
  <c r="J597" i="1"/>
  <c r="N597" i="1" s="1"/>
  <c r="O597" i="1" s="1"/>
  <c r="J598" i="1"/>
  <c r="N598" i="1" s="1"/>
  <c r="O598" i="1" s="1"/>
  <c r="J599" i="1"/>
  <c r="N599" i="1" s="1"/>
  <c r="O599" i="1" s="1"/>
  <c r="J600" i="1"/>
  <c r="N600" i="1" s="1"/>
  <c r="O600" i="1" s="1"/>
  <c r="J601" i="1"/>
  <c r="N601" i="1" s="1"/>
  <c r="O601" i="1" s="1"/>
  <c r="J602" i="1"/>
  <c r="N602" i="1" s="1"/>
  <c r="O602" i="1" s="1"/>
  <c r="J603" i="1"/>
  <c r="N603" i="1" s="1"/>
  <c r="O603" i="1" s="1"/>
  <c r="J604" i="1"/>
  <c r="N604" i="1" s="1"/>
  <c r="O604" i="1" s="1"/>
  <c r="J605" i="1"/>
  <c r="N605" i="1" s="1"/>
  <c r="O605" i="1" s="1"/>
  <c r="J606" i="1"/>
  <c r="N606" i="1" s="1"/>
  <c r="O606" i="1" s="1"/>
  <c r="J607" i="1"/>
  <c r="N607" i="1" s="1"/>
  <c r="O607" i="1" s="1"/>
  <c r="J608" i="1"/>
  <c r="N608" i="1" s="1"/>
  <c r="O608" i="1" s="1"/>
  <c r="J609" i="1"/>
  <c r="N609" i="1" s="1"/>
  <c r="O609" i="1" s="1"/>
  <c r="J610" i="1"/>
  <c r="N610" i="1" s="1"/>
  <c r="O610" i="1" s="1"/>
  <c r="J611" i="1"/>
  <c r="N611" i="1" s="1"/>
  <c r="O611" i="1" s="1"/>
  <c r="J612" i="1"/>
  <c r="N612" i="1" s="1"/>
  <c r="O612" i="1" s="1"/>
  <c r="J613" i="1"/>
  <c r="N613" i="1" s="1"/>
  <c r="O613" i="1" s="1"/>
  <c r="J614" i="1"/>
  <c r="N614" i="1" s="1"/>
  <c r="O614" i="1" s="1"/>
  <c r="J615" i="1"/>
  <c r="N615" i="1" s="1"/>
  <c r="O615" i="1" s="1"/>
  <c r="J616" i="1"/>
  <c r="N616" i="1" s="1"/>
  <c r="O616" i="1" s="1"/>
  <c r="J617" i="1"/>
  <c r="N617" i="1" s="1"/>
  <c r="O617" i="1" s="1"/>
  <c r="J618" i="1"/>
  <c r="N618" i="1" s="1"/>
  <c r="O618" i="1" s="1"/>
  <c r="J619" i="1"/>
  <c r="N619" i="1" s="1"/>
  <c r="O619" i="1" s="1"/>
  <c r="J620" i="1"/>
  <c r="N620" i="1" s="1"/>
  <c r="O620" i="1" s="1"/>
  <c r="J621" i="1"/>
  <c r="N621" i="1" s="1"/>
  <c r="O621" i="1" s="1"/>
  <c r="J622" i="1"/>
  <c r="N622" i="1" s="1"/>
  <c r="O622" i="1" s="1"/>
  <c r="J623" i="1"/>
  <c r="N623" i="1" s="1"/>
  <c r="O623" i="1" s="1"/>
  <c r="J624" i="1"/>
  <c r="N624" i="1" s="1"/>
  <c r="O624" i="1" s="1"/>
  <c r="J625" i="1"/>
  <c r="N625" i="1" s="1"/>
  <c r="O625" i="1" s="1"/>
  <c r="J626" i="1"/>
  <c r="N626" i="1" s="1"/>
  <c r="O626" i="1" s="1"/>
  <c r="J627" i="1"/>
  <c r="N627" i="1" s="1"/>
  <c r="O627" i="1" s="1"/>
  <c r="J628" i="1"/>
  <c r="N628" i="1" s="1"/>
  <c r="O628" i="1" s="1"/>
  <c r="J629" i="1"/>
  <c r="N629" i="1" s="1"/>
  <c r="O629" i="1" s="1"/>
  <c r="J630" i="1"/>
  <c r="N630" i="1" s="1"/>
  <c r="O630" i="1" s="1"/>
  <c r="J631" i="1"/>
  <c r="N631" i="1" s="1"/>
  <c r="O631" i="1" s="1"/>
  <c r="J632" i="1"/>
  <c r="N632" i="1" s="1"/>
  <c r="O632" i="1" s="1"/>
  <c r="J633" i="1"/>
  <c r="N633" i="1" s="1"/>
  <c r="O633" i="1" s="1"/>
  <c r="J634" i="1"/>
  <c r="N634" i="1" s="1"/>
  <c r="O634" i="1" s="1"/>
  <c r="J635" i="1"/>
  <c r="N635" i="1" s="1"/>
  <c r="O635" i="1" s="1"/>
  <c r="E238" i="2"/>
  <c r="J238" i="2"/>
  <c r="K238" i="2"/>
  <c r="L238" i="2"/>
  <c r="M238" i="2"/>
  <c r="N238" i="2"/>
  <c r="O238" i="2"/>
  <c r="P238" i="2"/>
  <c r="Q238" i="2"/>
  <c r="E239" i="2"/>
  <c r="J239" i="2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K239" i="2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L239" i="2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M239" i="2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N239" i="2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O239" i="2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P239" i="2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Q239" i="2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J227" i="2"/>
  <c r="J208" i="2"/>
  <c r="J209" i="2" s="1"/>
  <c r="J210" i="2" s="1"/>
  <c r="J211" i="2" s="1"/>
  <c r="J212" i="2" s="1"/>
  <c r="J213" i="2" s="1"/>
  <c r="K208" i="2"/>
  <c r="K209" i="2" s="1"/>
  <c r="K210" i="2" s="1"/>
  <c r="K211" i="2" s="1"/>
  <c r="K212" i="2" s="1"/>
  <c r="K213" i="2" s="1"/>
  <c r="L208" i="2"/>
  <c r="L209" i="2" s="1"/>
  <c r="L210" i="2" s="1"/>
  <c r="L211" i="2" s="1"/>
  <c r="L212" i="2" s="1"/>
  <c r="L213" i="2" s="1"/>
  <c r="M208" i="2"/>
  <c r="M209" i="2" s="1"/>
  <c r="M210" i="2" s="1"/>
  <c r="M211" i="2" s="1"/>
  <c r="M212" i="2" s="1"/>
  <c r="M213" i="2" s="1"/>
  <c r="N208" i="2"/>
  <c r="N209" i="2" s="1"/>
  <c r="N210" i="2" s="1"/>
  <c r="N211" i="2" s="1"/>
  <c r="N212" i="2" s="1"/>
  <c r="N213" i="2" s="1"/>
  <c r="O208" i="2"/>
  <c r="O209" i="2" s="1"/>
  <c r="O210" i="2" s="1"/>
  <c r="O211" i="2" s="1"/>
  <c r="O212" i="2" s="1"/>
  <c r="O213" i="2" s="1"/>
  <c r="P208" i="2"/>
  <c r="P209" i="2" s="1"/>
  <c r="P210" i="2" s="1"/>
  <c r="P211" i="2" s="1"/>
  <c r="P212" i="2" s="1"/>
  <c r="P213" i="2" s="1"/>
  <c r="Q208" i="2"/>
  <c r="Q209" i="2" s="1"/>
  <c r="Q210" i="2" s="1"/>
  <c r="Q211" i="2" s="1"/>
  <c r="Q212" i="2" s="1"/>
  <c r="Q213" i="2" s="1"/>
  <c r="I214" i="2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J214" i="2"/>
  <c r="K214" i="2"/>
  <c r="L214" i="2"/>
  <c r="M214" i="2"/>
  <c r="N214" i="2"/>
  <c r="O214" i="2"/>
  <c r="P214" i="2"/>
  <c r="Q214" i="2"/>
  <c r="J215" i="2"/>
  <c r="K215" i="2"/>
  <c r="L215" i="2"/>
  <c r="M215" i="2"/>
  <c r="N215" i="2"/>
  <c r="O215" i="2"/>
  <c r="P215" i="2"/>
  <c r="Q215" i="2"/>
  <c r="J216" i="2"/>
  <c r="K216" i="2"/>
  <c r="L216" i="2"/>
  <c r="M216" i="2"/>
  <c r="N216" i="2"/>
  <c r="O216" i="2"/>
  <c r="P216" i="2"/>
  <c r="Q216" i="2"/>
  <c r="J217" i="2"/>
  <c r="K217" i="2"/>
  <c r="L217" i="2"/>
  <c r="M217" i="2"/>
  <c r="N217" i="2"/>
  <c r="O217" i="2"/>
  <c r="P217" i="2"/>
  <c r="Q217" i="2"/>
  <c r="J218" i="2"/>
  <c r="J219" i="2" s="1"/>
  <c r="J220" i="2" s="1"/>
  <c r="J221" i="2" s="1"/>
  <c r="J222" i="2" s="1"/>
  <c r="J223" i="2" s="1"/>
  <c r="J224" i="2" s="1"/>
  <c r="K218" i="2"/>
  <c r="K219" i="2" s="1"/>
  <c r="K220" i="2" s="1"/>
  <c r="K221" i="2" s="1"/>
  <c r="K222" i="2" s="1"/>
  <c r="K223" i="2" s="1"/>
  <c r="K224" i="2" s="1"/>
  <c r="L218" i="2"/>
  <c r="L219" i="2" s="1"/>
  <c r="L220" i="2" s="1"/>
  <c r="L221" i="2" s="1"/>
  <c r="L222" i="2" s="1"/>
  <c r="L223" i="2" s="1"/>
  <c r="L224" i="2" s="1"/>
  <c r="M218" i="2"/>
  <c r="M219" i="2" s="1"/>
  <c r="M220" i="2" s="1"/>
  <c r="M221" i="2" s="1"/>
  <c r="M222" i="2" s="1"/>
  <c r="M223" i="2" s="1"/>
  <c r="M224" i="2" s="1"/>
  <c r="N218" i="2"/>
  <c r="N219" i="2" s="1"/>
  <c r="N220" i="2" s="1"/>
  <c r="N221" i="2" s="1"/>
  <c r="N222" i="2" s="1"/>
  <c r="N223" i="2" s="1"/>
  <c r="N224" i="2" s="1"/>
  <c r="O218" i="2"/>
  <c r="O219" i="2" s="1"/>
  <c r="O220" i="2" s="1"/>
  <c r="O221" i="2" s="1"/>
  <c r="O222" i="2" s="1"/>
  <c r="O223" i="2" s="1"/>
  <c r="O224" i="2" s="1"/>
  <c r="P218" i="2"/>
  <c r="P219" i="2" s="1"/>
  <c r="P220" i="2" s="1"/>
  <c r="P221" i="2" s="1"/>
  <c r="P222" i="2" s="1"/>
  <c r="P223" i="2" s="1"/>
  <c r="P224" i="2" s="1"/>
  <c r="Q218" i="2"/>
  <c r="Q219" i="2" s="1"/>
  <c r="Q220" i="2" s="1"/>
  <c r="Q221" i="2" s="1"/>
  <c r="Q222" i="2" s="1"/>
  <c r="Q223" i="2" s="1"/>
  <c r="Q224" i="2" s="1"/>
  <c r="I225" i="2"/>
  <c r="I226" i="2" s="1"/>
  <c r="I227" i="2" s="1"/>
  <c r="I228" i="2" s="1"/>
  <c r="J225" i="2"/>
  <c r="K225" i="2"/>
  <c r="L225" i="2"/>
  <c r="M225" i="2"/>
  <c r="N225" i="2"/>
  <c r="O225" i="2"/>
  <c r="P225" i="2"/>
  <c r="Q225" i="2"/>
  <c r="J226" i="2"/>
  <c r="K226" i="2"/>
  <c r="L226" i="2"/>
  <c r="M226" i="2"/>
  <c r="N226" i="2"/>
  <c r="O226" i="2"/>
  <c r="P226" i="2"/>
  <c r="Q226" i="2"/>
  <c r="E204" i="2"/>
  <c r="E205" i="2"/>
  <c r="I205" i="2"/>
  <c r="I206" i="2" s="1"/>
  <c r="I207" i="2" s="1"/>
  <c r="I208" i="2" s="1"/>
  <c r="I209" i="2" s="1"/>
  <c r="I210" i="2" s="1"/>
  <c r="I211" i="2" s="1"/>
  <c r="I212" i="2" s="1"/>
  <c r="I213" i="2" s="1"/>
  <c r="J205" i="2"/>
  <c r="K205" i="2"/>
  <c r="L205" i="2"/>
  <c r="M205" i="2"/>
  <c r="N205" i="2"/>
  <c r="O205" i="2"/>
  <c r="P205" i="2"/>
  <c r="Q205" i="2"/>
  <c r="E206" i="2"/>
  <c r="J206" i="2"/>
  <c r="K206" i="2"/>
  <c r="L206" i="2"/>
  <c r="M206" i="2"/>
  <c r="N206" i="2"/>
  <c r="O206" i="2"/>
  <c r="P206" i="2"/>
  <c r="Q206" i="2"/>
  <c r="E207" i="2"/>
  <c r="J207" i="2"/>
  <c r="K207" i="2"/>
  <c r="L207" i="2"/>
  <c r="M207" i="2"/>
  <c r="N207" i="2"/>
  <c r="O207" i="2"/>
  <c r="P207" i="2"/>
  <c r="Q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5" i="2"/>
  <c r="E226" i="2"/>
  <c r="E227" i="2"/>
  <c r="K227" i="2"/>
  <c r="L227" i="2"/>
  <c r="M227" i="2"/>
  <c r="N227" i="2"/>
  <c r="O227" i="2"/>
  <c r="P227" i="2"/>
  <c r="Q227" i="2"/>
  <c r="E228" i="2"/>
  <c r="J228" i="2"/>
  <c r="K228" i="2"/>
  <c r="L228" i="2"/>
  <c r="M228" i="2"/>
  <c r="N228" i="2"/>
  <c r="O228" i="2"/>
  <c r="P228" i="2"/>
  <c r="Q228" i="2"/>
  <c r="E203" i="2"/>
  <c r="Q203" i="2"/>
  <c r="Q204" i="2" s="1"/>
  <c r="O203" i="2"/>
  <c r="O204" i="2" s="1"/>
  <c r="M203" i="2"/>
  <c r="M204" i="2" s="1"/>
  <c r="K203" i="2"/>
  <c r="K204" i="2" s="1"/>
  <c r="E202" i="2"/>
  <c r="K202" i="2"/>
  <c r="L202" i="2"/>
  <c r="M202" i="2"/>
  <c r="N202" i="2"/>
  <c r="N203" i="2" s="1"/>
  <c r="N204" i="2" s="1"/>
  <c r="O202" i="2"/>
  <c r="P202" i="2"/>
  <c r="Q202" i="2"/>
  <c r="K199" i="2"/>
  <c r="L199" i="2"/>
  <c r="M199" i="2"/>
  <c r="N199" i="2"/>
  <c r="O199" i="2"/>
  <c r="P199" i="2"/>
  <c r="Q199" i="2"/>
  <c r="K200" i="2"/>
  <c r="L200" i="2"/>
  <c r="M200" i="2"/>
  <c r="N200" i="2"/>
  <c r="O200" i="2"/>
  <c r="P200" i="2"/>
  <c r="Q200" i="2"/>
  <c r="K201" i="2"/>
  <c r="L201" i="2"/>
  <c r="M201" i="2"/>
  <c r="N201" i="2"/>
  <c r="O201" i="2"/>
  <c r="P201" i="2"/>
  <c r="Q201" i="2"/>
  <c r="D51" i="1"/>
  <c r="E231" i="2"/>
  <c r="J231" i="2"/>
  <c r="K231" i="2"/>
  <c r="L231" i="2"/>
  <c r="M231" i="2"/>
  <c r="N231" i="2"/>
  <c r="O231" i="2"/>
  <c r="P231" i="2"/>
  <c r="Q231" i="2"/>
  <c r="E232" i="2"/>
  <c r="J232" i="2"/>
  <c r="K232" i="2"/>
  <c r="L232" i="2"/>
  <c r="M232" i="2"/>
  <c r="N232" i="2"/>
  <c r="O232" i="2"/>
  <c r="P232" i="2"/>
  <c r="Q232" i="2"/>
  <c r="E233" i="2"/>
  <c r="J233" i="2"/>
  <c r="J234" i="2" s="1"/>
  <c r="K233" i="2"/>
  <c r="K234" i="2" s="1"/>
  <c r="L233" i="2"/>
  <c r="L234" i="2" s="1"/>
  <c r="M233" i="2"/>
  <c r="M234" i="2" s="1"/>
  <c r="N233" i="2"/>
  <c r="N234" i="2" s="1"/>
  <c r="O233" i="2"/>
  <c r="O234" i="2" s="1"/>
  <c r="P233" i="2"/>
  <c r="P234" i="2" s="1"/>
  <c r="Q233" i="2"/>
  <c r="Q234" i="2" s="1"/>
  <c r="E234" i="2"/>
  <c r="E235" i="2"/>
  <c r="I235" i="2"/>
  <c r="I236" i="2" s="1"/>
  <c r="J235" i="2"/>
  <c r="K235" i="2"/>
  <c r="L235" i="2"/>
  <c r="M235" i="2"/>
  <c r="N235" i="2"/>
  <c r="O235" i="2"/>
  <c r="P235" i="2"/>
  <c r="Q235" i="2"/>
  <c r="E236" i="2"/>
  <c r="J236" i="2"/>
  <c r="K236" i="2"/>
  <c r="L236" i="2"/>
  <c r="M236" i="2"/>
  <c r="N236" i="2"/>
  <c r="O236" i="2"/>
  <c r="P236" i="2"/>
  <c r="Q236" i="2"/>
  <c r="B8" i="3"/>
  <c r="E49" i="1"/>
  <c r="E47" i="1"/>
  <c r="E46" i="1"/>
  <c r="E230" i="2"/>
  <c r="L203" i="2" l="1"/>
  <c r="L204" i="2" s="1"/>
  <c r="P203" i="2"/>
  <c r="P204" i="2" s="1"/>
  <c r="D45" i="1"/>
  <c r="Q229" i="2"/>
  <c r="Q230" i="2" s="1"/>
  <c r="P229" i="2"/>
  <c r="P230" i="2" s="1"/>
  <c r="O229" i="2"/>
  <c r="O230" i="2" s="1"/>
  <c r="N229" i="2"/>
  <c r="N230" i="2" s="1"/>
  <c r="M229" i="2"/>
  <c r="M230" i="2" s="1"/>
  <c r="L229" i="2"/>
  <c r="L230" i="2" s="1"/>
  <c r="K229" i="2"/>
  <c r="K230" i="2" s="1"/>
  <c r="J229" i="2"/>
  <c r="J230" i="2" s="1"/>
  <c r="E229" i="2"/>
  <c r="I229" i="2"/>
  <c r="I230" i="2" s="1"/>
  <c r="I231" i="2" s="1"/>
  <c r="I232" i="2" s="1"/>
  <c r="I233" i="2" s="1"/>
  <c r="I234" i="2" s="1"/>
  <c r="D44" i="1"/>
  <c r="D43" i="1"/>
  <c r="K53" i="2"/>
  <c r="L53" i="2"/>
  <c r="M53" i="2"/>
  <c r="N53" i="2"/>
  <c r="O53" i="2"/>
  <c r="P53" i="2"/>
  <c r="Q53" i="2"/>
  <c r="L54" i="2"/>
  <c r="M54" i="2"/>
  <c r="N54" i="2"/>
  <c r="O54" i="2"/>
  <c r="P54" i="2"/>
  <c r="Q54" i="2"/>
  <c r="K55" i="2"/>
  <c r="L55" i="2"/>
  <c r="M55" i="2"/>
  <c r="N55" i="2"/>
  <c r="O55" i="2"/>
  <c r="P55" i="2"/>
  <c r="Q55" i="2"/>
  <c r="K56" i="2"/>
  <c r="K57" i="2" s="1"/>
  <c r="K58" i="2" s="1"/>
  <c r="K59" i="2" s="1"/>
  <c r="L56" i="2"/>
  <c r="L57" i="2" s="1"/>
  <c r="L58" i="2" s="1"/>
  <c r="L59" i="2" s="1"/>
  <c r="M56" i="2"/>
  <c r="M57" i="2" s="1"/>
  <c r="M58" i="2" s="1"/>
  <c r="M59" i="2" s="1"/>
  <c r="N56" i="2"/>
  <c r="N57" i="2" s="1"/>
  <c r="N58" i="2" s="1"/>
  <c r="N59" i="2" s="1"/>
  <c r="O56" i="2"/>
  <c r="O57" i="2" s="1"/>
  <c r="O58" i="2" s="1"/>
  <c r="O59" i="2" s="1"/>
  <c r="P56" i="2"/>
  <c r="P57" i="2" s="1"/>
  <c r="P58" i="2" s="1"/>
  <c r="P59" i="2" s="1"/>
  <c r="Q56" i="2"/>
  <c r="Q57" i="2" s="1"/>
  <c r="Q58" i="2" s="1"/>
  <c r="Q59" i="2" s="1"/>
  <c r="J60" i="2"/>
  <c r="J61" i="2" s="1"/>
  <c r="K60" i="2"/>
  <c r="K61" i="2" s="1"/>
  <c r="L60" i="2"/>
  <c r="L61" i="2" s="1"/>
  <c r="M60" i="2"/>
  <c r="M61" i="2" s="1"/>
  <c r="N60" i="2"/>
  <c r="N61" i="2" s="1"/>
  <c r="O60" i="2"/>
  <c r="O61" i="2" s="1"/>
  <c r="P60" i="2"/>
  <c r="P61" i="2" s="1"/>
  <c r="Q60" i="2"/>
  <c r="Q61" i="2" s="1"/>
  <c r="J62" i="2"/>
  <c r="K62" i="2"/>
  <c r="L62" i="2"/>
  <c r="M62" i="2"/>
  <c r="N62" i="2"/>
  <c r="O62" i="2"/>
  <c r="P62" i="2"/>
  <c r="Q62" i="2"/>
  <c r="J63" i="2"/>
  <c r="K63" i="2"/>
  <c r="L63" i="2"/>
  <c r="M63" i="2"/>
  <c r="N63" i="2"/>
  <c r="O63" i="2"/>
  <c r="P63" i="2"/>
  <c r="Q63" i="2"/>
  <c r="J64" i="2"/>
  <c r="K64" i="2"/>
  <c r="L64" i="2"/>
  <c r="M64" i="2"/>
  <c r="N64" i="2"/>
  <c r="O64" i="2"/>
  <c r="P64" i="2"/>
  <c r="Q64" i="2"/>
  <c r="J65" i="2"/>
  <c r="J66" i="2" s="1"/>
  <c r="K65" i="2"/>
  <c r="K66" i="2" s="1"/>
  <c r="L65" i="2"/>
  <c r="L66" i="2" s="1"/>
  <c r="M65" i="2"/>
  <c r="M66" i="2" s="1"/>
  <c r="N65" i="2"/>
  <c r="N66" i="2" s="1"/>
  <c r="O65" i="2"/>
  <c r="O66" i="2" s="1"/>
  <c r="P65" i="2"/>
  <c r="P66" i="2" s="1"/>
  <c r="Q65" i="2"/>
  <c r="Q66" i="2" s="1"/>
  <c r="J156" i="2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K156" i="2"/>
  <c r="L156" i="2"/>
  <c r="M156" i="2"/>
  <c r="N156" i="2"/>
  <c r="O156" i="2"/>
  <c r="P156" i="2"/>
  <c r="Q156" i="2"/>
  <c r="K157" i="2"/>
  <c r="L157" i="2"/>
  <c r="M157" i="2"/>
  <c r="N157" i="2"/>
  <c r="O157" i="2"/>
  <c r="P157" i="2"/>
  <c r="Q157" i="2"/>
  <c r="K194" i="2"/>
  <c r="K195" i="2" s="1"/>
  <c r="L194" i="2"/>
  <c r="L195" i="2" s="1"/>
  <c r="M194" i="2"/>
  <c r="M195" i="2" s="1"/>
  <c r="N194" i="2"/>
  <c r="N195" i="2" s="1"/>
  <c r="O194" i="2"/>
  <c r="O195" i="2" s="1"/>
  <c r="P194" i="2"/>
  <c r="P195" i="2" s="1"/>
  <c r="Q194" i="2"/>
  <c r="Q195" i="2" s="1"/>
  <c r="J196" i="2"/>
  <c r="J197" i="2" s="1"/>
  <c r="J198" i="2" s="1"/>
  <c r="J199" i="2" s="1"/>
  <c r="J200" i="2" s="1"/>
  <c r="J201" i="2" s="1"/>
  <c r="J202" i="2" s="1"/>
  <c r="K196" i="2"/>
  <c r="L196" i="2"/>
  <c r="M196" i="2"/>
  <c r="N196" i="2"/>
  <c r="O196" i="2"/>
  <c r="P196" i="2"/>
  <c r="Q196" i="2"/>
  <c r="K197" i="2"/>
  <c r="L197" i="2"/>
  <c r="M197" i="2"/>
  <c r="N197" i="2"/>
  <c r="O197" i="2"/>
  <c r="P197" i="2"/>
  <c r="Q197" i="2"/>
  <c r="K198" i="2"/>
  <c r="L198" i="2"/>
  <c r="M198" i="2"/>
  <c r="N198" i="2"/>
  <c r="O198" i="2"/>
  <c r="P198" i="2"/>
  <c r="Q198" i="2"/>
  <c r="I237" i="2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J237" i="2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M237" i="2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N237" i="2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O237" i="2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P237" i="2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Q237" i="2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K237" i="2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L237" i="2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E237" i="2"/>
  <c r="E192" i="2"/>
  <c r="E193" i="2"/>
  <c r="E194" i="2"/>
  <c r="E195" i="2"/>
  <c r="E196" i="2"/>
  <c r="E197" i="2"/>
  <c r="E198" i="2"/>
  <c r="E199" i="2"/>
  <c r="E200" i="2"/>
  <c r="E201" i="2"/>
  <c r="D42" i="1"/>
  <c r="E41" i="1"/>
  <c r="E65" i="2"/>
  <c r="H47" i="3"/>
  <c r="H45" i="3"/>
  <c r="J169" i="2" l="1"/>
  <c r="J170" i="2" s="1"/>
  <c r="J171" i="2" s="1"/>
  <c r="J172" i="2" s="1"/>
  <c r="J173" i="2" s="1"/>
  <c r="J174" i="2" s="1"/>
  <c r="J175" i="2" s="1"/>
  <c r="I277" i="2"/>
  <c r="J203" i="2"/>
  <c r="J204" i="2" s="1"/>
  <c r="E191" i="2"/>
  <c r="E174" i="2"/>
  <c r="E173" i="2"/>
  <c r="E172" i="2"/>
  <c r="E171" i="2"/>
  <c r="E151" i="2"/>
  <c r="E152" i="2"/>
  <c r="E153" i="2"/>
  <c r="E150" i="2"/>
  <c r="E154" i="2"/>
  <c r="E90" i="2"/>
  <c r="E89" i="2"/>
  <c r="E63" i="2"/>
  <c r="E64" i="2"/>
  <c r="E66" i="2"/>
  <c r="E92" i="2"/>
  <c r="D38" i="1"/>
  <c r="D37" i="1"/>
  <c r="D36" i="1"/>
  <c r="D15" i="1"/>
  <c r="H23" i="3"/>
  <c r="H27" i="3" s="1"/>
  <c r="M23" i="3"/>
  <c r="M27" i="3" s="1"/>
  <c r="E83" i="2"/>
  <c r="D35" i="1"/>
  <c r="E75" i="2"/>
  <c r="D34" i="1"/>
  <c r="M9" i="3"/>
  <c r="D12" i="1"/>
  <c r="D33" i="1"/>
  <c r="D13" i="1"/>
  <c r="H15" i="3"/>
  <c r="H19" i="3" s="1"/>
  <c r="D32" i="1"/>
  <c r="D9" i="1"/>
  <c r="H6" i="3"/>
  <c r="H10" i="3" s="1"/>
  <c r="B7" i="3"/>
  <c r="D25" i="1"/>
  <c r="E58" i="2"/>
  <c r="E57" i="2"/>
  <c r="K48" i="2"/>
  <c r="K49" i="2" s="1"/>
  <c r="K50" i="2" s="1"/>
  <c r="K51" i="2" s="1"/>
  <c r="L48" i="2"/>
  <c r="L49" i="2" s="1"/>
  <c r="L50" i="2" s="1"/>
  <c r="L51" i="2" s="1"/>
  <c r="M48" i="2"/>
  <c r="M49" i="2" s="1"/>
  <c r="M50" i="2" s="1"/>
  <c r="M51" i="2" s="1"/>
  <c r="N48" i="2"/>
  <c r="N49" i="2" s="1"/>
  <c r="N50" i="2" s="1"/>
  <c r="N51" i="2" s="1"/>
  <c r="O48" i="2"/>
  <c r="O49" i="2" s="1"/>
  <c r="O50" i="2" s="1"/>
  <c r="O51" i="2" s="1"/>
  <c r="P48" i="2"/>
  <c r="P49" i="2" s="1"/>
  <c r="P50" i="2" s="1"/>
  <c r="P51" i="2" s="1"/>
  <c r="Q48" i="2"/>
  <c r="Q49" i="2" s="1"/>
  <c r="Q50" i="2" s="1"/>
  <c r="Q51" i="2" s="1"/>
  <c r="J52" i="2"/>
  <c r="J53" i="2" s="1"/>
  <c r="J54" i="2" s="1"/>
  <c r="J55" i="2" s="1"/>
  <c r="J56" i="2" s="1"/>
  <c r="J57" i="2" s="1"/>
  <c r="J58" i="2" s="1"/>
  <c r="J59" i="2" s="1"/>
  <c r="K52" i="2"/>
  <c r="L52" i="2"/>
  <c r="M52" i="2"/>
  <c r="N52" i="2"/>
  <c r="O52" i="2"/>
  <c r="P52" i="2"/>
  <c r="Q52" i="2"/>
  <c r="E49" i="2"/>
  <c r="E50" i="2"/>
  <c r="E22" i="2"/>
  <c r="E14" i="2"/>
  <c r="I278" i="2" l="1"/>
  <c r="E86" i="2"/>
  <c r="J152" i="2" l="1"/>
  <c r="J153" i="2" s="1"/>
  <c r="J154" i="2" s="1"/>
  <c r="J155" i="2" s="1"/>
  <c r="I279" i="2"/>
  <c r="E190" i="2"/>
  <c r="E186" i="2"/>
  <c r="E183" i="2"/>
  <c r="E180" i="2"/>
  <c r="E179" i="2"/>
  <c r="E178" i="2"/>
  <c r="E177" i="2"/>
  <c r="E176" i="2"/>
  <c r="E170" i="2"/>
  <c r="D28" i="1"/>
  <c r="E166" i="2"/>
  <c r="E165" i="2"/>
  <c r="E163" i="2"/>
  <c r="E160" i="2"/>
  <c r="E159" i="2"/>
  <c r="E158" i="2"/>
  <c r="E157" i="2"/>
  <c r="E156" i="2"/>
  <c r="D31" i="1"/>
  <c r="D29" i="1"/>
  <c r="D30" i="1"/>
  <c r="D26" i="1"/>
  <c r="E138" i="2"/>
  <c r="E7" i="2"/>
  <c r="E8" i="2"/>
  <c r="J8" i="2"/>
  <c r="J9" i="2" s="1"/>
  <c r="J10" i="2" s="1"/>
  <c r="J11" i="2" s="1"/>
  <c r="J12" i="2" s="1"/>
  <c r="K8" i="2"/>
  <c r="L8" i="2"/>
  <c r="M8" i="2"/>
  <c r="N8" i="2"/>
  <c r="O8" i="2"/>
  <c r="P8" i="2"/>
  <c r="Q8" i="2"/>
  <c r="E9" i="2"/>
  <c r="K9" i="2"/>
  <c r="L9" i="2"/>
  <c r="M9" i="2"/>
  <c r="N9" i="2"/>
  <c r="O9" i="2"/>
  <c r="P9" i="2"/>
  <c r="Q9" i="2"/>
  <c r="E10" i="2"/>
  <c r="L10" i="2"/>
  <c r="M10" i="2"/>
  <c r="N10" i="2"/>
  <c r="O10" i="2"/>
  <c r="P10" i="2"/>
  <c r="Q10" i="2"/>
  <c r="E11" i="2"/>
  <c r="K11" i="2"/>
  <c r="L11" i="2"/>
  <c r="M11" i="2"/>
  <c r="N11" i="2"/>
  <c r="O11" i="2"/>
  <c r="P11" i="2"/>
  <c r="Q11" i="2"/>
  <c r="E12" i="2"/>
  <c r="K12" i="2"/>
  <c r="K14" i="2" s="1"/>
  <c r="L12" i="2"/>
  <c r="L14" i="2" s="1"/>
  <c r="M12" i="2"/>
  <c r="M14" i="2" s="1"/>
  <c r="N12" i="2"/>
  <c r="N14" i="2" s="1"/>
  <c r="O12" i="2"/>
  <c r="O14" i="2" s="1"/>
  <c r="P12" i="2"/>
  <c r="P14" i="2" s="1"/>
  <c r="Q12" i="2"/>
  <c r="Q14" i="2" s="1"/>
  <c r="E13" i="2"/>
  <c r="K13" i="2"/>
  <c r="L13" i="2"/>
  <c r="L15" i="2" s="1"/>
  <c r="M13" i="2"/>
  <c r="M15" i="2" s="1"/>
  <c r="N13" i="2"/>
  <c r="N15" i="2" s="1"/>
  <c r="O13" i="2"/>
  <c r="O15" i="2" s="1"/>
  <c r="P13" i="2"/>
  <c r="P15" i="2" s="1"/>
  <c r="Q13" i="2"/>
  <c r="Q15" i="2" s="1"/>
  <c r="E15" i="2"/>
  <c r="E16" i="2"/>
  <c r="J16" i="2"/>
  <c r="J17" i="2" s="1"/>
  <c r="J18" i="2" s="1"/>
  <c r="J19" i="2" s="1"/>
  <c r="J20" i="2" s="1"/>
  <c r="K16" i="2"/>
  <c r="L16" i="2"/>
  <c r="M16" i="2"/>
  <c r="N16" i="2"/>
  <c r="O16" i="2"/>
  <c r="P16" i="2"/>
  <c r="Q16" i="2"/>
  <c r="E17" i="2"/>
  <c r="K17" i="2"/>
  <c r="L17" i="2"/>
  <c r="M17" i="2"/>
  <c r="N17" i="2"/>
  <c r="O17" i="2"/>
  <c r="P17" i="2"/>
  <c r="Q17" i="2"/>
  <c r="E18" i="2"/>
  <c r="L18" i="2"/>
  <c r="M18" i="2"/>
  <c r="N18" i="2"/>
  <c r="O18" i="2"/>
  <c r="P18" i="2"/>
  <c r="Q18" i="2"/>
  <c r="E19" i="2"/>
  <c r="K19" i="2"/>
  <c r="L19" i="2"/>
  <c r="M19" i="2"/>
  <c r="N19" i="2"/>
  <c r="O19" i="2"/>
  <c r="P19" i="2"/>
  <c r="Q19" i="2"/>
  <c r="E20" i="2"/>
  <c r="K20" i="2"/>
  <c r="K22" i="2" s="1"/>
  <c r="L20" i="2"/>
  <c r="L22" i="2" s="1"/>
  <c r="M20" i="2"/>
  <c r="M22" i="2" s="1"/>
  <c r="N20" i="2"/>
  <c r="N22" i="2" s="1"/>
  <c r="O20" i="2"/>
  <c r="O22" i="2" s="1"/>
  <c r="P20" i="2"/>
  <c r="P22" i="2" s="1"/>
  <c r="Q20" i="2"/>
  <c r="Q22" i="2" s="1"/>
  <c r="E21" i="2"/>
  <c r="K21" i="2"/>
  <c r="K23" i="2" s="1"/>
  <c r="L21" i="2"/>
  <c r="L23" i="2" s="1"/>
  <c r="M21" i="2"/>
  <c r="M23" i="2" s="1"/>
  <c r="N21" i="2"/>
  <c r="N23" i="2" s="1"/>
  <c r="O21" i="2"/>
  <c r="O23" i="2" s="1"/>
  <c r="P21" i="2"/>
  <c r="P23" i="2" s="1"/>
  <c r="Q21" i="2"/>
  <c r="Q23" i="2" s="1"/>
  <c r="E23" i="2"/>
  <c r="J47" i="2"/>
  <c r="J48" i="2" s="1"/>
  <c r="J49" i="2" s="1"/>
  <c r="J50" i="2" s="1"/>
  <c r="J51" i="2" s="1"/>
  <c r="E47" i="2"/>
  <c r="K47" i="2"/>
  <c r="L47" i="2"/>
  <c r="M47" i="2"/>
  <c r="N47" i="2"/>
  <c r="O47" i="2"/>
  <c r="P47" i="2"/>
  <c r="Q47" i="2"/>
  <c r="E48" i="2"/>
  <c r="E51" i="2"/>
  <c r="E52" i="2"/>
  <c r="E53" i="2"/>
  <c r="E54" i="2"/>
  <c r="E55" i="2"/>
  <c r="E56" i="2"/>
  <c r="E59" i="2"/>
  <c r="E60" i="2"/>
  <c r="E61" i="2"/>
  <c r="E62" i="2"/>
  <c r="E93" i="2"/>
  <c r="E94" i="2"/>
  <c r="E95" i="2"/>
  <c r="E129" i="2"/>
  <c r="E130" i="2"/>
  <c r="E96" i="2"/>
  <c r="E67" i="2"/>
  <c r="E68" i="2"/>
  <c r="E69" i="2"/>
  <c r="E70" i="2"/>
  <c r="E71" i="2"/>
  <c r="E72" i="2"/>
  <c r="E73" i="2"/>
  <c r="E74" i="2"/>
  <c r="E76" i="2"/>
  <c r="E77" i="2"/>
  <c r="E78" i="2"/>
  <c r="E79" i="2"/>
  <c r="E80" i="2"/>
  <c r="E81" i="2"/>
  <c r="E82" i="2"/>
  <c r="E85" i="2"/>
  <c r="E87" i="2"/>
  <c r="E88" i="2"/>
  <c r="E137" i="2"/>
  <c r="J6" i="2"/>
  <c r="J7" i="2" s="1"/>
  <c r="K6" i="2"/>
  <c r="K7" i="2" s="1"/>
  <c r="L6" i="2"/>
  <c r="L7" i="2" s="1"/>
  <c r="M6" i="2"/>
  <c r="M7" i="2" s="1"/>
  <c r="N6" i="2"/>
  <c r="N7" i="2" s="1"/>
  <c r="O6" i="2"/>
  <c r="O7" i="2" s="1"/>
  <c r="P6" i="2"/>
  <c r="P7" i="2" s="1"/>
  <c r="Q6" i="2"/>
  <c r="Q7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I3" i="2"/>
  <c r="J3" i="2"/>
  <c r="K3" i="2"/>
  <c r="L3" i="2"/>
  <c r="M3" i="2"/>
  <c r="N3" i="2"/>
  <c r="O3" i="2"/>
  <c r="P3" i="2"/>
  <c r="Q3" i="2"/>
  <c r="I4" i="2"/>
  <c r="I5" i="2" s="1"/>
  <c r="I6" i="2" s="1"/>
  <c r="I7" i="2" s="1"/>
  <c r="I8" i="2" s="1"/>
  <c r="I9" i="2" s="1"/>
  <c r="I10" i="2" s="1"/>
  <c r="I11" i="2" s="1"/>
  <c r="I12" i="2" s="1"/>
  <c r="J4" i="2"/>
  <c r="J5" i="2" s="1"/>
  <c r="K4" i="2"/>
  <c r="K5" i="2" s="1"/>
  <c r="L4" i="2"/>
  <c r="L5" i="2" s="1"/>
  <c r="M4" i="2"/>
  <c r="M5" i="2" s="1"/>
  <c r="N4" i="2"/>
  <c r="N5" i="2" s="1"/>
  <c r="O4" i="2"/>
  <c r="O5" i="2" s="1"/>
  <c r="P4" i="2"/>
  <c r="P5" i="2" s="1"/>
  <c r="Q4" i="2"/>
  <c r="Q5" i="2" s="1"/>
  <c r="G190" i="2" l="1"/>
  <c r="F28" i="1"/>
  <c r="G170" i="2" s="1"/>
  <c r="F26" i="1"/>
  <c r="G185" i="2" s="1"/>
  <c r="G111" i="2"/>
  <c r="I152" i="2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J194" i="2"/>
  <c r="J195" i="2" s="1"/>
  <c r="I280" i="2"/>
  <c r="J21" i="2"/>
  <c r="J23" i="2" s="1"/>
  <c r="J22" i="2"/>
  <c r="H13" i="2"/>
  <c r="H15" i="2" s="1"/>
  <c r="H16" i="2" s="1"/>
  <c r="H17" i="2" s="1"/>
  <c r="H14" i="2"/>
  <c r="I13" i="2"/>
  <c r="I15" i="2" s="1"/>
  <c r="I16" i="2" s="1"/>
  <c r="I17" i="2" s="1"/>
  <c r="I18" i="2" s="1"/>
  <c r="I19" i="2" s="1"/>
  <c r="I20" i="2" s="1"/>
  <c r="I14" i="2"/>
  <c r="J13" i="2"/>
  <c r="J15" i="2" s="1"/>
  <c r="J14" i="2"/>
  <c r="F12" i="2"/>
  <c r="J9" i="1" s="1"/>
  <c r="N9" i="1" s="1"/>
  <c r="O9" i="1" s="1"/>
  <c r="F8" i="2"/>
  <c r="F9" i="2"/>
  <c r="K15" i="2"/>
  <c r="F11" i="2"/>
  <c r="E18" i="1"/>
  <c r="D18" i="1"/>
  <c r="E17" i="1"/>
  <c r="G94" i="2" s="1"/>
  <c r="E3" i="2"/>
  <c r="E4" i="2"/>
  <c r="E6" i="2"/>
  <c r="D16" i="1"/>
  <c r="E14" i="1"/>
  <c r="D54" i="2"/>
  <c r="D46" i="2"/>
  <c r="F13" i="1"/>
  <c r="G47" i="2" s="1"/>
  <c r="F12" i="1"/>
  <c r="D79" i="2"/>
  <c r="K79" i="2" s="1"/>
  <c r="D18" i="2"/>
  <c r="D10" i="2"/>
  <c r="D10" i="1"/>
  <c r="D8" i="1"/>
  <c r="D7" i="1"/>
  <c r="F9" i="1"/>
  <c r="G12" i="2" s="1"/>
  <c r="F11" i="1"/>
  <c r="F15" i="1"/>
  <c r="F17" i="1"/>
  <c r="F21" i="1"/>
  <c r="F22" i="1"/>
  <c r="F23" i="1"/>
  <c r="F24" i="1"/>
  <c r="G86" i="2" s="1"/>
  <c r="F25" i="1"/>
  <c r="F29" i="1"/>
  <c r="G106" i="2" s="1"/>
  <c r="F30" i="1"/>
  <c r="G146" i="2" s="1"/>
  <c r="F31" i="1"/>
  <c r="F32" i="1"/>
  <c r="G20" i="2" s="1"/>
  <c r="F33" i="1"/>
  <c r="G55" i="2" s="1"/>
  <c r="F34" i="1"/>
  <c r="G73" i="2" s="1"/>
  <c r="F35" i="1"/>
  <c r="G81" i="2" s="1"/>
  <c r="F36" i="1"/>
  <c r="G88" i="2" s="1"/>
  <c r="F37" i="1"/>
  <c r="F38" i="1"/>
  <c r="F39" i="1"/>
  <c r="F41" i="1"/>
  <c r="G65" i="2" s="1"/>
  <c r="F42" i="1"/>
  <c r="F43" i="1"/>
  <c r="F44" i="1"/>
  <c r="F45" i="1"/>
  <c r="G226" i="2" s="1"/>
  <c r="F46" i="1"/>
  <c r="G227" i="2" s="1"/>
  <c r="F47" i="1"/>
  <c r="F48" i="1"/>
  <c r="Q48" i="1" s="1"/>
  <c r="F49" i="1"/>
  <c r="G230" i="2" s="1"/>
  <c r="F50" i="1"/>
  <c r="G233" i="2" s="1"/>
  <c r="F51" i="1"/>
  <c r="F52" i="1"/>
  <c r="G201" i="2" s="1"/>
  <c r="F53" i="1"/>
  <c r="G202" i="2" s="1"/>
  <c r="F54" i="1"/>
  <c r="G203" i="2" s="1"/>
  <c r="F55" i="1"/>
  <c r="G206" i="2" s="1"/>
  <c r="F56" i="1"/>
  <c r="G207" i="2" s="1"/>
  <c r="F60" i="1"/>
  <c r="G238" i="2" s="1"/>
  <c r="F61" i="1"/>
  <c r="G239" i="2" s="1"/>
  <c r="F62" i="1"/>
  <c r="Q62" i="1" s="1"/>
  <c r="F63" i="1"/>
  <c r="F64" i="1"/>
  <c r="F65" i="1"/>
  <c r="F67" i="1"/>
  <c r="F68" i="1"/>
  <c r="F69" i="1"/>
  <c r="F70" i="1"/>
  <c r="F71" i="1"/>
  <c r="Q71" i="1" s="1"/>
  <c r="F72" i="1"/>
  <c r="Q72" i="1" s="1"/>
  <c r="F73" i="1"/>
  <c r="Q73" i="1" s="1"/>
  <c r="F74" i="1"/>
  <c r="Q74" i="1" s="1"/>
  <c r="F75" i="1"/>
  <c r="Q75" i="1" s="1"/>
  <c r="F76" i="1"/>
  <c r="Q76" i="1" s="1"/>
  <c r="F77" i="1"/>
  <c r="Q77" i="1" s="1"/>
  <c r="F78" i="1"/>
  <c r="Q78" i="1" s="1"/>
  <c r="F79" i="1"/>
  <c r="Q79" i="1" s="1"/>
  <c r="F80" i="1"/>
  <c r="Q80" i="1" s="1"/>
  <c r="F81" i="1"/>
  <c r="Q81" i="1" s="1"/>
  <c r="F82" i="1"/>
  <c r="Q82" i="1" s="1"/>
  <c r="F83" i="1"/>
  <c r="Q83" i="1" s="1"/>
  <c r="F84" i="1"/>
  <c r="Q84" i="1" s="1"/>
  <c r="F85" i="1"/>
  <c r="Q85" i="1" s="1"/>
  <c r="F86" i="1"/>
  <c r="Q86" i="1" s="1"/>
  <c r="F87" i="1"/>
  <c r="Q87" i="1" s="1"/>
  <c r="F88" i="1"/>
  <c r="Q88" i="1" s="1"/>
  <c r="F89" i="1"/>
  <c r="Q89" i="1" s="1"/>
  <c r="F90" i="1"/>
  <c r="Q90" i="1" s="1"/>
  <c r="F91" i="1"/>
  <c r="Q91" i="1" s="1"/>
  <c r="F92" i="1"/>
  <c r="Q92" i="1" s="1"/>
  <c r="F93" i="1"/>
  <c r="Q93" i="1" s="1"/>
  <c r="F94" i="1"/>
  <c r="Q94" i="1" s="1"/>
  <c r="F95" i="1"/>
  <c r="Q95" i="1" s="1"/>
  <c r="F96" i="1"/>
  <c r="Q96" i="1" s="1"/>
  <c r="F97" i="1"/>
  <c r="Q97" i="1" s="1"/>
  <c r="F98" i="1"/>
  <c r="Q98" i="1" s="1"/>
  <c r="F99" i="1"/>
  <c r="Q99" i="1" s="1"/>
  <c r="F100" i="1"/>
  <c r="Q100" i="1" s="1"/>
  <c r="F101" i="1"/>
  <c r="Q101" i="1" s="1"/>
  <c r="F102" i="1"/>
  <c r="Q102" i="1" s="1"/>
  <c r="F103" i="1"/>
  <c r="Q103" i="1" s="1"/>
  <c r="F104" i="1"/>
  <c r="Q104" i="1" s="1"/>
  <c r="F105" i="1"/>
  <c r="Q105" i="1" s="1"/>
  <c r="F106" i="1"/>
  <c r="Q106" i="1" s="1"/>
  <c r="F107" i="1"/>
  <c r="Q107" i="1" s="1"/>
  <c r="F108" i="1"/>
  <c r="Q108" i="1" s="1"/>
  <c r="F109" i="1"/>
  <c r="Q109" i="1" s="1"/>
  <c r="F110" i="1"/>
  <c r="Q110" i="1" s="1"/>
  <c r="F111" i="1"/>
  <c r="Q111" i="1" s="1"/>
  <c r="F112" i="1"/>
  <c r="Q112" i="1" s="1"/>
  <c r="F113" i="1"/>
  <c r="Q113" i="1" s="1"/>
  <c r="F114" i="1"/>
  <c r="Q114" i="1" s="1"/>
  <c r="F115" i="1"/>
  <c r="Q115" i="1" s="1"/>
  <c r="F116" i="1"/>
  <c r="Q116" i="1" s="1"/>
  <c r="F117" i="1"/>
  <c r="Q117" i="1" s="1"/>
  <c r="F118" i="1"/>
  <c r="Q118" i="1" s="1"/>
  <c r="F119" i="1"/>
  <c r="Q119" i="1" s="1"/>
  <c r="F120" i="1"/>
  <c r="Q120" i="1" s="1"/>
  <c r="F121" i="1"/>
  <c r="Q121" i="1" s="1"/>
  <c r="F122" i="1"/>
  <c r="Q122" i="1" s="1"/>
  <c r="F123" i="1"/>
  <c r="Q123" i="1" s="1"/>
  <c r="F124" i="1"/>
  <c r="Q124" i="1" s="1"/>
  <c r="F125" i="1"/>
  <c r="Q125" i="1" s="1"/>
  <c r="F126" i="1"/>
  <c r="Q126" i="1" s="1"/>
  <c r="F127" i="1"/>
  <c r="Q127" i="1" s="1"/>
  <c r="F128" i="1"/>
  <c r="Q128" i="1" s="1"/>
  <c r="F129" i="1"/>
  <c r="Q129" i="1" s="1"/>
  <c r="F130" i="1"/>
  <c r="Q130" i="1" s="1"/>
  <c r="F131" i="1"/>
  <c r="Q131" i="1" s="1"/>
  <c r="F132" i="1"/>
  <c r="Q132" i="1" s="1"/>
  <c r="F133" i="1"/>
  <c r="Q133" i="1" s="1"/>
  <c r="F134" i="1"/>
  <c r="Q134" i="1" s="1"/>
  <c r="F135" i="1"/>
  <c r="Q135" i="1" s="1"/>
  <c r="F136" i="1"/>
  <c r="Q136" i="1" s="1"/>
  <c r="F137" i="1"/>
  <c r="Q137" i="1" s="1"/>
  <c r="F138" i="1"/>
  <c r="Q138" i="1" s="1"/>
  <c r="F139" i="1"/>
  <c r="Q139" i="1" s="1"/>
  <c r="F140" i="1"/>
  <c r="Q140" i="1" s="1"/>
  <c r="F141" i="1"/>
  <c r="Q141" i="1" s="1"/>
  <c r="F142" i="1"/>
  <c r="Q142" i="1" s="1"/>
  <c r="F143" i="1"/>
  <c r="Q143" i="1" s="1"/>
  <c r="F144" i="1"/>
  <c r="Q144" i="1" s="1"/>
  <c r="F145" i="1"/>
  <c r="Q145" i="1" s="1"/>
  <c r="F146" i="1"/>
  <c r="Q146" i="1" s="1"/>
  <c r="F147" i="1"/>
  <c r="Q147" i="1" s="1"/>
  <c r="F148" i="1"/>
  <c r="Q148" i="1" s="1"/>
  <c r="F149" i="1"/>
  <c r="Q149" i="1" s="1"/>
  <c r="F150" i="1"/>
  <c r="Q150" i="1" s="1"/>
  <c r="F151" i="1"/>
  <c r="Q151" i="1" s="1"/>
  <c r="F152" i="1"/>
  <c r="Q152" i="1" s="1"/>
  <c r="F153" i="1"/>
  <c r="Q153" i="1" s="1"/>
  <c r="F154" i="1"/>
  <c r="Q154" i="1" s="1"/>
  <c r="F155" i="1"/>
  <c r="Q155" i="1" s="1"/>
  <c r="F156" i="1"/>
  <c r="Q156" i="1" s="1"/>
  <c r="F157" i="1"/>
  <c r="Q157" i="1" s="1"/>
  <c r="F158" i="1"/>
  <c r="Q158" i="1" s="1"/>
  <c r="F159" i="1"/>
  <c r="Q159" i="1" s="1"/>
  <c r="F160" i="1"/>
  <c r="Q160" i="1" s="1"/>
  <c r="F161" i="1"/>
  <c r="Q161" i="1" s="1"/>
  <c r="F162" i="1"/>
  <c r="Q162" i="1" s="1"/>
  <c r="F163" i="1"/>
  <c r="Q163" i="1" s="1"/>
  <c r="F164" i="1"/>
  <c r="Q164" i="1" s="1"/>
  <c r="F165" i="1"/>
  <c r="Q165" i="1" s="1"/>
  <c r="F166" i="1"/>
  <c r="Q166" i="1" s="1"/>
  <c r="F167" i="1"/>
  <c r="Q167" i="1" s="1"/>
  <c r="F168" i="1"/>
  <c r="Q168" i="1" s="1"/>
  <c r="F169" i="1"/>
  <c r="Q169" i="1" s="1"/>
  <c r="F170" i="1"/>
  <c r="Q170" i="1" s="1"/>
  <c r="F171" i="1"/>
  <c r="Q171" i="1" s="1"/>
  <c r="F172" i="1"/>
  <c r="Q172" i="1" s="1"/>
  <c r="F173" i="1"/>
  <c r="Q173" i="1" s="1"/>
  <c r="F174" i="1"/>
  <c r="Q174" i="1" s="1"/>
  <c r="F175" i="1"/>
  <c r="Q175" i="1" s="1"/>
  <c r="F176" i="1"/>
  <c r="Q176" i="1" s="1"/>
  <c r="F177" i="1"/>
  <c r="Q177" i="1" s="1"/>
  <c r="F178" i="1"/>
  <c r="Q178" i="1" s="1"/>
  <c r="F179" i="1"/>
  <c r="Q179" i="1" s="1"/>
  <c r="F180" i="1"/>
  <c r="Q180" i="1" s="1"/>
  <c r="F181" i="1"/>
  <c r="Q181" i="1" s="1"/>
  <c r="F182" i="1"/>
  <c r="Q182" i="1" s="1"/>
  <c r="F183" i="1"/>
  <c r="Q183" i="1" s="1"/>
  <c r="F184" i="1"/>
  <c r="Q184" i="1" s="1"/>
  <c r="F185" i="1"/>
  <c r="Q185" i="1" s="1"/>
  <c r="F186" i="1"/>
  <c r="Q186" i="1" s="1"/>
  <c r="F187" i="1"/>
  <c r="Q187" i="1" s="1"/>
  <c r="F188" i="1"/>
  <c r="Q188" i="1" s="1"/>
  <c r="F189" i="1"/>
  <c r="Q189" i="1" s="1"/>
  <c r="F190" i="1"/>
  <c r="Q190" i="1" s="1"/>
  <c r="F191" i="1"/>
  <c r="Q191" i="1" s="1"/>
  <c r="F192" i="1"/>
  <c r="Q192" i="1" s="1"/>
  <c r="F193" i="1"/>
  <c r="Q193" i="1" s="1"/>
  <c r="F194" i="1"/>
  <c r="Q194" i="1" s="1"/>
  <c r="F195" i="1"/>
  <c r="Q195" i="1" s="1"/>
  <c r="F196" i="1"/>
  <c r="Q196" i="1" s="1"/>
  <c r="F197" i="1"/>
  <c r="Q197" i="1" s="1"/>
  <c r="F198" i="1"/>
  <c r="Q198" i="1" s="1"/>
  <c r="F199" i="1"/>
  <c r="Q199" i="1" s="1"/>
  <c r="F200" i="1"/>
  <c r="Q200" i="1" s="1"/>
  <c r="F201" i="1"/>
  <c r="Q201" i="1" s="1"/>
  <c r="F202" i="1"/>
  <c r="Q202" i="1" s="1"/>
  <c r="F203" i="1"/>
  <c r="Q203" i="1" s="1"/>
  <c r="F204" i="1"/>
  <c r="Q204" i="1" s="1"/>
  <c r="F205" i="1"/>
  <c r="Q205" i="1" s="1"/>
  <c r="F206" i="1"/>
  <c r="Q206" i="1" s="1"/>
  <c r="F207" i="1"/>
  <c r="Q207" i="1" s="1"/>
  <c r="F208" i="1"/>
  <c r="Q208" i="1" s="1"/>
  <c r="F209" i="1"/>
  <c r="Q209" i="1" s="1"/>
  <c r="F210" i="1"/>
  <c r="Q210" i="1" s="1"/>
  <c r="F211" i="1"/>
  <c r="Q211" i="1" s="1"/>
  <c r="F212" i="1"/>
  <c r="Q212" i="1" s="1"/>
  <c r="F213" i="1"/>
  <c r="Q213" i="1" s="1"/>
  <c r="F214" i="1"/>
  <c r="Q214" i="1" s="1"/>
  <c r="F215" i="1"/>
  <c r="Q215" i="1" s="1"/>
  <c r="F216" i="1"/>
  <c r="Q216" i="1" s="1"/>
  <c r="F217" i="1"/>
  <c r="Q217" i="1" s="1"/>
  <c r="F218" i="1"/>
  <c r="Q218" i="1" s="1"/>
  <c r="F219" i="1"/>
  <c r="Q219" i="1" s="1"/>
  <c r="F220" i="1"/>
  <c r="Q220" i="1" s="1"/>
  <c r="F221" i="1"/>
  <c r="Q221" i="1" s="1"/>
  <c r="F222" i="1"/>
  <c r="Q222" i="1" s="1"/>
  <c r="F223" i="1"/>
  <c r="Q223" i="1" s="1"/>
  <c r="F224" i="1"/>
  <c r="Q224" i="1" s="1"/>
  <c r="F225" i="1"/>
  <c r="Q225" i="1" s="1"/>
  <c r="F226" i="1"/>
  <c r="Q226" i="1" s="1"/>
  <c r="F227" i="1"/>
  <c r="Q227" i="1" s="1"/>
  <c r="F228" i="1"/>
  <c r="Q228" i="1" s="1"/>
  <c r="F229" i="1"/>
  <c r="Q229" i="1" s="1"/>
  <c r="F230" i="1"/>
  <c r="Q230" i="1" s="1"/>
  <c r="F231" i="1"/>
  <c r="Q231" i="1" s="1"/>
  <c r="F232" i="1"/>
  <c r="Q232" i="1" s="1"/>
  <c r="F233" i="1"/>
  <c r="Q233" i="1" s="1"/>
  <c r="F234" i="1"/>
  <c r="Q234" i="1" s="1"/>
  <c r="F235" i="1"/>
  <c r="Q235" i="1" s="1"/>
  <c r="F236" i="1"/>
  <c r="Q236" i="1" s="1"/>
  <c r="F237" i="1"/>
  <c r="Q237" i="1" s="1"/>
  <c r="F238" i="1"/>
  <c r="Q238" i="1" s="1"/>
  <c r="F239" i="1"/>
  <c r="Q239" i="1" s="1"/>
  <c r="F240" i="1"/>
  <c r="Q240" i="1" s="1"/>
  <c r="F241" i="1"/>
  <c r="Q241" i="1" s="1"/>
  <c r="F242" i="1"/>
  <c r="Q242" i="1" s="1"/>
  <c r="F243" i="1"/>
  <c r="Q243" i="1" s="1"/>
  <c r="F244" i="1"/>
  <c r="Q244" i="1" s="1"/>
  <c r="F245" i="1"/>
  <c r="Q245" i="1" s="1"/>
  <c r="F246" i="1"/>
  <c r="Q246" i="1" s="1"/>
  <c r="F247" i="1"/>
  <c r="Q247" i="1" s="1"/>
  <c r="F248" i="1"/>
  <c r="Q248" i="1" s="1"/>
  <c r="F249" i="1"/>
  <c r="Q249" i="1" s="1"/>
  <c r="F250" i="1"/>
  <c r="Q250" i="1" s="1"/>
  <c r="F251" i="1"/>
  <c r="Q251" i="1" s="1"/>
  <c r="F252" i="1"/>
  <c r="Q252" i="1" s="1"/>
  <c r="F253" i="1"/>
  <c r="Q253" i="1" s="1"/>
  <c r="F254" i="1"/>
  <c r="Q254" i="1" s="1"/>
  <c r="F255" i="1"/>
  <c r="Q255" i="1" s="1"/>
  <c r="F256" i="1"/>
  <c r="Q256" i="1" s="1"/>
  <c r="F257" i="1"/>
  <c r="Q257" i="1" s="1"/>
  <c r="F258" i="1"/>
  <c r="Q258" i="1" s="1"/>
  <c r="F259" i="1"/>
  <c r="Q259" i="1" s="1"/>
  <c r="F260" i="1"/>
  <c r="Q260" i="1" s="1"/>
  <c r="F261" i="1"/>
  <c r="Q261" i="1" s="1"/>
  <c r="F262" i="1"/>
  <c r="Q262" i="1" s="1"/>
  <c r="F263" i="1"/>
  <c r="Q263" i="1" s="1"/>
  <c r="F264" i="1"/>
  <c r="Q264" i="1" s="1"/>
  <c r="F265" i="1"/>
  <c r="Q265" i="1" s="1"/>
  <c r="F266" i="1"/>
  <c r="Q266" i="1" s="1"/>
  <c r="F267" i="1"/>
  <c r="Q267" i="1" s="1"/>
  <c r="F268" i="1"/>
  <c r="Q268" i="1" s="1"/>
  <c r="F269" i="1"/>
  <c r="Q269" i="1" s="1"/>
  <c r="F270" i="1"/>
  <c r="Q270" i="1" s="1"/>
  <c r="F271" i="1"/>
  <c r="Q271" i="1" s="1"/>
  <c r="F272" i="1"/>
  <c r="Q272" i="1" s="1"/>
  <c r="F273" i="1"/>
  <c r="Q273" i="1" s="1"/>
  <c r="F274" i="1"/>
  <c r="Q274" i="1" s="1"/>
  <c r="F275" i="1"/>
  <c r="Q275" i="1" s="1"/>
  <c r="F276" i="1"/>
  <c r="Q276" i="1" s="1"/>
  <c r="F277" i="1"/>
  <c r="Q277" i="1" s="1"/>
  <c r="F278" i="1"/>
  <c r="Q278" i="1" s="1"/>
  <c r="F279" i="1"/>
  <c r="Q279" i="1" s="1"/>
  <c r="F280" i="1"/>
  <c r="Q280" i="1" s="1"/>
  <c r="F281" i="1"/>
  <c r="Q281" i="1" s="1"/>
  <c r="F282" i="1"/>
  <c r="Q282" i="1" s="1"/>
  <c r="F283" i="1"/>
  <c r="Q283" i="1" s="1"/>
  <c r="F284" i="1"/>
  <c r="Q284" i="1" s="1"/>
  <c r="F285" i="1"/>
  <c r="Q285" i="1" s="1"/>
  <c r="F286" i="1"/>
  <c r="Q286" i="1" s="1"/>
  <c r="F287" i="1"/>
  <c r="Q287" i="1" s="1"/>
  <c r="F288" i="1"/>
  <c r="Q288" i="1" s="1"/>
  <c r="F289" i="1"/>
  <c r="Q289" i="1" s="1"/>
  <c r="F290" i="1"/>
  <c r="Q290" i="1" s="1"/>
  <c r="F291" i="1"/>
  <c r="Q291" i="1" s="1"/>
  <c r="F292" i="1"/>
  <c r="Q292" i="1" s="1"/>
  <c r="F293" i="1"/>
  <c r="Q293" i="1" s="1"/>
  <c r="F294" i="1"/>
  <c r="Q294" i="1" s="1"/>
  <c r="F295" i="1"/>
  <c r="Q295" i="1" s="1"/>
  <c r="F296" i="1"/>
  <c r="Q296" i="1" s="1"/>
  <c r="F297" i="1"/>
  <c r="Q297" i="1" s="1"/>
  <c r="F298" i="1"/>
  <c r="Q298" i="1" s="1"/>
  <c r="F299" i="1"/>
  <c r="Q299" i="1" s="1"/>
  <c r="F300" i="1"/>
  <c r="Q300" i="1" s="1"/>
  <c r="F301" i="1"/>
  <c r="Q301" i="1" s="1"/>
  <c r="F302" i="1"/>
  <c r="Q302" i="1" s="1"/>
  <c r="F303" i="1"/>
  <c r="Q303" i="1" s="1"/>
  <c r="F304" i="1"/>
  <c r="Q304" i="1" s="1"/>
  <c r="F305" i="1"/>
  <c r="Q305" i="1" s="1"/>
  <c r="F306" i="1"/>
  <c r="Q306" i="1" s="1"/>
  <c r="F307" i="1"/>
  <c r="Q307" i="1" s="1"/>
  <c r="F308" i="1"/>
  <c r="Q308" i="1" s="1"/>
  <c r="F309" i="1"/>
  <c r="Q309" i="1" s="1"/>
  <c r="F310" i="1"/>
  <c r="Q310" i="1" s="1"/>
  <c r="F311" i="1"/>
  <c r="Q311" i="1" s="1"/>
  <c r="F312" i="1"/>
  <c r="Q312" i="1" s="1"/>
  <c r="F313" i="1"/>
  <c r="Q313" i="1" s="1"/>
  <c r="F314" i="1"/>
  <c r="Q314" i="1" s="1"/>
  <c r="F315" i="1"/>
  <c r="Q315" i="1" s="1"/>
  <c r="F316" i="1"/>
  <c r="Q316" i="1" s="1"/>
  <c r="F317" i="1"/>
  <c r="Q317" i="1" s="1"/>
  <c r="F318" i="1"/>
  <c r="Q318" i="1" s="1"/>
  <c r="F319" i="1"/>
  <c r="Q319" i="1" s="1"/>
  <c r="F320" i="1"/>
  <c r="Q320" i="1" s="1"/>
  <c r="F321" i="1"/>
  <c r="Q321" i="1" s="1"/>
  <c r="F322" i="1"/>
  <c r="Q322" i="1" s="1"/>
  <c r="F323" i="1"/>
  <c r="Q323" i="1" s="1"/>
  <c r="F324" i="1"/>
  <c r="Q324" i="1" s="1"/>
  <c r="F325" i="1"/>
  <c r="Q325" i="1" s="1"/>
  <c r="F326" i="1"/>
  <c r="Q326" i="1" s="1"/>
  <c r="F327" i="1"/>
  <c r="Q327" i="1" s="1"/>
  <c r="F328" i="1"/>
  <c r="Q328" i="1" s="1"/>
  <c r="F329" i="1"/>
  <c r="Q329" i="1" s="1"/>
  <c r="F330" i="1"/>
  <c r="Q330" i="1" s="1"/>
  <c r="F331" i="1"/>
  <c r="Q331" i="1" s="1"/>
  <c r="F332" i="1"/>
  <c r="Q332" i="1" s="1"/>
  <c r="F333" i="1"/>
  <c r="Q333" i="1" s="1"/>
  <c r="F334" i="1"/>
  <c r="Q334" i="1" s="1"/>
  <c r="F335" i="1"/>
  <c r="Q335" i="1" s="1"/>
  <c r="F336" i="1"/>
  <c r="Q336" i="1" s="1"/>
  <c r="F337" i="1"/>
  <c r="Q337" i="1" s="1"/>
  <c r="F338" i="1"/>
  <c r="Q338" i="1" s="1"/>
  <c r="F339" i="1"/>
  <c r="Q339" i="1" s="1"/>
  <c r="F340" i="1"/>
  <c r="Q340" i="1" s="1"/>
  <c r="F341" i="1"/>
  <c r="Q341" i="1" s="1"/>
  <c r="F342" i="1"/>
  <c r="Q342" i="1" s="1"/>
  <c r="F343" i="1"/>
  <c r="Q343" i="1" s="1"/>
  <c r="F344" i="1"/>
  <c r="Q344" i="1" s="1"/>
  <c r="F345" i="1"/>
  <c r="Q345" i="1" s="1"/>
  <c r="F346" i="1"/>
  <c r="Q346" i="1" s="1"/>
  <c r="F347" i="1"/>
  <c r="Q347" i="1" s="1"/>
  <c r="F348" i="1"/>
  <c r="Q348" i="1" s="1"/>
  <c r="F349" i="1"/>
  <c r="Q349" i="1" s="1"/>
  <c r="F350" i="1"/>
  <c r="Q350" i="1" s="1"/>
  <c r="F351" i="1"/>
  <c r="Q351" i="1" s="1"/>
  <c r="F352" i="1"/>
  <c r="Q352" i="1" s="1"/>
  <c r="F353" i="1"/>
  <c r="Q353" i="1" s="1"/>
  <c r="F354" i="1"/>
  <c r="Q354" i="1" s="1"/>
  <c r="F355" i="1"/>
  <c r="Q355" i="1" s="1"/>
  <c r="F356" i="1"/>
  <c r="Q356" i="1" s="1"/>
  <c r="F357" i="1"/>
  <c r="Q357" i="1" s="1"/>
  <c r="F358" i="1"/>
  <c r="Q358" i="1" s="1"/>
  <c r="F359" i="1"/>
  <c r="Q359" i="1" s="1"/>
  <c r="F360" i="1"/>
  <c r="Q360" i="1" s="1"/>
  <c r="F361" i="1"/>
  <c r="Q361" i="1" s="1"/>
  <c r="F362" i="1"/>
  <c r="Q362" i="1" s="1"/>
  <c r="F363" i="1"/>
  <c r="Q363" i="1" s="1"/>
  <c r="F364" i="1"/>
  <c r="Q364" i="1" s="1"/>
  <c r="F365" i="1"/>
  <c r="Q365" i="1" s="1"/>
  <c r="F366" i="1"/>
  <c r="Q366" i="1" s="1"/>
  <c r="F367" i="1"/>
  <c r="Q367" i="1" s="1"/>
  <c r="F368" i="1"/>
  <c r="Q368" i="1" s="1"/>
  <c r="F369" i="1"/>
  <c r="Q369" i="1" s="1"/>
  <c r="F370" i="1"/>
  <c r="Q370" i="1" s="1"/>
  <c r="F371" i="1"/>
  <c r="Q371" i="1" s="1"/>
  <c r="F372" i="1"/>
  <c r="Q372" i="1" s="1"/>
  <c r="F373" i="1"/>
  <c r="Q373" i="1" s="1"/>
  <c r="F374" i="1"/>
  <c r="Q374" i="1" s="1"/>
  <c r="F375" i="1"/>
  <c r="Q375" i="1" s="1"/>
  <c r="F376" i="1"/>
  <c r="Q376" i="1" s="1"/>
  <c r="F377" i="1"/>
  <c r="Q377" i="1" s="1"/>
  <c r="F378" i="1"/>
  <c r="Q378" i="1" s="1"/>
  <c r="F379" i="1"/>
  <c r="Q379" i="1" s="1"/>
  <c r="F380" i="1"/>
  <c r="Q380" i="1" s="1"/>
  <c r="F381" i="1"/>
  <c r="Q381" i="1" s="1"/>
  <c r="F382" i="1"/>
  <c r="Q382" i="1" s="1"/>
  <c r="F383" i="1"/>
  <c r="Q383" i="1" s="1"/>
  <c r="F384" i="1"/>
  <c r="Q384" i="1" s="1"/>
  <c r="F385" i="1"/>
  <c r="Q385" i="1" s="1"/>
  <c r="F386" i="1"/>
  <c r="Q386" i="1" s="1"/>
  <c r="F387" i="1"/>
  <c r="Q387" i="1" s="1"/>
  <c r="F388" i="1"/>
  <c r="Q388" i="1" s="1"/>
  <c r="F389" i="1"/>
  <c r="Q389" i="1" s="1"/>
  <c r="F390" i="1"/>
  <c r="Q390" i="1" s="1"/>
  <c r="F391" i="1"/>
  <c r="Q391" i="1" s="1"/>
  <c r="F392" i="1"/>
  <c r="Q392" i="1" s="1"/>
  <c r="F393" i="1"/>
  <c r="Q393" i="1" s="1"/>
  <c r="F394" i="1"/>
  <c r="Q394" i="1" s="1"/>
  <c r="F395" i="1"/>
  <c r="Q395" i="1" s="1"/>
  <c r="F396" i="1"/>
  <c r="Q396" i="1" s="1"/>
  <c r="F397" i="1"/>
  <c r="Q397" i="1" s="1"/>
  <c r="F398" i="1"/>
  <c r="Q398" i="1" s="1"/>
  <c r="F399" i="1"/>
  <c r="Q399" i="1" s="1"/>
  <c r="F400" i="1"/>
  <c r="Q400" i="1" s="1"/>
  <c r="F401" i="1"/>
  <c r="Q401" i="1" s="1"/>
  <c r="F402" i="1"/>
  <c r="Q402" i="1" s="1"/>
  <c r="F403" i="1"/>
  <c r="Q403" i="1" s="1"/>
  <c r="F404" i="1"/>
  <c r="Q404" i="1" s="1"/>
  <c r="F405" i="1"/>
  <c r="Q405" i="1" s="1"/>
  <c r="F406" i="1"/>
  <c r="Q406" i="1" s="1"/>
  <c r="F407" i="1"/>
  <c r="Q407" i="1" s="1"/>
  <c r="F408" i="1"/>
  <c r="Q408" i="1" s="1"/>
  <c r="F409" i="1"/>
  <c r="Q409" i="1" s="1"/>
  <c r="F410" i="1"/>
  <c r="Q410" i="1" s="1"/>
  <c r="F411" i="1"/>
  <c r="Q411" i="1" s="1"/>
  <c r="F412" i="1"/>
  <c r="Q412" i="1" s="1"/>
  <c r="F413" i="1"/>
  <c r="Q413" i="1" s="1"/>
  <c r="F414" i="1"/>
  <c r="Q414" i="1" s="1"/>
  <c r="F415" i="1"/>
  <c r="Q415" i="1" s="1"/>
  <c r="F416" i="1"/>
  <c r="Q416" i="1" s="1"/>
  <c r="F417" i="1"/>
  <c r="Q417" i="1" s="1"/>
  <c r="F418" i="1"/>
  <c r="Q418" i="1" s="1"/>
  <c r="F419" i="1"/>
  <c r="Q419" i="1" s="1"/>
  <c r="F420" i="1"/>
  <c r="Q420" i="1" s="1"/>
  <c r="F421" i="1"/>
  <c r="Q421" i="1" s="1"/>
  <c r="F422" i="1"/>
  <c r="Q422" i="1" s="1"/>
  <c r="F423" i="1"/>
  <c r="Q423" i="1" s="1"/>
  <c r="F424" i="1"/>
  <c r="Q424" i="1" s="1"/>
  <c r="F425" i="1"/>
  <c r="Q425" i="1" s="1"/>
  <c r="F426" i="1"/>
  <c r="Q426" i="1" s="1"/>
  <c r="F427" i="1"/>
  <c r="Q427" i="1" s="1"/>
  <c r="F428" i="1"/>
  <c r="Q428" i="1" s="1"/>
  <c r="F429" i="1"/>
  <c r="Q429" i="1" s="1"/>
  <c r="F430" i="1"/>
  <c r="Q430" i="1" s="1"/>
  <c r="F431" i="1"/>
  <c r="Q431" i="1" s="1"/>
  <c r="F432" i="1"/>
  <c r="Q432" i="1" s="1"/>
  <c r="F433" i="1"/>
  <c r="Q433" i="1" s="1"/>
  <c r="F434" i="1"/>
  <c r="Q434" i="1" s="1"/>
  <c r="F435" i="1"/>
  <c r="Q435" i="1" s="1"/>
  <c r="F436" i="1"/>
  <c r="Q436" i="1" s="1"/>
  <c r="F437" i="1"/>
  <c r="Q437" i="1" s="1"/>
  <c r="F438" i="1"/>
  <c r="Q438" i="1" s="1"/>
  <c r="F439" i="1"/>
  <c r="Q439" i="1" s="1"/>
  <c r="F440" i="1"/>
  <c r="Q440" i="1" s="1"/>
  <c r="F441" i="1"/>
  <c r="Q441" i="1" s="1"/>
  <c r="F442" i="1"/>
  <c r="Q442" i="1" s="1"/>
  <c r="F443" i="1"/>
  <c r="Q443" i="1" s="1"/>
  <c r="F444" i="1"/>
  <c r="Q444" i="1" s="1"/>
  <c r="F445" i="1"/>
  <c r="Q445" i="1" s="1"/>
  <c r="F446" i="1"/>
  <c r="Q446" i="1" s="1"/>
  <c r="F447" i="1"/>
  <c r="Q447" i="1" s="1"/>
  <c r="F448" i="1"/>
  <c r="Q448" i="1" s="1"/>
  <c r="F449" i="1"/>
  <c r="Q449" i="1" s="1"/>
  <c r="F450" i="1"/>
  <c r="Q450" i="1" s="1"/>
  <c r="F451" i="1"/>
  <c r="Q451" i="1" s="1"/>
  <c r="F452" i="1"/>
  <c r="Q452" i="1" s="1"/>
  <c r="F453" i="1"/>
  <c r="Q453" i="1" s="1"/>
  <c r="F454" i="1"/>
  <c r="Q454" i="1" s="1"/>
  <c r="F455" i="1"/>
  <c r="Q455" i="1" s="1"/>
  <c r="F456" i="1"/>
  <c r="Q456" i="1" s="1"/>
  <c r="F457" i="1"/>
  <c r="Q457" i="1" s="1"/>
  <c r="F458" i="1"/>
  <c r="Q458" i="1" s="1"/>
  <c r="F459" i="1"/>
  <c r="Q459" i="1" s="1"/>
  <c r="F460" i="1"/>
  <c r="Q460" i="1" s="1"/>
  <c r="F461" i="1"/>
  <c r="Q461" i="1" s="1"/>
  <c r="F462" i="1"/>
  <c r="Q462" i="1" s="1"/>
  <c r="F463" i="1"/>
  <c r="Q463" i="1" s="1"/>
  <c r="F464" i="1"/>
  <c r="Q464" i="1" s="1"/>
  <c r="F465" i="1"/>
  <c r="Q465" i="1" s="1"/>
  <c r="F466" i="1"/>
  <c r="Q466" i="1" s="1"/>
  <c r="F467" i="1"/>
  <c r="Q467" i="1" s="1"/>
  <c r="F468" i="1"/>
  <c r="Q468" i="1" s="1"/>
  <c r="F469" i="1"/>
  <c r="Q469" i="1" s="1"/>
  <c r="F470" i="1"/>
  <c r="Q470" i="1" s="1"/>
  <c r="F471" i="1"/>
  <c r="Q471" i="1" s="1"/>
  <c r="F472" i="1"/>
  <c r="Q472" i="1" s="1"/>
  <c r="F473" i="1"/>
  <c r="Q473" i="1" s="1"/>
  <c r="F474" i="1"/>
  <c r="Q474" i="1" s="1"/>
  <c r="F475" i="1"/>
  <c r="Q475" i="1" s="1"/>
  <c r="F476" i="1"/>
  <c r="Q476" i="1" s="1"/>
  <c r="F477" i="1"/>
  <c r="Q477" i="1" s="1"/>
  <c r="F478" i="1"/>
  <c r="Q478" i="1" s="1"/>
  <c r="F479" i="1"/>
  <c r="Q479" i="1" s="1"/>
  <c r="F480" i="1"/>
  <c r="Q480" i="1" s="1"/>
  <c r="F481" i="1"/>
  <c r="Q481" i="1" s="1"/>
  <c r="F482" i="1"/>
  <c r="Q482" i="1" s="1"/>
  <c r="F483" i="1"/>
  <c r="Q483" i="1" s="1"/>
  <c r="F484" i="1"/>
  <c r="Q484" i="1" s="1"/>
  <c r="F485" i="1"/>
  <c r="Q485" i="1" s="1"/>
  <c r="F486" i="1"/>
  <c r="Q486" i="1" s="1"/>
  <c r="F487" i="1"/>
  <c r="Q487" i="1" s="1"/>
  <c r="F488" i="1"/>
  <c r="Q488" i="1" s="1"/>
  <c r="F489" i="1"/>
  <c r="Q489" i="1" s="1"/>
  <c r="F490" i="1"/>
  <c r="Q490" i="1" s="1"/>
  <c r="F491" i="1"/>
  <c r="Q491" i="1" s="1"/>
  <c r="F492" i="1"/>
  <c r="Q492" i="1" s="1"/>
  <c r="F493" i="1"/>
  <c r="Q493" i="1" s="1"/>
  <c r="F494" i="1"/>
  <c r="Q494" i="1" s="1"/>
  <c r="F495" i="1"/>
  <c r="Q495" i="1" s="1"/>
  <c r="F496" i="1"/>
  <c r="Q496" i="1" s="1"/>
  <c r="F497" i="1"/>
  <c r="Q497" i="1" s="1"/>
  <c r="F498" i="1"/>
  <c r="Q498" i="1" s="1"/>
  <c r="F499" i="1"/>
  <c r="Q499" i="1" s="1"/>
  <c r="F500" i="1"/>
  <c r="Q500" i="1" s="1"/>
  <c r="F501" i="1"/>
  <c r="Q501" i="1" s="1"/>
  <c r="F502" i="1"/>
  <c r="Q502" i="1" s="1"/>
  <c r="F503" i="1"/>
  <c r="Q503" i="1" s="1"/>
  <c r="F504" i="1"/>
  <c r="Q504" i="1" s="1"/>
  <c r="F505" i="1"/>
  <c r="Q505" i="1" s="1"/>
  <c r="F506" i="1"/>
  <c r="Q506" i="1" s="1"/>
  <c r="F507" i="1"/>
  <c r="Q507" i="1" s="1"/>
  <c r="F508" i="1"/>
  <c r="Q508" i="1" s="1"/>
  <c r="F509" i="1"/>
  <c r="Q509" i="1" s="1"/>
  <c r="F510" i="1"/>
  <c r="Q510" i="1" s="1"/>
  <c r="F511" i="1"/>
  <c r="Q511" i="1" s="1"/>
  <c r="F512" i="1"/>
  <c r="Q512" i="1" s="1"/>
  <c r="F513" i="1"/>
  <c r="Q513" i="1" s="1"/>
  <c r="F514" i="1"/>
  <c r="Q514" i="1" s="1"/>
  <c r="F515" i="1"/>
  <c r="Q515" i="1" s="1"/>
  <c r="F516" i="1"/>
  <c r="Q516" i="1" s="1"/>
  <c r="F517" i="1"/>
  <c r="Q517" i="1" s="1"/>
  <c r="F518" i="1"/>
  <c r="Q518" i="1" s="1"/>
  <c r="F519" i="1"/>
  <c r="Q519" i="1" s="1"/>
  <c r="F520" i="1"/>
  <c r="Q520" i="1" s="1"/>
  <c r="F521" i="1"/>
  <c r="Q521" i="1" s="1"/>
  <c r="F522" i="1"/>
  <c r="Q522" i="1" s="1"/>
  <c r="F523" i="1"/>
  <c r="Q523" i="1" s="1"/>
  <c r="F524" i="1"/>
  <c r="Q524" i="1" s="1"/>
  <c r="F525" i="1"/>
  <c r="Q525" i="1" s="1"/>
  <c r="F526" i="1"/>
  <c r="Q526" i="1" s="1"/>
  <c r="F527" i="1"/>
  <c r="Q527" i="1" s="1"/>
  <c r="F528" i="1"/>
  <c r="Q528" i="1" s="1"/>
  <c r="F529" i="1"/>
  <c r="Q529" i="1" s="1"/>
  <c r="F530" i="1"/>
  <c r="Q530" i="1" s="1"/>
  <c r="F531" i="1"/>
  <c r="Q531" i="1" s="1"/>
  <c r="F532" i="1"/>
  <c r="Q532" i="1" s="1"/>
  <c r="F533" i="1"/>
  <c r="Q533" i="1" s="1"/>
  <c r="F534" i="1"/>
  <c r="Q534" i="1" s="1"/>
  <c r="F535" i="1"/>
  <c r="Q535" i="1" s="1"/>
  <c r="F536" i="1"/>
  <c r="Q536" i="1" s="1"/>
  <c r="F537" i="1"/>
  <c r="Q537" i="1" s="1"/>
  <c r="F538" i="1"/>
  <c r="Q538" i="1" s="1"/>
  <c r="F539" i="1"/>
  <c r="Q539" i="1" s="1"/>
  <c r="F540" i="1"/>
  <c r="Q540" i="1" s="1"/>
  <c r="F541" i="1"/>
  <c r="Q541" i="1" s="1"/>
  <c r="F542" i="1"/>
  <c r="Q542" i="1" s="1"/>
  <c r="F543" i="1"/>
  <c r="Q543" i="1" s="1"/>
  <c r="F544" i="1"/>
  <c r="Q544" i="1" s="1"/>
  <c r="F545" i="1"/>
  <c r="Q545" i="1" s="1"/>
  <c r="F546" i="1"/>
  <c r="Q546" i="1" s="1"/>
  <c r="F547" i="1"/>
  <c r="Q547" i="1" s="1"/>
  <c r="F548" i="1"/>
  <c r="Q548" i="1" s="1"/>
  <c r="F549" i="1"/>
  <c r="Q549" i="1" s="1"/>
  <c r="F550" i="1"/>
  <c r="Q550" i="1" s="1"/>
  <c r="F551" i="1"/>
  <c r="Q551" i="1" s="1"/>
  <c r="F552" i="1"/>
  <c r="Q552" i="1" s="1"/>
  <c r="F553" i="1"/>
  <c r="Q553" i="1" s="1"/>
  <c r="F554" i="1"/>
  <c r="Q554" i="1" s="1"/>
  <c r="F555" i="1"/>
  <c r="Q555" i="1" s="1"/>
  <c r="F556" i="1"/>
  <c r="Q556" i="1" s="1"/>
  <c r="F557" i="1"/>
  <c r="Q557" i="1" s="1"/>
  <c r="F558" i="1"/>
  <c r="Q558" i="1" s="1"/>
  <c r="F559" i="1"/>
  <c r="Q559" i="1" s="1"/>
  <c r="F560" i="1"/>
  <c r="Q560" i="1" s="1"/>
  <c r="F561" i="1"/>
  <c r="Q561" i="1" s="1"/>
  <c r="F562" i="1"/>
  <c r="Q562" i="1" s="1"/>
  <c r="F563" i="1"/>
  <c r="Q563" i="1" s="1"/>
  <c r="F564" i="1"/>
  <c r="Q564" i="1" s="1"/>
  <c r="F565" i="1"/>
  <c r="Q565" i="1" s="1"/>
  <c r="F566" i="1"/>
  <c r="Q566" i="1" s="1"/>
  <c r="F567" i="1"/>
  <c r="Q567" i="1" s="1"/>
  <c r="F568" i="1"/>
  <c r="Q568" i="1" s="1"/>
  <c r="F569" i="1"/>
  <c r="Q569" i="1" s="1"/>
  <c r="F570" i="1"/>
  <c r="Q570" i="1" s="1"/>
  <c r="F571" i="1"/>
  <c r="Q571" i="1" s="1"/>
  <c r="F572" i="1"/>
  <c r="Q572" i="1" s="1"/>
  <c r="F573" i="1"/>
  <c r="Q573" i="1" s="1"/>
  <c r="F574" i="1"/>
  <c r="Q574" i="1" s="1"/>
  <c r="F575" i="1"/>
  <c r="Q575" i="1" s="1"/>
  <c r="F576" i="1"/>
  <c r="Q576" i="1" s="1"/>
  <c r="F577" i="1"/>
  <c r="Q577" i="1" s="1"/>
  <c r="F578" i="1"/>
  <c r="Q578" i="1" s="1"/>
  <c r="F579" i="1"/>
  <c r="Q579" i="1" s="1"/>
  <c r="F580" i="1"/>
  <c r="Q580" i="1" s="1"/>
  <c r="F581" i="1"/>
  <c r="Q581" i="1" s="1"/>
  <c r="F582" i="1"/>
  <c r="Q582" i="1" s="1"/>
  <c r="F583" i="1"/>
  <c r="Q583" i="1" s="1"/>
  <c r="F584" i="1"/>
  <c r="Q584" i="1" s="1"/>
  <c r="F585" i="1"/>
  <c r="Q585" i="1" s="1"/>
  <c r="F586" i="1"/>
  <c r="Q586" i="1" s="1"/>
  <c r="F587" i="1"/>
  <c r="Q587" i="1" s="1"/>
  <c r="F588" i="1"/>
  <c r="Q588" i="1" s="1"/>
  <c r="F589" i="1"/>
  <c r="Q589" i="1" s="1"/>
  <c r="F590" i="1"/>
  <c r="Q590" i="1" s="1"/>
  <c r="F591" i="1"/>
  <c r="Q591" i="1" s="1"/>
  <c r="F592" i="1"/>
  <c r="Q592" i="1" s="1"/>
  <c r="F593" i="1"/>
  <c r="Q593" i="1" s="1"/>
  <c r="F594" i="1"/>
  <c r="Q594" i="1" s="1"/>
  <c r="F595" i="1"/>
  <c r="Q595" i="1" s="1"/>
  <c r="F596" i="1"/>
  <c r="Q596" i="1" s="1"/>
  <c r="F597" i="1"/>
  <c r="Q597" i="1" s="1"/>
  <c r="F598" i="1"/>
  <c r="Q598" i="1" s="1"/>
  <c r="F599" i="1"/>
  <c r="Q599" i="1" s="1"/>
  <c r="F600" i="1"/>
  <c r="Q600" i="1" s="1"/>
  <c r="F601" i="1"/>
  <c r="Q601" i="1" s="1"/>
  <c r="F602" i="1"/>
  <c r="Q602" i="1" s="1"/>
  <c r="F603" i="1"/>
  <c r="Q603" i="1" s="1"/>
  <c r="F604" i="1"/>
  <c r="Q604" i="1" s="1"/>
  <c r="F605" i="1"/>
  <c r="Q605" i="1" s="1"/>
  <c r="F606" i="1"/>
  <c r="Q606" i="1" s="1"/>
  <c r="F607" i="1"/>
  <c r="Q607" i="1" s="1"/>
  <c r="F608" i="1"/>
  <c r="Q608" i="1" s="1"/>
  <c r="F609" i="1"/>
  <c r="Q609" i="1" s="1"/>
  <c r="F610" i="1"/>
  <c r="Q610" i="1" s="1"/>
  <c r="F611" i="1"/>
  <c r="Q611" i="1" s="1"/>
  <c r="F612" i="1"/>
  <c r="Q612" i="1" s="1"/>
  <c r="F613" i="1"/>
  <c r="Q613" i="1" s="1"/>
  <c r="F614" i="1"/>
  <c r="Q614" i="1" s="1"/>
  <c r="F615" i="1"/>
  <c r="Q615" i="1" s="1"/>
  <c r="F616" i="1"/>
  <c r="Q616" i="1" s="1"/>
  <c r="F617" i="1"/>
  <c r="Q617" i="1" s="1"/>
  <c r="F618" i="1"/>
  <c r="Q618" i="1" s="1"/>
  <c r="F619" i="1"/>
  <c r="Q619" i="1" s="1"/>
  <c r="F620" i="1"/>
  <c r="Q620" i="1" s="1"/>
  <c r="F621" i="1"/>
  <c r="Q621" i="1" s="1"/>
  <c r="F622" i="1"/>
  <c r="Q622" i="1" s="1"/>
  <c r="F623" i="1"/>
  <c r="Q623" i="1" s="1"/>
  <c r="F624" i="1"/>
  <c r="Q624" i="1" s="1"/>
  <c r="F625" i="1"/>
  <c r="Q625" i="1" s="1"/>
  <c r="F626" i="1"/>
  <c r="Q626" i="1" s="1"/>
  <c r="F627" i="1"/>
  <c r="Q627" i="1" s="1"/>
  <c r="F628" i="1"/>
  <c r="Q628" i="1" s="1"/>
  <c r="F629" i="1"/>
  <c r="Q629" i="1" s="1"/>
  <c r="F630" i="1"/>
  <c r="Q630" i="1" s="1"/>
  <c r="F631" i="1"/>
  <c r="Q631" i="1" s="1"/>
  <c r="F632" i="1"/>
  <c r="Q632" i="1" s="1"/>
  <c r="F633" i="1"/>
  <c r="Q633" i="1" s="1"/>
  <c r="F634" i="1"/>
  <c r="Q634" i="1" s="1"/>
  <c r="F635" i="1"/>
  <c r="Q635" i="1" s="1"/>
  <c r="D6" i="1"/>
  <c r="E5" i="1"/>
  <c r="G93" i="2" s="1"/>
  <c r="E4" i="1"/>
  <c r="G6" i="2" s="1"/>
  <c r="B3" i="3"/>
  <c r="B2" i="3"/>
  <c r="G113" i="2" l="1"/>
  <c r="G147" i="2"/>
  <c r="Q9" i="1"/>
  <c r="G116" i="2"/>
  <c r="G188" i="2"/>
  <c r="G189" i="2"/>
  <c r="G169" i="2"/>
  <c r="F16" i="1"/>
  <c r="G48" i="2"/>
  <c r="G56" i="2"/>
  <c r="F6" i="1"/>
  <c r="G17" i="2" s="1"/>
  <c r="G99" i="2"/>
  <c r="G104" i="2"/>
  <c r="G109" i="2"/>
  <c r="G184" i="2"/>
  <c r="G142" i="2"/>
  <c r="G164" i="2"/>
  <c r="G194" i="2"/>
  <c r="G153" i="2"/>
  <c r="G182" i="2"/>
  <c r="G162" i="2"/>
  <c r="G140" i="2"/>
  <c r="G174" i="2"/>
  <c r="G191" i="2"/>
  <c r="G150" i="2"/>
  <c r="G171" i="2"/>
  <c r="F7" i="1"/>
  <c r="G36" i="2"/>
  <c r="G26" i="2"/>
  <c r="G18" i="2"/>
  <c r="G79" i="2"/>
  <c r="G10" i="2"/>
  <c r="F18" i="1"/>
  <c r="G95" i="2" s="1"/>
  <c r="G121" i="2"/>
  <c r="G166" i="2"/>
  <c r="G148" i="2"/>
  <c r="G128" i="2"/>
  <c r="G123" i="2"/>
  <c r="G118" i="2"/>
  <c r="G110" i="2"/>
  <c r="G105" i="2"/>
  <c r="G125" i="2"/>
  <c r="G100" i="2"/>
  <c r="G115" i="2"/>
  <c r="G120" i="2"/>
  <c r="G181" i="2"/>
  <c r="G139" i="2"/>
  <c r="G161" i="2"/>
  <c r="G58" i="2"/>
  <c r="G83" i="2"/>
  <c r="G30" i="2"/>
  <c r="G14" i="2"/>
  <c r="G40" i="2"/>
  <c r="G75" i="2"/>
  <c r="G50" i="2"/>
  <c r="G22" i="2"/>
  <c r="G179" i="2"/>
  <c r="G137" i="2"/>
  <c r="G159" i="2"/>
  <c r="G165" i="2"/>
  <c r="G41" i="2"/>
  <c r="G31" i="2"/>
  <c r="G32" i="2"/>
  <c r="G42" i="2"/>
  <c r="G231" i="2"/>
  <c r="G232" i="2"/>
  <c r="G229" i="2"/>
  <c r="G228" i="2"/>
  <c r="G173" i="2"/>
  <c r="G152" i="2"/>
  <c r="G193" i="2"/>
  <c r="G89" i="2"/>
  <c r="G63" i="2"/>
  <c r="G183" i="2"/>
  <c r="G141" i="2"/>
  <c r="G163" i="2"/>
  <c r="G62" i="2"/>
  <c r="G136" i="2"/>
  <c r="G158" i="2"/>
  <c r="G178" i="2"/>
  <c r="F8" i="1"/>
  <c r="G37" i="2" s="1"/>
  <c r="G80" i="2"/>
  <c r="G11" i="2"/>
  <c r="G144" i="2"/>
  <c r="G126" i="2"/>
  <c r="G143" i="2"/>
  <c r="G168" i="2"/>
  <c r="G103" i="2"/>
  <c r="G114" i="2"/>
  <c r="G119" i="2"/>
  <c r="G124" i="2"/>
  <c r="G102" i="2"/>
  <c r="G167" i="2"/>
  <c r="G122" i="2"/>
  <c r="G112" i="2"/>
  <c r="G187" i="2"/>
  <c r="G107" i="2"/>
  <c r="G117" i="2"/>
  <c r="G145" i="2"/>
  <c r="G127" i="2"/>
  <c r="G215" i="2"/>
  <c r="G216" i="2"/>
  <c r="G217" i="2"/>
  <c r="G218" i="2"/>
  <c r="G90" i="2"/>
  <c r="G64" i="2"/>
  <c r="G180" i="2"/>
  <c r="G138" i="2"/>
  <c r="G160" i="2"/>
  <c r="G53" i="2"/>
  <c r="G45" i="2"/>
  <c r="F10" i="1"/>
  <c r="G74" i="2" s="1"/>
  <c r="G21" i="2"/>
  <c r="G54" i="2"/>
  <c r="G46" i="2"/>
  <c r="G177" i="2"/>
  <c r="G135" i="2"/>
  <c r="G60" i="2"/>
  <c r="G157" i="2"/>
  <c r="G101" i="2"/>
  <c r="G186" i="2"/>
  <c r="G108" i="2"/>
  <c r="K46" i="2"/>
  <c r="K54" i="2"/>
  <c r="K10" i="2"/>
  <c r="F10" i="2" s="1"/>
  <c r="K18" i="2"/>
  <c r="I169" i="2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P634" i="1"/>
  <c r="K634" i="1"/>
  <c r="K610" i="1"/>
  <c r="P610" i="1"/>
  <c r="K590" i="1"/>
  <c r="P590" i="1"/>
  <c r="P566" i="1"/>
  <c r="K566" i="1"/>
  <c r="K546" i="1"/>
  <c r="P546" i="1"/>
  <c r="K526" i="1"/>
  <c r="P526" i="1"/>
  <c r="K510" i="1"/>
  <c r="P510" i="1"/>
  <c r="K502" i="1"/>
  <c r="P502" i="1"/>
  <c r="P498" i="1"/>
  <c r="K498" i="1"/>
  <c r="K494" i="1"/>
  <c r="P494" i="1"/>
  <c r="K490" i="1"/>
  <c r="P490" i="1"/>
  <c r="K482" i="1"/>
  <c r="P482" i="1"/>
  <c r="K470" i="1"/>
  <c r="P470" i="1"/>
  <c r="P466" i="1"/>
  <c r="K466" i="1"/>
  <c r="P462" i="1"/>
  <c r="K462" i="1"/>
  <c r="P458" i="1"/>
  <c r="K458" i="1"/>
  <c r="P454" i="1"/>
  <c r="K454" i="1"/>
  <c r="K450" i="1"/>
  <c r="P450" i="1"/>
  <c r="K446" i="1"/>
  <c r="P446" i="1"/>
  <c r="K442" i="1"/>
  <c r="P442" i="1"/>
  <c r="K438" i="1"/>
  <c r="P438" i="1"/>
  <c r="K434" i="1"/>
  <c r="P434" i="1"/>
  <c r="K430" i="1"/>
  <c r="P430" i="1"/>
  <c r="K426" i="1"/>
  <c r="P426" i="1"/>
  <c r="K422" i="1"/>
  <c r="P422" i="1"/>
  <c r="K418" i="1"/>
  <c r="P418" i="1"/>
  <c r="K414" i="1"/>
  <c r="P414" i="1"/>
  <c r="K410" i="1"/>
  <c r="P410" i="1"/>
  <c r="K406" i="1"/>
  <c r="P406" i="1"/>
  <c r="P402" i="1"/>
  <c r="K402" i="1"/>
  <c r="K398" i="1"/>
  <c r="P398" i="1"/>
  <c r="K394" i="1"/>
  <c r="P394" i="1"/>
  <c r="K390" i="1"/>
  <c r="P390" i="1"/>
  <c r="P386" i="1"/>
  <c r="K386" i="1"/>
  <c r="K382" i="1"/>
  <c r="P382" i="1"/>
  <c r="P378" i="1"/>
  <c r="K378" i="1"/>
  <c r="K374" i="1"/>
  <c r="P374" i="1"/>
  <c r="P370" i="1"/>
  <c r="K370" i="1"/>
  <c r="K366" i="1"/>
  <c r="P366" i="1"/>
  <c r="K362" i="1"/>
  <c r="P362" i="1"/>
  <c r="K358" i="1"/>
  <c r="P358" i="1"/>
  <c r="K354" i="1"/>
  <c r="P354" i="1"/>
  <c r="K350" i="1"/>
  <c r="P350" i="1"/>
  <c r="K346" i="1"/>
  <c r="P346" i="1"/>
  <c r="K342" i="1"/>
  <c r="P342" i="1"/>
  <c r="K338" i="1"/>
  <c r="P338" i="1"/>
  <c r="K334" i="1"/>
  <c r="P334" i="1"/>
  <c r="K330" i="1"/>
  <c r="P330" i="1"/>
  <c r="K326" i="1"/>
  <c r="P326" i="1"/>
  <c r="K322" i="1"/>
  <c r="P322" i="1"/>
  <c r="K318" i="1"/>
  <c r="P318" i="1"/>
  <c r="K314" i="1"/>
  <c r="P314" i="1"/>
  <c r="K310" i="1"/>
  <c r="P310" i="1"/>
  <c r="K306" i="1"/>
  <c r="P306" i="1"/>
  <c r="K302" i="1"/>
  <c r="P302" i="1"/>
  <c r="P298" i="1"/>
  <c r="K298" i="1"/>
  <c r="P294" i="1"/>
  <c r="K294" i="1"/>
  <c r="P290" i="1"/>
  <c r="K290" i="1"/>
  <c r="P286" i="1"/>
  <c r="K286" i="1"/>
  <c r="P282" i="1"/>
  <c r="K282" i="1"/>
  <c r="P278" i="1"/>
  <c r="K278" i="1"/>
  <c r="P274" i="1"/>
  <c r="K274" i="1"/>
  <c r="P270" i="1"/>
  <c r="K270" i="1"/>
  <c r="K266" i="1"/>
  <c r="P266" i="1"/>
  <c r="K262" i="1"/>
  <c r="P262" i="1"/>
  <c r="P258" i="1"/>
  <c r="K258" i="1"/>
  <c r="P254" i="1"/>
  <c r="K254" i="1"/>
  <c r="K250" i="1"/>
  <c r="P250" i="1"/>
  <c r="K246" i="1"/>
  <c r="P246" i="1"/>
  <c r="K242" i="1"/>
  <c r="P242" i="1"/>
  <c r="K238" i="1"/>
  <c r="P238" i="1"/>
  <c r="K234" i="1"/>
  <c r="P234" i="1"/>
  <c r="K230" i="1"/>
  <c r="P230" i="1"/>
  <c r="K226" i="1"/>
  <c r="P226" i="1"/>
  <c r="K222" i="1"/>
  <c r="P222" i="1"/>
  <c r="K218" i="1"/>
  <c r="P218" i="1"/>
  <c r="K214" i="1"/>
  <c r="P214" i="1"/>
  <c r="K210" i="1"/>
  <c r="P210" i="1"/>
  <c r="K206" i="1"/>
  <c r="P206" i="1"/>
  <c r="K202" i="1"/>
  <c r="P202" i="1"/>
  <c r="K198" i="1"/>
  <c r="P198" i="1"/>
  <c r="K194" i="1"/>
  <c r="P194" i="1"/>
  <c r="K190" i="1"/>
  <c r="P190" i="1"/>
  <c r="K186" i="1"/>
  <c r="P186" i="1"/>
  <c r="K182" i="1"/>
  <c r="P182" i="1"/>
  <c r="K178" i="1"/>
  <c r="P178" i="1"/>
  <c r="K174" i="1"/>
  <c r="P174" i="1"/>
  <c r="K170" i="1"/>
  <c r="P170" i="1"/>
  <c r="K166" i="1"/>
  <c r="P166" i="1"/>
  <c r="K162" i="1"/>
  <c r="P162" i="1"/>
  <c r="K158" i="1"/>
  <c r="P158" i="1"/>
  <c r="K154" i="1"/>
  <c r="P154" i="1"/>
  <c r="K150" i="1"/>
  <c r="P150" i="1"/>
  <c r="K146" i="1"/>
  <c r="P146" i="1"/>
  <c r="K142" i="1"/>
  <c r="P142" i="1"/>
  <c r="K138" i="1"/>
  <c r="P138" i="1"/>
  <c r="P134" i="1"/>
  <c r="K134" i="1"/>
  <c r="K130" i="1"/>
  <c r="P130" i="1"/>
  <c r="P126" i="1"/>
  <c r="K126" i="1"/>
  <c r="K122" i="1"/>
  <c r="P122" i="1"/>
  <c r="K118" i="1"/>
  <c r="P118" i="1"/>
  <c r="P114" i="1"/>
  <c r="K114" i="1"/>
  <c r="K110" i="1"/>
  <c r="P110" i="1"/>
  <c r="K106" i="1"/>
  <c r="P106" i="1"/>
  <c r="K102" i="1"/>
  <c r="P102" i="1"/>
  <c r="P98" i="1"/>
  <c r="K98" i="1"/>
  <c r="K94" i="1"/>
  <c r="P94" i="1"/>
  <c r="K90" i="1"/>
  <c r="P90" i="1"/>
  <c r="K86" i="1"/>
  <c r="P86" i="1"/>
  <c r="P82" i="1"/>
  <c r="K82" i="1"/>
  <c r="P78" i="1"/>
  <c r="K78" i="1"/>
  <c r="P74" i="1"/>
  <c r="K74" i="1"/>
  <c r="K622" i="1"/>
  <c r="P622" i="1"/>
  <c r="K606" i="1"/>
  <c r="P606" i="1"/>
  <c r="K594" i="1"/>
  <c r="P594" i="1"/>
  <c r="K578" i="1"/>
  <c r="P578" i="1"/>
  <c r="P558" i="1"/>
  <c r="K558" i="1"/>
  <c r="K538" i="1"/>
  <c r="P538" i="1"/>
  <c r="K522" i="1"/>
  <c r="P522" i="1"/>
  <c r="K506" i="1"/>
  <c r="P506" i="1"/>
  <c r="K486" i="1"/>
  <c r="P486" i="1"/>
  <c r="K633" i="1"/>
  <c r="P633" i="1"/>
  <c r="K621" i="1"/>
  <c r="P621" i="1"/>
  <c r="K609" i="1"/>
  <c r="P609" i="1"/>
  <c r="K589" i="1"/>
  <c r="P589" i="1"/>
  <c r="P577" i="1"/>
  <c r="K577" i="1"/>
  <c r="K569" i="1"/>
  <c r="P569" i="1"/>
  <c r="P565" i="1"/>
  <c r="K565" i="1"/>
  <c r="P557" i="1"/>
  <c r="K557" i="1"/>
  <c r="P549" i="1"/>
  <c r="K549" i="1"/>
  <c r="P545" i="1"/>
  <c r="K545" i="1"/>
  <c r="K541" i="1"/>
  <c r="P541" i="1"/>
  <c r="P537" i="1"/>
  <c r="K537" i="1"/>
  <c r="P533" i="1"/>
  <c r="K533" i="1"/>
  <c r="K529" i="1"/>
  <c r="P529" i="1"/>
  <c r="P525" i="1"/>
  <c r="K525" i="1"/>
  <c r="K521" i="1"/>
  <c r="P521" i="1"/>
  <c r="K517" i="1"/>
  <c r="P517" i="1"/>
  <c r="P513" i="1"/>
  <c r="K513" i="1"/>
  <c r="P509" i="1"/>
  <c r="K509" i="1"/>
  <c r="K505" i="1"/>
  <c r="P505" i="1"/>
  <c r="P501" i="1"/>
  <c r="K501" i="1"/>
  <c r="K497" i="1"/>
  <c r="P497" i="1"/>
  <c r="P493" i="1"/>
  <c r="K493" i="1"/>
  <c r="K489" i="1"/>
  <c r="P489" i="1"/>
  <c r="K485" i="1"/>
  <c r="P485" i="1"/>
  <c r="P481" i="1"/>
  <c r="K481" i="1"/>
  <c r="K477" i="1"/>
  <c r="P477" i="1"/>
  <c r="P473" i="1"/>
  <c r="K473" i="1"/>
  <c r="K469" i="1"/>
  <c r="P469" i="1"/>
  <c r="K465" i="1"/>
  <c r="P465" i="1"/>
  <c r="K461" i="1"/>
  <c r="P461" i="1"/>
  <c r="K457" i="1"/>
  <c r="P457" i="1"/>
  <c r="K453" i="1"/>
  <c r="P453" i="1"/>
  <c r="K449" i="1"/>
  <c r="P449" i="1"/>
  <c r="K445" i="1"/>
  <c r="P445" i="1"/>
  <c r="K441" i="1"/>
  <c r="P441" i="1"/>
  <c r="K437" i="1"/>
  <c r="P437" i="1"/>
  <c r="K433" i="1"/>
  <c r="P433" i="1"/>
  <c r="K429" i="1"/>
  <c r="P429" i="1"/>
  <c r="K425" i="1"/>
  <c r="P425" i="1"/>
  <c r="K421" i="1"/>
  <c r="P421" i="1"/>
  <c r="K417" i="1"/>
  <c r="P417" i="1"/>
  <c r="K413" i="1"/>
  <c r="P413" i="1"/>
  <c r="K409" i="1"/>
  <c r="P409" i="1"/>
  <c r="K405" i="1"/>
  <c r="P405" i="1"/>
  <c r="K401" i="1"/>
  <c r="P401" i="1"/>
  <c r="K397" i="1"/>
  <c r="P397" i="1"/>
  <c r="K393" i="1"/>
  <c r="P393" i="1"/>
  <c r="K389" i="1"/>
  <c r="P389" i="1"/>
  <c r="K385" i="1"/>
  <c r="P385" i="1"/>
  <c r="K381" i="1"/>
  <c r="P381" i="1"/>
  <c r="K377" i="1"/>
  <c r="P377" i="1"/>
  <c r="K373" i="1"/>
  <c r="P373" i="1"/>
  <c r="K369" i="1"/>
  <c r="P369" i="1"/>
  <c r="K365" i="1"/>
  <c r="P365" i="1"/>
  <c r="K361" i="1"/>
  <c r="P361" i="1"/>
  <c r="K357" i="1"/>
  <c r="P357" i="1"/>
  <c r="K353" i="1"/>
  <c r="P353" i="1"/>
  <c r="K349" i="1"/>
  <c r="P349" i="1"/>
  <c r="K345" i="1"/>
  <c r="P345" i="1"/>
  <c r="K341" i="1"/>
  <c r="P341" i="1"/>
  <c r="K337" i="1"/>
  <c r="P337" i="1"/>
  <c r="K333" i="1"/>
  <c r="P333" i="1"/>
  <c r="K329" i="1"/>
  <c r="P329" i="1"/>
  <c r="K325" i="1"/>
  <c r="P325" i="1"/>
  <c r="K321" i="1"/>
  <c r="P321" i="1"/>
  <c r="K317" i="1"/>
  <c r="P317" i="1"/>
  <c r="K313" i="1"/>
  <c r="P313" i="1"/>
  <c r="K309" i="1"/>
  <c r="P309" i="1"/>
  <c r="K305" i="1"/>
  <c r="P305" i="1"/>
  <c r="K301" i="1"/>
  <c r="P301" i="1"/>
  <c r="K297" i="1"/>
  <c r="P297" i="1"/>
  <c r="K293" i="1"/>
  <c r="P293" i="1"/>
  <c r="K289" i="1"/>
  <c r="P289" i="1"/>
  <c r="K285" i="1"/>
  <c r="P285" i="1"/>
  <c r="K281" i="1"/>
  <c r="P281" i="1"/>
  <c r="K277" i="1"/>
  <c r="P277" i="1"/>
  <c r="K273" i="1"/>
  <c r="P273" i="1"/>
  <c r="K269" i="1"/>
  <c r="P269" i="1"/>
  <c r="K265" i="1"/>
  <c r="P265" i="1"/>
  <c r="K261" i="1"/>
  <c r="P261" i="1"/>
  <c r="K257" i="1"/>
  <c r="P257" i="1"/>
  <c r="K253" i="1"/>
  <c r="P253" i="1"/>
  <c r="K249" i="1"/>
  <c r="P249" i="1"/>
  <c r="K245" i="1"/>
  <c r="P245" i="1"/>
  <c r="K241" i="1"/>
  <c r="P241" i="1"/>
  <c r="K237" i="1"/>
  <c r="P237" i="1"/>
  <c r="K233" i="1"/>
  <c r="P233" i="1"/>
  <c r="K229" i="1"/>
  <c r="P229" i="1"/>
  <c r="K225" i="1"/>
  <c r="P225" i="1"/>
  <c r="K221" i="1"/>
  <c r="P221" i="1"/>
  <c r="K217" i="1"/>
  <c r="P217" i="1"/>
  <c r="K213" i="1"/>
  <c r="P213" i="1"/>
  <c r="K209" i="1"/>
  <c r="P209" i="1"/>
  <c r="K205" i="1"/>
  <c r="P205" i="1"/>
  <c r="K201" i="1"/>
  <c r="P201" i="1"/>
  <c r="K197" i="1"/>
  <c r="P197" i="1"/>
  <c r="K193" i="1"/>
  <c r="P193" i="1"/>
  <c r="P189" i="1"/>
  <c r="K189" i="1"/>
  <c r="P185" i="1"/>
  <c r="K185" i="1"/>
  <c r="P181" i="1"/>
  <c r="K181" i="1"/>
  <c r="P177" i="1"/>
  <c r="K177" i="1"/>
  <c r="K173" i="1"/>
  <c r="P173" i="1"/>
  <c r="K169" i="1"/>
  <c r="P169" i="1"/>
  <c r="K165" i="1"/>
  <c r="P165" i="1"/>
  <c r="K161" i="1"/>
  <c r="P161" i="1"/>
  <c r="K157" i="1"/>
  <c r="P157" i="1"/>
  <c r="K153" i="1"/>
  <c r="P153" i="1"/>
  <c r="K149" i="1"/>
  <c r="P149" i="1"/>
  <c r="K145" i="1"/>
  <c r="P145" i="1"/>
  <c r="K141" i="1"/>
  <c r="P141" i="1"/>
  <c r="K137" i="1"/>
  <c r="P137" i="1"/>
  <c r="K133" i="1"/>
  <c r="P133" i="1"/>
  <c r="K129" i="1"/>
  <c r="P129" i="1"/>
  <c r="K125" i="1"/>
  <c r="P125" i="1"/>
  <c r="K121" i="1"/>
  <c r="P121" i="1"/>
  <c r="K117" i="1"/>
  <c r="P117" i="1"/>
  <c r="K113" i="1"/>
  <c r="P113" i="1"/>
  <c r="K109" i="1"/>
  <c r="P109" i="1"/>
  <c r="K105" i="1"/>
  <c r="P105" i="1"/>
  <c r="K101" i="1"/>
  <c r="P101" i="1"/>
  <c r="K97" i="1"/>
  <c r="P97" i="1"/>
  <c r="K93" i="1"/>
  <c r="P93" i="1"/>
  <c r="P89" i="1"/>
  <c r="K89" i="1"/>
  <c r="K85" i="1"/>
  <c r="P85" i="1"/>
  <c r="P81" i="1"/>
  <c r="K81" i="1"/>
  <c r="K77" i="1"/>
  <c r="P77" i="1"/>
  <c r="K73" i="1"/>
  <c r="P73" i="1"/>
  <c r="K626" i="1"/>
  <c r="P626" i="1"/>
  <c r="K618" i="1"/>
  <c r="P618" i="1"/>
  <c r="K602" i="1"/>
  <c r="P602" i="1"/>
  <c r="K586" i="1"/>
  <c r="P586" i="1"/>
  <c r="P574" i="1"/>
  <c r="K574" i="1"/>
  <c r="P562" i="1"/>
  <c r="K562" i="1"/>
  <c r="K550" i="1"/>
  <c r="P550" i="1"/>
  <c r="P534" i="1"/>
  <c r="K534" i="1"/>
  <c r="K514" i="1"/>
  <c r="P514" i="1"/>
  <c r="K478" i="1"/>
  <c r="P478" i="1"/>
  <c r="K629" i="1"/>
  <c r="P629" i="1"/>
  <c r="K613" i="1"/>
  <c r="P613" i="1"/>
  <c r="K601" i="1"/>
  <c r="P601" i="1"/>
  <c r="K593" i="1"/>
  <c r="P593" i="1"/>
  <c r="K581" i="1"/>
  <c r="P581" i="1"/>
  <c r="K561" i="1"/>
  <c r="P561" i="1"/>
  <c r="K624" i="1"/>
  <c r="P624" i="1"/>
  <c r="P616" i="1"/>
  <c r="K616" i="1"/>
  <c r="K604" i="1"/>
  <c r="P604" i="1"/>
  <c r="K592" i="1"/>
  <c r="P592" i="1"/>
  <c r="K580" i="1"/>
  <c r="P580" i="1"/>
  <c r="P572" i="1"/>
  <c r="K572" i="1"/>
  <c r="K560" i="1"/>
  <c r="P560" i="1"/>
  <c r="K548" i="1"/>
  <c r="P548" i="1"/>
  <c r="K540" i="1"/>
  <c r="P540" i="1"/>
  <c r="K532" i="1"/>
  <c r="P532" i="1"/>
  <c r="K520" i="1"/>
  <c r="P520" i="1"/>
  <c r="K512" i="1"/>
  <c r="P512" i="1"/>
  <c r="K504" i="1"/>
  <c r="P504" i="1"/>
  <c r="K500" i="1"/>
  <c r="P500" i="1"/>
  <c r="K496" i="1"/>
  <c r="P496" i="1"/>
  <c r="K492" i="1"/>
  <c r="P492" i="1"/>
  <c r="K484" i="1"/>
  <c r="P484" i="1"/>
  <c r="K480" i="1"/>
  <c r="P480" i="1"/>
  <c r="K476" i="1"/>
  <c r="P476" i="1"/>
  <c r="P472" i="1"/>
  <c r="K472" i="1"/>
  <c r="K468" i="1"/>
  <c r="P468" i="1"/>
  <c r="K464" i="1"/>
  <c r="P464" i="1"/>
  <c r="K460" i="1"/>
  <c r="P460" i="1"/>
  <c r="K456" i="1"/>
  <c r="P456" i="1"/>
  <c r="K452" i="1"/>
  <c r="P452" i="1"/>
  <c r="K448" i="1"/>
  <c r="P448" i="1"/>
  <c r="K444" i="1"/>
  <c r="P444" i="1"/>
  <c r="K440" i="1"/>
  <c r="P440" i="1"/>
  <c r="K436" i="1"/>
  <c r="P436" i="1"/>
  <c r="K432" i="1"/>
  <c r="P432" i="1"/>
  <c r="K428" i="1"/>
  <c r="P428" i="1"/>
  <c r="P424" i="1"/>
  <c r="K424" i="1"/>
  <c r="K420" i="1"/>
  <c r="P420" i="1"/>
  <c r="P416" i="1"/>
  <c r="K416" i="1"/>
  <c r="K412" i="1"/>
  <c r="P412" i="1"/>
  <c r="K408" i="1"/>
  <c r="P408" i="1"/>
  <c r="K404" i="1"/>
  <c r="P404" i="1"/>
  <c r="K400" i="1"/>
  <c r="P400" i="1"/>
  <c r="P396" i="1"/>
  <c r="K396" i="1"/>
  <c r="K392" i="1"/>
  <c r="P392" i="1"/>
  <c r="K388" i="1"/>
  <c r="P388" i="1"/>
  <c r="P384" i="1"/>
  <c r="K384" i="1"/>
  <c r="K380" i="1"/>
  <c r="P380" i="1"/>
  <c r="K376" i="1"/>
  <c r="P376" i="1"/>
  <c r="K372" i="1"/>
  <c r="P372" i="1"/>
  <c r="K368" i="1"/>
  <c r="P368" i="1"/>
  <c r="K364" i="1"/>
  <c r="P364" i="1"/>
  <c r="K360" i="1"/>
  <c r="P360" i="1"/>
  <c r="P356" i="1"/>
  <c r="K356" i="1"/>
  <c r="P352" i="1"/>
  <c r="K352" i="1"/>
  <c r="K348" i="1"/>
  <c r="P348" i="1"/>
  <c r="P344" i="1"/>
  <c r="K344" i="1"/>
  <c r="K340" i="1"/>
  <c r="P340" i="1"/>
  <c r="P336" i="1"/>
  <c r="K336" i="1"/>
  <c r="K332" i="1"/>
  <c r="P332" i="1"/>
  <c r="P328" i="1"/>
  <c r="K328" i="1"/>
  <c r="K324" i="1"/>
  <c r="P324" i="1"/>
  <c r="P320" i="1"/>
  <c r="K320" i="1"/>
  <c r="K316" i="1"/>
  <c r="P316" i="1"/>
  <c r="P312" i="1"/>
  <c r="K312" i="1"/>
  <c r="K308" i="1"/>
  <c r="P308" i="1"/>
  <c r="P304" i="1"/>
  <c r="K304" i="1"/>
  <c r="K300" i="1"/>
  <c r="P300" i="1"/>
  <c r="K296" i="1"/>
  <c r="P296" i="1"/>
  <c r="K292" i="1"/>
  <c r="P292" i="1"/>
  <c r="K288" i="1"/>
  <c r="P288" i="1"/>
  <c r="K284" i="1"/>
  <c r="P284" i="1"/>
  <c r="K280" i="1"/>
  <c r="P280" i="1"/>
  <c r="K276" i="1"/>
  <c r="P276" i="1"/>
  <c r="K272" i="1"/>
  <c r="P272" i="1"/>
  <c r="P268" i="1"/>
  <c r="K268" i="1"/>
  <c r="K264" i="1"/>
  <c r="P264" i="1"/>
  <c r="P260" i="1"/>
  <c r="K260" i="1"/>
  <c r="K256" i="1"/>
  <c r="P256" i="1"/>
  <c r="K252" i="1"/>
  <c r="P252" i="1"/>
  <c r="P248" i="1"/>
  <c r="K248" i="1"/>
  <c r="K244" i="1"/>
  <c r="P244" i="1"/>
  <c r="K240" i="1"/>
  <c r="P240" i="1"/>
  <c r="K236" i="1"/>
  <c r="P236" i="1"/>
  <c r="K232" i="1"/>
  <c r="P232" i="1"/>
  <c r="K228" i="1"/>
  <c r="P228" i="1"/>
  <c r="K224" i="1"/>
  <c r="P224" i="1"/>
  <c r="K220" i="1"/>
  <c r="P220" i="1"/>
  <c r="K216" i="1"/>
  <c r="P216" i="1"/>
  <c r="K212" i="1"/>
  <c r="P212" i="1"/>
  <c r="K208" i="1"/>
  <c r="P208" i="1"/>
  <c r="P204" i="1"/>
  <c r="K204" i="1"/>
  <c r="P200" i="1"/>
  <c r="K200" i="1"/>
  <c r="K196" i="1"/>
  <c r="P196" i="1"/>
  <c r="K192" i="1"/>
  <c r="P192" i="1"/>
  <c r="P188" i="1"/>
  <c r="K188" i="1"/>
  <c r="P184" i="1"/>
  <c r="K184" i="1"/>
  <c r="K180" i="1"/>
  <c r="P180" i="1"/>
  <c r="K176" i="1"/>
  <c r="P176" i="1"/>
  <c r="K172" i="1"/>
  <c r="P172" i="1"/>
  <c r="K168" i="1"/>
  <c r="P168" i="1"/>
  <c r="K164" i="1"/>
  <c r="P164" i="1"/>
  <c r="K160" i="1"/>
  <c r="P160" i="1"/>
  <c r="K156" i="1"/>
  <c r="P156" i="1"/>
  <c r="K152" i="1"/>
  <c r="P152" i="1"/>
  <c r="K148" i="1"/>
  <c r="P148" i="1"/>
  <c r="K144" i="1"/>
  <c r="P144" i="1"/>
  <c r="K140" i="1"/>
  <c r="P140" i="1"/>
  <c r="K136" i="1"/>
  <c r="P136" i="1"/>
  <c r="K132" i="1"/>
  <c r="P132" i="1"/>
  <c r="P128" i="1"/>
  <c r="K128" i="1"/>
  <c r="K124" i="1"/>
  <c r="P124" i="1"/>
  <c r="K120" i="1"/>
  <c r="P120" i="1"/>
  <c r="P116" i="1"/>
  <c r="K116" i="1"/>
  <c r="K112" i="1"/>
  <c r="P112" i="1"/>
  <c r="K108" i="1"/>
  <c r="P108" i="1"/>
  <c r="P104" i="1"/>
  <c r="K104" i="1"/>
  <c r="K100" i="1"/>
  <c r="P100" i="1"/>
  <c r="K96" i="1"/>
  <c r="P96" i="1"/>
  <c r="K92" i="1"/>
  <c r="P92" i="1"/>
  <c r="P88" i="1"/>
  <c r="K88" i="1"/>
  <c r="P84" i="1"/>
  <c r="K84" i="1"/>
  <c r="P80" i="1"/>
  <c r="K80" i="1"/>
  <c r="K76" i="1"/>
  <c r="P76" i="1"/>
  <c r="P72" i="1"/>
  <c r="K72" i="1"/>
  <c r="K630" i="1"/>
  <c r="P630" i="1"/>
  <c r="P614" i="1"/>
  <c r="K614" i="1"/>
  <c r="K598" i="1"/>
  <c r="P598" i="1"/>
  <c r="K582" i="1"/>
  <c r="P582" i="1"/>
  <c r="K570" i="1"/>
  <c r="P570" i="1"/>
  <c r="P554" i="1"/>
  <c r="K554" i="1"/>
  <c r="P542" i="1"/>
  <c r="K542" i="1"/>
  <c r="K530" i="1"/>
  <c r="P530" i="1"/>
  <c r="K518" i="1"/>
  <c r="P518" i="1"/>
  <c r="K474" i="1"/>
  <c r="P474" i="1"/>
  <c r="K625" i="1"/>
  <c r="P625" i="1"/>
  <c r="K617" i="1"/>
  <c r="P617" i="1"/>
  <c r="K605" i="1"/>
  <c r="P605" i="1"/>
  <c r="K597" i="1"/>
  <c r="P597" i="1"/>
  <c r="K585" i="1"/>
  <c r="P585" i="1"/>
  <c r="K573" i="1"/>
  <c r="P573" i="1"/>
  <c r="K553" i="1"/>
  <c r="P553" i="1"/>
  <c r="K632" i="1"/>
  <c r="P632" i="1"/>
  <c r="K628" i="1"/>
  <c r="P628" i="1"/>
  <c r="K620" i="1"/>
  <c r="P620" i="1"/>
  <c r="K612" i="1"/>
  <c r="P612" i="1"/>
  <c r="K608" i="1"/>
  <c r="P608" i="1"/>
  <c r="K600" i="1"/>
  <c r="P600" i="1"/>
  <c r="K596" i="1"/>
  <c r="P596" i="1"/>
  <c r="K588" i="1"/>
  <c r="P588" i="1"/>
  <c r="P584" i="1"/>
  <c r="K584" i="1"/>
  <c r="K576" i="1"/>
  <c r="P576" i="1"/>
  <c r="K568" i="1"/>
  <c r="P568" i="1"/>
  <c r="K564" i="1"/>
  <c r="P564" i="1"/>
  <c r="K556" i="1"/>
  <c r="P556" i="1"/>
  <c r="K552" i="1"/>
  <c r="P552" i="1"/>
  <c r="K544" i="1"/>
  <c r="P544" i="1"/>
  <c r="K536" i="1"/>
  <c r="P536" i="1"/>
  <c r="K528" i="1"/>
  <c r="P528" i="1"/>
  <c r="K524" i="1"/>
  <c r="P524" i="1"/>
  <c r="K516" i="1"/>
  <c r="P516" i="1"/>
  <c r="K508" i="1"/>
  <c r="P508" i="1"/>
  <c r="K488" i="1"/>
  <c r="P488" i="1"/>
  <c r="K635" i="1"/>
  <c r="P635" i="1"/>
  <c r="K631" i="1"/>
  <c r="P631" i="1"/>
  <c r="K627" i="1"/>
  <c r="P627" i="1"/>
  <c r="K623" i="1"/>
  <c r="P623" i="1"/>
  <c r="K619" i="1"/>
  <c r="P619" i="1"/>
  <c r="K615" i="1"/>
  <c r="P615" i="1"/>
  <c r="K611" i="1"/>
  <c r="P611" i="1"/>
  <c r="K607" i="1"/>
  <c r="P607" i="1"/>
  <c r="K603" i="1"/>
  <c r="P603" i="1"/>
  <c r="K599" i="1"/>
  <c r="P599" i="1"/>
  <c r="K595" i="1"/>
  <c r="P595" i="1"/>
  <c r="K591" i="1"/>
  <c r="P591" i="1"/>
  <c r="K587" i="1"/>
  <c r="P587" i="1"/>
  <c r="P583" i="1"/>
  <c r="K583" i="1"/>
  <c r="K579" i="1"/>
  <c r="P579" i="1"/>
  <c r="P575" i="1"/>
  <c r="K575" i="1"/>
  <c r="K571" i="1"/>
  <c r="P571" i="1"/>
  <c r="K567" i="1"/>
  <c r="P567" i="1"/>
  <c r="P563" i="1"/>
  <c r="K563" i="1"/>
  <c r="K559" i="1"/>
  <c r="P559" i="1"/>
  <c r="P555" i="1"/>
  <c r="K555" i="1"/>
  <c r="K551" i="1"/>
  <c r="P551" i="1"/>
  <c r="K547" i="1"/>
  <c r="P547" i="1"/>
  <c r="K543" i="1"/>
  <c r="P543" i="1"/>
  <c r="P539" i="1"/>
  <c r="K539" i="1"/>
  <c r="K535" i="1"/>
  <c r="P535" i="1"/>
  <c r="K531" i="1"/>
  <c r="P531" i="1"/>
  <c r="K527" i="1"/>
  <c r="P527" i="1"/>
  <c r="P523" i="1"/>
  <c r="K523" i="1"/>
  <c r="K519" i="1"/>
  <c r="P519" i="1"/>
  <c r="P515" i="1"/>
  <c r="K515" i="1"/>
  <c r="K511" i="1"/>
  <c r="P511" i="1"/>
  <c r="P507" i="1"/>
  <c r="K507" i="1"/>
  <c r="K503" i="1"/>
  <c r="P503" i="1"/>
  <c r="P499" i="1"/>
  <c r="K499" i="1"/>
  <c r="K495" i="1"/>
  <c r="P495" i="1"/>
  <c r="P491" i="1"/>
  <c r="K491" i="1"/>
  <c r="K487" i="1"/>
  <c r="P487" i="1"/>
  <c r="P483" i="1"/>
  <c r="K483" i="1"/>
  <c r="K479" i="1"/>
  <c r="P479" i="1"/>
  <c r="P475" i="1"/>
  <c r="K475" i="1"/>
  <c r="K471" i="1"/>
  <c r="P471" i="1"/>
  <c r="K467" i="1"/>
  <c r="P467" i="1"/>
  <c r="K463" i="1"/>
  <c r="P463" i="1"/>
  <c r="K459" i="1"/>
  <c r="P459" i="1"/>
  <c r="K455" i="1"/>
  <c r="P455" i="1"/>
  <c r="K451" i="1"/>
  <c r="P451" i="1"/>
  <c r="K447" i="1"/>
  <c r="P447" i="1"/>
  <c r="P443" i="1"/>
  <c r="K443" i="1"/>
  <c r="P439" i="1"/>
  <c r="K439" i="1"/>
  <c r="P435" i="1"/>
  <c r="K435" i="1"/>
  <c r="P431" i="1"/>
  <c r="K431" i="1"/>
  <c r="P427" i="1"/>
  <c r="K427" i="1"/>
  <c r="P423" i="1"/>
  <c r="K423" i="1"/>
  <c r="P419" i="1"/>
  <c r="K419" i="1"/>
  <c r="K415" i="1"/>
  <c r="P415" i="1"/>
  <c r="K411" i="1"/>
  <c r="P411" i="1"/>
  <c r="K407" i="1"/>
  <c r="P407" i="1"/>
  <c r="K403" i="1"/>
  <c r="P403" i="1"/>
  <c r="K399" i="1"/>
  <c r="P399" i="1"/>
  <c r="K395" i="1"/>
  <c r="P395" i="1"/>
  <c r="K391" i="1"/>
  <c r="P391" i="1"/>
  <c r="K387" i="1"/>
  <c r="P387" i="1"/>
  <c r="K383" i="1"/>
  <c r="P383" i="1"/>
  <c r="K379" i="1"/>
  <c r="P379" i="1"/>
  <c r="K375" i="1"/>
  <c r="P375" i="1"/>
  <c r="K371" i="1"/>
  <c r="P371" i="1"/>
  <c r="P367" i="1"/>
  <c r="K367" i="1"/>
  <c r="P363" i="1"/>
  <c r="K363" i="1"/>
  <c r="P359" i="1"/>
  <c r="K359" i="1"/>
  <c r="P355" i="1"/>
  <c r="K355" i="1"/>
  <c r="K351" i="1"/>
  <c r="P351" i="1"/>
  <c r="K347" i="1"/>
  <c r="P347" i="1"/>
  <c r="K343" i="1"/>
  <c r="P343" i="1"/>
  <c r="K339" i="1"/>
  <c r="P339" i="1"/>
  <c r="K335" i="1"/>
  <c r="P335" i="1"/>
  <c r="K331" i="1"/>
  <c r="P331" i="1"/>
  <c r="K327" i="1"/>
  <c r="P327" i="1"/>
  <c r="K323" i="1"/>
  <c r="P323" i="1"/>
  <c r="K319" i="1"/>
  <c r="P319" i="1"/>
  <c r="K315" i="1"/>
  <c r="P315" i="1"/>
  <c r="K311" i="1"/>
  <c r="P311" i="1"/>
  <c r="K307" i="1"/>
  <c r="P307" i="1"/>
  <c r="K303" i="1"/>
  <c r="P303" i="1"/>
  <c r="K299" i="1"/>
  <c r="P299" i="1"/>
  <c r="K295" i="1"/>
  <c r="P295" i="1"/>
  <c r="K291" i="1"/>
  <c r="P291" i="1"/>
  <c r="K287" i="1"/>
  <c r="P287" i="1"/>
  <c r="K283" i="1"/>
  <c r="P283" i="1"/>
  <c r="K279" i="1"/>
  <c r="P279" i="1"/>
  <c r="K275" i="1"/>
  <c r="P275" i="1"/>
  <c r="K271" i="1"/>
  <c r="P271" i="1"/>
  <c r="K267" i="1"/>
  <c r="P267" i="1"/>
  <c r="K263" i="1"/>
  <c r="P263" i="1"/>
  <c r="K259" i="1"/>
  <c r="P259" i="1"/>
  <c r="K255" i="1"/>
  <c r="P255" i="1"/>
  <c r="K251" i="1"/>
  <c r="P251" i="1"/>
  <c r="K247" i="1"/>
  <c r="P247" i="1"/>
  <c r="K243" i="1"/>
  <c r="P243" i="1"/>
  <c r="K239" i="1"/>
  <c r="P239" i="1"/>
  <c r="K235" i="1"/>
  <c r="P235" i="1"/>
  <c r="K231" i="1"/>
  <c r="P231" i="1"/>
  <c r="K227" i="1"/>
  <c r="P227" i="1"/>
  <c r="P223" i="1"/>
  <c r="K223" i="1"/>
  <c r="K219" i="1"/>
  <c r="P219" i="1"/>
  <c r="P215" i="1"/>
  <c r="K215" i="1"/>
  <c r="K211" i="1"/>
  <c r="P211" i="1"/>
  <c r="P207" i="1"/>
  <c r="K207" i="1"/>
  <c r="K203" i="1"/>
  <c r="P203" i="1"/>
  <c r="P199" i="1"/>
  <c r="K199" i="1"/>
  <c r="K195" i="1"/>
  <c r="P195" i="1"/>
  <c r="K191" i="1"/>
  <c r="P191" i="1"/>
  <c r="K187" i="1"/>
  <c r="P187" i="1"/>
  <c r="K183" i="1"/>
  <c r="P183" i="1"/>
  <c r="P179" i="1"/>
  <c r="K179" i="1"/>
  <c r="K175" i="1"/>
  <c r="P175" i="1"/>
  <c r="K171" i="1"/>
  <c r="P171" i="1"/>
  <c r="K167" i="1"/>
  <c r="P167" i="1"/>
  <c r="P163" i="1"/>
  <c r="K163" i="1"/>
  <c r="K159" i="1"/>
  <c r="P159" i="1"/>
  <c r="P155" i="1"/>
  <c r="K155" i="1"/>
  <c r="K151" i="1"/>
  <c r="P151" i="1"/>
  <c r="P147" i="1"/>
  <c r="K147" i="1"/>
  <c r="K143" i="1"/>
  <c r="P143" i="1"/>
  <c r="P139" i="1"/>
  <c r="K139" i="1"/>
  <c r="K135" i="1"/>
  <c r="P135" i="1"/>
  <c r="K131" i="1"/>
  <c r="P131" i="1"/>
  <c r="K127" i="1"/>
  <c r="P127" i="1"/>
  <c r="K123" i="1"/>
  <c r="P123" i="1"/>
  <c r="K119" i="1"/>
  <c r="P119" i="1"/>
  <c r="K115" i="1"/>
  <c r="P115" i="1"/>
  <c r="K111" i="1"/>
  <c r="P111" i="1"/>
  <c r="P107" i="1"/>
  <c r="K107" i="1"/>
  <c r="K103" i="1"/>
  <c r="P103" i="1"/>
  <c r="K99" i="1"/>
  <c r="P99" i="1"/>
  <c r="K95" i="1"/>
  <c r="P95" i="1"/>
  <c r="K91" i="1"/>
  <c r="P91" i="1"/>
  <c r="K87" i="1"/>
  <c r="P87" i="1"/>
  <c r="K83" i="1"/>
  <c r="P83" i="1"/>
  <c r="K79" i="1"/>
  <c r="P79" i="1"/>
  <c r="K75" i="1"/>
  <c r="P75" i="1"/>
  <c r="K71" i="1"/>
  <c r="P71" i="1"/>
  <c r="K48" i="1"/>
  <c r="P48" i="1"/>
  <c r="K9" i="1"/>
  <c r="K62" i="1"/>
  <c r="P62" i="1"/>
  <c r="I281" i="2"/>
  <c r="F14" i="2"/>
  <c r="I21" i="2"/>
  <c r="I23" i="2" s="1"/>
  <c r="I22" i="2"/>
  <c r="F16" i="2"/>
  <c r="F13" i="2"/>
  <c r="F17" i="2"/>
  <c r="H18" i="2"/>
  <c r="G29" i="2" l="1"/>
  <c r="G72" i="2"/>
  <c r="G71" i="2"/>
  <c r="G39" i="2"/>
  <c r="G49" i="2"/>
  <c r="G98" i="2"/>
  <c r="G78" i="2"/>
  <c r="G82" i="2"/>
  <c r="G57" i="2"/>
  <c r="G27" i="2"/>
  <c r="G130" i="2"/>
  <c r="G9" i="2"/>
  <c r="G25" i="2"/>
  <c r="G13" i="2"/>
  <c r="G19" i="2"/>
  <c r="G16" i="2" s="1"/>
  <c r="G35" i="2"/>
  <c r="I24" i="2"/>
  <c r="I25" i="2" s="1"/>
  <c r="I26" i="2" s="1"/>
  <c r="I27" i="2" s="1"/>
  <c r="I28" i="2" s="1"/>
  <c r="P9" i="1"/>
  <c r="I282" i="2"/>
  <c r="F18" i="2"/>
  <c r="H19" i="2"/>
  <c r="F3" i="2"/>
  <c r="F4" i="2"/>
  <c r="G8" i="2" l="1"/>
  <c r="I30" i="2"/>
  <c r="I32" i="2" s="1"/>
  <c r="I44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29" i="2"/>
  <c r="I31" i="2" s="1"/>
  <c r="I33" i="2" s="1"/>
  <c r="I283" i="2"/>
  <c r="F19" i="2"/>
  <c r="H20" i="2"/>
  <c r="H22" i="2" s="1"/>
  <c r="F22" i="2" s="1"/>
  <c r="F6" i="2"/>
  <c r="J4" i="1" s="1"/>
  <c r="N4" i="1" s="1"/>
  <c r="O4" i="1" s="1"/>
  <c r="Q4" i="1" s="1"/>
  <c r="I45" i="2" l="1"/>
  <c r="I34" i="2"/>
  <c r="I35" i="2" s="1"/>
  <c r="I36" i="2" s="1"/>
  <c r="I37" i="2" s="1"/>
  <c r="I38" i="2" s="1"/>
  <c r="I284" i="2"/>
  <c r="P4" i="1"/>
  <c r="K4" i="1"/>
  <c r="F20" i="2"/>
  <c r="H21" i="2"/>
  <c r="I40" i="2" l="1"/>
  <c r="I42" i="2" s="1"/>
  <c r="I39" i="2"/>
  <c r="I41" i="2" s="1"/>
  <c r="I43" i="2" s="1"/>
  <c r="I285" i="2"/>
  <c r="F21" i="2"/>
  <c r="H23" i="2"/>
  <c r="H24" i="2" s="1"/>
  <c r="F24" i="2" l="1"/>
  <c r="G24" i="2" s="1"/>
  <c r="H25" i="2"/>
  <c r="I194" i="2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86" i="2"/>
  <c r="F25" i="2" l="1"/>
  <c r="H26" i="2"/>
  <c r="I287" i="2"/>
  <c r="H27" i="2" l="1"/>
  <c r="F26" i="2"/>
  <c r="I288" i="2"/>
  <c r="H28" i="2" l="1"/>
  <c r="F27" i="2"/>
  <c r="I289" i="2"/>
  <c r="H30" i="2" l="1"/>
  <c r="H29" i="2"/>
  <c r="H31" i="2" s="1"/>
  <c r="F28" i="2"/>
  <c r="I290" i="2"/>
  <c r="F31" i="2" l="1"/>
  <c r="H33" i="2"/>
  <c r="H34" i="2" s="1"/>
  <c r="F30" i="2"/>
  <c r="H32" i="2"/>
  <c r="J32" i="1"/>
  <c r="F29" i="2"/>
  <c r="I291" i="2"/>
  <c r="K32" i="1" l="1"/>
  <c r="N32" i="1"/>
  <c r="O32" i="1" s="1"/>
  <c r="Q32" i="1" s="1"/>
  <c r="H35" i="2"/>
  <c r="F34" i="2"/>
  <c r="G34" i="2" s="1"/>
  <c r="H44" i="2"/>
  <c r="F32" i="2"/>
  <c r="H45" i="2"/>
  <c r="F45" i="2" s="1"/>
  <c r="I292" i="2"/>
  <c r="H36" i="2" l="1"/>
  <c r="F35" i="2"/>
  <c r="H46" i="2"/>
  <c r="F44" i="2"/>
  <c r="G44" i="2" s="1"/>
  <c r="P32" i="1"/>
  <c r="I293" i="2"/>
  <c r="H37" i="2" l="1"/>
  <c r="F36" i="2"/>
  <c r="F46" i="2"/>
  <c r="H47" i="2"/>
  <c r="I294" i="2"/>
  <c r="H38" i="2" l="1"/>
  <c r="F37" i="2"/>
  <c r="H48" i="2"/>
  <c r="F47" i="2"/>
  <c r="J13" i="1" s="1"/>
  <c r="N13" i="1" s="1"/>
  <c r="O13" i="1" s="1"/>
  <c r="Q13" i="1" s="1"/>
  <c r="I295" i="2"/>
  <c r="H40" i="2" l="1"/>
  <c r="H39" i="2"/>
  <c r="F38" i="2"/>
  <c r="J66" i="1" s="1"/>
  <c r="N66" i="1" s="1"/>
  <c r="O66" i="1" s="1"/>
  <c r="Q66" i="1" s="1"/>
  <c r="K13" i="1"/>
  <c r="H49" i="2"/>
  <c r="F48" i="2"/>
  <c r="I296" i="2"/>
  <c r="H42" i="2" l="1"/>
  <c r="F42" i="2" s="1"/>
  <c r="F40" i="2"/>
  <c r="K66" i="1"/>
  <c r="H41" i="2"/>
  <c r="F39" i="2"/>
  <c r="H50" i="2"/>
  <c r="F49" i="2"/>
  <c r="P13" i="1"/>
  <c r="I297" i="2"/>
  <c r="H43" i="2" l="1"/>
  <c r="F41" i="2"/>
  <c r="J67" i="1" s="1"/>
  <c r="N67" i="1" s="1"/>
  <c r="O67" i="1" s="1"/>
  <c r="Q67" i="1" s="1"/>
  <c r="P66" i="1"/>
  <c r="H51" i="2"/>
  <c r="F50" i="2"/>
  <c r="I298" i="2"/>
  <c r="K67" i="1" l="1"/>
  <c r="H52" i="2"/>
  <c r="I299" i="2"/>
  <c r="P67" i="1" l="1"/>
  <c r="F52" i="2"/>
  <c r="H53" i="2"/>
  <c r="I300" i="2"/>
  <c r="G52" i="2" l="1"/>
  <c r="G4" i="2" s="1"/>
  <c r="H54" i="2"/>
  <c r="F53" i="2"/>
  <c r="J11" i="1" s="1"/>
  <c r="N11" i="1" s="1"/>
  <c r="O11" i="1" s="1"/>
  <c r="Q11" i="1" s="1"/>
  <c r="I301" i="2"/>
  <c r="K11" i="1" l="1"/>
  <c r="H55" i="2"/>
  <c r="F54" i="2"/>
  <c r="J12" i="1" s="1"/>
  <c r="N12" i="1" s="1"/>
  <c r="O12" i="1" s="1"/>
  <c r="Q12" i="1" s="1"/>
  <c r="I302" i="2"/>
  <c r="H56" i="2" l="1"/>
  <c r="F55" i="2"/>
  <c r="J33" i="1" s="1"/>
  <c r="N33" i="1" s="1"/>
  <c r="O33" i="1" s="1"/>
  <c r="Q33" i="1" s="1"/>
  <c r="K12" i="1"/>
  <c r="P11" i="1"/>
  <c r="I303" i="2"/>
  <c r="K33" i="1" l="1"/>
  <c r="P12" i="1"/>
  <c r="H57" i="2"/>
  <c r="F56" i="2"/>
  <c r="J16" i="1" s="1"/>
  <c r="N16" i="1" s="1"/>
  <c r="O16" i="1" s="1"/>
  <c r="Q16" i="1" s="1"/>
  <c r="I304" i="2"/>
  <c r="P33" i="1" l="1"/>
  <c r="K16" i="1"/>
  <c r="H58" i="2"/>
  <c r="F57" i="2"/>
  <c r="I305" i="2"/>
  <c r="H59" i="2" l="1"/>
  <c r="F58" i="2"/>
  <c r="P16" i="1"/>
  <c r="I306" i="2"/>
  <c r="H60" i="2" l="1"/>
  <c r="I307" i="2"/>
  <c r="H61" i="2" l="1"/>
  <c r="F60" i="2"/>
  <c r="I308" i="2"/>
  <c r="H62" i="2" l="1"/>
  <c r="I309" i="2"/>
  <c r="H63" i="2" l="1"/>
  <c r="F62" i="2"/>
  <c r="I310" i="2"/>
  <c r="H64" i="2" l="1"/>
  <c r="F63" i="2"/>
  <c r="I311" i="2"/>
  <c r="H65" i="2" l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F64" i="2"/>
  <c r="I312" i="2"/>
  <c r="H96" i="2" l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F65" i="2"/>
  <c r="J41" i="1" s="1"/>
  <c r="N41" i="1" s="1"/>
  <c r="O41" i="1" s="1"/>
  <c r="Q41" i="1" s="1"/>
  <c r="I313" i="2"/>
  <c r="H126" i="2" l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K41" i="1"/>
  <c r="I314" i="2"/>
  <c r="F92" i="2" l="1"/>
  <c r="G92" i="2" s="1"/>
  <c r="P41" i="1"/>
  <c r="I315" i="2"/>
  <c r="F93" i="2" l="1"/>
  <c r="J5" i="1" s="1"/>
  <c r="N5" i="1" s="1"/>
  <c r="O5" i="1" s="1"/>
  <c r="Q5" i="1" s="1"/>
  <c r="I316" i="2"/>
  <c r="K5" i="1" l="1"/>
  <c r="F94" i="2"/>
  <c r="J17" i="1" s="1"/>
  <c r="N17" i="1" s="1"/>
  <c r="O17" i="1" s="1"/>
  <c r="Q17" i="1" s="1"/>
  <c r="I317" i="2"/>
  <c r="F95" i="2" l="1"/>
  <c r="K17" i="1"/>
  <c r="P5" i="1"/>
  <c r="I318" i="2"/>
  <c r="P17" i="1" l="1"/>
  <c r="I319" i="2"/>
  <c r="F130" i="2" l="1"/>
  <c r="J18" i="1" s="1"/>
  <c r="N18" i="1" s="1"/>
  <c r="O18" i="1" s="1"/>
  <c r="Q18" i="1" s="1"/>
  <c r="I320" i="2"/>
  <c r="K18" i="1" l="1"/>
  <c r="I321" i="2"/>
  <c r="F67" i="2" l="1"/>
  <c r="P18" i="1"/>
  <c r="I322" i="2"/>
  <c r="F68" i="2" l="1"/>
  <c r="J20" i="1" s="1"/>
  <c r="N20" i="1" s="1"/>
  <c r="O20" i="1" s="1"/>
  <c r="Q20" i="1" s="1"/>
  <c r="I323" i="2"/>
  <c r="K20" i="1" l="1"/>
  <c r="I324" i="2"/>
  <c r="P20" i="1" l="1"/>
  <c r="F70" i="2"/>
  <c r="G70" i="2" s="1"/>
  <c r="I325" i="2"/>
  <c r="F71" i="2" l="1"/>
  <c r="I326" i="2"/>
  <c r="F72" i="2" l="1"/>
  <c r="I327" i="2"/>
  <c r="F73" i="2" l="1"/>
  <c r="J34" i="1" s="1"/>
  <c r="N34" i="1" s="1"/>
  <c r="O34" i="1" s="1"/>
  <c r="Q34" i="1" s="1"/>
  <c r="I328" i="2"/>
  <c r="K34" i="1" l="1"/>
  <c r="F74" i="2"/>
  <c r="I329" i="2"/>
  <c r="F75" i="2" l="1"/>
  <c r="P34" i="1"/>
  <c r="I330" i="2"/>
  <c r="I331" i="2" l="1"/>
  <c r="F77" i="2" l="1"/>
  <c r="G77" i="2" s="1"/>
  <c r="G67" i="2" s="1"/>
  <c r="I332" i="2"/>
  <c r="F78" i="2" l="1"/>
  <c r="I333" i="2"/>
  <c r="F79" i="2" l="1"/>
  <c r="J7" i="1" s="1"/>
  <c r="N7" i="1" s="1"/>
  <c r="O7" i="1" s="1"/>
  <c r="Q7" i="1" s="1"/>
  <c r="I334" i="2"/>
  <c r="K7" i="1" l="1"/>
  <c r="F80" i="2"/>
  <c r="I335" i="2"/>
  <c r="F81" i="2" l="1"/>
  <c r="J35" i="1" s="1"/>
  <c r="N35" i="1" s="1"/>
  <c r="O35" i="1" s="1"/>
  <c r="Q35" i="1" s="1"/>
  <c r="P7" i="1"/>
  <c r="I336" i="2"/>
  <c r="K35" i="1" l="1"/>
  <c r="F82" i="2"/>
  <c r="I337" i="2"/>
  <c r="P35" i="1" l="1"/>
  <c r="F83" i="2"/>
  <c r="I338" i="2"/>
  <c r="I339" i="2" l="1"/>
  <c r="F85" i="2" l="1"/>
  <c r="J19" i="1" s="1"/>
  <c r="N19" i="1" s="1"/>
  <c r="O19" i="1" s="1"/>
  <c r="Q19" i="1" s="1"/>
  <c r="I340" i="2"/>
  <c r="K19" i="1" l="1"/>
  <c r="F86" i="2"/>
  <c r="J24" i="1" s="1"/>
  <c r="N24" i="1" s="1"/>
  <c r="O24" i="1" s="1"/>
  <c r="Q24" i="1" s="1"/>
  <c r="I341" i="2"/>
  <c r="K24" i="1" l="1"/>
  <c r="F87" i="2"/>
  <c r="P19" i="1"/>
  <c r="I342" i="2"/>
  <c r="F88" i="2" l="1"/>
  <c r="J36" i="1" s="1"/>
  <c r="N36" i="1" s="1"/>
  <c r="O36" i="1" s="1"/>
  <c r="Q36" i="1" s="1"/>
  <c r="P24" i="1"/>
  <c r="I343" i="2"/>
  <c r="K36" i="1" l="1"/>
  <c r="F89" i="2"/>
  <c r="J38" i="1" s="1"/>
  <c r="N38" i="1" s="1"/>
  <c r="O38" i="1" s="1"/>
  <c r="Q38" i="1" s="1"/>
  <c r="I344" i="2"/>
  <c r="P36" i="1" l="1"/>
  <c r="K38" i="1"/>
  <c r="F90" i="2"/>
  <c r="J37" i="1" s="1"/>
  <c r="N37" i="1" s="1"/>
  <c r="O37" i="1" s="1"/>
  <c r="Q37" i="1" s="1"/>
  <c r="I345" i="2"/>
  <c r="P38" i="1" l="1"/>
  <c r="K37" i="1"/>
  <c r="I346" i="2"/>
  <c r="F99" i="2" l="1"/>
  <c r="P37" i="1"/>
  <c r="I347" i="2"/>
  <c r="F102" i="2" l="1"/>
  <c r="F101" i="2"/>
  <c r="F100" i="2"/>
  <c r="I348" i="2"/>
  <c r="F103" i="2" l="1"/>
  <c r="I349" i="2"/>
  <c r="F104" i="2" l="1"/>
  <c r="I350" i="2"/>
  <c r="F105" i="2" l="1"/>
  <c r="I351" i="2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F106" i="2" l="1"/>
  <c r="F107" i="2" l="1"/>
  <c r="F108" i="2" l="1"/>
  <c r="F109" i="2" l="1"/>
  <c r="F110" i="2" l="1"/>
  <c r="F111" i="2" l="1"/>
  <c r="F112" i="2" l="1"/>
  <c r="F113" i="2" l="1"/>
  <c r="F114" i="2" l="1"/>
  <c r="F115" i="2" l="1"/>
  <c r="F116" i="2" l="1"/>
  <c r="F117" i="2" l="1"/>
  <c r="F118" i="2" l="1"/>
  <c r="F119" i="2" l="1"/>
  <c r="F120" i="2" l="1"/>
  <c r="F121" i="2" l="1"/>
  <c r="F122" i="2" l="1"/>
  <c r="F123" i="2" l="1"/>
  <c r="F124" i="2" l="1"/>
  <c r="J70" i="1" s="1"/>
  <c r="N70" i="1" s="1"/>
  <c r="O70" i="1" s="1"/>
  <c r="Q70" i="1" s="1"/>
  <c r="F125" i="2" l="1"/>
  <c r="K70" i="1"/>
  <c r="P70" i="1" l="1"/>
  <c r="F126" i="2"/>
  <c r="F128" i="2" l="1"/>
  <c r="F127" i="2"/>
  <c r="F133" i="2" l="1"/>
  <c r="F134" i="2" l="1"/>
  <c r="G134" i="2" s="1"/>
  <c r="F135" i="2" l="1"/>
  <c r="F136" i="2" l="1"/>
  <c r="F137" i="2" l="1"/>
  <c r="F138" i="2" l="1"/>
  <c r="F139" i="2" l="1"/>
  <c r="F140" i="2" l="1"/>
  <c r="F141" i="2" l="1"/>
  <c r="F142" i="2" l="1"/>
  <c r="F143" i="2" l="1"/>
  <c r="F144" i="2" l="1"/>
  <c r="F145" i="2" l="1"/>
  <c r="F146" i="2" l="1"/>
  <c r="F147" i="2" l="1"/>
  <c r="F149" i="2" l="1"/>
  <c r="F148" i="2"/>
  <c r="F150" i="2" l="1"/>
  <c r="F151" i="2" l="1"/>
  <c r="H152" i="2"/>
  <c r="F152" i="2" l="1"/>
  <c r="H153" i="2"/>
  <c r="F153" i="2" l="1"/>
  <c r="H154" i="2"/>
  <c r="H155" i="2" l="1"/>
  <c r="H156" i="2" l="1"/>
  <c r="F156" i="2" l="1"/>
  <c r="G156" i="2" s="1"/>
  <c r="H157" i="2"/>
  <c r="F157" i="2" l="1"/>
  <c r="H158" i="2"/>
  <c r="H159" i="2" l="1"/>
  <c r="F158" i="2"/>
  <c r="F159" i="2" l="1"/>
  <c r="H160" i="2"/>
  <c r="F160" i="2" l="1"/>
  <c r="H161" i="2"/>
  <c r="H162" i="2" l="1"/>
  <c r="F161" i="2"/>
  <c r="F162" i="2" l="1"/>
  <c r="H163" i="2"/>
  <c r="H164" i="2" l="1"/>
  <c r="F163" i="2"/>
  <c r="F164" i="2" l="1"/>
  <c r="H165" i="2"/>
  <c r="F165" i="2" l="1"/>
  <c r="H166" i="2"/>
  <c r="H167" i="2" l="1"/>
  <c r="F166" i="2"/>
  <c r="F167" i="2" l="1"/>
  <c r="H168" i="2"/>
  <c r="H169" i="2" s="1"/>
  <c r="F169" i="2" l="1"/>
  <c r="H170" i="2"/>
  <c r="F168" i="2"/>
  <c r="F170" i="2" l="1"/>
  <c r="H171" i="2"/>
  <c r="F171" i="2" l="1"/>
  <c r="H172" i="2"/>
  <c r="F172" i="2" l="1"/>
  <c r="H173" i="2"/>
  <c r="F173" i="2" l="1"/>
  <c r="H174" i="2"/>
  <c r="H175" i="2" l="1"/>
  <c r="F174" i="2"/>
  <c r="H176" i="2" l="1"/>
  <c r="H177" i="2" l="1"/>
  <c r="F176" i="2"/>
  <c r="G176" i="2" l="1"/>
  <c r="G133" i="2" s="1"/>
  <c r="H178" i="2"/>
  <c r="F177" i="2"/>
  <c r="H179" i="2" l="1"/>
  <c r="F178" i="2"/>
  <c r="F179" i="2" l="1"/>
  <c r="J21" i="1" s="1"/>
  <c r="N21" i="1" s="1"/>
  <c r="O21" i="1" s="1"/>
  <c r="Q21" i="1" s="1"/>
  <c r="H180" i="2"/>
  <c r="H181" i="2" l="1"/>
  <c r="F180" i="2"/>
  <c r="J22" i="1" s="1"/>
  <c r="N22" i="1" s="1"/>
  <c r="O22" i="1" s="1"/>
  <c r="Q22" i="1" s="1"/>
  <c r="K21" i="1"/>
  <c r="P21" i="1" l="1"/>
  <c r="K22" i="1"/>
  <c r="F181" i="2"/>
  <c r="J64" i="1" s="1"/>
  <c r="N64" i="1" s="1"/>
  <c r="O64" i="1" s="1"/>
  <c r="Q64" i="1" s="1"/>
  <c r="H182" i="2"/>
  <c r="P22" i="1" l="1"/>
  <c r="F182" i="2"/>
  <c r="H183" i="2"/>
  <c r="K64" i="1"/>
  <c r="P64" i="1" l="1"/>
  <c r="H184" i="2"/>
  <c r="F183" i="2"/>
  <c r="J23" i="1" s="1"/>
  <c r="N23" i="1" s="1"/>
  <c r="O23" i="1" s="1"/>
  <c r="Q23" i="1" s="1"/>
  <c r="K23" i="1" l="1"/>
  <c r="F184" i="2"/>
  <c r="J63" i="1" s="1"/>
  <c r="N63" i="1" s="1"/>
  <c r="O63" i="1" s="1"/>
  <c r="Q63" i="1" s="1"/>
  <c r="H185" i="2"/>
  <c r="F185" i="2" l="1"/>
  <c r="H186" i="2"/>
  <c r="K63" i="1"/>
  <c r="P23" i="1"/>
  <c r="P63" i="1" l="1"/>
  <c r="F186" i="2"/>
  <c r="J29" i="1" s="1"/>
  <c r="N29" i="1" s="1"/>
  <c r="O29" i="1" s="1"/>
  <c r="Q29" i="1" s="1"/>
  <c r="H187" i="2"/>
  <c r="J31" i="1"/>
  <c r="N31" i="1" s="1"/>
  <c r="O31" i="1" s="1"/>
  <c r="Q31" i="1" s="1"/>
  <c r="F187" i="2" l="1"/>
  <c r="J65" i="1" s="1"/>
  <c r="N65" i="1" s="1"/>
  <c r="O65" i="1" s="1"/>
  <c r="Q65" i="1" s="1"/>
  <c r="H188" i="2"/>
  <c r="H189" i="2" s="1"/>
  <c r="K29" i="1"/>
  <c r="K31" i="1"/>
  <c r="F189" i="2" l="1"/>
  <c r="H190" i="2"/>
  <c r="P29" i="1"/>
  <c r="F188" i="2"/>
  <c r="J30" i="1" s="1"/>
  <c r="N30" i="1" s="1"/>
  <c r="O30" i="1" s="1"/>
  <c r="Q30" i="1" s="1"/>
  <c r="K65" i="1"/>
  <c r="P31" i="1"/>
  <c r="F190" i="2" l="1"/>
  <c r="J28" i="1" s="1"/>
  <c r="H191" i="2"/>
  <c r="K30" i="1"/>
  <c r="P65" i="1"/>
  <c r="K28" i="1" l="1"/>
  <c r="N28" i="1"/>
  <c r="O28" i="1" s="1"/>
  <c r="Q28" i="1" s="1"/>
  <c r="F191" i="2"/>
  <c r="J39" i="1" s="1"/>
  <c r="N39" i="1" s="1"/>
  <c r="O39" i="1" s="1"/>
  <c r="Q39" i="1" s="1"/>
  <c r="H192" i="2"/>
  <c r="P30" i="1"/>
  <c r="P28" i="1" l="1"/>
  <c r="F192" i="2"/>
  <c r="H193" i="2"/>
  <c r="K39" i="1"/>
  <c r="P39" i="1" l="1"/>
  <c r="F193" i="2"/>
  <c r="J43" i="1" s="1"/>
  <c r="N43" i="1" s="1"/>
  <c r="O43" i="1" s="1"/>
  <c r="Q43" i="1" s="1"/>
  <c r="H194" i="2"/>
  <c r="K43" i="1" l="1"/>
  <c r="F194" i="2"/>
  <c r="J44" i="1" s="1"/>
  <c r="N44" i="1" s="1"/>
  <c r="O44" i="1" s="1"/>
  <c r="Q44" i="1" s="1"/>
  <c r="H195" i="2"/>
  <c r="H196" i="2" l="1"/>
  <c r="K44" i="1"/>
  <c r="P43" i="1"/>
  <c r="P44" i="1" l="1"/>
  <c r="F196" i="2"/>
  <c r="G196" i="2" s="1"/>
  <c r="H197" i="2"/>
  <c r="H198" i="2" l="1"/>
  <c r="F197" i="2"/>
  <c r="J40" i="1" s="1"/>
  <c r="N40" i="1" s="1"/>
  <c r="O40" i="1" s="1"/>
  <c r="Q40" i="1" s="1"/>
  <c r="K40" i="1" l="1"/>
  <c r="F198" i="2"/>
  <c r="H199" i="2"/>
  <c r="H200" i="2" l="1"/>
  <c r="F199" i="2"/>
  <c r="P40" i="1"/>
  <c r="F200" i="2" l="1"/>
  <c r="H201" i="2"/>
  <c r="F201" i="2" l="1"/>
  <c r="J52" i="1" s="1"/>
  <c r="N52" i="1" s="1"/>
  <c r="O52" i="1" s="1"/>
  <c r="Q52" i="1" s="1"/>
  <c r="H202" i="2"/>
  <c r="F202" i="2" l="1"/>
  <c r="J53" i="1" s="1"/>
  <c r="N53" i="1" s="1"/>
  <c r="O53" i="1" s="1"/>
  <c r="Q53" i="1" s="1"/>
  <c r="H203" i="2"/>
  <c r="K52" i="1"/>
  <c r="P52" i="1" l="1"/>
  <c r="H204" i="2"/>
  <c r="F203" i="2"/>
  <c r="J54" i="1" s="1"/>
  <c r="N54" i="1" s="1"/>
  <c r="O54" i="1" s="1"/>
  <c r="Q54" i="1" s="1"/>
  <c r="K53" i="1"/>
  <c r="K54" i="1" l="1"/>
  <c r="H205" i="2"/>
  <c r="P53" i="1"/>
  <c r="F205" i="2" l="1"/>
  <c r="G205" i="2" s="1"/>
  <c r="H206" i="2"/>
  <c r="P54" i="1"/>
  <c r="H207" i="2" l="1"/>
  <c r="F206" i="2"/>
  <c r="J55" i="1" s="1"/>
  <c r="N55" i="1" s="1"/>
  <c r="O55" i="1" s="1"/>
  <c r="Q55" i="1" s="1"/>
  <c r="K55" i="1" l="1"/>
  <c r="F207" i="2"/>
  <c r="J56" i="1" s="1"/>
  <c r="N56" i="1" s="1"/>
  <c r="O56" i="1" s="1"/>
  <c r="Q56" i="1" s="1"/>
  <c r="H208" i="2"/>
  <c r="F208" i="2" l="1"/>
  <c r="J57" i="1" s="1"/>
  <c r="N57" i="1" s="1"/>
  <c r="O57" i="1" s="1"/>
  <c r="Q57" i="1" s="1"/>
  <c r="H209" i="2"/>
  <c r="K56" i="1"/>
  <c r="P55" i="1"/>
  <c r="J10" i="1"/>
  <c r="N10" i="1" s="1"/>
  <c r="O10" i="1" s="1"/>
  <c r="Q10" i="1" s="1"/>
  <c r="J25" i="1"/>
  <c r="N25" i="1" s="1"/>
  <c r="O25" i="1" s="1"/>
  <c r="Q25" i="1" s="1"/>
  <c r="J6" i="1"/>
  <c r="N6" i="1" s="1"/>
  <c r="O6" i="1" s="1"/>
  <c r="Q6" i="1" s="1"/>
  <c r="J8" i="1"/>
  <c r="N8" i="1" s="1"/>
  <c r="O8" i="1" s="1"/>
  <c r="Q8" i="1" s="1"/>
  <c r="J14" i="1"/>
  <c r="N14" i="1" s="1"/>
  <c r="O14" i="1" s="1"/>
  <c r="Q14" i="1" s="1"/>
  <c r="J15" i="1"/>
  <c r="N15" i="1" s="1"/>
  <c r="O15" i="1" s="1"/>
  <c r="Q15" i="1" s="1"/>
  <c r="J27" i="1"/>
  <c r="N27" i="1" s="1"/>
  <c r="O27" i="1" s="1"/>
  <c r="Q27" i="1" s="1"/>
  <c r="P56" i="1" l="1"/>
  <c r="H210" i="2"/>
  <c r="K57" i="1"/>
  <c r="K8" i="1"/>
  <c r="K27" i="1"/>
  <c r="K6" i="1"/>
  <c r="K15" i="1"/>
  <c r="K25" i="1"/>
  <c r="K14" i="1"/>
  <c r="K10" i="1"/>
  <c r="H211" i="2" l="1"/>
  <c r="P57" i="1"/>
  <c r="P14" i="1"/>
  <c r="P15" i="1"/>
  <c r="P27" i="1"/>
  <c r="P10" i="1"/>
  <c r="P25" i="1"/>
  <c r="P6" i="1"/>
  <c r="P8" i="1"/>
  <c r="H212" i="2" l="1"/>
  <c r="H213" i="2" l="1"/>
  <c r="H214" i="2" l="1"/>
  <c r="F214" i="2" l="1"/>
  <c r="G214" i="2" s="1"/>
  <c r="H215" i="2"/>
  <c r="H216" i="2" l="1"/>
  <c r="F215" i="2"/>
  <c r="H217" i="2" l="1"/>
  <c r="F216" i="2"/>
  <c r="H218" i="2" l="1"/>
  <c r="F217" i="2"/>
  <c r="F218" i="2" l="1"/>
  <c r="J42" i="1" s="1"/>
  <c r="N42" i="1" s="1"/>
  <c r="O42" i="1" s="1"/>
  <c r="Q42" i="1" s="1"/>
  <c r="H219" i="2"/>
  <c r="F219" i="2" l="1"/>
  <c r="H220" i="2"/>
  <c r="K42" i="1"/>
  <c r="P42" i="1" l="1"/>
  <c r="H221" i="2"/>
  <c r="F220" i="2"/>
  <c r="H222" i="2" l="1"/>
  <c r="F221" i="2"/>
  <c r="F222" i="2" l="1"/>
  <c r="H223" i="2"/>
  <c r="F223" i="2" l="1"/>
  <c r="H224" i="2"/>
  <c r="H225" i="2" l="1"/>
  <c r="F224" i="2"/>
  <c r="F225" i="2" l="1"/>
  <c r="G225" i="2" s="1"/>
  <c r="H226" i="2"/>
  <c r="F226" i="2" l="1"/>
  <c r="J45" i="1" s="1"/>
  <c r="N45" i="1" s="1"/>
  <c r="O45" i="1" s="1"/>
  <c r="Q45" i="1" s="1"/>
  <c r="H227" i="2"/>
  <c r="H228" i="2" l="1"/>
  <c r="F227" i="2"/>
  <c r="J46" i="1" s="1"/>
  <c r="N46" i="1" s="1"/>
  <c r="O46" i="1" s="1"/>
  <c r="Q46" i="1" s="1"/>
  <c r="K45" i="1"/>
  <c r="P45" i="1" l="1"/>
  <c r="K46" i="1"/>
  <c r="H229" i="2"/>
  <c r="F228" i="2"/>
  <c r="P46" i="1" l="1"/>
  <c r="F229" i="2"/>
  <c r="J47" i="1" s="1"/>
  <c r="N47" i="1" s="1"/>
  <c r="O47" i="1" s="1"/>
  <c r="Q47" i="1" s="1"/>
  <c r="H230" i="2"/>
  <c r="H231" i="2" l="1"/>
  <c r="F230" i="2"/>
  <c r="J49" i="1" s="1"/>
  <c r="N49" i="1" s="1"/>
  <c r="O49" i="1" s="1"/>
  <c r="Q49" i="1" s="1"/>
  <c r="K47" i="1"/>
  <c r="P47" i="1" l="1"/>
  <c r="K49" i="1"/>
  <c r="F231" i="2"/>
  <c r="H232" i="2"/>
  <c r="P49" i="1" l="1"/>
  <c r="H233" i="2"/>
  <c r="F232" i="2"/>
  <c r="J51" i="1"/>
  <c r="N51" i="1" s="1"/>
  <c r="O51" i="1" s="1"/>
  <c r="Q51" i="1" s="1"/>
  <c r="F233" i="2" l="1"/>
  <c r="J50" i="1" s="1"/>
  <c r="N50" i="1" s="1"/>
  <c r="O50" i="1" s="1"/>
  <c r="Q50" i="1" s="1"/>
  <c r="H234" i="2"/>
  <c r="K51" i="1"/>
  <c r="P51" i="1" l="1"/>
  <c r="F234" i="2"/>
  <c r="H235" i="2"/>
  <c r="K50" i="1"/>
  <c r="F235" i="2" l="1"/>
  <c r="G235" i="2" s="1"/>
  <c r="G3" i="2" s="1"/>
  <c r="H236" i="2"/>
  <c r="P50" i="1"/>
  <c r="H237" i="2" l="1"/>
  <c r="F236" i="2"/>
  <c r="J58" i="1" s="1"/>
  <c r="N58" i="1" s="1"/>
  <c r="O58" i="1" s="1"/>
  <c r="Q58" i="1" s="1"/>
  <c r="K58" i="1" l="1"/>
  <c r="F237" i="2"/>
  <c r="J59" i="1" s="1"/>
  <c r="N59" i="1" s="1"/>
  <c r="O59" i="1" s="1"/>
  <c r="Q59" i="1" s="1"/>
  <c r="H238" i="2"/>
  <c r="H239" i="2" l="1"/>
  <c r="F238" i="2"/>
  <c r="J60" i="1" s="1"/>
  <c r="N60" i="1" s="1"/>
  <c r="O60" i="1" s="1"/>
  <c r="Q60" i="1" s="1"/>
  <c r="K59" i="1"/>
  <c r="P58" i="1"/>
  <c r="P59" i="1" l="1"/>
  <c r="K60" i="1"/>
  <c r="H240" i="2"/>
  <c r="F239" i="2"/>
  <c r="J61" i="1" s="1"/>
  <c r="N61" i="1" s="1"/>
  <c r="O61" i="1" s="1"/>
  <c r="Q61" i="1" s="1"/>
  <c r="P60" i="1" l="1"/>
  <c r="K61" i="1"/>
  <c r="H241" i="2"/>
  <c r="F240" i="2"/>
  <c r="P61" i="1" l="1"/>
  <c r="H242" i="2"/>
  <c r="F241" i="2"/>
  <c r="F242" i="2" l="1"/>
  <c r="H243" i="2"/>
  <c r="F243" i="2" l="1"/>
  <c r="H244" i="2"/>
  <c r="F244" i="2" l="1"/>
  <c r="H245" i="2"/>
  <c r="H246" i="2" l="1"/>
  <c r="F245" i="2"/>
  <c r="H247" i="2" l="1"/>
  <c r="F246" i="2"/>
  <c r="F247" i="2" l="1"/>
  <c r="H248" i="2"/>
  <c r="H249" i="2" l="1"/>
  <c r="F248" i="2"/>
  <c r="F249" i="2" l="1"/>
  <c r="H250" i="2"/>
  <c r="H251" i="2" l="1"/>
  <c r="F250" i="2"/>
  <c r="F251" i="2" l="1"/>
  <c r="H252" i="2"/>
  <c r="F252" i="2" l="1"/>
  <c r="H253" i="2"/>
  <c r="H254" i="2" l="1"/>
  <c r="F253" i="2"/>
  <c r="H255" i="2" l="1"/>
  <c r="F254" i="2"/>
  <c r="F255" i="2" l="1"/>
  <c r="H256" i="2"/>
  <c r="H257" i="2" l="1"/>
  <c r="F256" i="2"/>
  <c r="H258" i="2" l="1"/>
  <c r="F257" i="2"/>
  <c r="H259" i="2" l="1"/>
  <c r="F258" i="2"/>
  <c r="H260" i="2" l="1"/>
  <c r="F259" i="2"/>
  <c r="F260" i="2" l="1"/>
  <c r="H261" i="2"/>
  <c r="F261" i="2" l="1"/>
  <c r="H262" i="2"/>
  <c r="F262" i="2" l="1"/>
  <c r="H263" i="2"/>
  <c r="F263" i="2" l="1"/>
  <c r="H264" i="2"/>
  <c r="F264" i="2" l="1"/>
  <c r="H265" i="2"/>
  <c r="F265" i="2" l="1"/>
  <c r="H266" i="2"/>
  <c r="H267" i="2" l="1"/>
  <c r="F266" i="2"/>
  <c r="H268" i="2" l="1"/>
  <c r="F267" i="2"/>
  <c r="F268" i="2" l="1"/>
  <c r="H269" i="2"/>
  <c r="F269" i="2" l="1"/>
  <c r="H270" i="2"/>
  <c r="F270" i="2" l="1"/>
  <c r="H271" i="2"/>
  <c r="F271" i="2" l="1"/>
  <c r="H272" i="2"/>
  <c r="F272" i="2" l="1"/>
  <c r="H273" i="2"/>
  <c r="F273" i="2" l="1"/>
  <c r="H274" i="2"/>
  <c r="H275" i="2" l="1"/>
  <c r="F274" i="2"/>
  <c r="F275" i="2" l="1"/>
  <c r="H276" i="2"/>
  <c r="F276" i="2" l="1"/>
  <c r="H277" i="2"/>
  <c r="F277" i="2" l="1"/>
  <c r="H278" i="2"/>
  <c r="H279" i="2" l="1"/>
  <c r="F278" i="2"/>
  <c r="F279" i="2" l="1"/>
  <c r="H280" i="2"/>
  <c r="H281" i="2" l="1"/>
  <c r="F280" i="2"/>
  <c r="H282" i="2" l="1"/>
  <c r="F281" i="2"/>
  <c r="H283" i="2" l="1"/>
  <c r="F282" i="2"/>
  <c r="F283" i="2" l="1"/>
  <c r="H284" i="2"/>
  <c r="F284" i="2" l="1"/>
  <c r="H285" i="2"/>
  <c r="H286" i="2" l="1"/>
  <c r="F285" i="2"/>
  <c r="H287" i="2" l="1"/>
  <c r="F286" i="2"/>
  <c r="H288" i="2" l="1"/>
  <c r="F287" i="2"/>
  <c r="H289" i="2" l="1"/>
  <c r="F288" i="2"/>
  <c r="H290" i="2" l="1"/>
  <c r="F289" i="2"/>
  <c r="H291" i="2" l="1"/>
  <c r="F290" i="2"/>
  <c r="F291" i="2" l="1"/>
  <c r="H292" i="2"/>
  <c r="H293" i="2" l="1"/>
  <c r="F292" i="2"/>
  <c r="H294" i="2" l="1"/>
  <c r="F293" i="2"/>
  <c r="F294" i="2" l="1"/>
  <c r="H295" i="2"/>
  <c r="F295" i="2" l="1"/>
  <c r="H296" i="2"/>
  <c r="F296" i="2" l="1"/>
  <c r="H297" i="2"/>
  <c r="H298" i="2" l="1"/>
  <c r="F297" i="2"/>
  <c r="F298" i="2" l="1"/>
  <c r="H299" i="2"/>
  <c r="H300" i="2" l="1"/>
  <c r="F299" i="2"/>
  <c r="F300" i="2" l="1"/>
  <c r="H301" i="2"/>
  <c r="F301" i="2" l="1"/>
  <c r="H302" i="2"/>
  <c r="F302" i="2" l="1"/>
  <c r="H303" i="2"/>
  <c r="F303" i="2" l="1"/>
  <c r="H304" i="2"/>
  <c r="F304" i="2" l="1"/>
  <c r="H305" i="2"/>
  <c r="F305" i="2" l="1"/>
  <c r="H306" i="2"/>
  <c r="H307" i="2" l="1"/>
  <c r="F306" i="2"/>
  <c r="H308" i="2" l="1"/>
  <c r="F307" i="2"/>
  <c r="F308" i="2" l="1"/>
  <c r="H309" i="2"/>
  <c r="F309" i="2" l="1"/>
  <c r="H310" i="2"/>
  <c r="H311" i="2" l="1"/>
  <c r="F310" i="2"/>
  <c r="H312" i="2" l="1"/>
  <c r="F311" i="2"/>
  <c r="F312" i="2" l="1"/>
  <c r="H313" i="2"/>
  <c r="H314" i="2" l="1"/>
  <c r="F313" i="2"/>
  <c r="H315" i="2" l="1"/>
  <c r="F314" i="2"/>
  <c r="F315" i="2" l="1"/>
  <c r="H316" i="2"/>
  <c r="H317" i="2" l="1"/>
  <c r="F316" i="2"/>
  <c r="H318" i="2" l="1"/>
  <c r="F317" i="2"/>
  <c r="F318" i="2" l="1"/>
  <c r="H319" i="2"/>
  <c r="F319" i="2" l="1"/>
  <c r="H320" i="2"/>
  <c r="F320" i="2" l="1"/>
  <c r="H321" i="2"/>
  <c r="H322" i="2" l="1"/>
  <c r="F321" i="2"/>
  <c r="H323" i="2" l="1"/>
  <c r="F322" i="2"/>
  <c r="H324" i="2" l="1"/>
  <c r="F323" i="2"/>
  <c r="H325" i="2" l="1"/>
  <c r="F324" i="2"/>
  <c r="H326" i="2" l="1"/>
  <c r="F325" i="2"/>
  <c r="H327" i="2" l="1"/>
  <c r="F326" i="2"/>
  <c r="F327" i="2" l="1"/>
  <c r="H328" i="2"/>
  <c r="F328" i="2" l="1"/>
  <c r="H329" i="2"/>
  <c r="H330" i="2" l="1"/>
  <c r="F329" i="2"/>
  <c r="F330" i="2" l="1"/>
  <c r="H331" i="2"/>
  <c r="H332" i="2" l="1"/>
  <c r="F331" i="2"/>
  <c r="F332" i="2" l="1"/>
  <c r="H333" i="2"/>
  <c r="F333" i="2" l="1"/>
  <c r="H334" i="2"/>
  <c r="F334" i="2" l="1"/>
  <c r="H335" i="2"/>
  <c r="F335" i="2" l="1"/>
  <c r="H336" i="2"/>
  <c r="F336" i="2" l="1"/>
  <c r="H337" i="2"/>
  <c r="F337" i="2" l="1"/>
  <c r="H338" i="2"/>
  <c r="H339" i="2" l="1"/>
  <c r="F338" i="2"/>
  <c r="F339" i="2" l="1"/>
  <c r="H340" i="2"/>
  <c r="F340" i="2" l="1"/>
  <c r="H341" i="2"/>
  <c r="H342" i="2" l="1"/>
  <c r="F341" i="2"/>
  <c r="F342" i="2" l="1"/>
  <c r="H343" i="2"/>
  <c r="J26" i="1"/>
  <c r="N26" i="1" s="1"/>
  <c r="O26" i="1" s="1"/>
  <c r="Q26" i="1" s="1"/>
  <c r="J68" i="1"/>
  <c r="N68" i="1" s="1"/>
  <c r="O68" i="1" s="1"/>
  <c r="Q68" i="1" s="1"/>
  <c r="J69" i="1"/>
  <c r="N69" i="1" s="1"/>
  <c r="O69" i="1" s="1"/>
  <c r="Q69" i="1" s="1"/>
  <c r="F343" i="2" l="1"/>
  <c r="H344" i="2"/>
  <c r="K26" i="1"/>
  <c r="K69" i="1"/>
  <c r="K68" i="1"/>
  <c r="P26" i="1"/>
  <c r="F344" i="2" l="1"/>
  <c r="H345" i="2"/>
  <c r="P68" i="1"/>
  <c r="P69" i="1"/>
  <c r="K2" i="1"/>
  <c r="H346" i="2" l="1"/>
  <c r="F345" i="2"/>
  <c r="P2" i="1"/>
  <c r="Q2" i="1" l="1"/>
  <c r="F346" i="2"/>
  <c r="H347" i="2"/>
  <c r="F347" i="2" l="1"/>
  <c r="H348" i="2"/>
  <c r="H349" i="2" l="1"/>
  <c r="F348" i="2"/>
  <c r="H350" i="2" l="1"/>
  <c r="F349" i="2"/>
  <c r="H351" i="2" l="1"/>
  <c r="F350" i="2"/>
  <c r="H352" i="2" l="1"/>
  <c r="F351" i="2"/>
  <c r="F352" i="2" l="1"/>
  <c r="H353" i="2"/>
  <c r="H354" i="2" l="1"/>
  <c r="F353" i="2"/>
  <c r="H355" i="2" l="1"/>
  <c r="F354" i="2"/>
  <c r="F355" i="2" l="1"/>
  <c r="H356" i="2"/>
  <c r="H357" i="2" l="1"/>
  <c r="F356" i="2"/>
  <c r="F357" i="2" l="1"/>
  <c r="H358" i="2"/>
  <c r="H359" i="2" l="1"/>
  <c r="F358" i="2"/>
  <c r="H360" i="2" l="1"/>
  <c r="F359" i="2"/>
  <c r="H361" i="2" l="1"/>
  <c r="F360" i="2"/>
  <c r="F361" i="2" l="1"/>
  <c r="H362" i="2"/>
  <c r="H363" i="2" l="1"/>
  <c r="F362" i="2"/>
  <c r="H364" i="2" l="1"/>
  <c r="F363" i="2"/>
  <c r="F364" i="2" l="1"/>
  <c r="H365" i="2"/>
  <c r="H366" i="2" l="1"/>
  <c r="F365" i="2"/>
  <c r="H367" i="2" l="1"/>
  <c r="F366" i="2"/>
  <c r="H368" i="2" l="1"/>
  <c r="F367" i="2"/>
  <c r="F368" i="2" l="1"/>
  <c r="H369" i="2"/>
  <c r="F369" i="2" l="1"/>
  <c r="H370" i="2"/>
  <c r="H371" i="2" l="1"/>
  <c r="F370" i="2"/>
  <c r="F371" i="2" l="1"/>
  <c r="H372" i="2"/>
  <c r="F372" i="2" l="1"/>
  <c r="H373" i="2"/>
  <c r="H374" i="2" l="1"/>
  <c r="F374" i="2" s="1"/>
  <c r="F373" i="2"/>
</calcChain>
</file>

<file path=xl/sharedStrings.xml><?xml version="1.0" encoding="utf-8"?>
<sst xmlns="http://schemas.openxmlformats.org/spreadsheetml/2006/main" count="1318" uniqueCount="968">
  <si>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</si>
  <si>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</si>
  <si>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</si>
  <si>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</si>
  <si>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</si>
  <si>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</si>
  <si>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</si>
  <si>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</si>
  <si>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</si>
  <si>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</si>
  <si>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</si>
  <si>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</si>
  <si>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</si>
  <si>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</si>
  <si>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</si>
  <si>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</si>
  <si>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</si>
  <si>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</si>
  <si>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</si>
  <si>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</si>
  <si>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</si>
  <si>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</si>
  <si>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</si>
  <si>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</si>
  <si>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</si>
  <si>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</si>
  <si>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</si>
  <si>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</si>
  <si>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</si>
  <si>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</si>
  <si>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</si>
  <si>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</si>
  <si>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</si>
  <si>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</si>
  <si>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</si>
  <si>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</si>
  <si>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</si>
  <si>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</si>
  <si>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</si>
  <si>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</si>
  <si>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</si>
  <si>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</si>
  <si>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</si>
  <si>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</si>
  <si>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</si>
  <si>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</si>
  <si>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</si>
  <si>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</si>
  <si>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</si>
  <si>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</si>
  <si>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</si>
  <si>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</si>
  <si>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</si>
  <si>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</si>
  <si>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</si>
  <si>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</si>
  <si>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</si>
  <si>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</si>
  <si>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</si>
  <si>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</si>
  <si>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</si>
  <si>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</si>
  <si>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</si>
  <si>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</si>
  <si>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</si>
  <si>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</si>
  <si>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</si>
  <si>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</si>
  <si>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</si>
  <si>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</si>
  <si>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</si>
  <si>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</si>
  <si>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</si>
  <si>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</si>
  <si>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</si>
  <si>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</si>
  <si>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</si>
  <si>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</si>
  <si>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</si>
  <si>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</si>
  <si>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</si>
  <si>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</si>
  <si>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</si>
  <si>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</si>
  <si>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</si>
  <si>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</si>
  <si>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</si>
  <si>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</si>
  <si>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</si>
  <si>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</si>
  <si>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</si>
  <si>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</si>
  <si>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</si>
  <si>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</si>
  <si>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</si>
  <si>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</si>
  <si>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</si>
  <si>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</si>
  <si>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</si>
  <si>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</si>
  <si>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</si>
  <si>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</si>
  <si>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</si>
  <si>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</si>
  <si>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</si>
  <si>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</si>
  <si>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</si>
  <si>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</si>
  <si>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</si>
  <si>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</si>
  <si>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</si>
  <si>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</si>
  <si>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</si>
  <si>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</si>
  <si>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</si>
  <si>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</si>
  <si>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</si>
  <si>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</si>
  <si>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</si>
  <si>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</si>
  <si>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</si>
  <si>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</si>
  <si>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</si>
  <si>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</si>
  <si>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</si>
  <si>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</si>
  <si>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</si>
  <si>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</si>
  <si>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</si>
  <si>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</si>
  <si>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</si>
  <si>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</si>
  <si>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</si>
  <si>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</si>
  <si>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</si>
  <si>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</si>
  <si>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</si>
  <si>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</si>
  <si>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</si>
  <si>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</si>
  <si>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</si>
  <si>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</si>
  <si>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</si>
  <si>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</si>
  <si>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</si>
  <si>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</si>
  <si>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</si>
  <si>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</si>
  <si>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</si>
  <si>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</si>
  <si>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</si>
  <si>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</si>
  <si>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</si>
  <si>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</si>
  <si>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</si>
  <si>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</si>
  <si>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</si>
  <si>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</si>
  <si>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</si>
  <si>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</si>
  <si>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</si>
  <si>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</si>
  <si>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</si>
  <si>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</si>
  <si>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</si>
  <si>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</si>
  <si>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</si>
  <si>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</si>
  <si>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</si>
  <si>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</si>
  <si>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</si>
  <si>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</si>
  <si>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</si>
  <si>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</si>
  <si>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</si>
  <si>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</si>
  <si>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</si>
  <si>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</si>
  <si>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</si>
  <si>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</si>
  <si>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</si>
  <si>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</si>
  <si>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</si>
  <si>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</si>
  <si>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</si>
  <si>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</si>
  <si>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</si>
  <si>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</si>
  <si>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</si>
  <si>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</si>
  <si>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</si>
  <si>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</si>
  <si>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</si>
  <si>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</si>
  <si>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</si>
  <si>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</si>
  <si>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</si>
  <si>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</si>
  <si>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</si>
  <si>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</si>
  <si>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</si>
  <si>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</si>
  <si>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</si>
  <si>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</si>
  <si>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</si>
  <si>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</si>
  <si>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</si>
  <si>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</si>
  <si>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</si>
  <si>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</si>
  <si>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</si>
  <si>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</si>
  <si>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</si>
  <si>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</si>
  <si>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</si>
  <si>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</si>
  <si>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</si>
  <si>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</si>
  <si>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</si>
  <si>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</si>
  <si>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</si>
  <si>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</si>
  <si>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</si>
  <si>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</si>
  <si>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</si>
  <si>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</si>
  <si>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</si>
  <si>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</si>
  <si>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</si>
  <si>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</si>
  <si>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</si>
  <si>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</si>
  <si>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</si>
  <si>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</si>
  <si>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</si>
  <si>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</si>
  <si>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</si>
  <si>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</si>
  <si>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</si>
  <si>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</si>
  <si>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</si>
  <si>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</si>
  <si>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</si>
  <si>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</si>
  <si>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</si>
  <si>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</si>
  <si>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</si>
  <si>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</si>
  <si>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</si>
  <si>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</si>
  <si>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</si>
  <si>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</si>
  <si>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</si>
  <si>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</si>
  <si>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</si>
  <si>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</si>
  <si>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</si>
  <si>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</si>
  <si>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</si>
  <si>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</si>
  <si>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</si>
  <si>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</si>
  <si>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</si>
  <si>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</si>
  <si>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</si>
  <si>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</si>
  <si>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</si>
  <si>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</si>
  <si>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</si>
  <si>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</si>
  <si>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</si>
  <si>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</si>
  <si>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</si>
  <si>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</si>
  <si>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</si>
  <si>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</si>
  <si>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</si>
  <si>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</si>
  <si>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</si>
  <si>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</si>
  <si>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</si>
  <si>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</si>
  <si>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</si>
  <si>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</si>
  <si>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</si>
  <si>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</si>
  <si>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</si>
  <si>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</si>
  <si>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</si>
  <si>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</si>
  <si>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</si>
  <si>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</si>
  <si>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</si>
  <si>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</si>
  <si>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</si>
  <si>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</si>
  <si>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</si>
  <si>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</si>
  <si>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</si>
  <si>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</si>
  <si>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</si>
  <si>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</si>
  <si>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</si>
  <si>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</si>
  <si>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</si>
  <si>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</si>
  <si>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</si>
  <si>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</si>
  <si>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</si>
  <si>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</si>
  <si>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</si>
  <si>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</si>
  <si>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</si>
  <si>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</si>
  <si>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</si>
  <si>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</si>
  <si>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</si>
  <si>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</si>
  <si>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</si>
  <si>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</si>
  <si>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</si>
  <si>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</si>
  <si>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</si>
  <si>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</si>
  <si>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</si>
  <si>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</si>
  <si>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</si>
  <si>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</si>
  <si>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</si>
  <si>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</si>
  <si>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</si>
  <si>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</si>
  <si>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</si>
  <si>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</si>
  <si>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</si>
  <si>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</si>
  <si>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</si>
  <si>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</si>
  <si>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</si>
  <si>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</si>
  <si>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</si>
  <si>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</si>
  <si>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</si>
  <si>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</si>
  <si>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</si>
  <si>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</si>
  <si>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</si>
  <si>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</si>
  <si>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</si>
  <si>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</si>
  <si>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</si>
  <si>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</si>
  <si>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</si>
  <si>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</si>
  <si>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</si>
  <si>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</si>
  <si>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</si>
  <si>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</si>
  <si>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</si>
  <si>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</si>
  <si>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</si>
  <si>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</si>
  <si>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</si>
  <si>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</si>
  <si>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</si>
  <si>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</si>
  <si>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</si>
  <si>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</si>
  <si>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</si>
  <si>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</si>
  <si>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</si>
  <si>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</si>
  <si>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</si>
  <si>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</si>
  <si>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</si>
  <si>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</si>
  <si>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</si>
  <si>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</si>
  <si>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</si>
  <si>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</si>
  <si>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</si>
  <si>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</si>
  <si>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</si>
  <si>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</si>
  <si>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</si>
  <si>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</si>
  <si>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</si>
  <si>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</si>
  <si>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</si>
  <si>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</si>
  <si>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</si>
  <si>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</si>
  <si>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</si>
  <si>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</si>
  <si>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</si>
  <si>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</si>
  <si>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</si>
  <si>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</si>
  <si>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</si>
  <si>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</si>
  <si>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</si>
  <si>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</si>
  <si>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</si>
  <si>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</si>
  <si>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</si>
  <si>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</si>
  <si>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</si>
  <si>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</si>
  <si>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</si>
  <si>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</si>
  <si>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</si>
  <si>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</si>
  <si>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</si>
  <si>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</si>
  <si>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</si>
  <si>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</si>
  <si>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</si>
  <si>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</si>
  <si>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</si>
  <si>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</si>
  <si>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</si>
  <si>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</si>
  <si>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</si>
  <si>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</si>
  <si>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</si>
  <si>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</si>
  <si>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</si>
  <si>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</si>
  <si>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</si>
  <si>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</si>
  <si>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</si>
  <si>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</si>
  <si>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</si>
  <si>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</si>
  <si>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</si>
  <si>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</si>
  <si>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</si>
  <si>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</si>
  <si>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</si>
  <si>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</si>
  <si>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</si>
  <si>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</si>
  <si>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</si>
  <si>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</si>
  <si>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</si>
  <si>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</si>
  <si>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</si>
  <si>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</si>
  <si>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</si>
  <si>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</si>
  <si>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</si>
  <si>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</si>
  <si>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</si>
  <si>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</si>
  <si>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</si>
  <si>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</si>
  <si>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</si>
  <si>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</si>
  <si>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</si>
  <si>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</si>
  <si>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</si>
  <si>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</si>
  <si>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</si>
  <si>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</si>
  <si>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</si>
  <si>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</si>
  <si>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</si>
  <si>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</si>
  <si>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</si>
  <si>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</si>
  <si>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</si>
  <si>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</si>
  <si>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</si>
  <si>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</si>
  <si>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</si>
  <si>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</si>
  <si>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</si>
  <si>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</si>
  <si>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</si>
  <si>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</si>
  <si>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</si>
  <si>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</si>
  <si>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</si>
  <si>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</si>
  <si>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</si>
  <si>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</si>
  <si>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</si>
  <si>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</si>
  <si>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</si>
  <si>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</si>
  <si>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</si>
  <si>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</si>
  <si>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</si>
  <si>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</si>
  <si>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</si>
  <si>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</si>
  <si>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</si>
  <si>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</si>
  <si>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</si>
  <si>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</si>
  <si>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</si>
  <si>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</si>
  <si>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</si>
  <si>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</si>
  <si>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</si>
  <si>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</si>
  <si>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</si>
  <si>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</si>
  <si>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</si>
  <si>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</si>
  <si>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</si>
  <si>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</si>
  <si>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</si>
  <si>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</si>
  <si>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</si>
  <si>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</si>
  <si>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</si>
  <si>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</si>
  <si>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</si>
  <si>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</si>
  <si>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</si>
  <si>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</si>
  <si>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</si>
  <si>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</si>
  <si>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</si>
  <si>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</si>
  <si>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</si>
  <si>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</si>
  <si>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</si>
  <si>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</si>
  <si>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</si>
  <si>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</si>
  <si>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</si>
  <si>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</si>
  <si>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</si>
  <si>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</si>
  <si>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</si>
  <si>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</si>
  <si>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</si>
  <si>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</si>
  <si>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</si>
  <si>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</si>
  <si>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</si>
  <si>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</si>
  <si>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</si>
  <si>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</si>
  <si>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</si>
  <si>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</si>
  <si>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</si>
  <si>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</si>
  <si>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</si>
  <si>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</si>
  <si>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</si>
  <si>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</si>
  <si>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</si>
  <si>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</si>
  <si>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</si>
  <si>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</si>
  <si>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</si>
  <si>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</si>
  <si>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</si>
  <si>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</si>
  <si>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</si>
  <si>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</si>
  <si>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</si>
  <si>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</si>
  <si>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</si>
  <si>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</si>
  <si>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</si>
  <si>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</si>
  <si>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</si>
  <si>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</si>
  <si>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</si>
  <si>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</si>
  <si>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</si>
  <si>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</si>
  <si>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</si>
  <si>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</si>
  <si>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</si>
  <si>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</si>
  <si>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</si>
  <si>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</si>
  <si>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</si>
  <si>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</si>
  <si>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</si>
  <si>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</si>
  <si>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</si>
  <si>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</si>
  <si>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</si>
  <si>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</si>
  <si>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</si>
  <si>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</si>
  <si>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</si>
  <si>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</si>
  <si>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</si>
  <si>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</si>
  <si>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</si>
  <si>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</si>
  <si>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</si>
  <si>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</si>
  <si>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</si>
  <si>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</si>
  <si>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</si>
  <si>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</si>
  <si>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</si>
  <si>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</si>
  <si>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</si>
  <si>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</si>
  <si>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</si>
  <si>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</si>
  <si>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</si>
  <si>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</si>
  <si>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</si>
  <si>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</si>
  <si>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</si>
  <si>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</si>
  <si>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</si>
  <si>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</si>
  <si>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</si>
  <si>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</si>
  <si>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</si>
  <si>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</si>
  <si>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</si>
  <si>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</si>
  <si>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</si>
  <si>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</si>
  <si>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</si>
  <si>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</si>
  <si>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</si>
  <si>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</si>
  <si>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</si>
  <si>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</si>
  <si>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</si>
  <si>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</si>
  <si>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</si>
  <si>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</si>
  <si>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</si>
  <si>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</si>
  <si>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</si>
  <si>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</si>
  <si>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</si>
  <si>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</si>
  <si>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</si>
  <si>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</si>
  <si>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</si>
  <si>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</si>
  <si>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</si>
  <si>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</si>
  <si>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</si>
  <si>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</si>
  <si>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</si>
  <si>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</si>
  <si>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</si>
  <si>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</si>
  <si>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</si>
  <si>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</si>
  <si>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</si>
  <si>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</si>
  <si>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</si>
  <si>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</si>
  <si>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</si>
  <si>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</si>
  <si>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</si>
  <si>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</si>
  <si>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</si>
  <si>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</si>
  <si>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https://www.amazon.com/10-M6-1-0-45mm-Button-MonsterBolts/dp/B079TB49CZ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</si>
  <si>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</si>
  <si>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</si>
  <si>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</si>
  <si>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</si>
  <si>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</si>
  <si>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</si>
  <si>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plate</t>
  </si>
  <si>
    <t>Assembly, B-belt Idler on plate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</si>
  <si>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</si>
  <si>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</si>
  <si>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</si>
  <si>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</si>
  <si>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</si>
  <si>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</si>
  <si>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</si>
  <si>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</si>
  <si>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</si>
  <si>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</si>
  <si>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https://www.amazon.com/M5-0-8x25mm-Available-Stainless-Eastlo-Fastener/dp/B07VNRNTHT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</si>
  <si>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</si>
  <si>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</si>
  <si>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</si>
  <si>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</si>
  <si>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https://www.banggood.com/Machifit-500mm-Length-MGN15-Linear-Rail-Guide-with-MGN15H-Linear-Rail-Block-CNC-Tool-p-1239196.html?cur_warehouse=CN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</si>
  <si>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</si>
  <si>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</si>
  <si>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</si>
  <si>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</si>
  <si>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</si>
  <si>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</si>
  <si>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</si>
  <si>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40x80 Aluminum Extrusion - 8 Series, Base 40</t>
  </si>
  <si>
    <t>misumi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</si>
  <si>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fixedInfo%22%3a%22MDM00001302496110302690310-36090445-1255582776479363661%7c27%22%7d&amp;Tab=wysiwyg_area_0</t>
  </si>
  <si>
    <t>M12 x 1.75 flat head screw, 25mm long</t>
  </si>
  <si>
    <t>mcmaster carr</t>
  </si>
  <si>
    <t>https://www.mcmaster.com/91263a492</t>
  </si>
  <si>
    <t>Shipping estimated $10 total</t>
  </si>
  <si>
    <t>extended quantity</t>
  </si>
  <si>
    <t>leftover material</t>
  </si>
  <si>
    <t>Order quantity</t>
  </si>
  <si>
    <t>Extended cost</t>
  </si>
  <si>
    <t>total cost</t>
  </si>
  <si>
    <t>500mm MGN12 Linear Rail Guide with MGN12H Carriage Block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</si>
  <si>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</si>
  <si>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</si>
  <si>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</si>
  <si>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</si>
  <si>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online metals</t>
  </si>
  <si>
    <t>.625 x .375 aluminum bar T6061, 24 in long</t>
  </si>
  <si>
    <t>Shipping estimated</t>
  </si>
  <si>
    <t>https://www.onlinemetals.com/en/buy/rectangle-bar</t>
  </si>
  <si>
    <t>Guide rail backing</t>
  </si>
  <si>
    <t>NEMA 17 motor</t>
  </si>
  <si>
    <t>https://www.amazon.com/STEPPERONLINE-Bipolar-Stepper-0-9deg-62-3oz/dp/B00PNEQMLY</t>
  </si>
  <si>
    <t>Nema 17 Bipolar Stepper 0.9deg(400 steps/rev) 1.68A 44Ncm(62.3oz.in) Motor, 5mm shaft</t>
  </si>
  <si>
    <t xml:space="preserve">online metals </t>
  </si>
  <si>
    <t>For z-axis motor mounts, shipping estimated</t>
  </si>
  <si>
    <t>T6061 Al Angle extrusion 3" x 3" x .25 thick, 3" long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</si>
  <si>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</si>
  <si>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</si>
  <si>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</si>
  <si>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</si>
  <si>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 xml:space="preserve">M5-0.8 x 16mm Button Head Socket Cap Screws, Stainless Steel 304, Plain Finish, Quantity 50 </t>
  </si>
  <si>
    <t>amazon.com</t>
  </si>
  <si>
    <t>https://www.amazon.com/M5-0-8-Button-Socket-Stainless-Quantity/dp/B07NVC2ZTP</t>
  </si>
  <si>
    <t>M5 T-slot nut (motor mount to post)</t>
  </si>
  <si>
    <t>https://www.amazon.com/M4-0-70-Button-Stainless-Fullerkreg-Plastic/dp/B07H14FRRB</t>
  </si>
  <si>
    <t>Witbot 500mm 8mm T8 Lead Screw Set Lead Screw+ Pillow Bearing Block + Copper Nut + Coupler for 3D Printer</t>
  </si>
  <si>
    <t>https://www.amazon.com/Witbot-Pillow-Bearing-Coupler-Printer/dp/B074Z4Q23M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</si>
  <si>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</si>
  <si>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</si>
  <si>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</si>
  <si>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</si>
  <si>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</si>
  <si>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</si>
  <si>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</si>
  <si>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</si>
  <si>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</si>
  <si>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</si>
  <si>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</si>
  <si>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</si>
  <si>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</si>
  <si>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</si>
  <si>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</si>
  <si>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</si>
  <si>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</si>
  <si>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https://www.amazon.com/binifiMux-35Pcs-Inserted-Stainless-Silver/dp/B075ZZRGJD</t>
  </si>
  <si>
    <t>5.9mm tall</t>
  </si>
  <si>
    <t>M6-1.0 x 55mm ISO 4762 Hex Drive Class 12.9 Black Oxide Finish Alloy Steel Socket Cap Screw</t>
  </si>
  <si>
    <t>Cap screw, M6 x 55mm</t>
  </si>
  <si>
    <t>M6 x 65mm Socket Head Cap Screws Metric, Grade 12.9 Alloy Steel Black Oxide</t>
  </si>
  <si>
    <t>https://www.amazon.com/Socket-Screws-Metric-Machine-Thread/dp/B07QPY5CHM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</si>
  <si>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</si>
  <si>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</si>
  <si>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</si>
  <si>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</si>
  <si>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</si>
  <si>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</si>
  <si>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</si>
  <si>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</si>
  <si>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</si>
  <si>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</si>
  <si>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</si>
  <si>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</si>
  <si>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>Prime-Line 9180997 Socket Head Cap Screws, Class 12.9 Metric, Hex (Allen) Drive, M5-0.8 X 75MM, Black Oxide Coated Steel</t>
  </si>
  <si>
    <t>https://www.amazon.com/Prime-Line-9180997-Socket-Screws-Metric/dp/B07D5V2QGY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</si>
  <si>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</si>
  <si>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</si>
  <si>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</si>
  <si>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</si>
  <si>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</si>
  <si>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</si>
  <si>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M12, flat head screw (top plate to posts)</t>
  </si>
  <si>
    <t>M12, flat head screw (bottom plate to posts)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</si>
  <si>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</si>
  <si>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</si>
  <si>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</si>
  <si>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</si>
  <si>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</si>
  <si>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M6 Flat/Countersunk Head Socket Screws,Pack 10-Piece,Stainless Steel,Full Thread,Right Hand,Metric (M6 x 22mm)</t>
  </si>
  <si>
    <t>https://www.amazon.com/Countersunk-Socket-Screws-10-piece-Stainless/dp/B07CL2XG93</t>
  </si>
  <si>
    <t>M6-1.0 x 35mm Flat Head Socket Cap Screws, Stainless Steel A2-70, DIN 7991, Allen Socket Drive</t>
  </si>
  <si>
    <t>https://www.amazon.com/M6-1-0-Socket-Screws-Stainless-Steel/dp/B07PRP71W3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</si>
  <si>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</si>
  <si>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</si>
  <si>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</si>
  <si>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</si>
  <si>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</si>
  <si>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https://www.amazon.com/M3-0-5x16mm-Stainless-Machine-Eastlo-Fastener/dp/B07X3TK3NB</t>
  </si>
  <si>
    <t>M3-0.5x20mm Socket Head Cap Bolts Screws, 304 Stainless Steel 18-8, Allen Socket Drive, Fully Machine Thread, Bright Finish</t>
  </si>
  <si>
    <t>https://www.amazon.com/M3-0-5x16mm-Stainless-Machine-Eastlo-Fastener/dp/B07X2QPVYF</t>
  </si>
  <si>
    <t>M3 x 0.5mm 304 Stainless Steel Self-Lock Nylon Inserted Hex Lock Nuts,</t>
  </si>
  <si>
    <t>https://www.amazon.com/100Pcs-Stainless-Self-Lock-Inserted-Clinching/dp/B075ZZW7VL</t>
  </si>
  <si>
    <t>M3x6mmx0.5mm Stainless Steel Flat Washer</t>
  </si>
  <si>
    <t>https://www.amazon.com/Sutemribor-M3x6mmx0-5mm-Stainless-Washer-100Pcs/dp/B075GVHLQ4</t>
  </si>
  <si>
    <t>Washer, M3</t>
  </si>
  <si>
    <t>Lock nut, M3</t>
  </si>
  <si>
    <t>Ideal cost</t>
  </si>
  <si>
    <t>Ideal total cost</t>
  </si>
  <si>
    <t>Real extended cost</t>
  </si>
  <si>
    <t xml:space="preserve"> </t>
  </si>
  <si>
    <t>Guide rail full length "T-nut"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</si>
  <si>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</si>
  <si>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</si>
  <si>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</si>
  <si>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</si>
  <si>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</si>
  <si>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</si>
  <si>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</si>
  <si>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</si>
  <si>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</si>
  <si>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</si>
  <si>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</si>
  <si>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 xml:space="preserve">1/4" thick Cast aluminum plate, 17" x 19" 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</si>
  <si>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</si>
  <si>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</si>
  <si>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</si>
  <si>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</si>
  <si>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</si>
  <si>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</si>
  <si>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</si>
  <si>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</si>
  <si>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</si>
  <si>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</si>
  <si>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</si>
  <si>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</si>
  <si>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</si>
  <si>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</si>
  <si>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</si>
  <si>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</si>
  <si>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</si>
  <si>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</si>
  <si>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</si>
  <si>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</si>
  <si>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</si>
  <si>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</si>
  <si>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</si>
  <si>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</si>
  <si>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</si>
  <si>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</si>
  <si>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</si>
  <si>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</si>
  <si>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</si>
  <si>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</si>
  <si>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</si>
  <si>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</si>
  <si>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</si>
  <si>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</si>
  <si>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https://www.amazon.com/binifiMux-40pcs-0-7mm-Stainless-Inserted/dp/B075ZZD3NN</t>
  </si>
  <si>
    <t>M4x12mmx1 mm Stainless Steel Round Flat Washer</t>
  </si>
  <si>
    <t>https://www.amazon.com/Uxcell-a15071400ux0035-M4x12mmx1-Stainless-Washer/dp/B015A39K02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</si>
  <si>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</si>
  <si>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</si>
  <si>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</si>
  <si>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</si>
  <si>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</si>
  <si>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</si>
  <si>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</si>
  <si>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</si>
  <si>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</si>
  <si>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</si>
  <si>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</si>
  <si>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</si>
  <si>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</si>
  <si>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</si>
  <si>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</si>
  <si>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</si>
  <si>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</si>
  <si>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</si>
  <si>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</si>
  <si>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</si>
  <si>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</si>
  <si>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</si>
  <si>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</si>
  <si>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Wisamic Silicone Rubber Heater 310x310mm 120V 750W, with 3M Tape Screw Holes for 3D Printer CR-10 CR-10S S3</t>
  </si>
  <si>
    <t>https://www.amazon.com/Wisamic-310x310mm-Silicone-Rubber-Printer/dp/B07C7KBGBB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</si>
  <si>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</si>
  <si>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</si>
  <si>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</si>
  <si>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</si>
  <si>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</si>
  <si>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</si>
  <si>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</si>
  <si>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</si>
  <si>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</si>
  <si>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</si>
  <si>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</si>
  <si>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</si>
  <si>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</si>
  <si>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</si>
  <si>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estimated shipping cost</t>
  </si>
  <si>
    <t>https://www.amazon.com/FYSETC-Controller-Expansion-Thermocouple-Daughter/dp/B07SST65HQ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</si>
  <si>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</si>
  <si>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</si>
  <si>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Duet 2 Wifi V1.04 DuetWifi Advanced 32 Bit Electronics With 4.3" 5" 7" PanelDue Touch Screen Controller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</si>
  <si>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</si>
  <si>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</si>
  <si>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</si>
  <si>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</si>
  <si>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</si>
  <si>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SSR for bed heater</t>
  </si>
  <si>
    <t>Ogrmar Solid State Relay SSR-25 DD DC-DC 25A 3-32VDC/5-200V DC SSR-25DD + Heat Sink</t>
  </si>
  <si>
    <t>https://www.amazon.com/Ogrmar-SSR-25-3-32VDC-5-200V-SSR-25DD/dp/B075L82FL8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</si>
  <si>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</si>
  <si>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</si>
  <si>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</si>
  <si>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https://www.amazon.com/CCTREE-Flexible-Couplings-forCreality-Makerbot/dp/B07842FCTV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</si>
  <si>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</si>
  <si>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</si>
  <si>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</si>
  <si>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</si>
  <si>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</si>
  <si>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>https://www.amazon.com/uxcell-Alloy-Steel-Socket-Screws/dp/B017NC2ISY</t>
  </si>
  <si>
    <t xml:space="preserve">M5 button head screw, 15mm long  (motor mount to post, stabilizer to post) </t>
  </si>
  <si>
    <t>M5 washer</t>
  </si>
  <si>
    <t>M5x10mmx1mm Stainless Steel Metric Round Flat Washer</t>
  </si>
  <si>
    <t>https://www.amazon.com/Yohii-100Pcs-M5x10mmx1mm-Stainless-Metric/dp/B07H9VSG48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</si>
  <si>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</si>
  <si>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</si>
  <si>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</si>
  <si>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</si>
  <si>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</si>
  <si>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</si>
  <si>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</si>
  <si>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</si>
  <si>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</si>
  <si>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</si>
  <si>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</si>
  <si>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 xml:space="preserve">M6-1.0 x 25mm Button Head Socket Cap Screw, ISO 7380 Hex Drive, Class 10.9, Black Oxide Finish, Alloy Steel (Pkg of 30) 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</si>
  <si>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</si>
  <si>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</si>
  <si>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</si>
  <si>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</si>
  <si>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</si>
  <si>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</si>
  <si>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</si>
  <si>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</si>
  <si>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</si>
  <si>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</si>
  <si>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</si>
  <si>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</si>
  <si>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</si>
  <si>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</si>
  <si>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</si>
  <si>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</si>
  <si>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</si>
  <si>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</si>
  <si>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</si>
  <si>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</si>
  <si>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</si>
  <si>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</si>
  <si>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406 x 406mm Flex Spring Steel Sheet Pre-Applied PEI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</si>
  <si>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</si>
  <si>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</si>
  <si>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</si>
  <si>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</si>
  <si>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</si>
  <si>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</si>
  <si>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Purchased 12/19</t>
  </si>
  <si>
    <t>Cost of excess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</si>
</sst>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\$* #,##0.00_);_(\$* \(#,##0.00\);_(\$* \-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161"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R635" totalsRowShown="0" headerRowDxfId="160" dataDxfId="159" headerRowCellStyle="Currency" dataCellStyle="Currency">
  <autoFilter ref="A3:R635"/>
  <tableColumns count="18">
    <tableColumn id="1" name="Part Number" dataDxfId="158"/>
    <tableColumn id="2" name="Description" dataDxfId="157"/>
    <tableColumn id="3" name="Supplier" dataDxfId="156"/>
    <tableColumn id="4" name="Cost " dataDxfId="155" dataCellStyle="Currency"/>
    <tableColumn id="5" name="shipping" dataDxfId="154" dataCellStyle="Currency"/>
    <tableColumn id="6" name="Tax" dataDxfId="153" dataCellStyle="Currency">
      <calculatedColumnFormula>9%*Table1[[#This Row],[Cost ]]</calculatedColumnFormula>
    </tableColumn>
    <tableColumn id="7" name="Web-link" dataDxfId="152"/>
    <tableColumn id="9" name="Minimum order quantity" dataDxfId="151"/>
    <tableColumn id="8" name="Comments" dataDxfId="150"/>
    <tableColumn id="10" name="extended quantity" dataDxfId="149" dataCellStyle="Currency">
      <calculatedColumnFormula>SUMIF('Multi-level BOM'!C$3:C$464,Table1[[#This Row],[Part Number]],'Multi-level BOM'!F$3:F$464)</calculatedColumnFormula>
    </tableColumn>
    <tableColumn id="15" name="Ideal cost" dataDxfId="148" dataCellStyle="Currency">
      <calculatedColumnFormula>Table1[[#This Row],[extended quantity]]*(Table1[[#This Row],[Cost ]]+Table1[[#This Row],[shipping]]+Table1[[#This Row],[Tax]])</calculatedColumnFormula>
    </tableColumn>
    <tableColumn id="16" name=" " dataDxfId="147" dataCellStyle="Currency"/>
    <tableColumn id="17" name="quantity on-hand" dataDxfId="144" dataCellStyle="Currency"/>
    <tableColumn id="11" name="Order quantity" dataDxfId="143" dataCellStyle="Currency">
      <calculatedColumnFormula>CEILING((Table1[[#This Row],[extended quantity]]-Table1[[#This Row],[quantity on-hand]])/Table1[[#This Row],[Minimum order quantity]],1)*Table1[[#This Row],[Minimum order quantity]]</calculatedColumnFormula>
    </tableColumn>
    <tableColumn id="12" name="leftover material" dataDxfId="141" dataCellStyle="Currency">
      <calculatedColumnFormula>Table1[[#This Row],[Order quantity]]+Table1[[#This Row],[quantity on-hand]]-Table1[[#This Row],[extended quantity]]</calculatedColumnFormula>
    </tableColumn>
    <tableColumn id="13" name="Remaining Extended cost" dataDxfId="142" dataCellStyle="Currency">
      <calculatedColumnFormula>IFERROR(Table1[[#This Row],[Order quantity]]*(Table1[[#This Row],[Cost ]]+Table1[[#This Row],[shipping]]+Table1[[#This Row],[Tax]]),0)</calculatedColumnFormula>
    </tableColumn>
    <tableColumn id="14" name="Cost of excess material" dataDxfId="145" dataCellStyle="Currency">
      <calculatedColumnFormula>IFERROR(Table1[[#This Row],[leftover material]]*(Table1[[#This Row],[Cost ]]+Table1[[#This Row],[shipping]]+Table1[[#This Row],[Tax]]),0)</calculatedColumnFormula>
    </tableColumn>
    <tableColumn id="19" name="comments2" dataDxfId="146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100Pcs-Stainless-Self-Lock-Inserted-Clinching/dp/B075ZZW7VL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amazon.com/uxcell-Aluminum-12-13mm-Seamless-Straight/dp/B07YCHFN8F" TargetMode="External"/><Relationship Id="rId7" Type="http://schemas.openxmlformats.org/officeDocument/2006/relationships/hyperlink" Target="https://www.midweststeelsupply.com/store/castaluminumplateatp5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midweststeelsupply.com/store/castaluminumplateatp5" TargetMode="External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amazon.com/10-M6-1-0-45mm-Button-MonsterBolts/dp/B079TB49CZ" TargetMode="External"/><Relationship Id="rId11" Type="http://schemas.openxmlformats.org/officeDocument/2006/relationships/hyperlink" Target="https://www.amazon.com/Witbot-Pillow-Bearing-Coupler-Printer/dp/B074Z4Q23M" TargetMode="External"/><Relationship Id="rId5" Type="http://schemas.openxmlformats.org/officeDocument/2006/relationships/hyperlink" Target="https://www.amazon.com/PRECISION-METALS-251-010x4x10-Metal/dp/B004QB5Y3C" TargetMode="External"/><Relationship Id="rId10" Type="http://schemas.openxmlformats.org/officeDocument/2006/relationships/hyperlink" Target="https://www.amazon.com/STEPPERONLINE-Bipolar-Stepper-0-9deg-62-3oz/dp/B00PNEQMLY" TargetMode="Externa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amazon.com/Usongshine-Stepper-Bipolar-Extruder-17HS4023/dp/B07TY4BFF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2"/>
  <sheetViews>
    <sheetView tabSelected="1" workbookViewId="0">
      <pane ySplit="2" topLeftCell="A3" activePane="bottomLeft" state="frozen"/>
      <selection pane="bottomLeft" activeCell="E20" sqref="E20"/>
    </sheetView>
  </sheetViews>
  <sheetFormatPr defaultRowHeight="15" x14ac:dyDescent="0.25"/>
  <cols>
    <col min="1" max="1" width="7" style="2" customWidth="1"/>
    <col min="2" max="2" width="47.7109375" style="6" customWidth="1"/>
    <col min="3" max="3" width="14.42578125" style="2" customWidth="1"/>
    <col min="4" max="4" width="10.140625" style="2" customWidth="1"/>
    <col min="5" max="5" width="64.42578125" style="1" customWidth="1"/>
    <col min="6" max="6" width="15.7109375" style="2" customWidth="1"/>
    <col min="7" max="7" width="15.7109375" style="46" customWidth="1"/>
    <col min="8" max="17" width="4" style="4" customWidth="1"/>
    <col min="18" max="16384" width="9.140625" style="1"/>
  </cols>
  <sheetData>
    <row r="1" spans="1:17" x14ac:dyDescent="0.25">
      <c r="A1" s="10" t="s">
        <v>669</v>
      </c>
      <c r="B1" s="51" t="s">
        <v>641</v>
      </c>
      <c r="C1" s="51" t="s">
        <v>0</v>
      </c>
      <c r="D1" s="51" t="s">
        <v>639</v>
      </c>
      <c r="E1" s="51" t="s">
        <v>642</v>
      </c>
      <c r="F1" s="50" t="s">
        <v>667</v>
      </c>
      <c r="G1" s="45" t="s">
        <v>708</v>
      </c>
      <c r="H1" s="50" t="s">
        <v>668</v>
      </c>
      <c r="I1" s="50"/>
      <c r="J1" s="50"/>
      <c r="K1" s="50"/>
      <c r="L1" s="50"/>
      <c r="M1" s="50"/>
      <c r="N1" s="50"/>
      <c r="O1" s="50"/>
      <c r="P1" s="50"/>
      <c r="Q1" s="50"/>
    </row>
    <row r="2" spans="1:17" x14ac:dyDescent="0.25">
      <c r="A2" s="7"/>
      <c r="B2" s="51"/>
      <c r="C2" s="51"/>
      <c r="D2" s="51"/>
      <c r="E2" s="51"/>
      <c r="F2" s="50"/>
      <c r="G2" s="45"/>
      <c r="H2" s="10">
        <v>0</v>
      </c>
      <c r="I2" s="10">
        <v>1</v>
      </c>
      <c r="J2" s="10">
        <v>2</v>
      </c>
      <c r="K2" s="10">
        <v>3</v>
      </c>
      <c r="L2" s="10">
        <v>4</v>
      </c>
      <c r="M2" s="10">
        <v>5</v>
      </c>
      <c r="N2" s="10">
        <v>6</v>
      </c>
      <c r="O2" s="10">
        <v>7</v>
      </c>
      <c r="P2" s="10">
        <v>8</v>
      </c>
      <c r="Q2" s="10">
        <v>9</v>
      </c>
    </row>
    <row r="3" spans="1:17" x14ac:dyDescent="0.25">
      <c r="A3" s="2">
        <v>0</v>
      </c>
      <c r="B3" s="6" t="s">
        <v>640</v>
      </c>
      <c r="D3" s="2">
        <v>1</v>
      </c>
      <c r="E3" s="1" t="str">
        <f>IF(C3="","",VLOOKUP(C3,Table1[#All],2,FALSE))</f>
        <v/>
      </c>
      <c r="F3" s="2">
        <f t="shared" ref="F3:F6" si="0">PRODUCT(H3:Q3)</f>
        <v>1</v>
      </c>
      <c r="G3" s="46">
        <f>SUM(G4,G67,G92,G130,G133,G196,G205,G214,G225,G235)</f>
        <v>1985.5948063082421</v>
      </c>
      <c r="H3" s="4">
        <f t="shared" ref="H3:H4" si="1">IF($A3="",H2,
    IF(H$2=$A3,$D3,
       IF(H$2&lt;$A3,H2,
           1
)))</f>
        <v>1</v>
      </c>
      <c r="I3" s="4">
        <f t="shared" ref="I3:I4" si="2">IF($A3="",I2,
    IF(I$2=$A3,$D3,
       IF(I$2&lt;$A3,I2,
           1
)))</f>
        <v>1</v>
      </c>
      <c r="J3" s="4">
        <f t="shared" ref="J3:J4" si="3">IF($A3="",J2,
    IF(J$2=$A3,$D3,
       IF(J$2&lt;$A3,J2,
           1
)))</f>
        <v>1</v>
      </c>
      <c r="K3" s="4">
        <f t="shared" ref="K3:K4" si="4">IF($A3="",K2,
    IF(K$2=$A3,$D3,
       IF(K$2&lt;$A3,K2,
           1
)))</f>
        <v>1</v>
      </c>
      <c r="L3" s="4">
        <f t="shared" ref="L3:L4" si="5">IF($A3="",L2,
    IF(L$2=$A3,$D3,
       IF(L$2&lt;$A3,L2,
           1
)))</f>
        <v>1</v>
      </c>
      <c r="M3" s="4">
        <f t="shared" ref="M3:M4" si="6">IF($A3="",M2,
    IF(M$2=$A3,$D3,
       IF(M$2&lt;$A3,M2,
           1
)))</f>
        <v>1</v>
      </c>
      <c r="N3" s="4">
        <f t="shared" ref="N3:N4" si="7">IF($A3="",N2,
    IF(N$2=$A3,$D3,
       IF(N$2&lt;$A3,N2,
           1
)))</f>
        <v>1</v>
      </c>
      <c r="O3" s="4">
        <f t="shared" ref="O3:O4" si="8">IF($A3="",O2,
    IF(O$2=$A3,$D3,
       IF(O$2&lt;$A3,O2,
           1
)))</f>
        <v>1</v>
      </c>
      <c r="P3" s="4">
        <f t="shared" ref="P3:P4" si="9">IF($A3="",P2,
    IF(P$2=$A3,$D3,
       IF(P$2&lt;$A3,P2,
           1
)))</f>
        <v>1</v>
      </c>
      <c r="Q3" s="4">
        <f t="shared" ref="Q3:Q4" si="10">IF($A3="",Q2,
    IF(Q$2=$A3,$D3,
       IF(Q$2&lt;$A3,Q2,
           1
)))</f>
        <v>1</v>
      </c>
    </row>
    <row r="4" spans="1:17" ht="15.75" x14ac:dyDescent="0.25">
      <c r="A4" s="2">
        <v>1</v>
      </c>
      <c r="B4" s="8" t="s">
        <v>643</v>
      </c>
      <c r="D4" s="2">
        <v>1</v>
      </c>
      <c r="E4" s="48" t="str">
        <f>IF(C4="","",VLOOKUP(C4,Table1[#All],2,FALSE))</f>
        <v/>
      </c>
      <c r="F4" s="2">
        <f t="shared" si="0"/>
        <v>1</v>
      </c>
      <c r="G4" s="49">
        <f>F4*SUM(G6,G8,G16,G24,G34,G44,G52,G60,G62:G65)</f>
        <v>395.88344332326011</v>
      </c>
      <c r="H4" s="4">
        <f t="shared" si="1"/>
        <v>1</v>
      </c>
      <c r="I4" s="4">
        <f t="shared" si="2"/>
        <v>1</v>
      </c>
      <c r="J4" s="4">
        <f t="shared" si="3"/>
        <v>1</v>
      </c>
      <c r="K4" s="4">
        <f t="shared" si="4"/>
        <v>1</v>
      </c>
      <c r="L4" s="4">
        <f t="shared" si="5"/>
        <v>1</v>
      </c>
      <c r="M4" s="4">
        <f t="shared" si="6"/>
        <v>1</v>
      </c>
      <c r="N4" s="4">
        <f t="shared" si="7"/>
        <v>1</v>
      </c>
      <c r="O4" s="4">
        <f t="shared" si="8"/>
        <v>1</v>
      </c>
      <c r="P4" s="4">
        <f t="shared" si="9"/>
        <v>1</v>
      </c>
      <c r="Q4" s="4">
        <f t="shared" si="10"/>
        <v>1</v>
      </c>
    </row>
    <row r="5" spans="1:17" x14ac:dyDescent="0.25">
      <c r="B5" s="8"/>
      <c r="G5" s="46" t="str">
        <f>IF(C5&lt;&gt;"",(VLOOKUP(C5,part_details,4,FALSE)+VLOOKUP(C5,part_details,5,FALSE)+VLOOKUP(C5,part_details,6,FALSE))*'Multi-level BOM'!D5,"")</f>
        <v/>
      </c>
      <c r="H5" s="4">
        <f>IF($A5="",H4,
    IF(H$2=$A5,$D5,
       IF(H$2&lt;$A5,H4,
           1
)))</f>
        <v>1</v>
      </c>
      <c r="I5" s="4">
        <f t="shared" ref="I5:Q6" si="11">IF($A5="",I4,
    IF(I$2=$A5,$D5,
       IF(I$2&lt;$A5,I4,
           1
)))</f>
        <v>1</v>
      </c>
      <c r="J5" s="4">
        <f t="shared" si="11"/>
        <v>1</v>
      </c>
      <c r="K5" s="4">
        <f t="shared" si="11"/>
        <v>1</v>
      </c>
      <c r="L5" s="4">
        <f t="shared" si="11"/>
        <v>1</v>
      </c>
      <c r="M5" s="4">
        <f t="shared" si="11"/>
        <v>1</v>
      </c>
      <c r="N5" s="4">
        <f t="shared" si="11"/>
        <v>1</v>
      </c>
      <c r="O5" s="4">
        <f t="shared" si="11"/>
        <v>1</v>
      </c>
      <c r="P5" s="4">
        <f t="shared" si="11"/>
        <v>1</v>
      </c>
      <c r="Q5" s="4">
        <f t="shared" si="11"/>
        <v>1</v>
      </c>
    </row>
    <row r="6" spans="1:17" x14ac:dyDescent="0.25">
      <c r="A6" s="2">
        <v>2</v>
      </c>
      <c r="B6" s="8" t="s">
        <v>647</v>
      </c>
      <c r="C6" s="2" t="s">
        <v>7</v>
      </c>
      <c r="D6" s="2">
        <v>1</v>
      </c>
      <c r="E6" s="1" t="str">
        <f>IF(C6="","",VLOOKUP(C6,Table1[#All],2,FALSE))</f>
        <v xml:space="preserve">3/8" thick Cast aluminum plate, 28" x 24" </v>
      </c>
      <c r="F6" s="2">
        <f t="shared" si="0"/>
        <v>1</v>
      </c>
      <c r="G6" s="46">
        <f>IF(C6&lt;&gt;"",(VLOOKUP(C6,part_details,4,FALSE)+VLOOKUP(C6,part_details,5,FALSE)+VLOOKUP(C6,part_details,6,FALSE))*'Multi-level BOM'!D6,"")</f>
        <v>137.435</v>
      </c>
      <c r="H6" s="4">
        <f t="shared" ref="H6" si="12">IF($A6="",H5,
    IF(H$2=$A6,$D6,
       IF(H$2&lt;$A6,H5,
           1
)))</f>
        <v>1</v>
      </c>
      <c r="I6" s="4">
        <f t="shared" si="11"/>
        <v>1</v>
      </c>
      <c r="J6" s="4">
        <f t="shared" si="11"/>
        <v>1</v>
      </c>
      <c r="K6" s="4">
        <f t="shared" si="11"/>
        <v>1</v>
      </c>
      <c r="L6" s="4">
        <f t="shared" si="11"/>
        <v>1</v>
      </c>
      <c r="M6" s="4">
        <f t="shared" si="11"/>
        <v>1</v>
      </c>
      <c r="N6" s="4">
        <f t="shared" si="11"/>
        <v>1</v>
      </c>
      <c r="O6" s="4">
        <f t="shared" si="11"/>
        <v>1</v>
      </c>
      <c r="P6" s="4">
        <f t="shared" si="11"/>
        <v>1</v>
      </c>
      <c r="Q6" s="4">
        <f t="shared" si="11"/>
        <v>1</v>
      </c>
    </row>
    <row r="7" spans="1:17" x14ac:dyDescent="0.25">
      <c r="B7" s="8"/>
      <c r="E7" s="1" t="str">
        <f>IF(C7="","",VLOOKUP(C7,Table1[#All],2,FALSE))</f>
        <v/>
      </c>
      <c r="G7" s="46" t="str">
        <f>IF(C7&lt;&gt;"",(VLOOKUP(C7,part_details,4,FALSE)+VLOOKUP(C7,part_details,5,FALSE)+VLOOKUP(C7,part_details,6,FALSE))*'Multi-level BOM'!D7,"")</f>
        <v/>
      </c>
      <c r="H7" s="4">
        <f t="shared" ref="H7:H96" si="13">IF($A7="",H6,
    IF(H$2=$A7,$D7,
       IF(H$2&lt;$A7,H6,
           1
)))</f>
        <v>1</v>
      </c>
      <c r="I7" s="4">
        <f t="shared" ref="I7:I96" si="14">IF($A7="",I6,
    IF(I$2=$A7,$D7,
       IF(I$2&lt;$A7,I6,
           1
)))</f>
        <v>1</v>
      </c>
      <c r="J7" s="4">
        <f t="shared" ref="J7:J96" si="15">IF($A7="",J6,
    IF(J$2=$A7,$D7,
       IF(J$2&lt;$A7,J6,
           1
)))</f>
        <v>1</v>
      </c>
      <c r="K7" s="4">
        <f t="shared" ref="K7:K96" si="16">IF($A7="",K6,
    IF(K$2=$A7,$D7,
       IF(K$2&lt;$A7,K6,
           1
)))</f>
        <v>1</v>
      </c>
      <c r="L7" s="4">
        <f t="shared" ref="L7:L96" si="17">IF($A7="",L6,
    IF(L$2=$A7,$D7,
       IF(L$2&lt;$A7,L6,
           1
)))</f>
        <v>1</v>
      </c>
      <c r="M7" s="4">
        <f t="shared" ref="M7:M96" si="18">IF($A7="",M6,
    IF(M$2=$A7,$D7,
       IF(M$2&lt;$A7,M6,
           1
)))</f>
        <v>1</v>
      </c>
      <c r="N7" s="4">
        <f t="shared" ref="N7:N96" si="19">IF($A7="",N6,
    IF(N$2=$A7,$D7,
       IF(N$2&lt;$A7,N6,
           1
)))</f>
        <v>1</v>
      </c>
      <c r="O7" s="4">
        <f t="shared" ref="O7:O96" si="20">IF($A7="",O6,
    IF(O$2=$A7,$D7,
       IF(O$2&lt;$A7,O6,
           1
)))</f>
        <v>1</v>
      </c>
      <c r="P7" s="4">
        <f t="shared" ref="P7:P96" si="21">IF($A7="",P6,
    IF(P$2=$A7,$D7,
       IF(P$2&lt;$A7,P6,
           1
)))</f>
        <v>1</v>
      </c>
      <c r="Q7" s="4">
        <f t="shared" ref="Q7:Q96" si="22">IF($A7="",Q6,
    IF(Q$2=$A7,$D7,
       IF(Q$2&lt;$A7,Q6,
           1
)))</f>
        <v>1</v>
      </c>
    </row>
    <row r="8" spans="1:17" x14ac:dyDescent="0.25">
      <c r="A8" s="2">
        <v>2</v>
      </c>
      <c r="B8" s="8" t="s">
        <v>673</v>
      </c>
      <c r="D8" s="2">
        <v>3</v>
      </c>
      <c r="E8" s="1" t="str">
        <f>IF(C8="","",VLOOKUP(C8,Table1[#All],2,FALSE))</f>
        <v/>
      </c>
      <c r="F8" s="2">
        <f t="shared" ref="F8:F13" si="23">PRODUCT(H8:Q8)</f>
        <v>3</v>
      </c>
      <c r="G8" s="47">
        <f>F8*SUM(G9:G14)</f>
        <v>14.782854446428569</v>
      </c>
      <c r="H8" s="4">
        <f t="shared" si="13"/>
        <v>1</v>
      </c>
      <c r="I8" s="4">
        <f t="shared" si="14"/>
        <v>1</v>
      </c>
      <c r="J8" s="4">
        <f t="shared" si="15"/>
        <v>3</v>
      </c>
      <c r="K8" s="4">
        <f t="shared" si="16"/>
        <v>1</v>
      </c>
      <c r="L8" s="4">
        <f t="shared" si="17"/>
        <v>1</v>
      </c>
      <c r="M8" s="4">
        <f t="shared" si="18"/>
        <v>1</v>
      </c>
      <c r="N8" s="4">
        <f t="shared" si="19"/>
        <v>1</v>
      </c>
      <c r="O8" s="4">
        <f t="shared" si="20"/>
        <v>1</v>
      </c>
      <c r="P8" s="4">
        <f t="shared" si="21"/>
        <v>1</v>
      </c>
      <c r="Q8" s="4">
        <f t="shared" si="22"/>
        <v>1</v>
      </c>
    </row>
    <row r="9" spans="1:17" x14ac:dyDescent="0.25">
      <c r="A9" s="2">
        <v>3</v>
      </c>
      <c r="B9" s="8" t="s">
        <v>658</v>
      </c>
      <c r="C9" s="2" t="s">
        <v>9</v>
      </c>
      <c r="D9" s="2">
        <v>2</v>
      </c>
      <c r="E9" s="1" t="str">
        <f>IF(C9="","",VLOOKUP(C9,Table1[#All],2,FALSE))</f>
        <v xml:space="preserve">Bearing, Flange F606ZZ, 6mm x 17mm x 6mm </v>
      </c>
      <c r="F9" s="2">
        <f t="shared" si="23"/>
        <v>6</v>
      </c>
      <c r="G9" s="46">
        <f>IF(C9&lt;&gt;"",(VLOOKUP(C9,part_details,4,FALSE)+VLOOKUP(C9,part_details,5,FALSE)+VLOOKUP(C9,part_details,6,FALSE))*'Multi-level BOM'!D9,"")</f>
        <v>2.94082</v>
      </c>
      <c r="H9" s="4">
        <f t="shared" si="13"/>
        <v>1</v>
      </c>
      <c r="I9" s="4">
        <f t="shared" si="14"/>
        <v>1</v>
      </c>
      <c r="J9" s="4">
        <f t="shared" si="15"/>
        <v>3</v>
      </c>
      <c r="K9" s="4">
        <f t="shared" si="16"/>
        <v>2</v>
      </c>
      <c r="L9" s="4">
        <f t="shared" si="17"/>
        <v>1</v>
      </c>
      <c r="M9" s="4">
        <f t="shared" si="18"/>
        <v>1</v>
      </c>
      <c r="N9" s="4">
        <f t="shared" si="19"/>
        <v>1</v>
      </c>
      <c r="O9" s="4">
        <f t="shared" si="20"/>
        <v>1</v>
      </c>
      <c r="P9" s="4">
        <f t="shared" si="21"/>
        <v>1</v>
      </c>
      <c r="Q9" s="4">
        <f t="shared" si="22"/>
        <v>1</v>
      </c>
    </row>
    <row r="10" spans="1:17" x14ac:dyDescent="0.25">
      <c r="A10" s="2">
        <v>3</v>
      </c>
      <c r="B10" s="8" t="s">
        <v>679</v>
      </c>
      <c r="C10" s="2" t="s">
        <v>10</v>
      </c>
      <c r="D10" s="2">
        <f>23.25+5</f>
        <v>28.25</v>
      </c>
      <c r="E10" s="1" t="str">
        <f>IF(C10="","",VLOOKUP(C10,Table1[#All],2,FALSE))</f>
        <v>uxcell 6063 Aluminum Round Tube 300mm Length 12.7mm OD 6mm Inner Dia Seamless Aluminum Straight Tubing 2 Pcs</v>
      </c>
      <c r="F10" s="2">
        <f t="shared" si="23"/>
        <v>84.75</v>
      </c>
      <c r="G10" s="46">
        <f>IF(C10&lt;&gt;"",(VLOOKUP(C10,part_details,4,FALSE)+VLOOKUP(C10,part_details,5,FALSE)+VLOOKUP(C10,part_details,6,FALSE))*'Multi-level BOM'!D10,"")</f>
        <v>0.52295929166666666</v>
      </c>
      <c r="H10" s="4">
        <f t="shared" si="13"/>
        <v>1</v>
      </c>
      <c r="I10" s="4">
        <f t="shared" si="14"/>
        <v>1</v>
      </c>
      <c r="J10" s="4">
        <f t="shared" si="15"/>
        <v>3</v>
      </c>
      <c r="K10" s="4">
        <f t="shared" si="16"/>
        <v>28.25</v>
      </c>
      <c r="L10" s="4">
        <f t="shared" si="17"/>
        <v>1</v>
      </c>
      <c r="M10" s="4">
        <f t="shared" si="18"/>
        <v>1</v>
      </c>
      <c r="N10" s="4">
        <f t="shared" si="19"/>
        <v>1</v>
      </c>
      <c r="O10" s="4">
        <f t="shared" si="20"/>
        <v>1</v>
      </c>
      <c r="P10" s="4">
        <f t="shared" si="21"/>
        <v>1</v>
      </c>
      <c r="Q10" s="4">
        <f t="shared" si="22"/>
        <v>1</v>
      </c>
    </row>
    <row r="11" spans="1:17" x14ac:dyDescent="0.25">
      <c r="A11" s="2">
        <v>3</v>
      </c>
      <c r="B11" s="8" t="s">
        <v>661</v>
      </c>
      <c r="C11" s="2" t="s">
        <v>11</v>
      </c>
      <c r="D11" s="2">
        <v>1</v>
      </c>
      <c r="E11" s="1" t="str">
        <f>IF(C11="","",VLOOKUP(C11,Table1[#All],2,FALSE))</f>
        <v xml:space="preserve">K &amp; S PRECISION METALS 251 .010x4x10 BRS SHT Metal </v>
      </c>
      <c r="F11" s="2">
        <f t="shared" si="23"/>
        <v>3</v>
      </c>
      <c r="G11" s="46">
        <f>IF(C11&lt;&gt;"",(VLOOKUP(C11,part_details,4,FALSE)+VLOOKUP(C11,part_details,5,FALSE)+VLOOKUP(C11,part_details,6,FALSE))*'Multi-level BOM'!D11,"")</f>
        <v>0.23925499999999997</v>
      </c>
      <c r="H11" s="4">
        <f t="shared" si="13"/>
        <v>1</v>
      </c>
      <c r="I11" s="4">
        <f t="shared" si="14"/>
        <v>1</v>
      </c>
      <c r="J11" s="4">
        <f t="shared" si="15"/>
        <v>3</v>
      </c>
      <c r="K11" s="4">
        <f t="shared" si="16"/>
        <v>1</v>
      </c>
      <c r="L11" s="4">
        <f t="shared" si="17"/>
        <v>1</v>
      </c>
      <c r="M11" s="4">
        <f t="shared" si="18"/>
        <v>1</v>
      </c>
      <c r="N11" s="4">
        <f t="shared" si="19"/>
        <v>1</v>
      </c>
      <c r="O11" s="4">
        <f t="shared" si="20"/>
        <v>1</v>
      </c>
      <c r="P11" s="4">
        <f t="shared" si="21"/>
        <v>1</v>
      </c>
      <c r="Q11" s="4">
        <f t="shared" si="22"/>
        <v>1</v>
      </c>
    </row>
    <row r="12" spans="1:17" x14ac:dyDescent="0.25">
      <c r="A12" s="2">
        <v>3</v>
      </c>
      <c r="B12" s="8" t="s">
        <v>757</v>
      </c>
      <c r="C12" s="2" t="s">
        <v>12</v>
      </c>
      <c r="D12" s="2">
        <v>1</v>
      </c>
      <c r="E12" s="1" t="str">
        <f>IF(C12="","",VLOOKUP(C12,Table1[#All],2,FALSE))</f>
        <v>M6-1.0 x 55mm ISO 4762 Hex Drive Class 12.9 Black Oxide Finish Alloy Steel Socket Cap Screw</v>
      </c>
      <c r="F12" s="2">
        <f t="shared" si="23"/>
        <v>3</v>
      </c>
      <c r="G12" s="46">
        <f>IF(C12&lt;&gt;"",(VLOOKUP(C12,part_details,4,FALSE)+VLOOKUP(C12,part_details,5,FALSE)+VLOOKUP(C12,part_details,6,FALSE))*'Multi-level BOM'!D12,"")</f>
        <v>0.94394</v>
      </c>
      <c r="H12" s="4">
        <f t="shared" si="13"/>
        <v>1</v>
      </c>
      <c r="I12" s="4">
        <f t="shared" si="14"/>
        <v>1</v>
      </c>
      <c r="J12" s="4">
        <f t="shared" si="15"/>
        <v>3</v>
      </c>
      <c r="K12" s="4">
        <f t="shared" si="16"/>
        <v>1</v>
      </c>
      <c r="L12" s="4">
        <f t="shared" si="17"/>
        <v>1</v>
      </c>
      <c r="M12" s="4">
        <f t="shared" si="18"/>
        <v>1</v>
      </c>
      <c r="N12" s="4">
        <f t="shared" si="19"/>
        <v>1</v>
      </c>
      <c r="O12" s="4">
        <f t="shared" si="20"/>
        <v>1</v>
      </c>
      <c r="P12" s="4">
        <f t="shared" si="21"/>
        <v>1</v>
      </c>
      <c r="Q12" s="4">
        <f t="shared" si="22"/>
        <v>1</v>
      </c>
    </row>
    <row r="13" spans="1:17" x14ac:dyDescent="0.25">
      <c r="A13" s="2">
        <v>3</v>
      </c>
      <c r="B13" s="8" t="s">
        <v>672</v>
      </c>
      <c r="C13" s="2" t="s">
        <v>13</v>
      </c>
      <c r="D13" s="2">
        <v>2</v>
      </c>
      <c r="E13" s="1" t="str">
        <f>IF(C13="","",VLOOKUP(C13,Table1[#All],2,FALSE))</f>
        <v>Washer, M6, 304 stainless, OD 12mm, .9mm thick</v>
      </c>
      <c r="F13" s="2">
        <f t="shared" si="23"/>
        <v>6</v>
      </c>
      <c r="G13" s="46">
        <f>IF(C13&lt;&gt;"",(VLOOKUP(C13,part_details,4,FALSE)+VLOOKUP(C13,part_details,5,FALSE)+VLOOKUP(C13,part_details,6,FALSE))*'Multi-level BOM'!D13,"")</f>
        <v>8.8180999999999995E-2</v>
      </c>
      <c r="H13" s="4">
        <f t="shared" si="13"/>
        <v>1</v>
      </c>
      <c r="I13" s="4">
        <f t="shared" si="14"/>
        <v>1</v>
      </c>
      <c r="J13" s="4">
        <f t="shared" si="15"/>
        <v>3</v>
      </c>
      <c r="K13" s="4">
        <f t="shared" si="16"/>
        <v>2</v>
      </c>
      <c r="L13" s="4">
        <f t="shared" si="17"/>
        <v>1</v>
      </c>
      <c r="M13" s="4">
        <f t="shared" si="18"/>
        <v>1</v>
      </c>
      <c r="N13" s="4">
        <f t="shared" si="19"/>
        <v>1</v>
      </c>
      <c r="O13" s="4">
        <f t="shared" si="20"/>
        <v>1</v>
      </c>
      <c r="P13" s="4">
        <f t="shared" si="21"/>
        <v>1</v>
      </c>
      <c r="Q13" s="4">
        <f t="shared" si="22"/>
        <v>1</v>
      </c>
    </row>
    <row r="14" spans="1:17" x14ac:dyDescent="0.25">
      <c r="B14" s="8" t="s">
        <v>752</v>
      </c>
      <c r="C14" s="2" t="s">
        <v>28</v>
      </c>
      <c r="D14" s="2">
        <v>1</v>
      </c>
      <c r="E14" s="1" t="str">
        <f>IF(C14="","",VLOOKUP(C14,Table1[#All],2,FALSE))</f>
        <v xml:space="preserve">M6 x 1.0mm Nylon Inserted Hex Lock Nuts 304 Stainless Steel </v>
      </c>
      <c r="F14" s="2">
        <f t="shared" ref="F14" si="24">PRODUCT(H14:Q14)</f>
        <v>3</v>
      </c>
      <c r="G14" s="46">
        <f>IF(C14&lt;&gt;"",(VLOOKUP(C14,part_details,4,FALSE)+VLOOKUP(C14,part_details,5,FALSE)+VLOOKUP(C14,part_details,6,FALSE))*'Multi-level BOM'!D14,"")</f>
        <v>0.19246285714285716</v>
      </c>
      <c r="H14" s="4">
        <f t="shared" ref="H14:Q14" si="25">IF($A14="",H12,
    IF(H$2=$A14,$D14,
       IF(H$2&lt;$A14,H12,
           1
)))</f>
        <v>1</v>
      </c>
      <c r="I14" s="4">
        <f t="shared" si="25"/>
        <v>1</v>
      </c>
      <c r="J14" s="4">
        <f t="shared" si="25"/>
        <v>3</v>
      </c>
      <c r="K14" s="4">
        <f t="shared" si="25"/>
        <v>1</v>
      </c>
      <c r="L14" s="4">
        <f t="shared" si="25"/>
        <v>1</v>
      </c>
      <c r="M14" s="4">
        <f t="shared" si="25"/>
        <v>1</v>
      </c>
      <c r="N14" s="4">
        <f t="shared" si="25"/>
        <v>1</v>
      </c>
      <c r="O14" s="4">
        <f t="shared" si="25"/>
        <v>1</v>
      </c>
      <c r="P14" s="4">
        <f t="shared" si="25"/>
        <v>1</v>
      </c>
      <c r="Q14" s="4">
        <f t="shared" si="25"/>
        <v>1</v>
      </c>
    </row>
    <row r="15" spans="1:17" x14ac:dyDescent="0.25">
      <c r="B15" s="8"/>
      <c r="E15" s="1" t="str">
        <f>IF(C15="","",VLOOKUP(C15,Table1[#All],2,FALSE))</f>
        <v/>
      </c>
      <c r="G15" s="46" t="str">
        <f>IF(C15&lt;&gt;"",VLOOKUP(C15,part_details,4,FALSE)*'Multi-level BOM'!D15,"")</f>
        <v/>
      </c>
      <c r="H15" s="4">
        <f t="shared" ref="H15:Q15" si="26">IF($A15="",H13,
    IF(H$2=$A15,$D15,
       IF(H$2&lt;$A15,H13,
           1
)))</f>
        <v>1</v>
      </c>
      <c r="I15" s="4">
        <f t="shared" si="26"/>
        <v>1</v>
      </c>
      <c r="J15" s="4">
        <f t="shared" si="26"/>
        <v>3</v>
      </c>
      <c r="K15" s="4">
        <f t="shared" si="26"/>
        <v>2</v>
      </c>
      <c r="L15" s="4">
        <f t="shared" si="26"/>
        <v>1</v>
      </c>
      <c r="M15" s="4">
        <f t="shared" si="26"/>
        <v>1</v>
      </c>
      <c r="N15" s="4">
        <f t="shared" si="26"/>
        <v>1</v>
      </c>
      <c r="O15" s="4">
        <f t="shared" si="26"/>
        <v>1</v>
      </c>
      <c r="P15" s="4">
        <f t="shared" si="26"/>
        <v>1</v>
      </c>
      <c r="Q15" s="4">
        <f t="shared" si="26"/>
        <v>1</v>
      </c>
    </row>
    <row r="16" spans="1:17" x14ac:dyDescent="0.25">
      <c r="A16" s="2">
        <v>2</v>
      </c>
      <c r="B16" s="8" t="s">
        <v>674</v>
      </c>
      <c r="D16" s="2">
        <v>3</v>
      </c>
      <c r="E16" s="1" t="str">
        <f>IF(C16="","",VLOOKUP(C16,Table1[#All],2,FALSE))</f>
        <v/>
      </c>
      <c r="F16" s="2">
        <f t="shared" ref="F16:F22" si="27">PRODUCT(H16:Q16)</f>
        <v>3</v>
      </c>
      <c r="G16" s="47">
        <f>F16*SUM(G17:G22)</f>
        <v>15.66515494642857</v>
      </c>
      <c r="H16" s="4">
        <f t="shared" si="13"/>
        <v>1</v>
      </c>
      <c r="I16" s="4">
        <f t="shared" si="14"/>
        <v>1</v>
      </c>
      <c r="J16" s="4">
        <f t="shared" si="15"/>
        <v>3</v>
      </c>
      <c r="K16" s="4">
        <f t="shared" si="16"/>
        <v>1</v>
      </c>
      <c r="L16" s="4">
        <f t="shared" si="17"/>
        <v>1</v>
      </c>
      <c r="M16" s="4">
        <f t="shared" si="18"/>
        <v>1</v>
      </c>
      <c r="N16" s="4">
        <f t="shared" si="19"/>
        <v>1</v>
      </c>
      <c r="O16" s="4">
        <f t="shared" si="20"/>
        <v>1</v>
      </c>
      <c r="P16" s="4">
        <f t="shared" si="21"/>
        <v>1</v>
      </c>
      <c r="Q16" s="4">
        <f t="shared" si="22"/>
        <v>1</v>
      </c>
    </row>
    <row r="17" spans="1:17" x14ac:dyDescent="0.25">
      <c r="A17" s="2">
        <v>3</v>
      </c>
      <c r="B17" s="8" t="s">
        <v>658</v>
      </c>
      <c r="C17" s="2" t="s">
        <v>9</v>
      </c>
      <c r="D17" s="2">
        <v>2</v>
      </c>
      <c r="E17" s="1" t="str">
        <f>IF(C17="","",VLOOKUP(C17,Table1[#All],2,FALSE))</f>
        <v xml:space="preserve">Bearing, Flange F606ZZ, 6mm x 17mm x 6mm </v>
      </c>
      <c r="F17" s="2">
        <f t="shared" si="27"/>
        <v>6</v>
      </c>
      <c r="G17" s="46">
        <f>IF(C17&lt;&gt;"",(VLOOKUP(C17,part_details,4,FALSE)+VLOOKUP(C17,part_details,5,FALSE)+VLOOKUP(C17,part_details,6,FALSE))*'Multi-level BOM'!D17,"")</f>
        <v>2.94082</v>
      </c>
      <c r="H17" s="4">
        <f t="shared" si="13"/>
        <v>1</v>
      </c>
      <c r="I17" s="4">
        <f t="shared" si="14"/>
        <v>1</v>
      </c>
      <c r="J17" s="4">
        <f t="shared" si="15"/>
        <v>3</v>
      </c>
      <c r="K17" s="4">
        <f t="shared" si="16"/>
        <v>2</v>
      </c>
      <c r="L17" s="4">
        <f t="shared" si="17"/>
        <v>1</v>
      </c>
      <c r="M17" s="4">
        <f t="shared" si="18"/>
        <v>1</v>
      </c>
      <c r="N17" s="4">
        <f t="shared" si="19"/>
        <v>1</v>
      </c>
      <c r="O17" s="4">
        <f t="shared" si="20"/>
        <v>1</v>
      </c>
      <c r="P17" s="4">
        <f t="shared" si="21"/>
        <v>1</v>
      </c>
      <c r="Q17" s="4">
        <f t="shared" si="22"/>
        <v>1</v>
      </c>
    </row>
    <row r="18" spans="1:17" x14ac:dyDescent="0.25">
      <c r="A18" s="2">
        <v>3</v>
      </c>
      <c r="B18" s="8" t="s">
        <v>678</v>
      </c>
      <c r="C18" s="2" t="s">
        <v>10</v>
      </c>
      <c r="D18" s="2">
        <f>34.25+5</f>
        <v>39.25</v>
      </c>
      <c r="E18" s="1" t="str">
        <f>IF(C18="","",VLOOKUP(C18,Table1[#All],2,FALSE))</f>
        <v>uxcell 6063 Aluminum Round Tube 300mm Length 12.7mm OD 6mm Inner Dia Seamless Aluminum Straight Tubing 2 Pcs</v>
      </c>
      <c r="F18" s="2">
        <f t="shared" si="27"/>
        <v>117.75</v>
      </c>
      <c r="G18" s="46">
        <f>IF(C18&lt;&gt;"",(VLOOKUP(C18,part_details,4,FALSE)+VLOOKUP(C18,part_details,5,FALSE)+VLOOKUP(C18,part_details,6,FALSE))*'Multi-level BOM'!D18,"")</f>
        <v>0.72658945833333322</v>
      </c>
      <c r="H18" s="4">
        <f t="shared" si="13"/>
        <v>1</v>
      </c>
      <c r="I18" s="4">
        <f t="shared" si="14"/>
        <v>1</v>
      </c>
      <c r="J18" s="4">
        <f t="shared" si="15"/>
        <v>3</v>
      </c>
      <c r="K18" s="4">
        <f t="shared" si="16"/>
        <v>39.25</v>
      </c>
      <c r="L18" s="4">
        <f t="shared" si="17"/>
        <v>1</v>
      </c>
      <c r="M18" s="4">
        <f t="shared" si="18"/>
        <v>1</v>
      </c>
      <c r="N18" s="4">
        <f t="shared" si="19"/>
        <v>1</v>
      </c>
      <c r="O18" s="4">
        <f t="shared" si="20"/>
        <v>1</v>
      </c>
      <c r="P18" s="4">
        <f t="shared" si="21"/>
        <v>1</v>
      </c>
      <c r="Q18" s="4">
        <f t="shared" si="22"/>
        <v>1</v>
      </c>
    </row>
    <row r="19" spans="1:17" x14ac:dyDescent="0.25">
      <c r="A19" s="2">
        <v>3</v>
      </c>
      <c r="B19" s="8" t="s">
        <v>661</v>
      </c>
      <c r="C19" s="2" t="s">
        <v>11</v>
      </c>
      <c r="D19" s="2">
        <v>1</v>
      </c>
      <c r="E19" s="1" t="str">
        <f>IF(C19="","",VLOOKUP(C19,Table1[#All],2,FALSE))</f>
        <v xml:space="preserve">K &amp; S PRECISION METALS 251 .010x4x10 BRS SHT Metal </v>
      </c>
      <c r="F19" s="2">
        <f t="shared" si="27"/>
        <v>3</v>
      </c>
      <c r="G19" s="46">
        <f>IF(C19&lt;&gt;"",(VLOOKUP(C19,part_details,4,FALSE)+VLOOKUP(C19,part_details,5,FALSE)+VLOOKUP(C19,part_details,6,FALSE))*'Multi-level BOM'!D19,"")</f>
        <v>0.23925499999999997</v>
      </c>
      <c r="H19" s="4">
        <f t="shared" si="13"/>
        <v>1</v>
      </c>
      <c r="I19" s="4">
        <f t="shared" si="14"/>
        <v>1</v>
      </c>
      <c r="J19" s="4">
        <f t="shared" si="15"/>
        <v>3</v>
      </c>
      <c r="K19" s="4">
        <f t="shared" si="16"/>
        <v>1</v>
      </c>
      <c r="L19" s="4">
        <f t="shared" si="17"/>
        <v>1</v>
      </c>
      <c r="M19" s="4">
        <f t="shared" si="18"/>
        <v>1</v>
      </c>
      <c r="N19" s="4">
        <f t="shared" si="19"/>
        <v>1</v>
      </c>
      <c r="O19" s="4">
        <f t="shared" si="20"/>
        <v>1</v>
      </c>
      <c r="P19" s="4">
        <f t="shared" si="21"/>
        <v>1</v>
      </c>
      <c r="Q19" s="4">
        <f t="shared" si="22"/>
        <v>1</v>
      </c>
    </row>
    <row r="20" spans="1:17" x14ac:dyDescent="0.25">
      <c r="A20" s="2">
        <v>3</v>
      </c>
      <c r="B20" s="8" t="s">
        <v>760</v>
      </c>
      <c r="C20" s="2" t="s">
        <v>35</v>
      </c>
      <c r="D20" s="2">
        <v>1</v>
      </c>
      <c r="E20" s="1" t="str">
        <f>IF(C20="","",VLOOKUP(C20,Table1[#All],2,FALSE))</f>
        <v>M6 x 65mm Socket Head Cap Screws Metric, Grade 12.9 Alloy Steel Black Oxide</v>
      </c>
      <c r="F20" s="2">
        <f t="shared" si="27"/>
        <v>3</v>
      </c>
      <c r="G20" s="46">
        <f>IF(C20&lt;&gt;"",(VLOOKUP(C20,part_details,4,FALSE)+VLOOKUP(C20,part_details,5,FALSE)+VLOOKUP(C20,part_details,6,FALSE))*'Multi-level BOM'!D20,"")</f>
        <v>1.0344100000000001</v>
      </c>
      <c r="H20" s="4">
        <f t="shared" si="13"/>
        <v>1</v>
      </c>
      <c r="I20" s="4">
        <f t="shared" si="14"/>
        <v>1</v>
      </c>
      <c r="J20" s="4">
        <f t="shared" si="15"/>
        <v>3</v>
      </c>
      <c r="K20" s="4">
        <f t="shared" si="16"/>
        <v>1</v>
      </c>
      <c r="L20" s="4">
        <f t="shared" si="17"/>
        <v>1</v>
      </c>
      <c r="M20" s="4">
        <f t="shared" si="18"/>
        <v>1</v>
      </c>
      <c r="N20" s="4">
        <f t="shared" si="19"/>
        <v>1</v>
      </c>
      <c r="O20" s="4">
        <f t="shared" si="20"/>
        <v>1</v>
      </c>
      <c r="P20" s="4">
        <f t="shared" si="21"/>
        <v>1</v>
      </c>
      <c r="Q20" s="4">
        <f t="shared" si="22"/>
        <v>1</v>
      </c>
    </row>
    <row r="21" spans="1:17" x14ac:dyDescent="0.25">
      <c r="A21" s="2">
        <v>3</v>
      </c>
      <c r="B21" s="8" t="s">
        <v>672</v>
      </c>
      <c r="C21" s="2" t="s">
        <v>13</v>
      </c>
      <c r="D21" s="2">
        <v>2</v>
      </c>
      <c r="E21" s="1" t="str">
        <f>IF(C21="","",VLOOKUP(C21,Table1[#All],2,FALSE))</f>
        <v>Washer, M6, 304 stainless, OD 12mm, .9mm thick</v>
      </c>
      <c r="F21" s="2">
        <f t="shared" si="27"/>
        <v>6</v>
      </c>
      <c r="G21" s="46">
        <f>IF(C21&lt;&gt;"",(VLOOKUP(C21,part_details,4,FALSE)+VLOOKUP(C21,part_details,5,FALSE)+VLOOKUP(C21,part_details,6,FALSE))*'Multi-level BOM'!D21,"")</f>
        <v>8.8180999999999995E-2</v>
      </c>
      <c r="H21" s="4">
        <f t="shared" si="13"/>
        <v>1</v>
      </c>
      <c r="I21" s="4">
        <f t="shared" si="14"/>
        <v>1</v>
      </c>
      <c r="J21" s="4">
        <f t="shared" si="15"/>
        <v>3</v>
      </c>
      <c r="K21" s="4">
        <f t="shared" si="16"/>
        <v>2</v>
      </c>
      <c r="L21" s="4">
        <f t="shared" si="17"/>
        <v>1</v>
      </c>
      <c r="M21" s="4">
        <f t="shared" si="18"/>
        <v>1</v>
      </c>
      <c r="N21" s="4">
        <f t="shared" si="19"/>
        <v>1</v>
      </c>
      <c r="O21" s="4">
        <f t="shared" si="20"/>
        <v>1</v>
      </c>
      <c r="P21" s="4">
        <f t="shared" si="21"/>
        <v>1</v>
      </c>
      <c r="Q21" s="4">
        <f t="shared" si="22"/>
        <v>1</v>
      </c>
    </row>
    <row r="22" spans="1:17" x14ac:dyDescent="0.25">
      <c r="B22" s="8" t="s">
        <v>752</v>
      </c>
      <c r="C22" s="2" t="s">
        <v>28</v>
      </c>
      <c r="D22" s="2">
        <v>1</v>
      </c>
      <c r="E22" s="1" t="str">
        <f>IF(C22="","",VLOOKUP(C22,Table1[#All],2,FALSE))</f>
        <v xml:space="preserve">M6 x 1.0mm Nylon Inserted Hex Lock Nuts 304 Stainless Steel </v>
      </c>
      <c r="F22" s="2">
        <f t="shared" si="27"/>
        <v>3</v>
      </c>
      <c r="G22" s="46">
        <f>IF(C22&lt;&gt;"",(VLOOKUP(C22,part_details,4,FALSE)+VLOOKUP(C22,part_details,5,FALSE)+VLOOKUP(C22,part_details,6,FALSE))*'Multi-level BOM'!D22,"")</f>
        <v>0.19246285714285716</v>
      </c>
      <c r="H22" s="4">
        <f t="shared" ref="H22:Q22" si="28">IF($A22="",H20,
    IF(H$2=$A22,$D22,
       IF(H$2&lt;$A22,H20,
           1
)))</f>
        <v>1</v>
      </c>
      <c r="I22" s="4">
        <f t="shared" si="28"/>
        <v>1</v>
      </c>
      <c r="J22" s="4">
        <f t="shared" si="28"/>
        <v>3</v>
      </c>
      <c r="K22" s="4">
        <f t="shared" si="28"/>
        <v>1</v>
      </c>
      <c r="L22" s="4">
        <f t="shared" si="28"/>
        <v>1</v>
      </c>
      <c r="M22" s="4">
        <f t="shared" si="28"/>
        <v>1</v>
      </c>
      <c r="N22" s="4">
        <f t="shared" si="28"/>
        <v>1</v>
      </c>
      <c r="O22" s="4">
        <f t="shared" si="28"/>
        <v>1</v>
      </c>
      <c r="P22" s="4">
        <f t="shared" si="28"/>
        <v>1</v>
      </c>
      <c r="Q22" s="4">
        <f t="shared" si="28"/>
        <v>1</v>
      </c>
    </row>
    <row r="23" spans="1:17" x14ac:dyDescent="0.25">
      <c r="B23" s="8"/>
      <c r="E23" s="1" t="str">
        <f>IF(C23="","",VLOOKUP(C23,Table1[#All],2,FALSE))</f>
        <v/>
      </c>
      <c r="G23" s="46" t="str">
        <f>IF(C23&lt;&gt;"",VLOOKUP(C23,part_details,4,FALSE)*'Multi-level BOM'!D23,"")</f>
        <v/>
      </c>
      <c r="H23" s="4">
        <f t="shared" ref="H23:Q23" si="29">IF($A23="",H21,
    IF(H$2=$A23,$D23,
       IF(H$2&lt;$A23,H21,
           1
)))</f>
        <v>1</v>
      </c>
      <c r="I23" s="4">
        <f t="shared" si="29"/>
        <v>1</v>
      </c>
      <c r="J23" s="4">
        <f t="shared" si="29"/>
        <v>3</v>
      </c>
      <c r="K23" s="4">
        <f t="shared" si="29"/>
        <v>2</v>
      </c>
      <c r="L23" s="4">
        <f t="shared" si="29"/>
        <v>1</v>
      </c>
      <c r="M23" s="4">
        <f t="shared" si="29"/>
        <v>1</v>
      </c>
      <c r="N23" s="4">
        <f t="shared" si="29"/>
        <v>1</v>
      </c>
      <c r="O23" s="4">
        <f t="shared" si="29"/>
        <v>1</v>
      </c>
      <c r="P23" s="4">
        <f t="shared" si="29"/>
        <v>1</v>
      </c>
      <c r="Q23" s="4">
        <f t="shared" si="29"/>
        <v>1</v>
      </c>
    </row>
    <row r="24" spans="1:17" x14ac:dyDescent="0.25">
      <c r="A24" s="2">
        <v>2</v>
      </c>
      <c r="B24" s="8" t="s">
        <v>932</v>
      </c>
      <c r="D24" s="2">
        <v>1</v>
      </c>
      <c r="E24" s="1" t="str">
        <f>IF(C24="","",VLOOKUP(C24,Table1[#All],2,FALSE))</f>
        <v/>
      </c>
      <c r="F24" s="2">
        <f t="shared" ref="F24:F30" si="30">PRODUCT(H24:Q24)</f>
        <v>1</v>
      </c>
      <c r="G24" s="47">
        <f>F24*SUM(G25:G32)</f>
        <v>6.4187357032967025</v>
      </c>
      <c r="H24" s="4">
        <f t="shared" si="13"/>
        <v>1</v>
      </c>
      <c r="I24" s="4">
        <f t="shared" si="14"/>
        <v>1</v>
      </c>
      <c r="J24" s="4">
        <f t="shared" si="15"/>
        <v>1</v>
      </c>
      <c r="K24" s="4">
        <f t="shared" si="16"/>
        <v>1</v>
      </c>
      <c r="L24" s="4">
        <f t="shared" si="17"/>
        <v>1</v>
      </c>
      <c r="M24" s="4">
        <f t="shared" si="18"/>
        <v>1</v>
      </c>
      <c r="N24" s="4">
        <f t="shared" si="19"/>
        <v>1</v>
      </c>
      <c r="O24" s="4">
        <f t="shared" si="20"/>
        <v>1</v>
      </c>
      <c r="P24" s="4">
        <f t="shared" si="21"/>
        <v>1</v>
      </c>
      <c r="Q24" s="4">
        <f t="shared" si="22"/>
        <v>1</v>
      </c>
    </row>
    <row r="25" spans="1:17" x14ac:dyDescent="0.25">
      <c r="A25" s="2">
        <v>3</v>
      </c>
      <c r="B25" s="8" t="s">
        <v>658</v>
      </c>
      <c r="C25" s="2" t="s">
        <v>9</v>
      </c>
      <c r="D25" s="2">
        <v>2</v>
      </c>
      <c r="E25" s="1" t="str">
        <f>IF(C25="","",VLOOKUP(C25,Table1[#All],2,FALSE))</f>
        <v xml:space="preserve">Bearing, Flange F606ZZ, 6mm x 17mm x 6mm </v>
      </c>
      <c r="F25" s="2">
        <f t="shared" si="30"/>
        <v>2</v>
      </c>
      <c r="G25" s="46">
        <f>IF(C25&lt;&gt;"",(VLOOKUP(C25,part_details,4,FALSE)+VLOOKUP(C25,part_details,5,FALSE)+VLOOKUP(C25,part_details,6,FALSE))*'Multi-level BOM'!D25,"")</f>
        <v>2.94082</v>
      </c>
      <c r="H25" s="4">
        <f t="shared" si="13"/>
        <v>1</v>
      </c>
      <c r="I25" s="4">
        <f t="shared" si="14"/>
        <v>1</v>
      </c>
      <c r="J25" s="4">
        <f t="shared" si="15"/>
        <v>1</v>
      </c>
      <c r="K25" s="4">
        <f t="shared" si="16"/>
        <v>2</v>
      </c>
      <c r="L25" s="4">
        <f t="shared" si="17"/>
        <v>1</v>
      </c>
      <c r="M25" s="4">
        <f t="shared" si="18"/>
        <v>1</v>
      </c>
      <c r="N25" s="4">
        <f t="shared" si="19"/>
        <v>1</v>
      </c>
      <c r="O25" s="4">
        <f t="shared" si="20"/>
        <v>1</v>
      </c>
      <c r="P25" s="4">
        <f t="shared" si="21"/>
        <v>1</v>
      </c>
      <c r="Q25" s="4">
        <f t="shared" si="22"/>
        <v>1</v>
      </c>
    </row>
    <row r="26" spans="1:17" x14ac:dyDescent="0.25">
      <c r="A26" s="2">
        <v>3</v>
      </c>
      <c r="B26" s="8" t="s">
        <v>933</v>
      </c>
      <c r="C26" s="2" t="s">
        <v>10</v>
      </c>
      <c r="D26" s="2">
        <v>5</v>
      </c>
      <c r="E26" s="1" t="str">
        <f>IF(C26="","",VLOOKUP(C26,Table1[#All],2,FALSE))</f>
        <v>uxcell 6063 Aluminum Round Tube 300mm Length 12.7mm OD 6mm Inner Dia Seamless Aluminum Straight Tubing 2 Pcs</v>
      </c>
      <c r="F26" s="2">
        <f t="shared" si="30"/>
        <v>5</v>
      </c>
      <c r="G26" s="46">
        <f>IF(C26&lt;&gt;"",(VLOOKUP(C26,part_details,4,FALSE)+VLOOKUP(C26,part_details,5,FALSE)+VLOOKUP(C26,part_details,6,FALSE))*'Multi-level BOM'!D26,"")</f>
        <v>9.2559166666666665E-2</v>
      </c>
      <c r="H26" s="4">
        <f t="shared" si="13"/>
        <v>1</v>
      </c>
      <c r="I26" s="4">
        <f t="shared" si="14"/>
        <v>1</v>
      </c>
      <c r="J26" s="4">
        <f t="shared" si="15"/>
        <v>1</v>
      </c>
      <c r="K26" s="4">
        <f t="shared" si="16"/>
        <v>5</v>
      </c>
      <c r="L26" s="4">
        <f t="shared" si="17"/>
        <v>1</v>
      </c>
      <c r="M26" s="4">
        <f t="shared" si="18"/>
        <v>1</v>
      </c>
      <c r="N26" s="4">
        <f t="shared" si="19"/>
        <v>1</v>
      </c>
      <c r="O26" s="4">
        <f t="shared" si="20"/>
        <v>1</v>
      </c>
      <c r="P26" s="4">
        <f t="shared" si="21"/>
        <v>1</v>
      </c>
      <c r="Q26" s="4">
        <f t="shared" si="22"/>
        <v>1</v>
      </c>
    </row>
    <row r="27" spans="1:17" x14ac:dyDescent="0.25">
      <c r="A27" s="2">
        <v>3</v>
      </c>
      <c r="B27" s="8" t="s">
        <v>661</v>
      </c>
      <c r="C27" s="2" t="s">
        <v>11</v>
      </c>
      <c r="D27" s="2">
        <v>1</v>
      </c>
      <c r="E27" s="1" t="str">
        <f>IF(C27="","",VLOOKUP(C27,Table1[#All],2,FALSE))</f>
        <v xml:space="preserve">K &amp; S PRECISION METALS 251 .010x4x10 BRS SHT Metal </v>
      </c>
      <c r="F27" s="2">
        <f t="shared" si="30"/>
        <v>1</v>
      </c>
      <c r="G27" s="46">
        <f>IF(C27&lt;&gt;"",(VLOOKUP(C27,part_details,4,FALSE)+VLOOKUP(C27,part_details,5,FALSE)+VLOOKUP(C27,part_details,6,FALSE))*'Multi-level BOM'!D27,"")</f>
        <v>0.23925499999999997</v>
      </c>
      <c r="H27" s="4">
        <f t="shared" si="13"/>
        <v>1</v>
      </c>
      <c r="I27" s="4">
        <f t="shared" si="14"/>
        <v>1</v>
      </c>
      <c r="J27" s="4">
        <f t="shared" si="15"/>
        <v>1</v>
      </c>
      <c r="K27" s="4">
        <f t="shared" si="16"/>
        <v>1</v>
      </c>
      <c r="L27" s="4">
        <f t="shared" si="17"/>
        <v>1</v>
      </c>
      <c r="M27" s="4">
        <f t="shared" si="18"/>
        <v>1</v>
      </c>
      <c r="N27" s="4">
        <f t="shared" si="19"/>
        <v>1</v>
      </c>
      <c r="O27" s="4">
        <f t="shared" si="20"/>
        <v>1</v>
      </c>
      <c r="P27" s="4">
        <f t="shared" si="21"/>
        <v>1</v>
      </c>
      <c r="Q27" s="4">
        <f t="shared" si="22"/>
        <v>1</v>
      </c>
    </row>
    <row r="28" spans="1:17" x14ac:dyDescent="0.25">
      <c r="A28" s="2">
        <v>3</v>
      </c>
      <c r="B28" s="30" t="s">
        <v>934</v>
      </c>
      <c r="C28" s="43" t="s">
        <v>69</v>
      </c>
      <c r="D28" s="2">
        <v>4</v>
      </c>
      <c r="E28" s="1" t="str">
        <f>IF(C28="","",VLOOKUP(C28,Table1[#All],2,FALSE))</f>
        <v>M6 x 25mm button head screw</v>
      </c>
      <c r="F28" s="2">
        <f t="shared" si="30"/>
        <v>4</v>
      </c>
      <c r="G28" s="46">
        <f>IF(C28&lt;&gt;"",(VLOOKUP(C28,part_details,4,FALSE)+VLOOKUP(C28,part_details,5,FALSE)+VLOOKUP(C28,part_details,6,FALSE))*'Multi-level BOM'!D28,"")</f>
        <v>1.2484133333333334</v>
      </c>
      <c r="H28" s="4">
        <f t="shared" si="13"/>
        <v>1</v>
      </c>
      <c r="I28" s="4">
        <f t="shared" si="14"/>
        <v>1</v>
      </c>
      <c r="J28" s="4">
        <f t="shared" si="15"/>
        <v>1</v>
      </c>
      <c r="K28" s="4">
        <f t="shared" si="16"/>
        <v>4</v>
      </c>
      <c r="L28" s="4">
        <f t="shared" si="17"/>
        <v>1</v>
      </c>
      <c r="M28" s="4">
        <f t="shared" si="18"/>
        <v>1</v>
      </c>
      <c r="N28" s="4">
        <f t="shared" si="19"/>
        <v>1</v>
      </c>
      <c r="O28" s="4">
        <f t="shared" si="20"/>
        <v>1</v>
      </c>
      <c r="P28" s="4">
        <f t="shared" si="21"/>
        <v>1</v>
      </c>
      <c r="Q28" s="4">
        <f t="shared" si="22"/>
        <v>1</v>
      </c>
    </row>
    <row r="29" spans="1:17" x14ac:dyDescent="0.25">
      <c r="A29" s="2">
        <v>3</v>
      </c>
      <c r="B29" s="8" t="s">
        <v>672</v>
      </c>
      <c r="C29" s="2" t="s">
        <v>13</v>
      </c>
      <c r="D29" s="2">
        <v>3</v>
      </c>
      <c r="E29" s="1" t="str">
        <f>IF(C29="","",VLOOKUP(C29,Table1[#All],2,FALSE))</f>
        <v>Washer, M6, 304 stainless, OD 12mm, .9mm thick</v>
      </c>
      <c r="F29" s="2">
        <f t="shared" si="30"/>
        <v>3</v>
      </c>
      <c r="G29" s="46">
        <f>IF(C29&lt;&gt;"",(VLOOKUP(C29,part_details,4,FALSE)+VLOOKUP(C29,part_details,5,FALSE)+VLOOKUP(C29,part_details,6,FALSE))*'Multi-level BOM'!D29,"")</f>
        <v>0.13227149999999999</v>
      </c>
      <c r="H29" s="4">
        <f t="shared" si="13"/>
        <v>1</v>
      </c>
      <c r="I29" s="4">
        <f t="shared" si="14"/>
        <v>1</v>
      </c>
      <c r="J29" s="4">
        <f t="shared" si="15"/>
        <v>1</v>
      </c>
      <c r="K29" s="4">
        <f t="shared" si="16"/>
        <v>3</v>
      </c>
      <c r="L29" s="4">
        <f t="shared" si="17"/>
        <v>1</v>
      </c>
      <c r="M29" s="4">
        <f t="shared" si="18"/>
        <v>1</v>
      </c>
      <c r="N29" s="4">
        <f t="shared" si="19"/>
        <v>1</v>
      </c>
      <c r="O29" s="4">
        <f t="shared" si="20"/>
        <v>1</v>
      </c>
      <c r="P29" s="4">
        <f t="shared" si="21"/>
        <v>1</v>
      </c>
      <c r="Q29" s="4">
        <f t="shared" si="22"/>
        <v>1</v>
      </c>
    </row>
    <row r="30" spans="1:17" x14ac:dyDescent="0.25">
      <c r="A30" s="2">
        <v>3</v>
      </c>
      <c r="B30" s="8" t="s">
        <v>752</v>
      </c>
      <c r="C30" s="2" t="s">
        <v>28</v>
      </c>
      <c r="D30" s="2">
        <v>1</v>
      </c>
      <c r="E30" s="1" t="str">
        <f>IF(C30="","",VLOOKUP(C30,Table1[#All],2,FALSE))</f>
        <v xml:space="preserve">M6 x 1.0mm Nylon Inserted Hex Lock Nuts 304 Stainless Steel </v>
      </c>
      <c r="F30" s="2">
        <f t="shared" si="30"/>
        <v>1</v>
      </c>
      <c r="G30" s="46">
        <f>IF(C30&lt;&gt;"",(VLOOKUP(C30,part_details,4,FALSE)+VLOOKUP(C30,part_details,5,FALSE)+VLOOKUP(C30,part_details,6,FALSE))*'Multi-level BOM'!D30,"")</f>
        <v>0.19246285714285716</v>
      </c>
      <c r="H30" s="4">
        <f t="shared" ref="H30:Q30" si="31">IF($A30="",H28,
    IF(H$2=$A30,$D30,
       IF(H$2&lt;$A30,H28,
           1
)))</f>
        <v>1</v>
      </c>
      <c r="I30" s="4">
        <f t="shared" si="31"/>
        <v>1</v>
      </c>
      <c r="J30" s="4">
        <f t="shared" si="31"/>
        <v>1</v>
      </c>
      <c r="K30" s="4">
        <f t="shared" si="31"/>
        <v>1</v>
      </c>
      <c r="L30" s="4">
        <f t="shared" si="31"/>
        <v>1</v>
      </c>
      <c r="M30" s="4">
        <f t="shared" si="31"/>
        <v>1</v>
      </c>
      <c r="N30" s="4">
        <f t="shared" si="31"/>
        <v>1</v>
      </c>
      <c r="O30" s="4">
        <f t="shared" si="31"/>
        <v>1</v>
      </c>
      <c r="P30" s="4">
        <f t="shared" si="31"/>
        <v>1</v>
      </c>
      <c r="Q30" s="4">
        <f t="shared" si="31"/>
        <v>1</v>
      </c>
    </row>
    <row r="31" spans="1:17" x14ac:dyDescent="0.25">
      <c r="A31" s="2">
        <v>3</v>
      </c>
      <c r="B31" s="8" t="s">
        <v>937</v>
      </c>
      <c r="C31" s="2" t="s">
        <v>70</v>
      </c>
      <c r="D31" s="2">
        <v>2</v>
      </c>
      <c r="E31" s="1" t="str">
        <f>IF(C31="","",VLOOKUP(C31,Table1[#All],2,FALSE))</f>
        <v>Aluminum bar .75 square, 12" long</v>
      </c>
      <c r="F31" s="2">
        <f t="shared" ref="F31:F46" si="32">PRODUCT(H31:Q31)</f>
        <v>2</v>
      </c>
      <c r="G31" s="46">
        <f>IF(C31&lt;&gt;"",(VLOOKUP(C31,part_details,4,FALSE)+VLOOKUP(C31,part_details,5,FALSE)+VLOOKUP(C31,part_details,6,FALSE))*'Multi-level BOM'!D31,"")</f>
        <v>0.78647692307692307</v>
      </c>
      <c r="H31" s="4">
        <f t="shared" ref="H31:Q31" si="33">IF($A31="",H29,
    IF(H$2=$A31,$D31,
       IF(H$2&lt;$A31,H29,
           1
)))</f>
        <v>1</v>
      </c>
      <c r="I31" s="4">
        <f t="shared" si="33"/>
        <v>1</v>
      </c>
      <c r="J31" s="4">
        <f t="shared" si="33"/>
        <v>1</v>
      </c>
      <c r="K31" s="4">
        <f t="shared" si="33"/>
        <v>2</v>
      </c>
      <c r="L31" s="4">
        <f t="shared" si="33"/>
        <v>1</v>
      </c>
      <c r="M31" s="4">
        <f t="shared" si="33"/>
        <v>1</v>
      </c>
      <c r="N31" s="4">
        <f t="shared" si="33"/>
        <v>1</v>
      </c>
      <c r="O31" s="4">
        <f t="shared" si="33"/>
        <v>1</v>
      </c>
      <c r="P31" s="4">
        <f t="shared" si="33"/>
        <v>1</v>
      </c>
      <c r="Q31" s="4">
        <f t="shared" si="33"/>
        <v>1</v>
      </c>
    </row>
    <row r="32" spans="1:17" x14ac:dyDescent="0.25">
      <c r="A32" s="2">
        <v>3</v>
      </c>
      <c r="B32" s="8" t="s">
        <v>938</v>
      </c>
      <c r="C32" s="2" t="s">
        <v>70</v>
      </c>
      <c r="D32" s="2">
        <v>2</v>
      </c>
      <c r="E32" s="1" t="str">
        <f>IF(C32="","",VLOOKUP(C32,Table1[#All],2,FALSE))</f>
        <v>Aluminum bar .75 square, 12" long</v>
      </c>
      <c r="F32" s="2">
        <f t="shared" si="32"/>
        <v>2</v>
      </c>
      <c r="G32" s="46">
        <f>IF(C32&lt;&gt;"",(VLOOKUP(C32,part_details,4,FALSE)+VLOOKUP(C32,part_details,5,FALSE)+VLOOKUP(C32,part_details,6,FALSE))*'Multi-level BOM'!D32,"")</f>
        <v>0.78647692307692307</v>
      </c>
      <c r="H32" s="4">
        <f t="shared" ref="H32:Q32" si="34">IF($A32="",H30,
    IF(H$2=$A32,$D32,
       IF(H$2&lt;$A32,H30,
           1
)))</f>
        <v>1</v>
      </c>
      <c r="I32" s="4">
        <f t="shared" si="34"/>
        <v>1</v>
      </c>
      <c r="J32" s="4">
        <f t="shared" si="34"/>
        <v>1</v>
      </c>
      <c r="K32" s="4">
        <f t="shared" si="34"/>
        <v>2</v>
      </c>
      <c r="L32" s="4">
        <f t="shared" si="34"/>
        <v>1</v>
      </c>
      <c r="M32" s="4">
        <f t="shared" si="34"/>
        <v>1</v>
      </c>
      <c r="N32" s="4">
        <f t="shared" si="34"/>
        <v>1</v>
      </c>
      <c r="O32" s="4">
        <f t="shared" si="34"/>
        <v>1</v>
      </c>
      <c r="P32" s="4">
        <f t="shared" si="34"/>
        <v>1</v>
      </c>
      <c r="Q32" s="4">
        <f t="shared" si="34"/>
        <v>1</v>
      </c>
    </row>
    <row r="33" spans="1:17" x14ac:dyDescent="0.25">
      <c r="B33" s="8"/>
      <c r="E33" s="1" t="str">
        <f>IF(C33="","",VLOOKUP(C33,Table1[#All],2,FALSE))</f>
        <v/>
      </c>
      <c r="G33" s="46" t="str">
        <f>IF(C33&lt;&gt;"",VLOOKUP(C33,part_details,4,FALSE)*'Multi-level BOM'!D33,"")</f>
        <v/>
      </c>
      <c r="H33" s="4">
        <f t="shared" ref="H33:Q33" si="35">IF($A33="",H31,
    IF(H$2=$A33,$D33,
       IF(H$2&lt;$A33,H31,
           1
)))</f>
        <v>1</v>
      </c>
      <c r="I33" s="4">
        <f t="shared" si="35"/>
        <v>1</v>
      </c>
      <c r="J33" s="4">
        <f t="shared" si="35"/>
        <v>1</v>
      </c>
      <c r="K33" s="4">
        <f t="shared" si="35"/>
        <v>2</v>
      </c>
      <c r="L33" s="4">
        <f t="shared" si="35"/>
        <v>1</v>
      </c>
      <c r="M33" s="4">
        <f t="shared" si="35"/>
        <v>1</v>
      </c>
      <c r="N33" s="4">
        <f t="shared" si="35"/>
        <v>1</v>
      </c>
      <c r="O33" s="4">
        <f t="shared" si="35"/>
        <v>1</v>
      </c>
      <c r="P33" s="4">
        <f t="shared" si="35"/>
        <v>1</v>
      </c>
      <c r="Q33" s="4">
        <f t="shared" si="35"/>
        <v>1</v>
      </c>
    </row>
    <row r="34" spans="1:17" x14ac:dyDescent="0.25">
      <c r="A34" s="2">
        <v>2</v>
      </c>
      <c r="B34" s="8" t="s">
        <v>940</v>
      </c>
      <c r="D34" s="2">
        <v>1</v>
      </c>
      <c r="E34" s="1" t="str">
        <f>IF(C34="","",VLOOKUP(C34,Table1[#All],2,FALSE))</f>
        <v/>
      </c>
      <c r="F34" s="2">
        <f t="shared" si="32"/>
        <v>1</v>
      </c>
      <c r="G34" s="47">
        <f>F34*SUM(G35:G42)</f>
        <v>6.4187357032967025</v>
      </c>
      <c r="H34" s="4">
        <f t="shared" si="13"/>
        <v>1</v>
      </c>
      <c r="I34" s="4">
        <f t="shared" si="14"/>
        <v>1</v>
      </c>
      <c r="J34" s="4">
        <f t="shared" si="15"/>
        <v>1</v>
      </c>
      <c r="K34" s="4">
        <f t="shared" si="16"/>
        <v>1</v>
      </c>
      <c r="L34" s="4">
        <f t="shared" si="17"/>
        <v>1</v>
      </c>
      <c r="M34" s="4">
        <f t="shared" si="18"/>
        <v>1</v>
      </c>
      <c r="N34" s="4">
        <f t="shared" si="19"/>
        <v>1</v>
      </c>
      <c r="O34" s="4">
        <f t="shared" si="20"/>
        <v>1</v>
      </c>
      <c r="P34" s="4">
        <f t="shared" si="21"/>
        <v>1</v>
      </c>
      <c r="Q34" s="4">
        <f t="shared" si="22"/>
        <v>1</v>
      </c>
    </row>
    <row r="35" spans="1:17" x14ac:dyDescent="0.25">
      <c r="A35" s="2">
        <v>3</v>
      </c>
      <c r="B35" s="8" t="s">
        <v>658</v>
      </c>
      <c r="C35" s="2" t="s">
        <v>9</v>
      </c>
      <c r="D35" s="2">
        <v>2</v>
      </c>
      <c r="E35" s="1" t="str">
        <f>IF(C35="","",VLOOKUP(C35,Table1[#All],2,FALSE))</f>
        <v xml:space="preserve">Bearing, Flange F606ZZ, 6mm x 17mm x 6mm </v>
      </c>
      <c r="F35" s="2">
        <f t="shared" si="32"/>
        <v>2</v>
      </c>
      <c r="G35" s="46">
        <f>IF(C35&lt;&gt;"",(VLOOKUP(C35,part_details,4,FALSE)+VLOOKUP(C35,part_details,5,FALSE)+VLOOKUP(C35,part_details,6,FALSE))*'Multi-level BOM'!D35,"")</f>
        <v>2.94082</v>
      </c>
      <c r="H35" s="4">
        <f t="shared" si="13"/>
        <v>1</v>
      </c>
      <c r="I35" s="4">
        <f t="shared" si="14"/>
        <v>1</v>
      </c>
      <c r="J35" s="4">
        <f t="shared" si="15"/>
        <v>1</v>
      </c>
      <c r="K35" s="4">
        <f t="shared" si="16"/>
        <v>2</v>
      </c>
      <c r="L35" s="4">
        <f t="shared" si="17"/>
        <v>1</v>
      </c>
      <c r="M35" s="4">
        <f t="shared" si="18"/>
        <v>1</v>
      </c>
      <c r="N35" s="4">
        <f t="shared" si="19"/>
        <v>1</v>
      </c>
      <c r="O35" s="4">
        <f t="shared" si="20"/>
        <v>1</v>
      </c>
      <c r="P35" s="4">
        <f t="shared" si="21"/>
        <v>1</v>
      </c>
      <c r="Q35" s="4">
        <f t="shared" si="22"/>
        <v>1</v>
      </c>
    </row>
    <row r="36" spans="1:17" x14ac:dyDescent="0.25">
      <c r="A36" s="2">
        <v>3</v>
      </c>
      <c r="B36" s="8" t="s">
        <v>933</v>
      </c>
      <c r="C36" s="2" t="s">
        <v>10</v>
      </c>
      <c r="D36" s="2">
        <v>5</v>
      </c>
      <c r="E36" s="1" t="str">
        <f>IF(C36="","",VLOOKUP(C36,Table1[#All],2,FALSE))</f>
        <v>uxcell 6063 Aluminum Round Tube 300mm Length 12.7mm OD 6mm Inner Dia Seamless Aluminum Straight Tubing 2 Pcs</v>
      </c>
      <c r="F36" s="2">
        <f t="shared" si="32"/>
        <v>5</v>
      </c>
      <c r="G36" s="46">
        <f>IF(C36&lt;&gt;"",(VLOOKUP(C36,part_details,4,FALSE)+VLOOKUP(C36,part_details,5,FALSE)+VLOOKUP(C36,part_details,6,FALSE))*'Multi-level BOM'!D36,"")</f>
        <v>9.2559166666666665E-2</v>
      </c>
      <c r="H36" s="4">
        <f t="shared" si="13"/>
        <v>1</v>
      </c>
      <c r="I36" s="4">
        <f t="shared" si="14"/>
        <v>1</v>
      </c>
      <c r="J36" s="4">
        <f t="shared" si="15"/>
        <v>1</v>
      </c>
      <c r="K36" s="4">
        <f t="shared" si="16"/>
        <v>5</v>
      </c>
      <c r="L36" s="4">
        <f t="shared" si="17"/>
        <v>1</v>
      </c>
      <c r="M36" s="4">
        <f t="shared" si="18"/>
        <v>1</v>
      </c>
      <c r="N36" s="4">
        <f t="shared" si="19"/>
        <v>1</v>
      </c>
      <c r="O36" s="4">
        <f t="shared" si="20"/>
        <v>1</v>
      </c>
      <c r="P36" s="4">
        <f t="shared" si="21"/>
        <v>1</v>
      </c>
      <c r="Q36" s="4">
        <f t="shared" si="22"/>
        <v>1</v>
      </c>
    </row>
    <row r="37" spans="1:17" x14ac:dyDescent="0.25">
      <c r="A37" s="2">
        <v>3</v>
      </c>
      <c r="B37" s="8" t="s">
        <v>661</v>
      </c>
      <c r="C37" s="2" t="s">
        <v>11</v>
      </c>
      <c r="D37" s="2">
        <v>1</v>
      </c>
      <c r="E37" s="1" t="str">
        <f>IF(C37="","",VLOOKUP(C37,Table1[#All],2,FALSE))</f>
        <v xml:space="preserve">K &amp; S PRECISION METALS 251 .010x4x10 BRS SHT Metal </v>
      </c>
      <c r="F37" s="2">
        <f t="shared" si="32"/>
        <v>1</v>
      </c>
      <c r="G37" s="46">
        <f>IF(C37&lt;&gt;"",(VLOOKUP(C37,part_details,4,FALSE)+VLOOKUP(C37,part_details,5,FALSE)+VLOOKUP(C37,part_details,6,FALSE))*'Multi-level BOM'!D37,"")</f>
        <v>0.23925499999999997</v>
      </c>
      <c r="H37" s="4">
        <f t="shared" si="13"/>
        <v>1</v>
      </c>
      <c r="I37" s="4">
        <f t="shared" si="14"/>
        <v>1</v>
      </c>
      <c r="J37" s="4">
        <f t="shared" si="15"/>
        <v>1</v>
      </c>
      <c r="K37" s="4">
        <f t="shared" si="16"/>
        <v>1</v>
      </c>
      <c r="L37" s="4">
        <f t="shared" si="17"/>
        <v>1</v>
      </c>
      <c r="M37" s="4">
        <f t="shared" si="18"/>
        <v>1</v>
      </c>
      <c r="N37" s="4">
        <f t="shared" si="19"/>
        <v>1</v>
      </c>
      <c r="O37" s="4">
        <f t="shared" si="20"/>
        <v>1</v>
      </c>
      <c r="P37" s="4">
        <f t="shared" si="21"/>
        <v>1</v>
      </c>
      <c r="Q37" s="4">
        <f t="shared" si="22"/>
        <v>1</v>
      </c>
    </row>
    <row r="38" spans="1:17" x14ac:dyDescent="0.25">
      <c r="A38" s="2">
        <v>3</v>
      </c>
      <c r="B38" s="30" t="s">
        <v>934</v>
      </c>
      <c r="C38" s="43" t="s">
        <v>69</v>
      </c>
      <c r="D38" s="2">
        <v>4</v>
      </c>
      <c r="E38" s="1" t="str">
        <f>IF(C38="","",VLOOKUP(C38,Table1[#All],2,FALSE))</f>
        <v>M6 x 25mm button head screw</v>
      </c>
      <c r="F38" s="2">
        <f t="shared" si="32"/>
        <v>4</v>
      </c>
      <c r="G38" s="46">
        <f>IF(C38&lt;&gt;"",(VLOOKUP(C38,part_details,4,FALSE)+VLOOKUP(C38,part_details,5,FALSE)+VLOOKUP(C38,part_details,6,FALSE))*'Multi-level BOM'!D38,"")</f>
        <v>1.2484133333333334</v>
      </c>
      <c r="H38" s="4">
        <f t="shared" si="13"/>
        <v>1</v>
      </c>
      <c r="I38" s="4">
        <f t="shared" si="14"/>
        <v>1</v>
      </c>
      <c r="J38" s="4">
        <f t="shared" si="15"/>
        <v>1</v>
      </c>
      <c r="K38" s="4">
        <f t="shared" si="16"/>
        <v>4</v>
      </c>
      <c r="L38" s="4">
        <f t="shared" si="17"/>
        <v>1</v>
      </c>
      <c r="M38" s="4">
        <f t="shared" si="18"/>
        <v>1</v>
      </c>
      <c r="N38" s="4">
        <f t="shared" si="19"/>
        <v>1</v>
      </c>
      <c r="O38" s="4">
        <f t="shared" si="20"/>
        <v>1</v>
      </c>
      <c r="P38" s="4">
        <f t="shared" si="21"/>
        <v>1</v>
      </c>
      <c r="Q38" s="4">
        <f t="shared" si="22"/>
        <v>1</v>
      </c>
    </row>
    <row r="39" spans="1:17" x14ac:dyDescent="0.25">
      <c r="A39" s="2">
        <v>3</v>
      </c>
      <c r="B39" s="8" t="s">
        <v>672</v>
      </c>
      <c r="C39" s="2" t="s">
        <v>13</v>
      </c>
      <c r="D39" s="2">
        <v>3</v>
      </c>
      <c r="E39" s="1" t="str">
        <f>IF(C39="","",VLOOKUP(C39,Table1[#All],2,FALSE))</f>
        <v>Washer, M6, 304 stainless, OD 12mm, .9mm thick</v>
      </c>
      <c r="F39" s="2">
        <f t="shared" si="32"/>
        <v>3</v>
      </c>
      <c r="G39" s="46">
        <f>IF(C39&lt;&gt;"",(VLOOKUP(C39,part_details,4,FALSE)+VLOOKUP(C39,part_details,5,FALSE)+VLOOKUP(C39,part_details,6,FALSE))*'Multi-level BOM'!D39,"")</f>
        <v>0.13227149999999999</v>
      </c>
      <c r="H39" s="4">
        <f t="shared" si="13"/>
        <v>1</v>
      </c>
      <c r="I39" s="4">
        <f t="shared" si="14"/>
        <v>1</v>
      </c>
      <c r="J39" s="4">
        <f t="shared" si="15"/>
        <v>1</v>
      </c>
      <c r="K39" s="4">
        <f t="shared" si="16"/>
        <v>3</v>
      </c>
      <c r="L39" s="4">
        <f t="shared" si="17"/>
        <v>1</v>
      </c>
      <c r="M39" s="4">
        <f t="shared" si="18"/>
        <v>1</v>
      </c>
      <c r="N39" s="4">
        <f t="shared" si="19"/>
        <v>1</v>
      </c>
      <c r="O39" s="4">
        <f t="shared" si="20"/>
        <v>1</v>
      </c>
      <c r="P39" s="4">
        <f t="shared" si="21"/>
        <v>1</v>
      </c>
      <c r="Q39" s="4">
        <f t="shared" si="22"/>
        <v>1</v>
      </c>
    </row>
    <row r="40" spans="1:17" x14ac:dyDescent="0.25">
      <c r="A40" s="2">
        <v>3</v>
      </c>
      <c r="B40" s="8" t="s">
        <v>752</v>
      </c>
      <c r="C40" s="2" t="s">
        <v>28</v>
      </c>
      <c r="D40" s="2">
        <v>1</v>
      </c>
      <c r="E40" s="1" t="str">
        <f>IF(C40="","",VLOOKUP(C40,Table1[#All],2,FALSE))</f>
        <v xml:space="preserve">M6 x 1.0mm Nylon Inserted Hex Lock Nuts 304 Stainless Steel </v>
      </c>
      <c r="F40" s="2">
        <f t="shared" si="32"/>
        <v>1</v>
      </c>
      <c r="G40" s="46">
        <f>IF(C40&lt;&gt;"",(VLOOKUP(C40,part_details,4,FALSE)+VLOOKUP(C40,part_details,5,FALSE)+VLOOKUP(C40,part_details,6,FALSE))*'Multi-level BOM'!D40,"")</f>
        <v>0.19246285714285716</v>
      </c>
      <c r="H40" s="4">
        <f t="shared" ref="H40:Q40" si="36">IF($A40="",H38,
    IF(H$2=$A40,$D40,
       IF(H$2&lt;$A40,H38,
           1
)))</f>
        <v>1</v>
      </c>
      <c r="I40" s="4">
        <f t="shared" si="36"/>
        <v>1</v>
      </c>
      <c r="J40" s="4">
        <f t="shared" si="36"/>
        <v>1</v>
      </c>
      <c r="K40" s="4">
        <f t="shared" si="36"/>
        <v>1</v>
      </c>
      <c r="L40" s="4">
        <f t="shared" si="36"/>
        <v>1</v>
      </c>
      <c r="M40" s="4">
        <f t="shared" si="36"/>
        <v>1</v>
      </c>
      <c r="N40" s="4">
        <f t="shared" si="36"/>
        <v>1</v>
      </c>
      <c r="O40" s="4">
        <f t="shared" si="36"/>
        <v>1</v>
      </c>
      <c r="P40" s="4">
        <f t="shared" si="36"/>
        <v>1</v>
      </c>
      <c r="Q40" s="4">
        <f t="shared" si="36"/>
        <v>1</v>
      </c>
    </row>
    <row r="41" spans="1:17" x14ac:dyDescent="0.25">
      <c r="A41" s="2">
        <v>3</v>
      </c>
      <c r="B41" s="8" t="s">
        <v>937</v>
      </c>
      <c r="C41" s="2" t="s">
        <v>70</v>
      </c>
      <c r="D41" s="2">
        <v>2</v>
      </c>
      <c r="E41" s="1" t="str">
        <f>IF(C41="","",VLOOKUP(C41,Table1[#All],2,FALSE))</f>
        <v>Aluminum bar .75 square, 12" long</v>
      </c>
      <c r="F41" s="2">
        <f>PRODUCT(H41:Q41)</f>
        <v>2</v>
      </c>
      <c r="G41" s="46">
        <f>IF(C41&lt;&gt;"",(VLOOKUP(C41,part_details,4,FALSE)+VLOOKUP(C41,part_details,5,FALSE)+VLOOKUP(C41,part_details,6,FALSE))*'Multi-level BOM'!D41,"")</f>
        <v>0.78647692307692307</v>
      </c>
      <c r="H41" s="4">
        <f t="shared" ref="H41:Q41" si="37">IF($A41="",H39,
    IF(H$2=$A41,$D41,
       IF(H$2&lt;$A41,H39,
           1
)))</f>
        <v>1</v>
      </c>
      <c r="I41" s="4">
        <f t="shared" si="37"/>
        <v>1</v>
      </c>
      <c r="J41" s="4">
        <f t="shared" si="37"/>
        <v>1</v>
      </c>
      <c r="K41" s="4">
        <f t="shared" si="37"/>
        <v>2</v>
      </c>
      <c r="L41" s="4">
        <f t="shared" si="37"/>
        <v>1</v>
      </c>
      <c r="M41" s="4">
        <f t="shared" si="37"/>
        <v>1</v>
      </c>
      <c r="N41" s="4">
        <f t="shared" si="37"/>
        <v>1</v>
      </c>
      <c r="O41" s="4">
        <f t="shared" si="37"/>
        <v>1</v>
      </c>
      <c r="P41" s="4">
        <f t="shared" si="37"/>
        <v>1</v>
      </c>
      <c r="Q41" s="4">
        <f t="shared" si="37"/>
        <v>1</v>
      </c>
    </row>
    <row r="42" spans="1:17" x14ac:dyDescent="0.25">
      <c r="A42" s="2">
        <v>3</v>
      </c>
      <c r="B42" s="8" t="s">
        <v>938</v>
      </c>
      <c r="C42" s="2" t="s">
        <v>70</v>
      </c>
      <c r="D42" s="2">
        <v>2</v>
      </c>
      <c r="E42" s="1" t="str">
        <f>IF(C42="","",VLOOKUP(C42,Table1[#All],2,FALSE))</f>
        <v>Aluminum bar .75 square, 12" long</v>
      </c>
      <c r="F42" s="2">
        <f>PRODUCT(H42:Q42)</f>
        <v>2</v>
      </c>
      <c r="G42" s="46">
        <f>IF(C42&lt;&gt;"",(VLOOKUP(C42,part_details,4,FALSE)+VLOOKUP(C42,part_details,5,FALSE)+VLOOKUP(C42,part_details,6,FALSE))*'Multi-level BOM'!D42,"")</f>
        <v>0.78647692307692307</v>
      </c>
      <c r="H42" s="4">
        <f t="shared" ref="H42:Q42" si="38">IF($A42="",H40,
    IF(H$2=$A42,$D42,
       IF(H$2&lt;$A42,H40,
           1
)))</f>
        <v>1</v>
      </c>
      <c r="I42" s="4">
        <f t="shared" si="38"/>
        <v>1</v>
      </c>
      <c r="J42" s="4">
        <f t="shared" si="38"/>
        <v>1</v>
      </c>
      <c r="K42" s="4">
        <f t="shared" si="38"/>
        <v>2</v>
      </c>
      <c r="L42" s="4">
        <f t="shared" si="38"/>
        <v>1</v>
      </c>
      <c r="M42" s="4">
        <f t="shared" si="38"/>
        <v>1</v>
      </c>
      <c r="N42" s="4">
        <f t="shared" si="38"/>
        <v>1</v>
      </c>
      <c r="O42" s="4">
        <f t="shared" si="38"/>
        <v>1</v>
      </c>
      <c r="P42" s="4">
        <f t="shared" si="38"/>
        <v>1</v>
      </c>
      <c r="Q42" s="4">
        <f t="shared" si="38"/>
        <v>1</v>
      </c>
    </row>
    <row r="43" spans="1:17" x14ac:dyDescent="0.25">
      <c r="B43" s="8"/>
      <c r="E43" s="1" t="str">
        <f>IF(C43="","",VLOOKUP(C43,Table1[#All],2,FALSE))</f>
        <v/>
      </c>
      <c r="G43" s="46" t="str">
        <f>IF(C43&lt;&gt;"",VLOOKUP(C43,part_details,4,FALSE)*'Multi-level BOM'!D43,"")</f>
        <v/>
      </c>
      <c r="H43" s="4">
        <f t="shared" ref="H43:Q43" si="39">IF($A43="",H41,
    IF(H$2=$A43,$D43,
       IF(H$2&lt;$A43,H41,
           1
)))</f>
        <v>1</v>
      </c>
      <c r="I43" s="4">
        <f t="shared" si="39"/>
        <v>1</v>
      </c>
      <c r="J43" s="4">
        <f t="shared" si="39"/>
        <v>1</v>
      </c>
      <c r="K43" s="4">
        <f t="shared" si="39"/>
        <v>2</v>
      </c>
      <c r="L43" s="4">
        <f t="shared" si="39"/>
        <v>1</v>
      </c>
      <c r="M43" s="4">
        <f t="shared" si="39"/>
        <v>1</v>
      </c>
      <c r="N43" s="4">
        <f t="shared" si="39"/>
        <v>1</v>
      </c>
      <c r="O43" s="4">
        <f t="shared" si="39"/>
        <v>1</v>
      </c>
      <c r="P43" s="4">
        <f t="shared" si="39"/>
        <v>1</v>
      </c>
      <c r="Q43" s="4">
        <f t="shared" si="39"/>
        <v>1</v>
      </c>
    </row>
    <row r="44" spans="1:17" x14ac:dyDescent="0.25">
      <c r="A44" s="2">
        <v>2</v>
      </c>
      <c r="B44" s="8" t="s">
        <v>680</v>
      </c>
      <c r="D44" s="2">
        <v>1</v>
      </c>
      <c r="E44" s="1" t="str">
        <f>IF(C44="","",VLOOKUP(C44,Table1[#All],2,FALSE))</f>
        <v/>
      </c>
      <c r="F44" s="2">
        <f t="shared" si="32"/>
        <v>1</v>
      </c>
      <c r="G44" s="47">
        <f>F44*SUM(G45:G50)</f>
        <v>50.448944928571429</v>
      </c>
      <c r="H44" s="4">
        <f t="shared" ref="H44:Q44" si="40">IF($A44="",H32,
    IF(H$2=$A44,$D44,
       IF(H$2&lt;$A44,H32,
           1
)))</f>
        <v>1</v>
      </c>
      <c r="I44" s="4">
        <f t="shared" si="40"/>
        <v>1</v>
      </c>
      <c r="J44" s="4">
        <f t="shared" si="40"/>
        <v>1</v>
      </c>
      <c r="K44" s="4">
        <f t="shared" si="40"/>
        <v>1</v>
      </c>
      <c r="L44" s="4">
        <f t="shared" si="40"/>
        <v>1</v>
      </c>
      <c r="M44" s="4">
        <f t="shared" si="40"/>
        <v>1</v>
      </c>
      <c r="N44" s="4">
        <f t="shared" si="40"/>
        <v>1</v>
      </c>
      <c r="O44" s="4">
        <f t="shared" si="40"/>
        <v>1</v>
      </c>
      <c r="P44" s="4">
        <f t="shared" si="40"/>
        <v>1</v>
      </c>
      <c r="Q44" s="4">
        <f t="shared" si="40"/>
        <v>1</v>
      </c>
    </row>
    <row r="45" spans="1:17" x14ac:dyDescent="0.25">
      <c r="A45" s="2">
        <v>3</v>
      </c>
      <c r="B45" s="8" t="s">
        <v>681</v>
      </c>
      <c r="C45" s="2" t="s">
        <v>14</v>
      </c>
      <c r="D45" s="2">
        <v>1</v>
      </c>
      <c r="E45" s="1" t="str">
        <f>IF(C45="","",VLOOKUP(C45,Table1[#All],2,FALSE))</f>
        <v>0.9 deg Nema 23 Step Motor Bipolar 1.26Nm(178.4oz.in) 2.8A 4-lead, 6.35 shaft dia</v>
      </c>
      <c r="F45" s="2">
        <f t="shared" si="32"/>
        <v>1</v>
      </c>
      <c r="G45" s="46">
        <f>IF(C45&lt;&gt;"",(VLOOKUP(C45,part_details,4,FALSE)+VLOOKUP(C45,part_details,5,FALSE)+VLOOKUP(C45,part_details,6,FALSE))*'Multi-level BOM'!D45,"")</f>
        <v>38.346199999999996</v>
      </c>
      <c r="H45" s="4">
        <f t="shared" ref="H45:Q45" si="41">IF($A45="",H33,
    IF(H$2=$A45,$D45,
       IF(H$2&lt;$A45,H33,
           1
)))</f>
        <v>1</v>
      </c>
      <c r="I45" s="4">
        <f t="shared" si="41"/>
        <v>1</v>
      </c>
      <c r="J45" s="4">
        <f t="shared" si="41"/>
        <v>1</v>
      </c>
      <c r="K45" s="4">
        <f t="shared" si="41"/>
        <v>1</v>
      </c>
      <c r="L45" s="4">
        <f t="shared" si="41"/>
        <v>1</v>
      </c>
      <c r="M45" s="4">
        <f t="shared" si="41"/>
        <v>1</v>
      </c>
      <c r="N45" s="4">
        <f t="shared" si="41"/>
        <v>1</v>
      </c>
      <c r="O45" s="4">
        <f t="shared" si="41"/>
        <v>1</v>
      </c>
      <c r="P45" s="4">
        <f t="shared" si="41"/>
        <v>1</v>
      </c>
      <c r="Q45" s="4">
        <f t="shared" si="41"/>
        <v>1</v>
      </c>
    </row>
    <row r="46" spans="1:17" x14ac:dyDescent="0.25">
      <c r="A46" s="2">
        <v>3</v>
      </c>
      <c r="B46" s="8" t="s">
        <v>683</v>
      </c>
      <c r="C46" s="2" t="s">
        <v>15</v>
      </c>
      <c r="D46" s="2">
        <f>4*38.5+0.5</f>
        <v>154.5</v>
      </c>
      <c r="E46" s="1" t="str">
        <f>IF(C46="","",VLOOKUP(C46,Table1[#All],2,FALSE))</f>
        <v>uxcell 6063 Aluminum Round Tube 300mm Length 12mm OD 5mm Inner Dia Seamless Aluminum Straight Tubing</v>
      </c>
      <c r="F46" s="2">
        <f t="shared" si="32"/>
        <v>154.5</v>
      </c>
      <c r="G46" s="46">
        <f>IF(C46&lt;&gt;"",(VLOOKUP(C46,part_details,4,FALSE)+VLOOKUP(C46,part_details,5,FALSE)+VLOOKUP(C46,part_details,6,FALSE))*'Multi-level BOM'!D46,"")</f>
        <v>5.6640215000000005</v>
      </c>
      <c r="H46" s="4">
        <f t="shared" ref="H46:Q46" si="42">IF($A46="",H44,
    IF(H$2=$A46,$D46,
       IF(H$2&lt;$A46,H44,
           1
)))</f>
        <v>1</v>
      </c>
      <c r="I46" s="4">
        <f t="shared" si="42"/>
        <v>1</v>
      </c>
      <c r="J46" s="4">
        <f t="shared" si="42"/>
        <v>1</v>
      </c>
      <c r="K46" s="4">
        <f t="shared" si="42"/>
        <v>154.5</v>
      </c>
      <c r="L46" s="4">
        <f t="shared" si="42"/>
        <v>1</v>
      </c>
      <c r="M46" s="4">
        <f t="shared" si="42"/>
        <v>1</v>
      </c>
      <c r="N46" s="4">
        <f t="shared" si="42"/>
        <v>1</v>
      </c>
      <c r="O46" s="4">
        <f t="shared" si="42"/>
        <v>1</v>
      </c>
      <c r="P46" s="4">
        <f t="shared" si="42"/>
        <v>1</v>
      </c>
      <c r="Q46" s="4">
        <f t="shared" si="42"/>
        <v>1</v>
      </c>
    </row>
    <row r="47" spans="1:17" x14ac:dyDescent="0.25">
      <c r="A47" s="2">
        <v>3</v>
      </c>
      <c r="B47" s="30" t="s">
        <v>771</v>
      </c>
      <c r="C47" s="2" t="s">
        <v>16</v>
      </c>
      <c r="D47" s="2">
        <v>4</v>
      </c>
      <c r="E47" s="1" t="str">
        <f>IF(C47="","",VLOOKUP(C47,Table1[#All],2,FALSE))</f>
        <v>M5 x 65mm 12.9 Alloy Steel Hex Socket Head Cap Screws Bolt Black</v>
      </c>
      <c r="F47" s="2">
        <f>PRODUCT(H47:Q47)</f>
        <v>4</v>
      </c>
      <c r="G47" s="46">
        <f>IF(C47&lt;&gt;"",(VLOOKUP(C47,part_details,4,FALSE)+VLOOKUP(C47,part_details,5,FALSE)+VLOOKUP(C47,part_details,6,FALSE))*'Multi-level BOM'!D47,"")</f>
        <v>2.3587600000000002</v>
      </c>
      <c r="H47" s="4">
        <f t="shared" si="13"/>
        <v>1</v>
      </c>
      <c r="I47" s="4">
        <f t="shared" si="14"/>
        <v>1</v>
      </c>
      <c r="J47" s="4">
        <f t="shared" si="15"/>
        <v>1</v>
      </c>
      <c r="K47" s="4">
        <f t="shared" si="16"/>
        <v>4</v>
      </c>
      <c r="L47" s="4">
        <f t="shared" si="17"/>
        <v>1</v>
      </c>
      <c r="M47" s="4">
        <f t="shared" si="18"/>
        <v>1</v>
      </c>
      <c r="N47" s="4">
        <f t="shared" si="19"/>
        <v>1</v>
      </c>
      <c r="O47" s="4">
        <f t="shared" si="20"/>
        <v>1</v>
      </c>
      <c r="P47" s="4">
        <f t="shared" si="21"/>
        <v>1</v>
      </c>
      <c r="Q47" s="4">
        <f t="shared" si="22"/>
        <v>1</v>
      </c>
    </row>
    <row r="48" spans="1:17" x14ac:dyDescent="0.25">
      <c r="A48" s="2">
        <v>3</v>
      </c>
      <c r="B48" s="8" t="s">
        <v>695</v>
      </c>
      <c r="C48" s="2" t="s">
        <v>19</v>
      </c>
      <c r="D48" s="2">
        <v>1</v>
      </c>
      <c r="E48" s="1" t="str">
        <f>IF(C48="","",VLOOKUP(C48,Table1[#All],2,FALSE))</f>
        <v xml:space="preserve">BALITENSEN 4 pcs 2GT 20 teeth Timing Pulley bore 6.35 for GT2 belt width 10mm for CNC 3D printer(GT2 20teeth) </v>
      </c>
      <c r="F48" s="2">
        <f>PRODUCT(H48:Q48)</f>
        <v>1</v>
      </c>
      <c r="G48" s="46">
        <f>IF(C48&lt;&gt;"",(VLOOKUP(C48,part_details,4,FALSE)+VLOOKUP(C48,part_details,5,FALSE)+VLOOKUP(C48,part_details,6,FALSE))*'Multi-level BOM'!D48,"")</f>
        <v>3.13375</v>
      </c>
      <c r="H48" s="4">
        <f t="shared" si="13"/>
        <v>1</v>
      </c>
      <c r="I48" s="4">
        <f t="shared" si="14"/>
        <v>1</v>
      </c>
      <c r="J48" s="4">
        <f t="shared" si="15"/>
        <v>1</v>
      </c>
      <c r="K48" s="4">
        <f t="shared" si="16"/>
        <v>1</v>
      </c>
      <c r="L48" s="4">
        <f t="shared" si="17"/>
        <v>1</v>
      </c>
      <c r="M48" s="4">
        <f t="shared" si="18"/>
        <v>1</v>
      </c>
      <c r="N48" s="4">
        <f t="shared" si="19"/>
        <v>1</v>
      </c>
      <c r="O48" s="4">
        <f t="shared" si="20"/>
        <v>1</v>
      </c>
      <c r="P48" s="4">
        <f t="shared" si="21"/>
        <v>1</v>
      </c>
      <c r="Q48" s="4">
        <f t="shared" si="22"/>
        <v>1</v>
      </c>
    </row>
    <row r="49" spans="1:17" x14ac:dyDescent="0.25">
      <c r="A49" s="2">
        <v>3</v>
      </c>
      <c r="B49" s="8" t="s">
        <v>672</v>
      </c>
      <c r="C49" s="2" t="s">
        <v>13</v>
      </c>
      <c r="D49" s="2">
        <v>4</v>
      </c>
      <c r="E49" s="1" t="str">
        <f>IF(C49="","",VLOOKUP(C49,Table1[#All],2,FALSE))</f>
        <v>Washer, M6, 304 stainless, OD 12mm, .9mm thick</v>
      </c>
      <c r="F49" s="2">
        <f>PRODUCT(H49:Q49)</f>
        <v>4</v>
      </c>
      <c r="G49" s="46">
        <f>IF(C49&lt;&gt;"",(VLOOKUP(C49,part_details,4,FALSE)+VLOOKUP(C49,part_details,5,FALSE)+VLOOKUP(C49,part_details,6,FALSE))*'Multi-level BOM'!D49,"")</f>
        <v>0.17636199999999999</v>
      </c>
      <c r="H49" s="4">
        <f t="shared" si="13"/>
        <v>1</v>
      </c>
      <c r="I49" s="4">
        <f t="shared" si="14"/>
        <v>1</v>
      </c>
      <c r="J49" s="4">
        <f t="shared" si="15"/>
        <v>1</v>
      </c>
      <c r="K49" s="4">
        <f t="shared" si="16"/>
        <v>4</v>
      </c>
      <c r="L49" s="4">
        <f t="shared" si="17"/>
        <v>1</v>
      </c>
      <c r="M49" s="4">
        <f t="shared" si="18"/>
        <v>1</v>
      </c>
      <c r="N49" s="4">
        <f t="shared" si="19"/>
        <v>1</v>
      </c>
      <c r="O49" s="4">
        <f t="shared" si="20"/>
        <v>1</v>
      </c>
      <c r="P49" s="4">
        <f t="shared" si="21"/>
        <v>1</v>
      </c>
      <c r="Q49" s="4">
        <f t="shared" si="22"/>
        <v>1</v>
      </c>
    </row>
    <row r="50" spans="1:17" x14ac:dyDescent="0.25">
      <c r="A50" s="2">
        <v>3</v>
      </c>
      <c r="B50" s="8" t="s">
        <v>752</v>
      </c>
      <c r="C50" s="2" t="s">
        <v>28</v>
      </c>
      <c r="D50" s="2">
        <v>4</v>
      </c>
      <c r="E50" s="1" t="str">
        <f>IF(C50="","",VLOOKUP(C50,Table1[#All],2,FALSE))</f>
        <v xml:space="preserve">M6 x 1.0mm Nylon Inserted Hex Lock Nuts 304 Stainless Steel </v>
      </c>
      <c r="F50" s="2">
        <f>PRODUCT(H50:Q50)</f>
        <v>4</v>
      </c>
      <c r="G50" s="46">
        <f>IF(C50&lt;&gt;"",(VLOOKUP(C50,part_details,4,FALSE)+VLOOKUP(C50,part_details,5,FALSE)+VLOOKUP(C50,part_details,6,FALSE))*'Multi-level BOM'!D50,"")</f>
        <v>0.76985142857142863</v>
      </c>
      <c r="H50" s="4">
        <f t="shared" si="13"/>
        <v>1</v>
      </c>
      <c r="I50" s="4">
        <f t="shared" si="14"/>
        <v>1</v>
      </c>
      <c r="J50" s="4">
        <f t="shared" si="15"/>
        <v>1</v>
      </c>
      <c r="K50" s="4">
        <f t="shared" si="16"/>
        <v>4</v>
      </c>
      <c r="L50" s="4">
        <f t="shared" si="17"/>
        <v>1</v>
      </c>
      <c r="M50" s="4">
        <f t="shared" si="18"/>
        <v>1</v>
      </c>
      <c r="N50" s="4">
        <f t="shared" si="19"/>
        <v>1</v>
      </c>
      <c r="O50" s="4">
        <f t="shared" si="20"/>
        <v>1</v>
      </c>
      <c r="P50" s="4">
        <f t="shared" si="21"/>
        <v>1</v>
      </c>
      <c r="Q50" s="4">
        <f t="shared" si="22"/>
        <v>1</v>
      </c>
    </row>
    <row r="51" spans="1:17" x14ac:dyDescent="0.25">
      <c r="B51" s="8"/>
      <c r="E51" s="1" t="str">
        <f>IF(C51="","",VLOOKUP(C51,Table1[#All],2,FALSE))</f>
        <v/>
      </c>
      <c r="G51" s="46" t="str">
        <f>IF(C51&lt;&gt;"",VLOOKUP(C51,part_details,4,FALSE)*'Multi-level BOM'!D51,"")</f>
        <v/>
      </c>
      <c r="H51" s="4">
        <f t="shared" si="13"/>
        <v>1</v>
      </c>
      <c r="I51" s="4">
        <f t="shared" si="14"/>
        <v>1</v>
      </c>
      <c r="J51" s="4">
        <f t="shared" si="15"/>
        <v>1</v>
      </c>
      <c r="K51" s="4">
        <f t="shared" si="16"/>
        <v>4</v>
      </c>
      <c r="L51" s="4">
        <f t="shared" si="17"/>
        <v>1</v>
      </c>
      <c r="M51" s="4">
        <f t="shared" si="18"/>
        <v>1</v>
      </c>
      <c r="N51" s="4">
        <f t="shared" si="19"/>
        <v>1</v>
      </c>
      <c r="O51" s="4">
        <f t="shared" si="20"/>
        <v>1</v>
      </c>
      <c r="P51" s="4">
        <f t="shared" si="21"/>
        <v>1</v>
      </c>
      <c r="Q51" s="4">
        <f t="shared" si="22"/>
        <v>1</v>
      </c>
    </row>
    <row r="52" spans="1:17" x14ac:dyDescent="0.25">
      <c r="A52" s="2">
        <v>2</v>
      </c>
      <c r="B52" s="8" t="s">
        <v>686</v>
      </c>
      <c r="D52" s="2">
        <v>1</v>
      </c>
      <c r="E52" s="1" t="str">
        <f>IF(C52="","",VLOOKUP(C52,Table1[#All],2,FALSE))</f>
        <v/>
      </c>
      <c r="F52" s="2">
        <f t="shared" ref="F52:F58" si="43">PRODUCT(H52:Q52)</f>
        <v>1</v>
      </c>
      <c r="G52" s="47">
        <f>F52*SUM(G53:G58)</f>
        <v>54.577719595238086</v>
      </c>
      <c r="H52" s="4">
        <f t="shared" si="13"/>
        <v>1</v>
      </c>
      <c r="I52" s="4">
        <f t="shared" si="14"/>
        <v>1</v>
      </c>
      <c r="J52" s="4">
        <f t="shared" si="15"/>
        <v>1</v>
      </c>
      <c r="K52" s="4">
        <f t="shared" si="16"/>
        <v>1</v>
      </c>
      <c r="L52" s="4">
        <f t="shared" si="17"/>
        <v>1</v>
      </c>
      <c r="M52" s="4">
        <f t="shared" si="18"/>
        <v>1</v>
      </c>
      <c r="N52" s="4">
        <f t="shared" si="19"/>
        <v>1</v>
      </c>
      <c r="O52" s="4">
        <f t="shared" si="20"/>
        <v>1</v>
      </c>
      <c r="P52" s="4">
        <f t="shared" si="21"/>
        <v>1</v>
      </c>
      <c r="Q52" s="4">
        <f t="shared" si="22"/>
        <v>1</v>
      </c>
    </row>
    <row r="53" spans="1:17" x14ac:dyDescent="0.25">
      <c r="A53" s="2">
        <v>3</v>
      </c>
      <c r="B53" s="8" t="s">
        <v>681</v>
      </c>
      <c r="C53" s="2" t="s">
        <v>14</v>
      </c>
      <c r="D53" s="2">
        <v>1</v>
      </c>
      <c r="E53" s="1" t="str">
        <f>IF(C53="","",VLOOKUP(C53,Table1[#All],2,FALSE))</f>
        <v>0.9 deg Nema 23 Step Motor Bipolar 1.26Nm(178.4oz.in) 2.8A 4-lead, 6.35 shaft dia</v>
      </c>
      <c r="F53" s="2">
        <f t="shared" si="43"/>
        <v>1</v>
      </c>
      <c r="G53" s="46">
        <f>IF(C53&lt;&gt;"",(VLOOKUP(C53,part_details,4,FALSE)+VLOOKUP(C53,part_details,5,FALSE)+VLOOKUP(C53,part_details,6,FALSE))*'Multi-level BOM'!D53,"")</f>
        <v>38.346199999999996</v>
      </c>
      <c r="H53" s="4">
        <f t="shared" si="13"/>
        <v>1</v>
      </c>
      <c r="I53" s="4">
        <f t="shared" si="14"/>
        <v>1</v>
      </c>
      <c r="J53" s="4">
        <f t="shared" si="15"/>
        <v>1</v>
      </c>
      <c r="K53" s="4">
        <f t="shared" si="16"/>
        <v>1</v>
      </c>
      <c r="L53" s="4">
        <f t="shared" si="17"/>
        <v>1</v>
      </c>
      <c r="M53" s="4">
        <f t="shared" si="18"/>
        <v>1</v>
      </c>
      <c r="N53" s="4">
        <f t="shared" si="19"/>
        <v>1</v>
      </c>
      <c r="O53" s="4">
        <f t="shared" si="20"/>
        <v>1</v>
      </c>
      <c r="P53" s="4">
        <f t="shared" si="21"/>
        <v>1</v>
      </c>
      <c r="Q53" s="4">
        <f t="shared" si="22"/>
        <v>1</v>
      </c>
    </row>
    <row r="54" spans="1:17" x14ac:dyDescent="0.25">
      <c r="A54" s="2">
        <v>3</v>
      </c>
      <c r="B54" s="8" t="s">
        <v>687</v>
      </c>
      <c r="C54" s="2" t="s">
        <v>15</v>
      </c>
      <c r="D54" s="2">
        <f>4*49.5+0.5</f>
        <v>198.5</v>
      </c>
      <c r="E54" s="1" t="str">
        <f>IF(C54="","",VLOOKUP(C54,Table1[#All],2,FALSE))</f>
        <v>uxcell 6063 Aluminum Round Tube 300mm Length 12mm OD 5mm Inner Dia Seamless Aluminum Straight Tubing</v>
      </c>
      <c r="F54" s="2">
        <f t="shared" si="43"/>
        <v>198.5</v>
      </c>
      <c r="G54" s="46">
        <f>IF(C54&lt;&gt;"",(VLOOKUP(C54,part_details,4,FALSE)+VLOOKUP(C54,part_details,5,FALSE)+VLOOKUP(C54,part_details,6,FALSE))*'Multi-level BOM'!D54,"")</f>
        <v>7.2770761666666672</v>
      </c>
      <c r="H54" s="4">
        <f t="shared" si="13"/>
        <v>1</v>
      </c>
      <c r="I54" s="4">
        <f t="shared" si="14"/>
        <v>1</v>
      </c>
      <c r="J54" s="4">
        <f t="shared" si="15"/>
        <v>1</v>
      </c>
      <c r="K54" s="4">
        <f t="shared" si="16"/>
        <v>198.5</v>
      </c>
      <c r="L54" s="4">
        <f t="shared" si="17"/>
        <v>1</v>
      </c>
      <c r="M54" s="4">
        <f t="shared" si="18"/>
        <v>1</v>
      </c>
      <c r="N54" s="4">
        <f t="shared" si="19"/>
        <v>1</v>
      </c>
      <c r="O54" s="4">
        <f t="shared" si="20"/>
        <v>1</v>
      </c>
      <c r="P54" s="4">
        <f t="shared" si="21"/>
        <v>1</v>
      </c>
      <c r="Q54" s="4">
        <f t="shared" si="22"/>
        <v>1</v>
      </c>
    </row>
    <row r="55" spans="1:17" x14ac:dyDescent="0.25">
      <c r="A55" s="2">
        <v>3</v>
      </c>
      <c r="B55" s="30" t="s">
        <v>774</v>
      </c>
      <c r="C55" s="2" t="s">
        <v>36</v>
      </c>
      <c r="D55" s="2">
        <v>4</v>
      </c>
      <c r="E55" s="1" t="str">
        <f>IF(C55="","",VLOOKUP(C55,Table1[#All],2,FALSE))</f>
        <v>Prime-Line 9180997 Socket Head Cap Screws, Class 12.9 Metric, Hex (Allen) Drive, M5-0.8 X 75MM, Black Oxide Coated Steel</v>
      </c>
      <c r="F55" s="2">
        <f t="shared" si="43"/>
        <v>4</v>
      </c>
      <c r="G55" s="46">
        <f>IF(C55&lt;&gt;"",(VLOOKUP(C55,part_details,4,FALSE)+VLOOKUP(C55,part_details,5,FALSE)+VLOOKUP(C55,part_details,6,FALSE))*'Multi-level BOM'!D55,"")</f>
        <v>4.8744799999999993</v>
      </c>
      <c r="H55" s="4">
        <f t="shared" si="13"/>
        <v>1</v>
      </c>
      <c r="I55" s="4">
        <f t="shared" si="14"/>
        <v>1</v>
      </c>
      <c r="J55" s="4">
        <f t="shared" si="15"/>
        <v>1</v>
      </c>
      <c r="K55" s="4">
        <f t="shared" si="16"/>
        <v>4</v>
      </c>
      <c r="L55" s="4">
        <f t="shared" si="17"/>
        <v>1</v>
      </c>
      <c r="M55" s="4">
        <f t="shared" si="18"/>
        <v>1</v>
      </c>
      <c r="N55" s="4">
        <f t="shared" si="19"/>
        <v>1</v>
      </c>
      <c r="O55" s="4">
        <f t="shared" si="20"/>
        <v>1</v>
      </c>
      <c r="P55" s="4">
        <f t="shared" si="21"/>
        <v>1</v>
      </c>
      <c r="Q55" s="4">
        <f t="shared" si="22"/>
        <v>1</v>
      </c>
    </row>
    <row r="56" spans="1:17" x14ac:dyDescent="0.25">
      <c r="A56" s="2">
        <v>3</v>
      </c>
      <c r="B56" s="8" t="s">
        <v>695</v>
      </c>
      <c r="C56" s="2" t="s">
        <v>19</v>
      </c>
      <c r="D56" s="2">
        <v>1</v>
      </c>
      <c r="E56" s="1" t="str">
        <f>IF(C56="","",VLOOKUP(C56,Table1[#All],2,FALSE))</f>
        <v xml:space="preserve">BALITENSEN 4 pcs 2GT 20 teeth Timing Pulley bore 6.35 for GT2 belt width 10mm for CNC 3D printer(GT2 20teeth) </v>
      </c>
      <c r="F56" s="2">
        <f t="shared" si="43"/>
        <v>1</v>
      </c>
      <c r="G56" s="46">
        <f>IF(C56&lt;&gt;"",(VLOOKUP(C56,part_details,4,FALSE)+VLOOKUP(C56,part_details,5,FALSE)+VLOOKUP(C56,part_details,6,FALSE))*'Multi-level BOM'!D56,"")</f>
        <v>3.13375</v>
      </c>
      <c r="H56" s="4">
        <f t="shared" si="13"/>
        <v>1</v>
      </c>
      <c r="I56" s="4">
        <f t="shared" si="14"/>
        <v>1</v>
      </c>
      <c r="J56" s="4">
        <f t="shared" si="15"/>
        <v>1</v>
      </c>
      <c r="K56" s="4">
        <f t="shared" si="16"/>
        <v>1</v>
      </c>
      <c r="L56" s="4">
        <f t="shared" si="17"/>
        <v>1</v>
      </c>
      <c r="M56" s="4">
        <f t="shared" si="18"/>
        <v>1</v>
      </c>
      <c r="N56" s="4">
        <f t="shared" si="19"/>
        <v>1</v>
      </c>
      <c r="O56" s="4">
        <f t="shared" si="20"/>
        <v>1</v>
      </c>
      <c r="P56" s="4">
        <f t="shared" si="21"/>
        <v>1</v>
      </c>
      <c r="Q56" s="4">
        <f t="shared" si="22"/>
        <v>1</v>
      </c>
    </row>
    <row r="57" spans="1:17" x14ac:dyDescent="0.25">
      <c r="A57" s="2">
        <v>3</v>
      </c>
      <c r="B57" s="8" t="s">
        <v>672</v>
      </c>
      <c r="C57" s="2" t="s">
        <v>13</v>
      </c>
      <c r="D57" s="2">
        <v>4</v>
      </c>
      <c r="E57" s="1" t="str">
        <f>IF(C57="","",VLOOKUP(C57,Table1[#All],2,FALSE))</f>
        <v>Washer, M6, 304 stainless, OD 12mm, .9mm thick</v>
      </c>
      <c r="F57" s="2">
        <f t="shared" si="43"/>
        <v>4</v>
      </c>
      <c r="G57" s="46">
        <f>IF(C57&lt;&gt;"",(VLOOKUP(C57,part_details,4,FALSE)+VLOOKUP(C57,part_details,5,FALSE)+VLOOKUP(C57,part_details,6,FALSE))*'Multi-level BOM'!D57,"")</f>
        <v>0.17636199999999999</v>
      </c>
      <c r="H57" s="4">
        <f t="shared" si="13"/>
        <v>1</v>
      </c>
      <c r="I57" s="4">
        <f t="shared" si="14"/>
        <v>1</v>
      </c>
      <c r="J57" s="4">
        <f t="shared" si="15"/>
        <v>1</v>
      </c>
      <c r="K57" s="4">
        <f t="shared" si="16"/>
        <v>4</v>
      </c>
      <c r="L57" s="4">
        <f t="shared" si="17"/>
        <v>1</v>
      </c>
      <c r="M57" s="4">
        <f t="shared" si="18"/>
        <v>1</v>
      </c>
      <c r="N57" s="4">
        <f t="shared" si="19"/>
        <v>1</v>
      </c>
      <c r="O57" s="4">
        <f t="shared" si="20"/>
        <v>1</v>
      </c>
      <c r="P57" s="4">
        <f t="shared" si="21"/>
        <v>1</v>
      </c>
      <c r="Q57" s="4">
        <f t="shared" si="22"/>
        <v>1</v>
      </c>
    </row>
    <row r="58" spans="1:17" x14ac:dyDescent="0.25">
      <c r="A58" s="2">
        <v>3</v>
      </c>
      <c r="B58" s="8" t="s">
        <v>752</v>
      </c>
      <c r="C58" s="2" t="s">
        <v>28</v>
      </c>
      <c r="D58" s="2">
        <v>4</v>
      </c>
      <c r="E58" s="1" t="str">
        <f>IF(C58="","",VLOOKUP(C58,Table1[#All],2,FALSE))</f>
        <v xml:space="preserve">M6 x 1.0mm Nylon Inserted Hex Lock Nuts 304 Stainless Steel </v>
      </c>
      <c r="F58" s="2">
        <f t="shared" si="43"/>
        <v>4</v>
      </c>
      <c r="G58" s="46">
        <f>IF(C58&lt;&gt;"",(VLOOKUP(C58,part_details,4,FALSE)+VLOOKUP(C58,part_details,5,FALSE)+VLOOKUP(C58,part_details,6,FALSE))*'Multi-level BOM'!D58,"")</f>
        <v>0.76985142857142863</v>
      </c>
      <c r="H58" s="4">
        <f t="shared" si="13"/>
        <v>1</v>
      </c>
      <c r="I58" s="4">
        <f t="shared" si="14"/>
        <v>1</v>
      </c>
      <c r="J58" s="4">
        <f t="shared" si="15"/>
        <v>1</v>
      </c>
      <c r="K58" s="4">
        <f t="shared" si="16"/>
        <v>4</v>
      </c>
      <c r="L58" s="4">
        <f t="shared" si="17"/>
        <v>1</v>
      </c>
      <c r="M58" s="4">
        <f t="shared" si="18"/>
        <v>1</v>
      </c>
      <c r="N58" s="4">
        <f t="shared" si="19"/>
        <v>1</v>
      </c>
      <c r="O58" s="4">
        <f t="shared" si="20"/>
        <v>1</v>
      </c>
      <c r="P58" s="4">
        <f t="shared" si="21"/>
        <v>1</v>
      </c>
      <c r="Q58" s="4">
        <f t="shared" si="22"/>
        <v>1</v>
      </c>
    </row>
    <row r="59" spans="1:17" x14ac:dyDescent="0.25">
      <c r="B59" s="8"/>
      <c r="E59" s="1" t="str">
        <f>IF(C59="","",VLOOKUP(C59,Table1[#All],2,FALSE))</f>
        <v/>
      </c>
      <c r="G59" s="46" t="str">
        <f>IF(C59&lt;&gt;"",VLOOKUP(C59,part_details,4,FALSE)*'Multi-level BOM'!D59,"")</f>
        <v/>
      </c>
      <c r="H59" s="4">
        <f t="shared" si="13"/>
        <v>1</v>
      </c>
      <c r="I59" s="4">
        <f t="shared" si="14"/>
        <v>1</v>
      </c>
      <c r="J59" s="4">
        <f t="shared" si="15"/>
        <v>1</v>
      </c>
      <c r="K59" s="4">
        <f t="shared" si="16"/>
        <v>4</v>
      </c>
      <c r="L59" s="4">
        <f t="shared" si="17"/>
        <v>1</v>
      </c>
      <c r="M59" s="4">
        <f t="shared" si="18"/>
        <v>1</v>
      </c>
      <c r="N59" s="4">
        <f t="shared" si="19"/>
        <v>1</v>
      </c>
      <c r="O59" s="4">
        <f t="shared" si="20"/>
        <v>1</v>
      </c>
      <c r="P59" s="4">
        <f t="shared" si="21"/>
        <v>1</v>
      </c>
      <c r="Q59" s="4">
        <f t="shared" si="22"/>
        <v>1</v>
      </c>
    </row>
    <row r="60" spans="1:17" x14ac:dyDescent="0.25">
      <c r="A60" s="2">
        <v>2</v>
      </c>
      <c r="B60" s="8" t="s">
        <v>688</v>
      </c>
      <c r="C60" s="2" t="s">
        <v>17</v>
      </c>
      <c r="D60" s="2">
        <v>2</v>
      </c>
      <c r="E60" s="1" t="str">
        <f>IF(C60="","",VLOOKUP(C60,Table1[#All],2,FALSE))</f>
        <v xml:space="preserve">
Machifit 500mm Length MGN15 Linear Rail Guide with MGN15H Linear Rail Block</v>
      </c>
      <c r="F60" s="2">
        <f>PRODUCT(H60:Q60)</f>
        <v>2</v>
      </c>
      <c r="G60" s="47">
        <f>IF(C60&lt;&gt;"",(VLOOKUP(C60,part_details,4,FALSE)+VLOOKUP(C60,part_details,5,FALSE)+VLOOKUP(C60,part_details,6,FALSE))*'Multi-level BOM'!D60,"")</f>
        <v>67.62</v>
      </c>
      <c r="H60" s="4">
        <f t="shared" si="13"/>
        <v>1</v>
      </c>
      <c r="I60" s="4">
        <f t="shared" si="14"/>
        <v>1</v>
      </c>
      <c r="J60" s="4">
        <f t="shared" si="15"/>
        <v>2</v>
      </c>
      <c r="K60" s="4">
        <f t="shared" si="16"/>
        <v>1</v>
      </c>
      <c r="L60" s="4">
        <f t="shared" si="17"/>
        <v>1</v>
      </c>
      <c r="M60" s="4">
        <f t="shared" si="18"/>
        <v>1</v>
      </c>
      <c r="N60" s="4">
        <f t="shared" si="19"/>
        <v>1</v>
      </c>
      <c r="O60" s="4">
        <f t="shared" si="20"/>
        <v>1</v>
      </c>
      <c r="P60" s="4">
        <f t="shared" si="21"/>
        <v>1</v>
      </c>
      <c r="Q60" s="4">
        <f t="shared" si="22"/>
        <v>1</v>
      </c>
    </row>
    <row r="61" spans="1:17" x14ac:dyDescent="0.25">
      <c r="B61" s="8"/>
      <c r="E61" s="1" t="str">
        <f>IF(C61="","",VLOOKUP(C61,Table1[#All],2,FALSE))</f>
        <v/>
      </c>
      <c r="G61" s="47" t="str">
        <f>IF(C61&lt;&gt;"",VLOOKUP(C61,part_details,4,FALSE)*'Multi-level BOM'!D61,"")</f>
        <v/>
      </c>
      <c r="H61" s="4">
        <f t="shared" si="13"/>
        <v>1</v>
      </c>
      <c r="I61" s="4">
        <f t="shared" si="14"/>
        <v>1</v>
      </c>
      <c r="J61" s="4">
        <f t="shared" si="15"/>
        <v>2</v>
      </c>
      <c r="K61" s="4">
        <f t="shared" si="16"/>
        <v>1</v>
      </c>
      <c r="L61" s="4">
        <f t="shared" si="17"/>
        <v>1</v>
      </c>
      <c r="M61" s="4">
        <f t="shared" si="18"/>
        <v>1</v>
      </c>
      <c r="N61" s="4">
        <f t="shared" si="19"/>
        <v>1</v>
      </c>
      <c r="O61" s="4">
        <f t="shared" si="20"/>
        <v>1</v>
      </c>
      <c r="P61" s="4">
        <f t="shared" si="21"/>
        <v>1</v>
      </c>
      <c r="Q61" s="4">
        <f t="shared" si="22"/>
        <v>1</v>
      </c>
    </row>
    <row r="62" spans="1:17" x14ac:dyDescent="0.25">
      <c r="A62" s="2">
        <v>2</v>
      </c>
      <c r="B62" s="8" t="s">
        <v>779</v>
      </c>
      <c r="C62" s="2" t="s">
        <v>18</v>
      </c>
      <c r="D62" s="2">
        <v>26</v>
      </c>
      <c r="E62" s="1" t="str">
        <f>IF(C62="","",VLOOKUP(C62,Table1[#All],2,FALSE))</f>
        <v>M3-0.5x30mm Socket Head Cap Bolts Screws, 304 Stainless Steel 18-8, Allen Socket Drive, Fully Machine Thread, Bright Finish</v>
      </c>
      <c r="F62" s="2">
        <f>PRODUCT(H62:Q62)</f>
        <v>26</v>
      </c>
      <c r="G62" s="47">
        <f>IF(C62&lt;&gt;"",(VLOOKUP(C62,part_details,4,FALSE)+VLOOKUP(C62,part_details,5,FALSE)+VLOOKUP(C62,part_details,6,FALSE))*'Multi-level BOM'!D62,"")</f>
        <v>2.5477660000000002</v>
      </c>
      <c r="H62" s="4">
        <f t="shared" si="13"/>
        <v>1</v>
      </c>
      <c r="I62" s="4">
        <f t="shared" si="14"/>
        <v>1</v>
      </c>
      <c r="J62" s="4">
        <f t="shared" si="15"/>
        <v>26</v>
      </c>
      <c r="K62" s="4">
        <f t="shared" si="16"/>
        <v>1</v>
      </c>
      <c r="L62" s="4">
        <f t="shared" si="17"/>
        <v>1</v>
      </c>
      <c r="M62" s="4">
        <f t="shared" si="18"/>
        <v>1</v>
      </c>
      <c r="N62" s="4">
        <f t="shared" si="19"/>
        <v>1</v>
      </c>
      <c r="O62" s="4">
        <f t="shared" si="20"/>
        <v>1</v>
      </c>
      <c r="P62" s="4">
        <f t="shared" si="21"/>
        <v>1</v>
      </c>
      <c r="Q62" s="4">
        <f t="shared" si="22"/>
        <v>1</v>
      </c>
    </row>
    <row r="63" spans="1:17" x14ac:dyDescent="0.25">
      <c r="A63" s="2">
        <v>2</v>
      </c>
      <c r="B63" s="8" t="s">
        <v>803</v>
      </c>
      <c r="C63" s="2" t="s">
        <v>41</v>
      </c>
      <c r="D63" s="2">
        <v>26</v>
      </c>
      <c r="E63" s="1" t="str">
        <f>IF(C63="","",VLOOKUP(C63,Table1[#All],2,FALSE))</f>
        <v>M3x6mmx0.5mm Stainless Steel Flat Washer</v>
      </c>
      <c r="F63" s="2">
        <f t="shared" ref="F63:F92" si="44">PRODUCT(H63:Q63)</f>
        <v>26</v>
      </c>
      <c r="G63" s="47">
        <f>IF(C63&lt;&gt;"",(VLOOKUP(C63,part_details,4,FALSE)+VLOOKUP(C63,part_details,5,FALSE)+VLOOKUP(C63,part_details,6,FALSE))*'Multi-level BOM'!D63,"")</f>
        <v>1.414166</v>
      </c>
      <c r="H63" s="4">
        <f t="shared" si="13"/>
        <v>1</v>
      </c>
      <c r="I63" s="4">
        <f t="shared" si="14"/>
        <v>1</v>
      </c>
      <c r="J63" s="4">
        <f t="shared" si="15"/>
        <v>26</v>
      </c>
      <c r="K63" s="4">
        <f t="shared" si="16"/>
        <v>1</v>
      </c>
      <c r="L63" s="4">
        <f t="shared" si="17"/>
        <v>1</v>
      </c>
      <c r="M63" s="4">
        <f t="shared" si="18"/>
        <v>1</v>
      </c>
      <c r="N63" s="4">
        <f t="shared" si="19"/>
        <v>1</v>
      </c>
      <c r="O63" s="4">
        <f t="shared" si="20"/>
        <v>1</v>
      </c>
      <c r="P63" s="4">
        <f t="shared" si="21"/>
        <v>1</v>
      </c>
      <c r="Q63" s="4">
        <f t="shared" si="22"/>
        <v>1</v>
      </c>
    </row>
    <row r="64" spans="1:17" x14ac:dyDescent="0.25">
      <c r="A64" s="2">
        <v>2</v>
      </c>
      <c r="B64" s="8" t="s">
        <v>804</v>
      </c>
      <c r="C64" s="2" t="s">
        <v>40</v>
      </c>
      <c r="D64" s="2">
        <v>26</v>
      </c>
      <c r="E64" s="1" t="str">
        <f>IF(C64="","",VLOOKUP(C64,Table1[#All],2,FALSE))</f>
        <v>M3 x 0.5mm 304 Stainless Steel Self-Lock Nylon Inserted Hex Lock Nuts,</v>
      </c>
      <c r="F64" s="2">
        <f t="shared" si="44"/>
        <v>26</v>
      </c>
      <c r="G64" s="47">
        <f>IF(C64&lt;&gt;"",(VLOOKUP(C64,part_details,4,FALSE)+VLOOKUP(C64,part_details,5,FALSE)+VLOOKUP(C64,part_details,6,FALSE))*'Multi-level BOM'!D64,"")</f>
        <v>2.2643659999999999</v>
      </c>
      <c r="H64" s="4">
        <f t="shared" si="13"/>
        <v>1</v>
      </c>
      <c r="I64" s="4">
        <f t="shared" si="14"/>
        <v>1</v>
      </c>
      <c r="J64" s="4">
        <f t="shared" si="15"/>
        <v>26</v>
      </c>
      <c r="K64" s="4">
        <f t="shared" si="16"/>
        <v>1</v>
      </c>
      <c r="L64" s="4">
        <f t="shared" si="17"/>
        <v>1</v>
      </c>
      <c r="M64" s="4">
        <f t="shared" si="18"/>
        <v>1</v>
      </c>
      <c r="N64" s="4">
        <f t="shared" si="19"/>
        <v>1</v>
      </c>
      <c r="O64" s="4">
        <f t="shared" si="20"/>
        <v>1</v>
      </c>
      <c r="P64" s="4">
        <f t="shared" si="21"/>
        <v>1</v>
      </c>
      <c r="Q64" s="4">
        <f t="shared" si="22"/>
        <v>1</v>
      </c>
    </row>
    <row r="65" spans="1:17" x14ac:dyDescent="0.25">
      <c r="A65" s="2">
        <v>2</v>
      </c>
      <c r="B65" s="8" t="s">
        <v>824</v>
      </c>
      <c r="C65" s="2" t="s">
        <v>44</v>
      </c>
      <c r="D65" s="2">
        <v>5</v>
      </c>
      <c r="E65" s="1" t="str">
        <f>IF(C65="","",VLOOKUP(C65,Table1[#All],2,FALSE))</f>
        <v>GT2x9 mm Kevlar-reinforced timing belt</v>
      </c>
      <c r="F65" s="2">
        <f t="shared" ref="F65" si="45">PRODUCT(H65:Q65)</f>
        <v>5</v>
      </c>
      <c r="G65" s="47">
        <f>IF(C65&lt;&gt;"",(VLOOKUP(C65,part_details,4,FALSE)+VLOOKUP(C65,part_details,5,FALSE)+VLOOKUP(C65,part_details,6,FALSE))*'Multi-level BOM'!D65,"")</f>
        <v>36.290000000000006</v>
      </c>
      <c r="H65" s="4">
        <f t="shared" si="13"/>
        <v>1</v>
      </c>
      <c r="I65" s="4">
        <f t="shared" si="14"/>
        <v>1</v>
      </c>
      <c r="J65" s="4">
        <f t="shared" si="15"/>
        <v>5</v>
      </c>
      <c r="K65" s="4">
        <f t="shared" si="16"/>
        <v>1</v>
      </c>
      <c r="L65" s="4">
        <f t="shared" si="17"/>
        <v>1</v>
      </c>
      <c r="M65" s="4">
        <f t="shared" si="18"/>
        <v>1</v>
      </c>
      <c r="N65" s="4">
        <f t="shared" si="19"/>
        <v>1</v>
      </c>
      <c r="O65" s="4">
        <f t="shared" si="20"/>
        <v>1</v>
      </c>
      <c r="P65" s="4">
        <f t="shared" si="21"/>
        <v>1</v>
      </c>
      <c r="Q65" s="4">
        <f t="shared" si="22"/>
        <v>1</v>
      </c>
    </row>
    <row r="66" spans="1:17" x14ac:dyDescent="0.25">
      <c r="B66" s="8"/>
      <c r="E66" s="1" t="str">
        <f>IF(C66="","",VLOOKUP(C66,Table1[#All],2,FALSE))</f>
        <v/>
      </c>
      <c r="G66" s="47" t="str">
        <f>IF(C66&lt;&gt;"",VLOOKUP(C66,part_details,4,FALSE)*'Multi-level BOM'!D66,"")</f>
        <v/>
      </c>
      <c r="H66" s="4">
        <f t="shared" si="13"/>
        <v>1</v>
      </c>
      <c r="I66" s="4">
        <f t="shared" si="14"/>
        <v>1</v>
      </c>
      <c r="J66" s="4">
        <f t="shared" si="15"/>
        <v>5</v>
      </c>
      <c r="K66" s="4">
        <f t="shared" si="16"/>
        <v>1</v>
      </c>
      <c r="L66" s="4">
        <f t="shared" si="17"/>
        <v>1</v>
      </c>
      <c r="M66" s="4">
        <f t="shared" si="18"/>
        <v>1</v>
      </c>
      <c r="N66" s="4">
        <f t="shared" si="19"/>
        <v>1</v>
      </c>
      <c r="O66" s="4">
        <f t="shared" si="20"/>
        <v>1</v>
      </c>
      <c r="P66" s="4">
        <f t="shared" si="21"/>
        <v>1</v>
      </c>
      <c r="Q66" s="4">
        <f t="shared" si="22"/>
        <v>1</v>
      </c>
    </row>
    <row r="67" spans="1:17" x14ac:dyDescent="0.25">
      <c r="A67" s="2">
        <v>1</v>
      </c>
      <c r="B67" s="8" t="s">
        <v>646</v>
      </c>
      <c r="D67" s="2">
        <v>1</v>
      </c>
      <c r="E67" s="1" t="str">
        <f>IF(C67="","",VLOOKUP(C67,Table1[#All],2,FALSE))</f>
        <v/>
      </c>
      <c r="F67" s="2">
        <f>PRODUCT(H67:Q67)</f>
        <v>1</v>
      </c>
      <c r="G67" s="47">
        <f>F67*SUM(G68,G70,G77,G85,G86,G88,G89,G90)</f>
        <v>72.646982395238084</v>
      </c>
      <c r="H67" s="4">
        <f t="shared" si="13"/>
        <v>1</v>
      </c>
      <c r="I67" s="4">
        <f t="shared" si="14"/>
        <v>1</v>
      </c>
      <c r="J67" s="4">
        <f t="shared" si="15"/>
        <v>1</v>
      </c>
      <c r="K67" s="4">
        <f t="shared" si="16"/>
        <v>1</v>
      </c>
      <c r="L67" s="4">
        <f t="shared" si="17"/>
        <v>1</v>
      </c>
      <c r="M67" s="4">
        <f t="shared" si="18"/>
        <v>1</v>
      </c>
      <c r="N67" s="4">
        <f t="shared" si="19"/>
        <v>1</v>
      </c>
      <c r="O67" s="4">
        <f t="shared" si="20"/>
        <v>1</v>
      </c>
      <c r="P67" s="4">
        <f t="shared" si="21"/>
        <v>1</v>
      </c>
      <c r="Q67" s="4">
        <f t="shared" si="22"/>
        <v>1</v>
      </c>
    </row>
    <row r="68" spans="1:17" x14ac:dyDescent="0.25">
      <c r="A68" s="2">
        <v>2</v>
      </c>
      <c r="B68" s="8" t="s">
        <v>747</v>
      </c>
      <c r="C68" s="2" t="s">
        <v>23</v>
      </c>
      <c r="D68" s="2">
        <v>1</v>
      </c>
      <c r="E68" s="1" t="str">
        <f>IF(C68="","",VLOOKUP(C68,Table1[#All],2,FALSE))</f>
        <v>1/4" cast aluminum plate 3" x 22"</v>
      </c>
      <c r="F68" s="2">
        <f>PRODUCT(H68:Q68)</f>
        <v>1</v>
      </c>
      <c r="G68" s="47">
        <f>IF(C68&lt;&gt;"",(VLOOKUP(C68,part_details,4,FALSE)+VLOOKUP(C68,part_details,5,FALSE)+VLOOKUP(C68,part_details,6,FALSE))*'Multi-level BOM'!D68,"")</f>
        <v>20.38</v>
      </c>
      <c r="H68" s="4">
        <f t="shared" si="13"/>
        <v>1</v>
      </c>
      <c r="I68" s="4">
        <f t="shared" si="14"/>
        <v>1</v>
      </c>
      <c r="J68" s="4">
        <f t="shared" si="15"/>
        <v>1</v>
      </c>
      <c r="K68" s="4">
        <f t="shared" si="16"/>
        <v>1</v>
      </c>
      <c r="L68" s="4">
        <f t="shared" si="17"/>
        <v>1</v>
      </c>
      <c r="M68" s="4">
        <f t="shared" si="18"/>
        <v>1</v>
      </c>
      <c r="N68" s="4">
        <f t="shared" si="19"/>
        <v>1</v>
      </c>
      <c r="O68" s="4">
        <f t="shared" si="20"/>
        <v>1</v>
      </c>
      <c r="P68" s="4">
        <f t="shared" si="21"/>
        <v>1</v>
      </c>
      <c r="Q68" s="4">
        <f t="shared" si="22"/>
        <v>1</v>
      </c>
    </row>
    <row r="69" spans="1:17" x14ac:dyDescent="0.25">
      <c r="B69" s="8"/>
      <c r="E69" s="1" t="str">
        <f>IF(C69="","",VLOOKUP(C69,Table1[#All],2,FALSE))</f>
        <v/>
      </c>
      <c r="G69" s="46" t="str">
        <f>IF(C69&lt;&gt;"",VLOOKUP(C69,part_details,4,FALSE)*'Multi-level BOM'!D69,"")</f>
        <v/>
      </c>
      <c r="H69" s="4">
        <f t="shared" si="13"/>
        <v>1</v>
      </c>
      <c r="I69" s="4">
        <f t="shared" si="14"/>
        <v>1</v>
      </c>
      <c r="J69" s="4">
        <f t="shared" si="15"/>
        <v>1</v>
      </c>
      <c r="K69" s="4">
        <f t="shared" si="16"/>
        <v>1</v>
      </c>
      <c r="L69" s="4">
        <f t="shared" si="17"/>
        <v>1</v>
      </c>
      <c r="M69" s="4">
        <f t="shared" si="18"/>
        <v>1</v>
      </c>
      <c r="N69" s="4">
        <f t="shared" si="19"/>
        <v>1</v>
      </c>
      <c r="O69" s="4">
        <f t="shared" si="20"/>
        <v>1</v>
      </c>
      <c r="P69" s="4">
        <f t="shared" si="21"/>
        <v>1</v>
      </c>
      <c r="Q69" s="4">
        <f t="shared" si="22"/>
        <v>1</v>
      </c>
    </row>
    <row r="70" spans="1:17" x14ac:dyDescent="0.25">
      <c r="A70" s="2">
        <v>2</v>
      </c>
      <c r="B70" s="8" t="s">
        <v>675</v>
      </c>
      <c r="D70" s="2">
        <v>2</v>
      </c>
      <c r="E70" s="1" t="str">
        <f>IF(C70="","",VLOOKUP(C70,Table1[#All],2,FALSE))</f>
        <v/>
      </c>
      <c r="F70" s="2">
        <f>PRODUCT(H70:Q70)</f>
        <v>2</v>
      </c>
      <c r="G70" s="47">
        <f>F70*SUM(G71:G75)</f>
        <v>7.9569377142857141</v>
      </c>
      <c r="H70" s="4">
        <f t="shared" si="13"/>
        <v>1</v>
      </c>
      <c r="I70" s="4">
        <f t="shared" si="14"/>
        <v>1</v>
      </c>
      <c r="J70" s="4">
        <f t="shared" si="15"/>
        <v>2</v>
      </c>
      <c r="K70" s="4">
        <f t="shared" si="16"/>
        <v>1</v>
      </c>
      <c r="L70" s="4">
        <f t="shared" si="17"/>
        <v>1</v>
      </c>
      <c r="M70" s="4">
        <f t="shared" si="18"/>
        <v>1</v>
      </c>
      <c r="N70" s="4">
        <f t="shared" si="19"/>
        <v>1</v>
      </c>
      <c r="O70" s="4">
        <f t="shared" si="20"/>
        <v>1</v>
      </c>
      <c r="P70" s="4">
        <f t="shared" si="21"/>
        <v>1</v>
      </c>
      <c r="Q70" s="4">
        <f t="shared" si="22"/>
        <v>1</v>
      </c>
    </row>
    <row r="71" spans="1:17" x14ac:dyDescent="0.25">
      <c r="A71" s="2">
        <v>3</v>
      </c>
      <c r="B71" s="9" t="s">
        <v>658</v>
      </c>
      <c r="C71" s="2" t="s">
        <v>9</v>
      </c>
      <c r="D71" s="2">
        <v>2</v>
      </c>
      <c r="E71" s="1" t="str">
        <f>IF(C71="","",VLOOKUP(C71,Table1[#All],2,FALSE))</f>
        <v xml:space="preserve">Bearing, Flange F606ZZ, 6mm x 17mm x 6mm </v>
      </c>
      <c r="F71" s="2">
        <f>PRODUCT(H71:Q71)</f>
        <v>4</v>
      </c>
      <c r="G71" s="46">
        <f>IF(C71&lt;&gt;"",(VLOOKUP(C71,part_details,4,FALSE)+VLOOKUP(C71,part_details,5,FALSE)+VLOOKUP(C71,part_details,6,FALSE))*'Multi-level BOM'!D71,"")</f>
        <v>2.94082</v>
      </c>
      <c r="H71" s="4">
        <f t="shared" si="13"/>
        <v>1</v>
      </c>
      <c r="I71" s="4">
        <f t="shared" si="14"/>
        <v>1</v>
      </c>
      <c r="J71" s="4">
        <f t="shared" si="15"/>
        <v>2</v>
      </c>
      <c r="K71" s="4">
        <f t="shared" si="16"/>
        <v>2</v>
      </c>
      <c r="L71" s="4">
        <f t="shared" si="17"/>
        <v>1</v>
      </c>
      <c r="M71" s="4">
        <f t="shared" si="18"/>
        <v>1</v>
      </c>
      <c r="N71" s="4">
        <f t="shared" si="19"/>
        <v>1</v>
      </c>
      <c r="O71" s="4">
        <f t="shared" si="20"/>
        <v>1</v>
      </c>
      <c r="P71" s="4">
        <f t="shared" si="21"/>
        <v>1</v>
      </c>
      <c r="Q71" s="4">
        <f t="shared" si="22"/>
        <v>1</v>
      </c>
    </row>
    <row r="72" spans="1:17" x14ac:dyDescent="0.25">
      <c r="A72" s="2">
        <v>3</v>
      </c>
      <c r="B72" s="9" t="s">
        <v>661</v>
      </c>
      <c r="C72" s="2" t="s">
        <v>11</v>
      </c>
      <c r="D72" s="2">
        <v>1</v>
      </c>
      <c r="E72" s="1" t="str">
        <f>IF(C72="","",VLOOKUP(C72,Table1[#All],2,FALSE))</f>
        <v xml:space="preserve">K &amp; S PRECISION METALS 251 .010x4x10 BRS SHT Metal </v>
      </c>
      <c r="F72" s="2">
        <f>PRODUCT(H72:Q72)</f>
        <v>2</v>
      </c>
      <c r="G72" s="46">
        <f>IF(C72&lt;&gt;"",(VLOOKUP(C72,part_details,4,FALSE)+VLOOKUP(C72,part_details,5,FALSE)+VLOOKUP(C72,part_details,6,FALSE))*'Multi-level BOM'!D72,"")</f>
        <v>0.23925499999999997</v>
      </c>
      <c r="H72" s="4">
        <f t="shared" si="13"/>
        <v>1</v>
      </c>
      <c r="I72" s="4">
        <f t="shared" si="14"/>
        <v>1</v>
      </c>
      <c r="J72" s="4">
        <f t="shared" si="15"/>
        <v>2</v>
      </c>
      <c r="K72" s="4">
        <f t="shared" si="16"/>
        <v>1</v>
      </c>
      <c r="L72" s="4">
        <f t="shared" si="17"/>
        <v>1</v>
      </c>
      <c r="M72" s="4">
        <f t="shared" si="18"/>
        <v>1</v>
      </c>
      <c r="N72" s="4">
        <f t="shared" si="19"/>
        <v>1</v>
      </c>
      <c r="O72" s="4">
        <f t="shared" si="20"/>
        <v>1</v>
      </c>
      <c r="P72" s="4">
        <f t="shared" si="21"/>
        <v>1</v>
      </c>
      <c r="Q72" s="4">
        <f t="shared" si="22"/>
        <v>1</v>
      </c>
    </row>
    <row r="73" spans="1:17" x14ac:dyDescent="0.25">
      <c r="A73" s="2">
        <v>3</v>
      </c>
      <c r="B73" s="9" t="s">
        <v>786</v>
      </c>
      <c r="C73" s="2" t="s">
        <v>37</v>
      </c>
      <c r="D73" s="2">
        <v>1</v>
      </c>
      <c r="E73" s="1" t="str">
        <f>IF(C73="","",VLOOKUP(C73,Table1[#All],2,FALSE))</f>
        <v>M6 Flat/Countersunk Head Socket Screws,Pack 10-Piece,Stainless Steel,Full Thread,Right Hand,Metric (M6 x 22mm)</v>
      </c>
      <c r="F73" s="2">
        <f>PRODUCT(H73:Q73)</f>
        <v>2</v>
      </c>
      <c r="G73" s="46">
        <f>IF(C73&lt;&gt;"",(VLOOKUP(C73,part_details,4,FALSE)+VLOOKUP(C73,part_details,5,FALSE)+VLOOKUP(C73,part_details,6,FALSE))*'Multi-level BOM'!D73,"")</f>
        <v>0.51774999999999993</v>
      </c>
      <c r="H73" s="4">
        <f t="shared" si="13"/>
        <v>1</v>
      </c>
      <c r="I73" s="4">
        <f t="shared" si="14"/>
        <v>1</v>
      </c>
      <c r="J73" s="4">
        <f t="shared" si="15"/>
        <v>2</v>
      </c>
      <c r="K73" s="4">
        <f t="shared" si="16"/>
        <v>1</v>
      </c>
      <c r="L73" s="4">
        <f t="shared" si="17"/>
        <v>1</v>
      </c>
      <c r="M73" s="4">
        <f t="shared" si="18"/>
        <v>1</v>
      </c>
      <c r="N73" s="4">
        <f t="shared" si="19"/>
        <v>1</v>
      </c>
      <c r="O73" s="4">
        <f t="shared" si="20"/>
        <v>1</v>
      </c>
      <c r="P73" s="4">
        <f t="shared" si="21"/>
        <v>1</v>
      </c>
      <c r="Q73" s="4">
        <f t="shared" si="22"/>
        <v>1</v>
      </c>
    </row>
    <row r="74" spans="1:17" x14ac:dyDescent="0.25">
      <c r="A74" s="2">
        <v>3</v>
      </c>
      <c r="B74" s="9" t="s">
        <v>672</v>
      </c>
      <c r="C74" s="2" t="s">
        <v>13</v>
      </c>
      <c r="D74" s="2">
        <v>2</v>
      </c>
      <c r="E74" s="1" t="str">
        <f>IF(C74="","",VLOOKUP(C74,Table1[#All],2,FALSE))</f>
        <v>Washer, M6, 304 stainless, OD 12mm, .9mm thick</v>
      </c>
      <c r="F74" s="2">
        <f>PRODUCT(H74:Q74)</f>
        <v>4</v>
      </c>
      <c r="G74" s="46">
        <f>IF(C74&lt;&gt;"",(VLOOKUP(C74,part_details,4,FALSE)+VLOOKUP(C74,part_details,5,FALSE)+VLOOKUP(C74,part_details,6,FALSE))*'Multi-level BOM'!D74,"")</f>
        <v>8.8180999999999995E-2</v>
      </c>
      <c r="H74" s="4">
        <f t="shared" si="13"/>
        <v>1</v>
      </c>
      <c r="I74" s="4">
        <f t="shared" si="14"/>
        <v>1</v>
      </c>
      <c r="J74" s="4">
        <f t="shared" si="15"/>
        <v>2</v>
      </c>
      <c r="K74" s="4">
        <f t="shared" si="16"/>
        <v>2</v>
      </c>
      <c r="L74" s="4">
        <f t="shared" si="17"/>
        <v>1</v>
      </c>
      <c r="M74" s="4">
        <f t="shared" si="18"/>
        <v>1</v>
      </c>
      <c r="N74" s="4">
        <f t="shared" si="19"/>
        <v>1</v>
      </c>
      <c r="O74" s="4">
        <f t="shared" si="20"/>
        <v>1</v>
      </c>
      <c r="P74" s="4">
        <f t="shared" si="21"/>
        <v>1</v>
      </c>
      <c r="Q74" s="4">
        <f t="shared" si="22"/>
        <v>1</v>
      </c>
    </row>
    <row r="75" spans="1:17" x14ac:dyDescent="0.25">
      <c r="A75" s="2">
        <v>3</v>
      </c>
      <c r="B75" s="9" t="s">
        <v>752</v>
      </c>
      <c r="C75" s="2" t="s">
        <v>28</v>
      </c>
      <c r="D75" s="2">
        <v>1</v>
      </c>
      <c r="E75" s="1" t="str">
        <f>IF(C75="","",VLOOKUP(C75,Table1[#All],2,FALSE))</f>
        <v xml:space="preserve">M6 x 1.0mm Nylon Inserted Hex Lock Nuts 304 Stainless Steel </v>
      </c>
      <c r="F75" s="2">
        <f t="shared" ref="F75" si="46">PRODUCT(H75:Q75)</f>
        <v>2</v>
      </c>
      <c r="G75" s="46">
        <f>IF(C75&lt;&gt;"",(VLOOKUP(C75,part_details,4,FALSE)+VLOOKUP(C75,part_details,5,FALSE)+VLOOKUP(C75,part_details,6,FALSE))*'Multi-level BOM'!D75,"")</f>
        <v>0.19246285714285716</v>
      </c>
      <c r="H75" s="4">
        <f t="shared" si="13"/>
        <v>1</v>
      </c>
      <c r="I75" s="4">
        <f t="shared" si="14"/>
        <v>1</v>
      </c>
      <c r="J75" s="4">
        <f t="shared" si="15"/>
        <v>2</v>
      </c>
      <c r="K75" s="4">
        <f t="shared" si="16"/>
        <v>1</v>
      </c>
      <c r="L75" s="4">
        <f t="shared" si="17"/>
        <v>1</v>
      </c>
      <c r="M75" s="4">
        <f t="shared" si="18"/>
        <v>1</v>
      </c>
      <c r="N75" s="4">
        <f t="shared" si="19"/>
        <v>1</v>
      </c>
      <c r="O75" s="4">
        <f t="shared" si="20"/>
        <v>1</v>
      </c>
      <c r="P75" s="4">
        <f t="shared" si="21"/>
        <v>1</v>
      </c>
      <c r="Q75" s="4">
        <f t="shared" si="22"/>
        <v>1</v>
      </c>
    </row>
    <row r="76" spans="1:17" x14ac:dyDescent="0.25">
      <c r="B76" s="8"/>
      <c r="E76" s="1" t="str">
        <f>IF(C76="","",VLOOKUP(C76,Table1[#All],2,FALSE))</f>
        <v/>
      </c>
      <c r="G76" s="46" t="str">
        <f>IF(C76&lt;&gt;"",VLOOKUP(C76,part_details,4,FALSE)*'Multi-level BOM'!D76,"")</f>
        <v/>
      </c>
      <c r="H76" s="4">
        <f t="shared" si="13"/>
        <v>1</v>
      </c>
      <c r="I76" s="4">
        <f t="shared" si="14"/>
        <v>1</v>
      </c>
      <c r="J76" s="4">
        <f t="shared" si="15"/>
        <v>2</v>
      </c>
      <c r="K76" s="4">
        <f t="shared" si="16"/>
        <v>1</v>
      </c>
      <c r="L76" s="4">
        <f t="shared" si="17"/>
        <v>1</v>
      </c>
      <c r="M76" s="4">
        <f t="shared" si="18"/>
        <v>1</v>
      </c>
      <c r="N76" s="4">
        <f t="shared" si="19"/>
        <v>1</v>
      </c>
      <c r="O76" s="4">
        <f t="shared" si="20"/>
        <v>1</v>
      </c>
      <c r="P76" s="4">
        <f t="shared" si="21"/>
        <v>1</v>
      </c>
      <c r="Q76" s="4">
        <f t="shared" si="22"/>
        <v>1</v>
      </c>
    </row>
    <row r="77" spans="1:17" x14ac:dyDescent="0.25">
      <c r="A77" s="2">
        <v>2</v>
      </c>
      <c r="B77" s="8" t="s">
        <v>676</v>
      </c>
      <c r="D77" s="2">
        <v>2</v>
      </c>
      <c r="E77" s="1" t="str">
        <f>IF(C77="","",VLOOKUP(C77,Table1[#All],2,FALSE))</f>
        <v/>
      </c>
      <c r="F77" s="2">
        <f t="shared" ref="F77:F83" si="47">PRODUCT(H77:Q77)</f>
        <v>2</v>
      </c>
      <c r="G77" s="47">
        <f>F77*SUM(G78:G83)</f>
        <v>8.3300846809523801</v>
      </c>
      <c r="H77" s="4">
        <f t="shared" si="13"/>
        <v>1</v>
      </c>
      <c r="I77" s="4">
        <f t="shared" si="14"/>
        <v>1</v>
      </c>
      <c r="J77" s="4">
        <f t="shared" si="15"/>
        <v>2</v>
      </c>
      <c r="K77" s="4">
        <f t="shared" si="16"/>
        <v>1</v>
      </c>
      <c r="L77" s="4">
        <f t="shared" si="17"/>
        <v>1</v>
      </c>
      <c r="M77" s="4">
        <f t="shared" si="18"/>
        <v>1</v>
      </c>
      <c r="N77" s="4">
        <f t="shared" si="19"/>
        <v>1</v>
      </c>
      <c r="O77" s="4">
        <f t="shared" si="20"/>
        <v>1</v>
      </c>
      <c r="P77" s="4">
        <f t="shared" si="21"/>
        <v>1</v>
      </c>
      <c r="Q77" s="4">
        <f t="shared" si="22"/>
        <v>1</v>
      </c>
    </row>
    <row r="78" spans="1:17" x14ac:dyDescent="0.25">
      <c r="A78" s="2">
        <v>3</v>
      </c>
      <c r="B78" s="9" t="s">
        <v>658</v>
      </c>
      <c r="C78" s="2" t="s">
        <v>9</v>
      </c>
      <c r="D78" s="2">
        <v>2</v>
      </c>
      <c r="E78" s="1" t="str">
        <f>IF(C78="","",VLOOKUP(C78,Table1[#All],2,FALSE))</f>
        <v xml:space="preserve">Bearing, Flange F606ZZ, 6mm x 17mm x 6mm </v>
      </c>
      <c r="F78" s="2">
        <f t="shared" si="47"/>
        <v>4</v>
      </c>
      <c r="G78" s="46">
        <f>IF(C78&lt;&gt;"",(VLOOKUP(C78,part_details,4,FALSE)+VLOOKUP(C78,part_details,5,FALSE)+VLOOKUP(C78,part_details,6,FALSE))*'Multi-level BOM'!D78,"")</f>
        <v>2.94082</v>
      </c>
      <c r="H78" s="4">
        <f t="shared" si="13"/>
        <v>1</v>
      </c>
      <c r="I78" s="4">
        <f t="shared" si="14"/>
        <v>1</v>
      </c>
      <c r="J78" s="4">
        <f t="shared" si="15"/>
        <v>2</v>
      </c>
      <c r="K78" s="4">
        <f t="shared" si="16"/>
        <v>2</v>
      </c>
      <c r="L78" s="4">
        <f t="shared" si="17"/>
        <v>1</v>
      </c>
      <c r="M78" s="4">
        <f t="shared" si="18"/>
        <v>1</v>
      </c>
      <c r="N78" s="4">
        <f t="shared" si="19"/>
        <v>1</v>
      </c>
      <c r="O78" s="4">
        <f t="shared" si="20"/>
        <v>1</v>
      </c>
      <c r="P78" s="4">
        <f t="shared" si="21"/>
        <v>1</v>
      </c>
      <c r="Q78" s="4">
        <f t="shared" si="22"/>
        <v>1</v>
      </c>
    </row>
    <row r="79" spans="1:17" x14ac:dyDescent="0.25">
      <c r="A79" s="2">
        <v>3</v>
      </c>
      <c r="B79" s="9" t="s">
        <v>677</v>
      </c>
      <c r="C79" s="2" t="s">
        <v>10</v>
      </c>
      <c r="D79" s="2">
        <f>11.9+5</f>
        <v>16.899999999999999</v>
      </c>
      <c r="E79" s="1" t="str">
        <f>IF(C79="","",VLOOKUP(C79,Table1[#All],2,FALSE))</f>
        <v>uxcell 6063 Aluminum Round Tube 300mm Length 12.7mm OD 6mm Inner Dia Seamless Aluminum Straight Tubing 2 Pcs</v>
      </c>
      <c r="F79" s="2">
        <f t="shared" si="47"/>
        <v>33.799999999999997</v>
      </c>
      <c r="G79" s="46">
        <f>IF(C79&lt;&gt;"",(VLOOKUP(C79,part_details,4,FALSE)+VLOOKUP(C79,part_details,5,FALSE)+VLOOKUP(C79,part_details,6,FALSE))*'Multi-level BOM'!D79,"")</f>
        <v>0.3128499833333333</v>
      </c>
      <c r="H79" s="4">
        <f t="shared" si="13"/>
        <v>1</v>
      </c>
      <c r="I79" s="4">
        <f t="shared" si="14"/>
        <v>1</v>
      </c>
      <c r="J79" s="4">
        <f t="shared" si="15"/>
        <v>2</v>
      </c>
      <c r="K79" s="4">
        <f t="shared" si="16"/>
        <v>16.899999999999999</v>
      </c>
      <c r="L79" s="4">
        <f t="shared" si="17"/>
        <v>1</v>
      </c>
      <c r="M79" s="4">
        <f t="shared" si="18"/>
        <v>1</v>
      </c>
      <c r="N79" s="4">
        <f t="shared" si="19"/>
        <v>1</v>
      </c>
      <c r="O79" s="4">
        <f t="shared" si="20"/>
        <v>1</v>
      </c>
      <c r="P79" s="4">
        <f t="shared" si="21"/>
        <v>1</v>
      </c>
      <c r="Q79" s="4">
        <f t="shared" si="22"/>
        <v>1</v>
      </c>
    </row>
    <row r="80" spans="1:17" x14ac:dyDescent="0.25">
      <c r="A80" s="2">
        <v>3</v>
      </c>
      <c r="B80" s="9" t="s">
        <v>661</v>
      </c>
      <c r="C80" s="2" t="s">
        <v>11</v>
      </c>
      <c r="D80" s="2">
        <v>1</v>
      </c>
      <c r="E80" s="1" t="str">
        <f>IF(C80="","",VLOOKUP(C80,Table1[#All],2,FALSE))</f>
        <v xml:space="preserve">K &amp; S PRECISION METALS 251 .010x4x10 BRS SHT Metal </v>
      </c>
      <c r="F80" s="2">
        <f t="shared" si="47"/>
        <v>2</v>
      </c>
      <c r="G80" s="46">
        <f>IF(C80&lt;&gt;"",(VLOOKUP(C80,part_details,4,FALSE)+VLOOKUP(C80,part_details,5,FALSE)+VLOOKUP(C80,part_details,6,FALSE))*'Multi-level BOM'!D80,"")</f>
        <v>0.23925499999999997</v>
      </c>
      <c r="H80" s="4">
        <f t="shared" si="13"/>
        <v>1</v>
      </c>
      <c r="I80" s="4">
        <f t="shared" si="14"/>
        <v>1</v>
      </c>
      <c r="J80" s="4">
        <f t="shared" si="15"/>
        <v>2</v>
      </c>
      <c r="K80" s="4">
        <f t="shared" si="16"/>
        <v>1</v>
      </c>
      <c r="L80" s="4">
        <f t="shared" si="17"/>
        <v>1</v>
      </c>
      <c r="M80" s="4">
        <f t="shared" si="18"/>
        <v>1</v>
      </c>
      <c r="N80" s="4">
        <f t="shared" si="19"/>
        <v>1</v>
      </c>
      <c r="O80" s="4">
        <f t="shared" si="20"/>
        <v>1</v>
      </c>
      <c r="P80" s="4">
        <f t="shared" si="21"/>
        <v>1</v>
      </c>
      <c r="Q80" s="4">
        <f t="shared" si="22"/>
        <v>1</v>
      </c>
    </row>
    <row r="81" spans="1:17" x14ac:dyDescent="0.25">
      <c r="A81" s="2">
        <v>3</v>
      </c>
      <c r="B81" s="9" t="s">
        <v>791</v>
      </c>
      <c r="C81" s="2" t="s">
        <v>38</v>
      </c>
      <c r="D81" s="2">
        <v>1</v>
      </c>
      <c r="E81" s="1" t="str">
        <f>IF(C81="","",VLOOKUP(C81,Table1[#All],2,FALSE))</f>
        <v>M6-1.0 x 35mm Flat Head Socket Cap Screws, Stainless Steel A2-70, DIN 7991, Allen Socket Drive</v>
      </c>
      <c r="F81" s="2">
        <f t="shared" si="47"/>
        <v>2</v>
      </c>
      <c r="G81" s="46">
        <f>IF(C81&lt;&gt;"",(VLOOKUP(C81,part_details,4,FALSE)+VLOOKUP(C81,part_details,5,FALSE)+VLOOKUP(C81,part_details,6,FALSE))*'Multi-level BOM'!D81,"")</f>
        <v>0.43556400000000001</v>
      </c>
      <c r="H81" s="4">
        <f t="shared" si="13"/>
        <v>1</v>
      </c>
      <c r="I81" s="4">
        <f t="shared" si="14"/>
        <v>1</v>
      </c>
      <c r="J81" s="4">
        <f t="shared" si="15"/>
        <v>2</v>
      </c>
      <c r="K81" s="4">
        <f t="shared" si="16"/>
        <v>1</v>
      </c>
      <c r="L81" s="4">
        <f t="shared" si="17"/>
        <v>1</v>
      </c>
      <c r="M81" s="4">
        <f t="shared" si="18"/>
        <v>1</v>
      </c>
      <c r="N81" s="4">
        <f t="shared" si="19"/>
        <v>1</v>
      </c>
      <c r="O81" s="4">
        <f t="shared" si="20"/>
        <v>1</v>
      </c>
      <c r="P81" s="4">
        <f t="shared" si="21"/>
        <v>1</v>
      </c>
      <c r="Q81" s="4">
        <f t="shared" si="22"/>
        <v>1</v>
      </c>
    </row>
    <row r="82" spans="1:17" x14ac:dyDescent="0.25">
      <c r="A82" s="2">
        <v>3</v>
      </c>
      <c r="B82" s="9" t="s">
        <v>672</v>
      </c>
      <c r="C82" s="2" t="s">
        <v>13</v>
      </c>
      <c r="D82" s="2">
        <v>1</v>
      </c>
      <c r="E82" s="1" t="str">
        <f>IF(C82="","",VLOOKUP(C82,Table1[#All],2,FALSE))</f>
        <v>Washer, M6, 304 stainless, OD 12mm, .9mm thick</v>
      </c>
      <c r="F82" s="2">
        <f t="shared" si="47"/>
        <v>2</v>
      </c>
      <c r="G82" s="46">
        <f>IF(C82&lt;&gt;"",(VLOOKUP(C82,part_details,4,FALSE)+VLOOKUP(C82,part_details,5,FALSE)+VLOOKUP(C82,part_details,6,FALSE))*'Multi-level BOM'!D82,"")</f>
        <v>4.4090499999999998E-2</v>
      </c>
      <c r="H82" s="4">
        <f t="shared" si="13"/>
        <v>1</v>
      </c>
      <c r="I82" s="4">
        <f t="shared" si="14"/>
        <v>1</v>
      </c>
      <c r="J82" s="4">
        <f t="shared" si="15"/>
        <v>2</v>
      </c>
      <c r="K82" s="4">
        <f t="shared" si="16"/>
        <v>1</v>
      </c>
      <c r="L82" s="4">
        <f t="shared" si="17"/>
        <v>1</v>
      </c>
      <c r="M82" s="4">
        <f t="shared" si="18"/>
        <v>1</v>
      </c>
      <c r="N82" s="4">
        <f t="shared" si="19"/>
        <v>1</v>
      </c>
      <c r="O82" s="4">
        <f t="shared" si="20"/>
        <v>1</v>
      </c>
      <c r="P82" s="4">
        <f t="shared" si="21"/>
        <v>1</v>
      </c>
      <c r="Q82" s="4">
        <f t="shared" si="22"/>
        <v>1</v>
      </c>
    </row>
    <row r="83" spans="1:17" x14ac:dyDescent="0.25">
      <c r="A83" s="2">
        <v>3</v>
      </c>
      <c r="B83" s="9" t="s">
        <v>752</v>
      </c>
      <c r="C83" s="2" t="s">
        <v>28</v>
      </c>
      <c r="D83" s="2">
        <v>1</v>
      </c>
      <c r="E83" s="1" t="str">
        <f>IF(C83="","",VLOOKUP(C83,Table1[#All],2,FALSE))</f>
        <v xml:space="preserve">M6 x 1.0mm Nylon Inserted Hex Lock Nuts 304 Stainless Steel </v>
      </c>
      <c r="F83" s="2">
        <f t="shared" si="47"/>
        <v>2</v>
      </c>
      <c r="G83" s="46">
        <f>IF(C83&lt;&gt;"",(VLOOKUP(C83,part_details,4,FALSE)+VLOOKUP(C83,part_details,5,FALSE)+VLOOKUP(C83,part_details,6,FALSE))*'Multi-level BOM'!D83,"")</f>
        <v>0.19246285714285716</v>
      </c>
      <c r="H83" s="4">
        <f t="shared" si="13"/>
        <v>1</v>
      </c>
      <c r="I83" s="4">
        <f t="shared" si="14"/>
        <v>1</v>
      </c>
      <c r="J83" s="4">
        <f t="shared" si="15"/>
        <v>2</v>
      </c>
      <c r="K83" s="4">
        <f t="shared" si="16"/>
        <v>1</v>
      </c>
      <c r="L83" s="4">
        <f t="shared" si="17"/>
        <v>1</v>
      </c>
      <c r="M83" s="4">
        <f t="shared" si="18"/>
        <v>1</v>
      </c>
      <c r="N83" s="4">
        <f t="shared" si="19"/>
        <v>1</v>
      </c>
      <c r="O83" s="4">
        <f t="shared" si="20"/>
        <v>1</v>
      </c>
      <c r="P83" s="4">
        <f t="shared" si="21"/>
        <v>1</v>
      </c>
      <c r="Q83" s="4">
        <f t="shared" si="22"/>
        <v>1</v>
      </c>
    </row>
    <row r="84" spans="1:17" x14ac:dyDescent="0.25">
      <c r="B84" s="8"/>
      <c r="G84" s="46" t="str">
        <f>IF(C84&lt;&gt;"",VLOOKUP(C84,part_details,4,FALSE)*'Multi-level BOM'!D84,"")</f>
        <v/>
      </c>
      <c r="H84" s="4">
        <f t="shared" si="13"/>
        <v>1</v>
      </c>
      <c r="I84" s="4">
        <f t="shared" si="14"/>
        <v>1</v>
      </c>
      <c r="J84" s="4">
        <f t="shared" si="15"/>
        <v>2</v>
      </c>
      <c r="K84" s="4">
        <f t="shared" si="16"/>
        <v>1</v>
      </c>
      <c r="L84" s="4">
        <f t="shared" si="17"/>
        <v>1</v>
      </c>
      <c r="M84" s="4">
        <f t="shared" si="18"/>
        <v>1</v>
      </c>
      <c r="N84" s="4">
        <f t="shared" si="19"/>
        <v>1</v>
      </c>
      <c r="O84" s="4">
        <f t="shared" si="20"/>
        <v>1</v>
      </c>
      <c r="P84" s="4">
        <f t="shared" si="21"/>
        <v>1</v>
      </c>
      <c r="Q84" s="4">
        <f t="shared" si="22"/>
        <v>1</v>
      </c>
    </row>
    <row r="85" spans="1:17" x14ac:dyDescent="0.25">
      <c r="A85" s="2">
        <v>2</v>
      </c>
      <c r="B85" s="8" t="s">
        <v>748</v>
      </c>
      <c r="C85" s="2" t="s">
        <v>22</v>
      </c>
      <c r="D85" s="2">
        <v>1</v>
      </c>
      <c r="E85" s="1" t="str">
        <f>IF(C85="","",VLOOKUP(C85,Table1[#All],2,FALSE))</f>
        <v>500mm MGN12 Linear Rail Guide with MGN12H Carriage Block</v>
      </c>
      <c r="F85" s="2">
        <f>PRODUCT(H85:Q85)</f>
        <v>1</v>
      </c>
      <c r="G85" s="47">
        <f>IF(C85&lt;&gt;"",(VLOOKUP(C85,part_details,4,FALSE)+VLOOKUP(C85,part_details,5,FALSE)+VLOOKUP(C85,part_details,6,FALSE))*'Multi-level BOM'!D85,"")</f>
        <v>19.979999999999997</v>
      </c>
      <c r="H85" s="4">
        <f t="shared" si="13"/>
        <v>1</v>
      </c>
      <c r="I85" s="4">
        <f t="shared" si="14"/>
        <v>1</v>
      </c>
      <c r="J85" s="4">
        <f t="shared" si="15"/>
        <v>1</v>
      </c>
      <c r="K85" s="4">
        <f t="shared" si="16"/>
        <v>1</v>
      </c>
      <c r="L85" s="4">
        <f t="shared" si="17"/>
        <v>1</v>
      </c>
      <c r="M85" s="4">
        <f t="shared" si="18"/>
        <v>1</v>
      </c>
      <c r="N85" s="4">
        <f t="shared" si="19"/>
        <v>1</v>
      </c>
      <c r="O85" s="4">
        <f t="shared" si="20"/>
        <v>1</v>
      </c>
      <c r="P85" s="4">
        <f t="shared" si="21"/>
        <v>1</v>
      </c>
      <c r="Q85" s="4">
        <f t="shared" si="22"/>
        <v>1</v>
      </c>
    </row>
    <row r="86" spans="1:17" x14ac:dyDescent="0.25">
      <c r="A86" s="2">
        <v>2</v>
      </c>
      <c r="B86" s="8" t="s">
        <v>749</v>
      </c>
      <c r="C86" s="2" t="s">
        <v>27</v>
      </c>
      <c r="D86" s="2">
        <v>1</v>
      </c>
      <c r="E86" s="1" t="str">
        <f>IF(C86="","",VLOOKUP(C86,Table1[#All],2,FALSE))</f>
        <v>Machifit MGN12C Linear Rail Block for MGN12 Linear Rail Guide</v>
      </c>
      <c r="F86" s="2">
        <f>PRODUCT(H86:Q86)</f>
        <v>1</v>
      </c>
      <c r="G86" s="47">
        <f>IF(C86&lt;&gt;"",(VLOOKUP(C86,part_details,4,FALSE)+VLOOKUP(C86,part_details,5,FALSE)+VLOOKUP(C86,part_details,6,FALSE))*'Multi-level BOM'!D86,"")</f>
        <v>11.319500000000001</v>
      </c>
      <c r="H86" s="4">
        <f t="shared" si="13"/>
        <v>1</v>
      </c>
      <c r="I86" s="4">
        <f t="shared" si="14"/>
        <v>1</v>
      </c>
      <c r="J86" s="4">
        <f t="shared" si="15"/>
        <v>1</v>
      </c>
      <c r="K86" s="4">
        <f t="shared" si="16"/>
        <v>1</v>
      </c>
      <c r="L86" s="4">
        <f t="shared" si="17"/>
        <v>1</v>
      </c>
      <c r="M86" s="4">
        <f t="shared" si="18"/>
        <v>1</v>
      </c>
      <c r="N86" s="4">
        <f t="shared" si="19"/>
        <v>1</v>
      </c>
      <c r="O86" s="4">
        <f t="shared" si="20"/>
        <v>1</v>
      </c>
      <c r="P86" s="4">
        <f t="shared" si="21"/>
        <v>1</v>
      </c>
      <c r="Q86" s="4">
        <f t="shared" si="22"/>
        <v>1</v>
      </c>
    </row>
    <row r="87" spans="1:17" x14ac:dyDescent="0.25">
      <c r="B87" s="8"/>
      <c r="E87" s="1" t="str">
        <f>IF(C87="","",VLOOKUP(C87,Table1[#All],2,FALSE))</f>
        <v/>
      </c>
      <c r="F87" s="2">
        <f t="shared" ref="F87:F90" si="48">PRODUCT(H87:Q87)</f>
        <v>1</v>
      </c>
      <c r="G87" s="47" t="str">
        <f>IF(C87&lt;&gt;"",VLOOKUP(C87,part_details,4,FALSE)*'Multi-level BOM'!D87,"")</f>
        <v/>
      </c>
      <c r="H87" s="4">
        <f t="shared" si="13"/>
        <v>1</v>
      </c>
      <c r="I87" s="4">
        <f t="shared" si="14"/>
        <v>1</v>
      </c>
      <c r="J87" s="4">
        <f t="shared" si="15"/>
        <v>1</v>
      </c>
      <c r="K87" s="4">
        <f t="shared" si="16"/>
        <v>1</v>
      </c>
      <c r="L87" s="4">
        <f t="shared" si="17"/>
        <v>1</v>
      </c>
      <c r="M87" s="4">
        <f t="shared" si="18"/>
        <v>1</v>
      </c>
      <c r="N87" s="4">
        <f t="shared" si="19"/>
        <v>1</v>
      </c>
      <c r="O87" s="4">
        <f t="shared" si="20"/>
        <v>1</v>
      </c>
      <c r="P87" s="4">
        <f t="shared" si="21"/>
        <v>1</v>
      </c>
      <c r="Q87" s="4">
        <f t="shared" si="22"/>
        <v>1</v>
      </c>
    </row>
    <row r="88" spans="1:17" x14ac:dyDescent="0.25">
      <c r="A88" s="2">
        <v>2</v>
      </c>
      <c r="B88" s="8" t="s">
        <v>794</v>
      </c>
      <c r="C88" s="2" t="s">
        <v>39</v>
      </c>
      <c r="D88" s="2">
        <v>20</v>
      </c>
      <c r="E88" s="1" t="str">
        <f>IF(C88="","",VLOOKUP(C88,Table1[#All],2,FALSE))</f>
        <v>M3-0.5x20mm Socket Head Cap Bolts Screws, 304 Stainless Steel 18-8, Allen Socket Drive, Fully Machine Thread, Bright Finish</v>
      </c>
      <c r="F88" s="2">
        <f t="shared" si="48"/>
        <v>20</v>
      </c>
      <c r="G88" s="47">
        <f>IF(C88&lt;&gt;"",(VLOOKUP(C88,part_details,4,FALSE)+VLOOKUP(C88,part_details,5,FALSE)+VLOOKUP(C88,part_details,6,FALSE))*'Multi-level BOM'!D88,"")</f>
        <v>1.8508199999999999</v>
      </c>
      <c r="H88" s="4">
        <f t="shared" si="13"/>
        <v>1</v>
      </c>
      <c r="I88" s="4">
        <f t="shared" si="14"/>
        <v>1</v>
      </c>
      <c r="J88" s="4">
        <f t="shared" si="15"/>
        <v>20</v>
      </c>
      <c r="K88" s="4">
        <f t="shared" si="16"/>
        <v>1</v>
      </c>
      <c r="L88" s="4">
        <f t="shared" si="17"/>
        <v>1</v>
      </c>
      <c r="M88" s="4">
        <f t="shared" si="18"/>
        <v>1</v>
      </c>
      <c r="N88" s="4">
        <f t="shared" si="19"/>
        <v>1</v>
      </c>
      <c r="O88" s="4">
        <f t="shared" si="20"/>
        <v>1</v>
      </c>
      <c r="P88" s="4">
        <f t="shared" si="21"/>
        <v>1</v>
      </c>
      <c r="Q88" s="4">
        <f t="shared" si="22"/>
        <v>1</v>
      </c>
    </row>
    <row r="89" spans="1:17" x14ac:dyDescent="0.25">
      <c r="A89" s="2">
        <v>2</v>
      </c>
      <c r="B89" s="8" t="s">
        <v>803</v>
      </c>
      <c r="C89" s="2" t="s">
        <v>41</v>
      </c>
      <c r="D89" s="2">
        <v>20</v>
      </c>
      <c r="E89" s="1" t="str">
        <f>IF(C89="","",VLOOKUP(C89,Table1[#All],2,FALSE))</f>
        <v>M3x6mmx0.5mm Stainless Steel Flat Washer</v>
      </c>
      <c r="F89" s="2">
        <f t="shared" si="48"/>
        <v>20</v>
      </c>
      <c r="G89" s="47">
        <f>IF(C89&lt;&gt;"",(VLOOKUP(C89,part_details,4,FALSE)+VLOOKUP(C89,part_details,5,FALSE)+VLOOKUP(C89,part_details,6,FALSE))*'Multi-level BOM'!D89,"")</f>
        <v>1.08782</v>
      </c>
      <c r="H89" s="4">
        <f t="shared" si="13"/>
        <v>1</v>
      </c>
      <c r="I89" s="4">
        <f t="shared" si="14"/>
        <v>1</v>
      </c>
      <c r="J89" s="4">
        <f t="shared" si="15"/>
        <v>20</v>
      </c>
      <c r="K89" s="4">
        <f t="shared" si="16"/>
        <v>1</v>
      </c>
      <c r="L89" s="4">
        <f t="shared" si="17"/>
        <v>1</v>
      </c>
      <c r="M89" s="4">
        <f t="shared" si="18"/>
        <v>1</v>
      </c>
      <c r="N89" s="4">
        <f t="shared" si="19"/>
        <v>1</v>
      </c>
      <c r="O89" s="4">
        <f t="shared" si="20"/>
        <v>1</v>
      </c>
      <c r="P89" s="4">
        <f t="shared" si="21"/>
        <v>1</v>
      </c>
      <c r="Q89" s="4">
        <f t="shared" si="22"/>
        <v>1</v>
      </c>
    </row>
    <row r="90" spans="1:17" x14ac:dyDescent="0.25">
      <c r="A90" s="2">
        <v>2</v>
      </c>
      <c r="B90" s="8" t="s">
        <v>804</v>
      </c>
      <c r="C90" s="2" t="s">
        <v>40</v>
      </c>
      <c r="D90" s="2">
        <v>20</v>
      </c>
      <c r="E90" s="1" t="str">
        <f>IF(C90="","",VLOOKUP(C90,Table1[#All],2,FALSE))</f>
        <v>M3 x 0.5mm 304 Stainless Steel Self-Lock Nylon Inserted Hex Lock Nuts,</v>
      </c>
      <c r="F90" s="2">
        <f t="shared" si="48"/>
        <v>20</v>
      </c>
      <c r="G90" s="47">
        <f>IF(C90&lt;&gt;"",(VLOOKUP(C90,part_details,4,FALSE)+VLOOKUP(C90,part_details,5,FALSE)+VLOOKUP(C90,part_details,6,FALSE))*'Multi-level BOM'!D90,"")</f>
        <v>1.7418200000000001</v>
      </c>
      <c r="H90" s="4">
        <f t="shared" si="13"/>
        <v>1</v>
      </c>
      <c r="I90" s="4">
        <f t="shared" si="14"/>
        <v>1</v>
      </c>
      <c r="J90" s="4">
        <f t="shared" si="15"/>
        <v>20</v>
      </c>
      <c r="K90" s="4">
        <f t="shared" si="16"/>
        <v>1</v>
      </c>
      <c r="L90" s="4">
        <f t="shared" si="17"/>
        <v>1</v>
      </c>
      <c r="M90" s="4">
        <f t="shared" si="18"/>
        <v>1</v>
      </c>
      <c r="N90" s="4">
        <f t="shared" si="19"/>
        <v>1</v>
      </c>
      <c r="O90" s="4">
        <f t="shared" si="20"/>
        <v>1</v>
      </c>
      <c r="P90" s="4">
        <f t="shared" si="21"/>
        <v>1</v>
      </c>
      <c r="Q90" s="4">
        <f t="shared" si="22"/>
        <v>1</v>
      </c>
    </row>
    <row r="91" spans="1:17" x14ac:dyDescent="0.25">
      <c r="B91" s="8"/>
      <c r="G91" s="47"/>
      <c r="H91" s="4">
        <f t="shared" si="13"/>
        <v>1</v>
      </c>
      <c r="I91" s="4">
        <f t="shared" si="14"/>
        <v>1</v>
      </c>
      <c r="J91" s="4">
        <f t="shared" si="15"/>
        <v>20</v>
      </c>
      <c r="K91" s="4">
        <f t="shared" si="16"/>
        <v>1</v>
      </c>
      <c r="L91" s="4">
        <f t="shared" si="17"/>
        <v>1</v>
      </c>
      <c r="M91" s="4">
        <f t="shared" si="18"/>
        <v>1</v>
      </c>
      <c r="N91" s="4">
        <f t="shared" si="19"/>
        <v>1</v>
      </c>
      <c r="O91" s="4">
        <f t="shared" si="20"/>
        <v>1</v>
      </c>
      <c r="P91" s="4">
        <f t="shared" si="21"/>
        <v>1</v>
      </c>
      <c r="Q91" s="4">
        <f t="shared" si="22"/>
        <v>1</v>
      </c>
    </row>
    <row r="92" spans="1:17" x14ac:dyDescent="0.25">
      <c r="A92" s="2">
        <v>1</v>
      </c>
      <c r="B92" s="8" t="s">
        <v>644</v>
      </c>
      <c r="D92" s="2">
        <v>1</v>
      </c>
      <c r="E92" s="1" t="str">
        <f>IF(C92="","",VLOOKUP(C92,Table1[#All],2,FALSE))</f>
        <v/>
      </c>
      <c r="F92" s="2">
        <f t="shared" si="44"/>
        <v>1</v>
      </c>
      <c r="G92" s="47">
        <f>F92*SUM(G93:G95,G98)</f>
        <v>322.5178786923077</v>
      </c>
      <c r="H92" s="4">
        <f t="shared" si="13"/>
        <v>1</v>
      </c>
      <c r="I92" s="4">
        <f t="shared" si="14"/>
        <v>1</v>
      </c>
      <c r="J92" s="4">
        <f t="shared" si="15"/>
        <v>1</v>
      </c>
      <c r="K92" s="4">
        <f t="shared" si="16"/>
        <v>1</v>
      </c>
      <c r="L92" s="4">
        <f t="shared" si="17"/>
        <v>1</v>
      </c>
      <c r="M92" s="4">
        <f t="shared" si="18"/>
        <v>1</v>
      </c>
      <c r="N92" s="4">
        <f t="shared" si="19"/>
        <v>1</v>
      </c>
      <c r="O92" s="4">
        <f t="shared" si="20"/>
        <v>1</v>
      </c>
      <c r="P92" s="4">
        <f t="shared" si="21"/>
        <v>1</v>
      </c>
      <c r="Q92" s="4">
        <f t="shared" si="22"/>
        <v>1</v>
      </c>
    </row>
    <row r="93" spans="1:17" x14ac:dyDescent="0.25">
      <c r="A93" s="2">
        <v>2</v>
      </c>
      <c r="B93" s="8" t="s">
        <v>696</v>
      </c>
      <c r="C93" s="2" t="s">
        <v>8</v>
      </c>
      <c r="D93" s="2">
        <v>1</v>
      </c>
      <c r="E93" s="1" t="str">
        <f>IF(C93="","",VLOOKUP(C93,Table1[#All],2,FALSE))</f>
        <v xml:space="preserve">3/8" thick T6061 Aluminum plate, 28" x 24" </v>
      </c>
      <c r="F93" s="2">
        <f>PRODUCT(H93:Q93)</f>
        <v>1</v>
      </c>
      <c r="G93" s="47">
        <f>IF(C93&lt;&gt;"",(VLOOKUP(C93,part_details,4,FALSE)+VLOOKUP(C93,part_details,5,FALSE)+VLOOKUP(C93,part_details,6,FALSE))*'Multi-level BOM'!D93,"")</f>
        <v>96.435000000000002</v>
      </c>
      <c r="H93" s="4">
        <f t="shared" si="13"/>
        <v>1</v>
      </c>
      <c r="I93" s="4">
        <f t="shared" si="14"/>
        <v>1</v>
      </c>
      <c r="J93" s="4">
        <f t="shared" si="15"/>
        <v>1</v>
      </c>
      <c r="K93" s="4">
        <f t="shared" si="16"/>
        <v>1</v>
      </c>
      <c r="L93" s="4">
        <f t="shared" si="17"/>
        <v>1</v>
      </c>
      <c r="M93" s="4">
        <f t="shared" si="18"/>
        <v>1</v>
      </c>
      <c r="N93" s="4">
        <f t="shared" si="19"/>
        <v>1</v>
      </c>
      <c r="O93" s="4">
        <f t="shared" si="20"/>
        <v>1</v>
      </c>
      <c r="P93" s="4">
        <f t="shared" si="21"/>
        <v>1</v>
      </c>
      <c r="Q93" s="4">
        <f t="shared" si="22"/>
        <v>1</v>
      </c>
    </row>
    <row r="94" spans="1:17" x14ac:dyDescent="0.25">
      <c r="A94" s="2">
        <v>2</v>
      </c>
      <c r="B94" s="8" t="s">
        <v>697</v>
      </c>
      <c r="C94" s="2" t="s">
        <v>20</v>
      </c>
      <c r="D94" s="2">
        <v>3</v>
      </c>
      <c r="E94" s="1" t="str">
        <f>IF(C94="","",VLOOKUP(C94,Table1[#All],2,FALSE))</f>
        <v>40x80 Aluminum Extrusion - 8 Series, Base 40</v>
      </c>
      <c r="F94" s="2">
        <f>PRODUCT(H94:Q94)</f>
        <v>3</v>
      </c>
      <c r="G94" s="47">
        <f>IF(C94&lt;&gt;"",(VLOOKUP(C94,part_details,4,FALSE)+VLOOKUP(C94,part_details,5,FALSE)+VLOOKUP(C94,part_details,6,FALSE))*'Multi-level BOM'!D94,"")</f>
        <v>93.403599999999997</v>
      </c>
      <c r="H94" s="4">
        <f t="shared" si="13"/>
        <v>1</v>
      </c>
      <c r="I94" s="4">
        <f t="shared" si="14"/>
        <v>1</v>
      </c>
      <c r="J94" s="4">
        <f t="shared" si="15"/>
        <v>3</v>
      </c>
      <c r="K94" s="4">
        <f t="shared" si="16"/>
        <v>1</v>
      </c>
      <c r="L94" s="4">
        <f t="shared" si="17"/>
        <v>1</v>
      </c>
      <c r="M94" s="4">
        <f t="shared" si="18"/>
        <v>1</v>
      </c>
      <c r="N94" s="4">
        <f t="shared" si="19"/>
        <v>1</v>
      </c>
      <c r="O94" s="4">
        <f t="shared" si="20"/>
        <v>1</v>
      </c>
      <c r="P94" s="4">
        <f t="shared" si="21"/>
        <v>1</v>
      </c>
      <c r="Q94" s="4">
        <f t="shared" si="22"/>
        <v>1</v>
      </c>
    </row>
    <row r="95" spans="1:17" x14ac:dyDescent="0.25">
      <c r="A95" s="2">
        <v>2</v>
      </c>
      <c r="B95" s="8" t="s">
        <v>780</v>
      </c>
      <c r="C95" s="2" t="s">
        <v>21</v>
      </c>
      <c r="D95" s="2">
        <v>6</v>
      </c>
      <c r="E95" s="1" t="str">
        <f>IF(C95="","",VLOOKUP(C95,Table1[#All],2,FALSE))</f>
        <v>M12 x 1.75 flat head screw, 25mm long</v>
      </c>
      <c r="F95" s="2">
        <f>PRODUCT(H95:Q95)</f>
        <v>6</v>
      </c>
      <c r="G95" s="47">
        <f>IF(C95&lt;&gt;"",(VLOOKUP(C95,part_details,4,FALSE)+VLOOKUP(C95,part_details,5,FALSE)+VLOOKUP(C95,part_details,6,FALSE))*'Multi-level BOM'!D95,"")</f>
        <v>11.251619999999999</v>
      </c>
      <c r="H95" s="4">
        <f t="shared" si="13"/>
        <v>1</v>
      </c>
      <c r="I95" s="4">
        <f t="shared" si="14"/>
        <v>1</v>
      </c>
      <c r="J95" s="4">
        <f t="shared" si="15"/>
        <v>6</v>
      </c>
      <c r="K95" s="4">
        <f t="shared" si="16"/>
        <v>1</v>
      </c>
      <c r="L95" s="4">
        <f t="shared" si="17"/>
        <v>1</v>
      </c>
      <c r="M95" s="4">
        <f t="shared" si="18"/>
        <v>1</v>
      </c>
      <c r="N95" s="4">
        <f t="shared" si="19"/>
        <v>1</v>
      </c>
      <c r="O95" s="4">
        <f t="shared" si="20"/>
        <v>1</v>
      </c>
      <c r="P95" s="4">
        <f t="shared" si="21"/>
        <v>1</v>
      </c>
      <c r="Q95" s="4">
        <f t="shared" si="22"/>
        <v>1</v>
      </c>
    </row>
    <row r="96" spans="1:17" x14ac:dyDescent="0.25">
      <c r="B96" s="8"/>
      <c r="E96" s="1" t="str">
        <f>IF(C96="","",VLOOKUP(C96,Table1[#All],2,FALSE))</f>
        <v/>
      </c>
      <c r="G96" s="46" t="str">
        <f>IF(C96&lt;&gt;"",VLOOKUP(C96,part_details,4,FALSE)*'Multi-level BOM'!D96,"")</f>
        <v/>
      </c>
      <c r="H96" s="4">
        <f t="shared" si="13"/>
        <v>1</v>
      </c>
      <c r="I96" s="4">
        <f t="shared" si="14"/>
        <v>1</v>
      </c>
      <c r="J96" s="4">
        <f t="shared" si="15"/>
        <v>6</v>
      </c>
      <c r="K96" s="4">
        <f t="shared" si="16"/>
        <v>1</v>
      </c>
      <c r="L96" s="4">
        <f t="shared" si="17"/>
        <v>1</v>
      </c>
      <c r="M96" s="4">
        <f t="shared" si="18"/>
        <v>1</v>
      </c>
      <c r="N96" s="4">
        <f t="shared" si="19"/>
        <v>1</v>
      </c>
      <c r="O96" s="4">
        <f t="shared" si="20"/>
        <v>1</v>
      </c>
      <c r="P96" s="4">
        <f t="shared" si="21"/>
        <v>1</v>
      </c>
      <c r="Q96" s="4">
        <f t="shared" si="22"/>
        <v>1</v>
      </c>
    </row>
    <row r="97" spans="1:17" x14ac:dyDescent="0.25">
      <c r="B97" s="8"/>
      <c r="E97" s="1" t="str">
        <f>IF(C97="","",VLOOKUP(C97,Table1[#All],2,FALSE))</f>
        <v/>
      </c>
      <c r="G97" s="46" t="str">
        <f>IF(C97&lt;&gt;"",VLOOKUP(C97,part_details,4,FALSE)*'Multi-level BOM'!D97,"")</f>
        <v/>
      </c>
      <c r="H97" s="4">
        <f t="shared" ref="H97:Q99" si="49">IF($A97="",H96,
    IF(H$2=$A97,$D97,
       IF(H$2&lt;$A97,H96,
           1
)))</f>
        <v>1</v>
      </c>
      <c r="I97" s="4">
        <f t="shared" si="49"/>
        <v>1</v>
      </c>
      <c r="J97" s="4">
        <f t="shared" si="49"/>
        <v>6</v>
      </c>
      <c r="K97" s="4">
        <f t="shared" si="49"/>
        <v>1</v>
      </c>
      <c r="L97" s="4">
        <f t="shared" si="49"/>
        <v>1</v>
      </c>
      <c r="M97" s="4">
        <f t="shared" si="49"/>
        <v>1</v>
      </c>
      <c r="N97" s="4">
        <f t="shared" si="49"/>
        <v>1</v>
      </c>
      <c r="O97" s="4">
        <f t="shared" si="49"/>
        <v>1</v>
      </c>
      <c r="P97" s="4">
        <f t="shared" si="49"/>
        <v>1</v>
      </c>
      <c r="Q97" s="4">
        <f t="shared" si="49"/>
        <v>1</v>
      </c>
    </row>
    <row r="98" spans="1:17" x14ac:dyDescent="0.25">
      <c r="A98" s="2">
        <v>2</v>
      </c>
      <c r="B98" s="8" t="s">
        <v>941</v>
      </c>
      <c r="D98" s="2">
        <v>1</v>
      </c>
      <c r="E98" s="1" t="str">
        <f>IF(C98="","",VLOOKUP(C98,Table1[#All],2,FALSE))</f>
        <v/>
      </c>
      <c r="F98" s="2">
        <v>1</v>
      </c>
      <c r="G98" s="47">
        <f>F98*SUM(G99:G128)</f>
        <v>121.42765869230769</v>
      </c>
      <c r="H98" s="4">
        <f t="shared" si="49"/>
        <v>1</v>
      </c>
      <c r="I98" s="4">
        <f t="shared" si="49"/>
        <v>1</v>
      </c>
      <c r="J98" s="4">
        <f t="shared" si="49"/>
        <v>1</v>
      </c>
      <c r="K98" s="4">
        <f t="shared" si="49"/>
        <v>1</v>
      </c>
      <c r="L98" s="4">
        <f t="shared" si="49"/>
        <v>1</v>
      </c>
      <c r="M98" s="4">
        <f t="shared" si="49"/>
        <v>1</v>
      </c>
      <c r="N98" s="4">
        <f t="shared" si="49"/>
        <v>1</v>
      </c>
      <c r="O98" s="4">
        <f t="shared" si="49"/>
        <v>1</v>
      </c>
      <c r="P98" s="4">
        <f t="shared" si="49"/>
        <v>1</v>
      </c>
      <c r="Q98" s="4">
        <f t="shared" si="49"/>
        <v>1</v>
      </c>
    </row>
    <row r="99" spans="1:17" x14ac:dyDescent="0.25">
      <c r="A99" s="2">
        <v>3</v>
      </c>
      <c r="B99" s="8" t="s">
        <v>942</v>
      </c>
      <c r="C99" s="2" t="s">
        <v>71</v>
      </c>
      <c r="D99" s="2">
        <v>1</v>
      </c>
      <c r="E99" s="1" t="str">
        <f>IF(C99="","",VLOOKUP(C99,Table1[#All],2,FALSE))</f>
        <v xml:space="preserve">Aluminum plate (T6061).25 thick, 12" x 5" </v>
      </c>
      <c r="F99" s="2">
        <f t="shared" ref="F99:F128" si="50">PRODUCT(H99:Q99)</f>
        <v>1</v>
      </c>
      <c r="G99" s="46">
        <f>IF(C99&lt;&gt;"",(VLOOKUP(C99,part_details,4,FALSE)+VLOOKUP(C99,part_details,5,FALSE)+VLOOKUP(C99,part_details,6,FALSE))*'Multi-level BOM'!D99,"")</f>
        <v>19.110200000000003</v>
      </c>
      <c r="H99" s="4">
        <f t="shared" si="49"/>
        <v>1</v>
      </c>
      <c r="I99" s="4">
        <f t="shared" si="49"/>
        <v>1</v>
      </c>
      <c r="J99" s="4">
        <f t="shared" si="49"/>
        <v>1</v>
      </c>
      <c r="K99" s="4">
        <f t="shared" si="49"/>
        <v>1</v>
      </c>
      <c r="L99" s="4">
        <f t="shared" si="49"/>
        <v>1</v>
      </c>
      <c r="M99" s="4">
        <f t="shared" si="49"/>
        <v>1</v>
      </c>
      <c r="N99" s="4">
        <f t="shared" si="49"/>
        <v>1</v>
      </c>
      <c r="O99" s="4">
        <f t="shared" si="49"/>
        <v>1</v>
      </c>
      <c r="P99" s="4">
        <f t="shared" si="49"/>
        <v>1</v>
      </c>
      <c r="Q99" s="4">
        <f t="shared" si="49"/>
        <v>1</v>
      </c>
    </row>
    <row r="100" spans="1:17" x14ac:dyDescent="0.25">
      <c r="A100" s="2">
        <v>3</v>
      </c>
      <c r="B100" s="8" t="s">
        <v>943</v>
      </c>
      <c r="C100" s="2" t="s">
        <v>72</v>
      </c>
      <c r="D100" s="2">
        <v>3</v>
      </c>
      <c r="E100" s="1" t="str">
        <f>IF(C100="","",VLOOKUP(C100,Table1[#All],2,FALSE))</f>
        <v>M4 x 20mm Metric Hex Socket Countersunk Head Screw</v>
      </c>
      <c r="F100" s="2">
        <f t="shared" si="50"/>
        <v>3</v>
      </c>
      <c r="G100" s="46">
        <f>IF(C100&lt;&gt;"",(VLOOKUP(C100,part_details,4,FALSE)+VLOOKUP(C100,part_details,5,FALSE)+VLOOKUP(C100,part_details,6,FALSE))*'Multi-level BOM'!D100,"")</f>
        <v>0.39174600000000004</v>
      </c>
      <c r="H100" s="4">
        <f t="shared" ref="H100:Q112" si="51">IF($A100="",H99,
    IF(H$2=$A100,$D100,
       IF(H$2&lt;$A100,H99,
           1
)))</f>
        <v>1</v>
      </c>
      <c r="I100" s="4">
        <f t="shared" si="51"/>
        <v>1</v>
      </c>
      <c r="J100" s="4">
        <f t="shared" si="51"/>
        <v>1</v>
      </c>
      <c r="K100" s="4">
        <f t="shared" si="51"/>
        <v>3</v>
      </c>
      <c r="L100" s="4">
        <f t="shared" si="51"/>
        <v>1</v>
      </c>
      <c r="M100" s="4">
        <f t="shared" si="51"/>
        <v>1</v>
      </c>
      <c r="N100" s="4">
        <f t="shared" si="51"/>
        <v>1</v>
      </c>
      <c r="O100" s="4">
        <f t="shared" si="51"/>
        <v>1</v>
      </c>
      <c r="P100" s="4">
        <f t="shared" si="51"/>
        <v>1</v>
      </c>
      <c r="Q100" s="4">
        <f t="shared" si="51"/>
        <v>1</v>
      </c>
    </row>
    <row r="101" spans="1:17" x14ac:dyDescent="0.25">
      <c r="A101" s="2">
        <v>3</v>
      </c>
      <c r="B101" s="8" t="s">
        <v>948</v>
      </c>
      <c r="C101" s="2" t="s">
        <v>32</v>
      </c>
      <c r="D101" s="2">
        <v>6</v>
      </c>
      <c r="E101" s="1" t="str">
        <f>IF(C101="","",VLOOKUP(C101,Table1[#All],2,FALSE))</f>
        <v xml:space="preserve">M5-0.8 x 16mm Button Head Socket Cap Screws, Stainless Steel 304, Plain Finish, Quantity 50 </v>
      </c>
      <c r="F101" s="2">
        <f t="shared" si="50"/>
        <v>6</v>
      </c>
      <c r="G101" s="46">
        <f>IF(C101&lt;&gt;"",(VLOOKUP(C101,part_details,4,FALSE)+VLOOKUP(C101,part_details,5,FALSE)+VLOOKUP(C101,part_details,6,FALSE))*'Multi-level BOM'!D101,"")</f>
        <v>1.1758920000000002</v>
      </c>
      <c r="H101" s="4">
        <f t="shared" si="51"/>
        <v>1</v>
      </c>
      <c r="I101" s="4">
        <f t="shared" si="51"/>
        <v>1</v>
      </c>
      <c r="J101" s="4">
        <f t="shared" si="51"/>
        <v>1</v>
      </c>
      <c r="K101" s="4">
        <f t="shared" si="51"/>
        <v>6</v>
      </c>
      <c r="L101" s="4">
        <f t="shared" si="51"/>
        <v>1</v>
      </c>
      <c r="M101" s="4">
        <f t="shared" si="51"/>
        <v>1</v>
      </c>
      <c r="N101" s="4">
        <f t="shared" si="51"/>
        <v>1</v>
      </c>
      <c r="O101" s="4">
        <f t="shared" si="51"/>
        <v>1</v>
      </c>
      <c r="P101" s="4">
        <f t="shared" si="51"/>
        <v>1</v>
      </c>
      <c r="Q101" s="4">
        <f t="shared" si="51"/>
        <v>1</v>
      </c>
    </row>
    <row r="102" spans="1:17" x14ac:dyDescent="0.25">
      <c r="A102" s="2">
        <v>3</v>
      </c>
      <c r="B102" s="8" t="s">
        <v>949</v>
      </c>
      <c r="C102" s="2" t="s">
        <v>68</v>
      </c>
      <c r="D102" s="2">
        <v>6</v>
      </c>
      <c r="E102" s="1" t="str">
        <f>IF(C102="","",VLOOKUP(C102,Table1[#All],2,FALSE))</f>
        <v>M5x10mmx1mm Stainless Steel Metric Round Flat Washer</v>
      </c>
      <c r="F102" s="2">
        <f t="shared" si="50"/>
        <v>6</v>
      </c>
      <c r="G102" s="46">
        <f>IF(C102&lt;&gt;"",(VLOOKUP(C102,part_details,4,FALSE)+VLOOKUP(C102,part_details,5,FALSE)+VLOOKUP(C102,part_details,6,FALSE))*'Multi-level BOM'!D102,"")</f>
        <v>0.58794600000000008</v>
      </c>
      <c r="H102" s="4">
        <f t="shared" si="51"/>
        <v>1</v>
      </c>
      <c r="I102" s="4">
        <f t="shared" si="51"/>
        <v>1</v>
      </c>
      <c r="J102" s="4">
        <f t="shared" si="51"/>
        <v>1</v>
      </c>
      <c r="K102" s="4">
        <f t="shared" si="51"/>
        <v>6</v>
      </c>
      <c r="L102" s="4">
        <f t="shared" si="51"/>
        <v>1</v>
      </c>
      <c r="M102" s="4">
        <f t="shared" si="51"/>
        <v>1</v>
      </c>
      <c r="N102" s="4">
        <f t="shared" si="51"/>
        <v>1</v>
      </c>
      <c r="O102" s="4">
        <f t="shared" si="51"/>
        <v>1</v>
      </c>
      <c r="P102" s="4">
        <f t="shared" si="51"/>
        <v>1</v>
      </c>
      <c r="Q102" s="4">
        <f t="shared" si="51"/>
        <v>1</v>
      </c>
    </row>
    <row r="103" spans="1:17" x14ac:dyDescent="0.25">
      <c r="A103" s="2">
        <v>3</v>
      </c>
      <c r="B103" s="8" t="s">
        <v>950</v>
      </c>
      <c r="C103" s="2" t="s">
        <v>33</v>
      </c>
      <c r="D103" s="2">
        <v>6</v>
      </c>
      <c r="E103" s="1" t="str">
        <f>IF(C103="","",VLOOKUP(C103,Table1[#All],2,FALSE))</f>
        <v>Sliding T Slot Nuts 4040 Series M5 26 Pack T Nuts Carbon Steel</v>
      </c>
      <c r="F103" s="2">
        <f t="shared" si="50"/>
        <v>6</v>
      </c>
      <c r="G103" s="46">
        <f>IF(C103&lt;&gt;"",(VLOOKUP(C103,part_details,4,FALSE)+VLOOKUP(C103,part_details,5,FALSE)+VLOOKUP(C103,part_details,6,FALSE))*'Multi-level BOM'!D103,"")</f>
        <v>2.0349461538461542</v>
      </c>
      <c r="H103" s="4">
        <f t="shared" si="51"/>
        <v>1</v>
      </c>
      <c r="I103" s="4">
        <f t="shared" si="51"/>
        <v>1</v>
      </c>
      <c r="J103" s="4">
        <f t="shared" si="51"/>
        <v>1</v>
      </c>
      <c r="K103" s="4">
        <f t="shared" si="51"/>
        <v>6</v>
      </c>
      <c r="L103" s="4">
        <f t="shared" si="51"/>
        <v>1</v>
      </c>
      <c r="M103" s="4">
        <f t="shared" si="51"/>
        <v>1</v>
      </c>
      <c r="N103" s="4">
        <f t="shared" si="51"/>
        <v>1</v>
      </c>
      <c r="O103" s="4">
        <f t="shared" si="51"/>
        <v>1</v>
      </c>
      <c r="P103" s="4">
        <f t="shared" si="51"/>
        <v>1</v>
      </c>
      <c r="Q103" s="4">
        <f t="shared" si="51"/>
        <v>1</v>
      </c>
    </row>
    <row r="104" spans="1:17" x14ac:dyDescent="0.25">
      <c r="A104" s="2">
        <v>3</v>
      </c>
      <c r="B104" s="8" t="s">
        <v>946</v>
      </c>
      <c r="C104" s="2" t="s">
        <v>71</v>
      </c>
      <c r="D104" s="2">
        <v>1</v>
      </c>
      <c r="E104" s="1" t="str">
        <f>IF(C104="","",VLOOKUP(C104,Table1[#All],2,FALSE))</f>
        <v xml:space="preserve">Aluminum plate (T6061).25 thick, 12" x 5" </v>
      </c>
      <c r="F104" s="2">
        <f t="shared" si="50"/>
        <v>1</v>
      </c>
      <c r="G104" s="46">
        <f>IF(C104&lt;&gt;"",(VLOOKUP(C104,part_details,4,FALSE)+VLOOKUP(C104,part_details,5,FALSE)+VLOOKUP(C104,part_details,6,FALSE))*'Multi-level BOM'!D104,"")</f>
        <v>19.110200000000003</v>
      </c>
      <c r="H104" s="4">
        <f t="shared" si="51"/>
        <v>1</v>
      </c>
      <c r="I104" s="4">
        <f t="shared" si="51"/>
        <v>1</v>
      </c>
      <c r="J104" s="4">
        <f t="shared" si="51"/>
        <v>1</v>
      </c>
      <c r="K104" s="4">
        <f t="shared" si="51"/>
        <v>1</v>
      </c>
      <c r="L104" s="4">
        <f t="shared" si="51"/>
        <v>1</v>
      </c>
      <c r="M104" s="4">
        <f t="shared" si="51"/>
        <v>1</v>
      </c>
      <c r="N104" s="4">
        <f t="shared" si="51"/>
        <v>1</v>
      </c>
      <c r="O104" s="4">
        <f t="shared" si="51"/>
        <v>1</v>
      </c>
      <c r="P104" s="4">
        <f t="shared" si="51"/>
        <v>1</v>
      </c>
      <c r="Q104" s="4">
        <f t="shared" si="51"/>
        <v>1</v>
      </c>
    </row>
    <row r="105" spans="1:17" x14ac:dyDescent="0.25">
      <c r="A105" s="2">
        <v>3</v>
      </c>
      <c r="B105" s="8" t="s">
        <v>943</v>
      </c>
      <c r="C105" s="2" t="s">
        <v>72</v>
      </c>
      <c r="D105" s="2">
        <v>3</v>
      </c>
      <c r="E105" s="1" t="str">
        <f>IF(C105="","",VLOOKUP(C105,Table1[#All],2,FALSE))</f>
        <v>M4 x 20mm Metric Hex Socket Countersunk Head Screw</v>
      </c>
      <c r="F105" s="2">
        <f t="shared" si="50"/>
        <v>3</v>
      </c>
      <c r="G105" s="46">
        <f>IF(C105&lt;&gt;"",(VLOOKUP(C105,part_details,4,FALSE)+VLOOKUP(C105,part_details,5,FALSE)+VLOOKUP(C105,part_details,6,FALSE))*'Multi-level BOM'!D105,"")</f>
        <v>0.39174600000000004</v>
      </c>
      <c r="H105" s="4">
        <f t="shared" si="51"/>
        <v>1</v>
      </c>
      <c r="I105" s="4">
        <f t="shared" si="51"/>
        <v>1</v>
      </c>
      <c r="J105" s="4">
        <f t="shared" si="51"/>
        <v>1</v>
      </c>
      <c r="K105" s="4">
        <f t="shared" si="51"/>
        <v>3</v>
      </c>
      <c r="L105" s="4">
        <f t="shared" si="51"/>
        <v>1</v>
      </c>
      <c r="M105" s="4">
        <f t="shared" si="51"/>
        <v>1</v>
      </c>
      <c r="N105" s="4">
        <f t="shared" si="51"/>
        <v>1</v>
      </c>
      <c r="O105" s="4">
        <f t="shared" si="51"/>
        <v>1</v>
      </c>
      <c r="P105" s="4">
        <f t="shared" si="51"/>
        <v>1</v>
      </c>
      <c r="Q105" s="4">
        <f t="shared" si="51"/>
        <v>1</v>
      </c>
    </row>
    <row r="106" spans="1:17" x14ac:dyDescent="0.25">
      <c r="A106" s="2">
        <v>3</v>
      </c>
      <c r="B106" s="8" t="s">
        <v>948</v>
      </c>
      <c r="C106" s="2" t="s">
        <v>32</v>
      </c>
      <c r="D106" s="2">
        <v>6</v>
      </c>
      <c r="E106" s="1" t="str">
        <f>IF(C106="","",VLOOKUP(C106,Table1[#All],2,FALSE))</f>
        <v xml:space="preserve">M5-0.8 x 16mm Button Head Socket Cap Screws, Stainless Steel 304, Plain Finish, Quantity 50 </v>
      </c>
      <c r="F106" s="2">
        <f t="shared" si="50"/>
        <v>6</v>
      </c>
      <c r="G106" s="46">
        <f>IF(C106&lt;&gt;"",(VLOOKUP(C106,part_details,4,FALSE)+VLOOKUP(C106,part_details,5,FALSE)+VLOOKUP(C106,part_details,6,FALSE))*'Multi-level BOM'!D106,"")</f>
        <v>1.1758920000000002</v>
      </c>
      <c r="H106" s="4">
        <f t="shared" si="51"/>
        <v>1</v>
      </c>
      <c r="I106" s="4">
        <f t="shared" si="51"/>
        <v>1</v>
      </c>
      <c r="J106" s="4">
        <f t="shared" si="51"/>
        <v>1</v>
      </c>
      <c r="K106" s="4">
        <f t="shared" si="51"/>
        <v>6</v>
      </c>
      <c r="L106" s="4">
        <f t="shared" si="51"/>
        <v>1</v>
      </c>
      <c r="M106" s="4">
        <f t="shared" si="51"/>
        <v>1</v>
      </c>
      <c r="N106" s="4">
        <f t="shared" si="51"/>
        <v>1</v>
      </c>
      <c r="O106" s="4">
        <f t="shared" si="51"/>
        <v>1</v>
      </c>
      <c r="P106" s="4">
        <f t="shared" si="51"/>
        <v>1</v>
      </c>
      <c r="Q106" s="4">
        <f t="shared" si="51"/>
        <v>1</v>
      </c>
    </row>
    <row r="107" spans="1:17" x14ac:dyDescent="0.25">
      <c r="A107" s="2">
        <v>3</v>
      </c>
      <c r="B107" s="8" t="s">
        <v>949</v>
      </c>
      <c r="C107" s="2" t="s">
        <v>68</v>
      </c>
      <c r="D107" s="2">
        <v>6</v>
      </c>
      <c r="E107" s="1" t="str">
        <f>IF(C107="","",VLOOKUP(C107,Table1[#All],2,FALSE))</f>
        <v>M5x10mmx1mm Stainless Steel Metric Round Flat Washer</v>
      </c>
      <c r="F107" s="2">
        <f t="shared" si="50"/>
        <v>6</v>
      </c>
      <c r="G107" s="46">
        <f>IF(C107&lt;&gt;"",(VLOOKUP(C107,part_details,4,FALSE)+VLOOKUP(C107,part_details,5,FALSE)+VLOOKUP(C107,part_details,6,FALSE))*'Multi-level BOM'!D107,"")</f>
        <v>0.58794600000000008</v>
      </c>
      <c r="H107" s="4">
        <f t="shared" si="51"/>
        <v>1</v>
      </c>
      <c r="I107" s="4">
        <f t="shared" si="51"/>
        <v>1</v>
      </c>
      <c r="J107" s="4">
        <f t="shared" si="51"/>
        <v>1</v>
      </c>
      <c r="K107" s="4">
        <f t="shared" si="51"/>
        <v>6</v>
      </c>
      <c r="L107" s="4">
        <f t="shared" si="51"/>
        <v>1</v>
      </c>
      <c r="M107" s="4">
        <f t="shared" si="51"/>
        <v>1</v>
      </c>
      <c r="N107" s="4">
        <f t="shared" si="51"/>
        <v>1</v>
      </c>
      <c r="O107" s="4">
        <f t="shared" si="51"/>
        <v>1</v>
      </c>
      <c r="P107" s="4">
        <f t="shared" si="51"/>
        <v>1</v>
      </c>
      <c r="Q107" s="4">
        <f t="shared" si="51"/>
        <v>1</v>
      </c>
    </row>
    <row r="108" spans="1:17" x14ac:dyDescent="0.25">
      <c r="A108" s="2">
        <v>3</v>
      </c>
      <c r="B108" s="8" t="s">
        <v>950</v>
      </c>
      <c r="C108" s="2" t="s">
        <v>33</v>
      </c>
      <c r="D108" s="2">
        <v>6</v>
      </c>
      <c r="E108" s="1" t="str">
        <f>IF(C108="","",VLOOKUP(C108,Table1[#All],2,FALSE))</f>
        <v>Sliding T Slot Nuts 4040 Series M5 26 Pack T Nuts Carbon Steel</v>
      </c>
      <c r="F108" s="2">
        <f t="shared" si="50"/>
        <v>6</v>
      </c>
      <c r="G108" s="46">
        <f>IF(C108&lt;&gt;"",(VLOOKUP(C108,part_details,4,FALSE)+VLOOKUP(C108,part_details,5,FALSE)+VLOOKUP(C108,part_details,6,FALSE))*'Multi-level BOM'!D108,"")</f>
        <v>2.0349461538461542</v>
      </c>
      <c r="H108" s="4">
        <f t="shared" si="51"/>
        <v>1</v>
      </c>
      <c r="I108" s="4">
        <f t="shared" si="51"/>
        <v>1</v>
      </c>
      <c r="J108" s="4">
        <f t="shared" si="51"/>
        <v>1</v>
      </c>
      <c r="K108" s="4">
        <f t="shared" si="51"/>
        <v>6</v>
      </c>
      <c r="L108" s="4">
        <f t="shared" si="51"/>
        <v>1</v>
      </c>
      <c r="M108" s="4">
        <f t="shared" si="51"/>
        <v>1</v>
      </c>
      <c r="N108" s="4">
        <f t="shared" si="51"/>
        <v>1</v>
      </c>
      <c r="O108" s="4">
        <f t="shared" si="51"/>
        <v>1</v>
      </c>
      <c r="P108" s="4">
        <f t="shared" si="51"/>
        <v>1</v>
      </c>
      <c r="Q108" s="4">
        <f t="shared" si="51"/>
        <v>1</v>
      </c>
    </row>
    <row r="109" spans="1:17" x14ac:dyDescent="0.25">
      <c r="A109" s="2">
        <v>3</v>
      </c>
      <c r="B109" s="8" t="s">
        <v>947</v>
      </c>
      <c r="C109" s="2" t="s">
        <v>71</v>
      </c>
      <c r="D109" s="2">
        <v>1</v>
      </c>
      <c r="E109" s="1" t="str">
        <f>IF(C109="","",VLOOKUP(C109,Table1[#All],2,FALSE))</f>
        <v xml:space="preserve">Aluminum plate (T6061).25 thick, 12" x 5" </v>
      </c>
      <c r="F109" s="2">
        <f t="shared" si="50"/>
        <v>1</v>
      </c>
      <c r="G109" s="46">
        <f>IF(C109&lt;&gt;"",(VLOOKUP(C109,part_details,4,FALSE)+VLOOKUP(C109,part_details,5,FALSE)+VLOOKUP(C109,part_details,6,FALSE))*'Multi-level BOM'!D109,"")</f>
        <v>19.110200000000003</v>
      </c>
      <c r="H109" s="4">
        <f t="shared" si="51"/>
        <v>1</v>
      </c>
      <c r="I109" s="4">
        <f t="shared" si="51"/>
        <v>1</v>
      </c>
      <c r="J109" s="4">
        <f t="shared" si="51"/>
        <v>1</v>
      </c>
      <c r="K109" s="4">
        <f t="shared" si="51"/>
        <v>1</v>
      </c>
      <c r="L109" s="4">
        <f t="shared" si="51"/>
        <v>1</v>
      </c>
      <c r="M109" s="4">
        <f t="shared" si="51"/>
        <v>1</v>
      </c>
      <c r="N109" s="4">
        <f t="shared" si="51"/>
        <v>1</v>
      </c>
      <c r="O109" s="4">
        <f t="shared" si="51"/>
        <v>1</v>
      </c>
      <c r="P109" s="4">
        <f t="shared" si="51"/>
        <v>1</v>
      </c>
      <c r="Q109" s="4">
        <f t="shared" si="51"/>
        <v>1</v>
      </c>
    </row>
    <row r="110" spans="1:17" x14ac:dyDescent="0.25">
      <c r="A110" s="2">
        <v>3</v>
      </c>
      <c r="B110" s="8" t="s">
        <v>943</v>
      </c>
      <c r="C110" s="2" t="s">
        <v>72</v>
      </c>
      <c r="D110" s="2">
        <v>3</v>
      </c>
      <c r="E110" s="1" t="str">
        <f>IF(C110="","",VLOOKUP(C110,Table1[#All],2,FALSE))</f>
        <v>M4 x 20mm Metric Hex Socket Countersunk Head Screw</v>
      </c>
      <c r="F110" s="2">
        <f t="shared" si="50"/>
        <v>3</v>
      </c>
      <c r="G110" s="46">
        <f>IF(C110&lt;&gt;"",(VLOOKUP(C110,part_details,4,FALSE)+VLOOKUP(C110,part_details,5,FALSE)+VLOOKUP(C110,part_details,6,FALSE))*'Multi-level BOM'!D110,"")</f>
        <v>0.39174600000000004</v>
      </c>
      <c r="H110" s="4">
        <f t="shared" si="51"/>
        <v>1</v>
      </c>
      <c r="I110" s="4">
        <f t="shared" si="51"/>
        <v>1</v>
      </c>
      <c r="J110" s="4">
        <f t="shared" si="51"/>
        <v>1</v>
      </c>
      <c r="K110" s="4">
        <f t="shared" si="51"/>
        <v>3</v>
      </c>
      <c r="L110" s="4">
        <f t="shared" si="51"/>
        <v>1</v>
      </c>
      <c r="M110" s="4">
        <f t="shared" si="51"/>
        <v>1</v>
      </c>
      <c r="N110" s="4">
        <f t="shared" si="51"/>
        <v>1</v>
      </c>
      <c r="O110" s="4">
        <f t="shared" si="51"/>
        <v>1</v>
      </c>
      <c r="P110" s="4">
        <f t="shared" si="51"/>
        <v>1</v>
      </c>
      <c r="Q110" s="4">
        <f t="shared" si="51"/>
        <v>1</v>
      </c>
    </row>
    <row r="111" spans="1:17" x14ac:dyDescent="0.25">
      <c r="A111" s="2">
        <v>3</v>
      </c>
      <c r="B111" s="8" t="s">
        <v>948</v>
      </c>
      <c r="C111" s="2" t="s">
        <v>32</v>
      </c>
      <c r="D111" s="2">
        <v>6</v>
      </c>
      <c r="E111" s="1" t="str">
        <f>IF(C111="","",VLOOKUP(C111,Table1[#All],2,FALSE))</f>
        <v xml:space="preserve">M5-0.8 x 16mm Button Head Socket Cap Screws, Stainless Steel 304, Plain Finish, Quantity 50 </v>
      </c>
      <c r="F111" s="2">
        <f t="shared" si="50"/>
        <v>6</v>
      </c>
      <c r="G111" s="46">
        <f>IF(C111&lt;&gt;"",(VLOOKUP(C111,part_details,4,FALSE)+VLOOKUP(C111,part_details,5,FALSE)+VLOOKUP(C111,part_details,6,FALSE))*'Multi-level BOM'!D111,"")</f>
        <v>1.1758920000000002</v>
      </c>
      <c r="H111" s="4">
        <f t="shared" si="51"/>
        <v>1</v>
      </c>
      <c r="I111" s="4">
        <f t="shared" si="51"/>
        <v>1</v>
      </c>
      <c r="J111" s="4">
        <f t="shared" si="51"/>
        <v>1</v>
      </c>
      <c r="K111" s="4">
        <f t="shared" si="51"/>
        <v>6</v>
      </c>
      <c r="L111" s="4">
        <f t="shared" si="51"/>
        <v>1</v>
      </c>
      <c r="M111" s="4">
        <f t="shared" si="51"/>
        <v>1</v>
      </c>
      <c r="N111" s="4">
        <f t="shared" si="51"/>
        <v>1</v>
      </c>
      <c r="O111" s="4">
        <f t="shared" si="51"/>
        <v>1</v>
      </c>
      <c r="P111" s="4">
        <f t="shared" si="51"/>
        <v>1</v>
      </c>
      <c r="Q111" s="4">
        <f t="shared" si="51"/>
        <v>1</v>
      </c>
    </row>
    <row r="112" spans="1:17" x14ac:dyDescent="0.25">
      <c r="A112" s="2">
        <v>3</v>
      </c>
      <c r="B112" s="8" t="s">
        <v>949</v>
      </c>
      <c r="C112" s="2" t="s">
        <v>68</v>
      </c>
      <c r="D112" s="2">
        <v>6</v>
      </c>
      <c r="E112" s="1" t="str">
        <f>IF(C112="","",VLOOKUP(C112,Table1[#All],2,FALSE))</f>
        <v>M5x10mmx1mm Stainless Steel Metric Round Flat Washer</v>
      </c>
      <c r="F112" s="2">
        <f t="shared" si="50"/>
        <v>6</v>
      </c>
      <c r="G112" s="46">
        <f>IF(C112&lt;&gt;"",(VLOOKUP(C112,part_details,4,FALSE)+VLOOKUP(C112,part_details,5,FALSE)+VLOOKUP(C112,part_details,6,FALSE))*'Multi-level BOM'!D112,"")</f>
        <v>0.58794600000000008</v>
      </c>
      <c r="H112" s="4">
        <f t="shared" si="51"/>
        <v>1</v>
      </c>
      <c r="I112" s="4">
        <f t="shared" si="51"/>
        <v>1</v>
      </c>
      <c r="J112" s="4">
        <f t="shared" si="51"/>
        <v>1</v>
      </c>
      <c r="K112" s="4">
        <f t="shared" si="51"/>
        <v>6</v>
      </c>
      <c r="L112" s="4">
        <f t="shared" si="51"/>
        <v>1</v>
      </c>
      <c r="M112" s="4">
        <f t="shared" si="51"/>
        <v>1</v>
      </c>
      <c r="N112" s="4">
        <f t="shared" si="51"/>
        <v>1</v>
      </c>
      <c r="O112" s="4">
        <f t="shared" si="51"/>
        <v>1</v>
      </c>
      <c r="P112" s="4">
        <f t="shared" si="51"/>
        <v>1</v>
      </c>
      <c r="Q112" s="4">
        <f t="shared" si="51"/>
        <v>1</v>
      </c>
    </row>
    <row r="113" spans="1:17" x14ac:dyDescent="0.25">
      <c r="A113" s="2">
        <v>3</v>
      </c>
      <c r="B113" s="8" t="s">
        <v>950</v>
      </c>
      <c r="C113" s="2" t="s">
        <v>33</v>
      </c>
      <c r="D113" s="2">
        <v>6</v>
      </c>
      <c r="E113" s="1" t="str">
        <f>IF(C113="","",VLOOKUP(C113,Table1[#All],2,FALSE))</f>
        <v>Sliding T Slot Nuts 4040 Series M5 26 Pack T Nuts Carbon Steel</v>
      </c>
      <c r="F113" s="2">
        <f t="shared" si="50"/>
        <v>6</v>
      </c>
      <c r="G113" s="46">
        <f>IF(C113&lt;&gt;"",(VLOOKUP(C113,part_details,4,FALSE)+VLOOKUP(C113,part_details,5,FALSE)+VLOOKUP(C113,part_details,6,FALSE))*'Multi-level BOM'!D113,"")</f>
        <v>2.0349461538461542</v>
      </c>
      <c r="H113" s="4">
        <f t="shared" ref="H113:Q125" si="52">IF($A113="",H112,
    IF(H$2=$A113,$D113,
       IF(H$2&lt;$A113,H112,
           1
)))</f>
        <v>1</v>
      </c>
      <c r="I113" s="4">
        <f t="shared" si="52"/>
        <v>1</v>
      </c>
      <c r="J113" s="4">
        <f t="shared" si="52"/>
        <v>1</v>
      </c>
      <c r="K113" s="4">
        <f t="shared" si="52"/>
        <v>6</v>
      </c>
      <c r="L113" s="4">
        <f t="shared" si="52"/>
        <v>1</v>
      </c>
      <c r="M113" s="4">
        <f t="shared" si="52"/>
        <v>1</v>
      </c>
      <c r="N113" s="4">
        <f t="shared" si="52"/>
        <v>1</v>
      </c>
      <c r="O113" s="4">
        <f t="shared" si="52"/>
        <v>1</v>
      </c>
      <c r="P113" s="4">
        <f t="shared" si="52"/>
        <v>1</v>
      </c>
      <c r="Q113" s="4">
        <f t="shared" si="52"/>
        <v>1</v>
      </c>
    </row>
    <row r="114" spans="1:17" x14ac:dyDescent="0.25">
      <c r="A114" s="2">
        <v>3</v>
      </c>
      <c r="B114" s="8" t="s">
        <v>952</v>
      </c>
      <c r="C114" s="2" t="s">
        <v>73</v>
      </c>
      <c r="D114" s="2">
        <v>1</v>
      </c>
      <c r="E114" s="1" t="str">
        <f>IF(C114="","",VLOOKUP(C114,Table1[#All],2,FALSE))</f>
        <v xml:space="preserve">Aluminum plate (T6061).25 thick, 4" x 16" </v>
      </c>
      <c r="F114" s="2">
        <f t="shared" si="50"/>
        <v>1</v>
      </c>
      <c r="G114" s="46">
        <f>IF(C114&lt;&gt;"",(VLOOKUP(C114,part_details,4,FALSE)+VLOOKUP(C114,part_details,5,FALSE)+VLOOKUP(C114,part_details,6,FALSE))*'Multi-level BOM'!D114,"")</f>
        <v>15.0146</v>
      </c>
      <c r="H114" s="4">
        <f t="shared" si="52"/>
        <v>1</v>
      </c>
      <c r="I114" s="4">
        <f t="shared" si="52"/>
        <v>1</v>
      </c>
      <c r="J114" s="4">
        <f t="shared" si="52"/>
        <v>1</v>
      </c>
      <c r="K114" s="4">
        <f t="shared" si="52"/>
        <v>1</v>
      </c>
      <c r="L114" s="4">
        <f t="shared" si="52"/>
        <v>1</v>
      </c>
      <c r="M114" s="4">
        <f t="shared" si="52"/>
        <v>1</v>
      </c>
      <c r="N114" s="4">
        <f t="shared" si="52"/>
        <v>1</v>
      </c>
      <c r="O114" s="4">
        <f t="shared" si="52"/>
        <v>1</v>
      </c>
      <c r="P114" s="4">
        <f t="shared" si="52"/>
        <v>1</v>
      </c>
      <c r="Q114" s="4">
        <f t="shared" si="52"/>
        <v>1</v>
      </c>
    </row>
    <row r="115" spans="1:17" x14ac:dyDescent="0.25">
      <c r="A115" s="2">
        <v>3</v>
      </c>
      <c r="B115" s="8" t="s">
        <v>943</v>
      </c>
      <c r="C115" s="2" t="s">
        <v>72</v>
      </c>
      <c r="D115" s="2">
        <v>2</v>
      </c>
      <c r="E115" s="1" t="str">
        <f>IF(C115="","",VLOOKUP(C115,Table1[#All],2,FALSE))</f>
        <v>M4 x 20mm Metric Hex Socket Countersunk Head Screw</v>
      </c>
      <c r="F115" s="2">
        <f t="shared" si="50"/>
        <v>2</v>
      </c>
      <c r="G115" s="46">
        <f>IF(C115&lt;&gt;"",(VLOOKUP(C115,part_details,4,FALSE)+VLOOKUP(C115,part_details,5,FALSE)+VLOOKUP(C115,part_details,6,FALSE))*'Multi-level BOM'!D115,"")</f>
        <v>0.26116400000000001</v>
      </c>
      <c r="H115" s="4">
        <f t="shared" si="52"/>
        <v>1</v>
      </c>
      <c r="I115" s="4">
        <f t="shared" si="52"/>
        <v>1</v>
      </c>
      <c r="J115" s="4">
        <f t="shared" si="52"/>
        <v>1</v>
      </c>
      <c r="K115" s="4">
        <f t="shared" si="52"/>
        <v>2</v>
      </c>
      <c r="L115" s="4">
        <f t="shared" si="52"/>
        <v>1</v>
      </c>
      <c r="M115" s="4">
        <f t="shared" si="52"/>
        <v>1</v>
      </c>
      <c r="N115" s="4">
        <f t="shared" si="52"/>
        <v>1</v>
      </c>
      <c r="O115" s="4">
        <f t="shared" si="52"/>
        <v>1</v>
      </c>
      <c r="P115" s="4">
        <f t="shared" si="52"/>
        <v>1</v>
      </c>
      <c r="Q115" s="4">
        <f t="shared" si="52"/>
        <v>1</v>
      </c>
    </row>
    <row r="116" spans="1:17" x14ac:dyDescent="0.25">
      <c r="A116" s="2">
        <v>3</v>
      </c>
      <c r="B116" s="8" t="s">
        <v>951</v>
      </c>
      <c r="C116" s="2" t="s">
        <v>32</v>
      </c>
      <c r="D116" s="2">
        <v>3</v>
      </c>
      <c r="E116" s="1" t="str">
        <f>IF(C116="","",VLOOKUP(C116,Table1[#All],2,FALSE))</f>
        <v xml:space="preserve">M5-0.8 x 16mm Button Head Socket Cap Screws, Stainless Steel 304, Plain Finish, Quantity 50 </v>
      </c>
      <c r="F116" s="2">
        <f t="shared" si="50"/>
        <v>3</v>
      </c>
      <c r="G116" s="46">
        <f>IF(C116&lt;&gt;"",(VLOOKUP(C116,part_details,4,FALSE)+VLOOKUP(C116,part_details,5,FALSE)+VLOOKUP(C116,part_details,6,FALSE))*'Multi-level BOM'!D116,"")</f>
        <v>0.58794600000000008</v>
      </c>
      <c r="H116" s="4">
        <f t="shared" si="52"/>
        <v>1</v>
      </c>
      <c r="I116" s="4">
        <f t="shared" si="52"/>
        <v>1</v>
      </c>
      <c r="J116" s="4">
        <f t="shared" si="52"/>
        <v>1</v>
      </c>
      <c r="K116" s="4">
        <f t="shared" si="52"/>
        <v>3</v>
      </c>
      <c r="L116" s="4">
        <f t="shared" si="52"/>
        <v>1</v>
      </c>
      <c r="M116" s="4">
        <f t="shared" si="52"/>
        <v>1</v>
      </c>
      <c r="N116" s="4">
        <f t="shared" si="52"/>
        <v>1</v>
      </c>
      <c r="O116" s="4">
        <f t="shared" si="52"/>
        <v>1</v>
      </c>
      <c r="P116" s="4">
        <f t="shared" si="52"/>
        <v>1</v>
      </c>
      <c r="Q116" s="4">
        <f t="shared" si="52"/>
        <v>1</v>
      </c>
    </row>
    <row r="117" spans="1:17" x14ac:dyDescent="0.25">
      <c r="A117" s="2">
        <v>3</v>
      </c>
      <c r="B117" s="8" t="s">
        <v>949</v>
      </c>
      <c r="C117" s="2" t="s">
        <v>68</v>
      </c>
      <c r="D117" s="2">
        <v>3</v>
      </c>
      <c r="E117" s="1" t="str">
        <f>IF(C117="","",VLOOKUP(C117,Table1[#All],2,FALSE))</f>
        <v>M5x10mmx1mm Stainless Steel Metric Round Flat Washer</v>
      </c>
      <c r="F117" s="2">
        <f t="shared" si="50"/>
        <v>3</v>
      </c>
      <c r="G117" s="46">
        <f>IF(C117&lt;&gt;"",(VLOOKUP(C117,part_details,4,FALSE)+VLOOKUP(C117,part_details,5,FALSE)+VLOOKUP(C117,part_details,6,FALSE))*'Multi-level BOM'!D117,"")</f>
        <v>0.29397300000000004</v>
      </c>
      <c r="H117" s="4">
        <f t="shared" si="52"/>
        <v>1</v>
      </c>
      <c r="I117" s="4">
        <f t="shared" si="52"/>
        <v>1</v>
      </c>
      <c r="J117" s="4">
        <f t="shared" si="52"/>
        <v>1</v>
      </c>
      <c r="K117" s="4">
        <f t="shared" si="52"/>
        <v>3</v>
      </c>
      <c r="L117" s="4">
        <f t="shared" si="52"/>
        <v>1</v>
      </c>
      <c r="M117" s="4">
        <f t="shared" si="52"/>
        <v>1</v>
      </c>
      <c r="N117" s="4">
        <f t="shared" si="52"/>
        <v>1</v>
      </c>
      <c r="O117" s="4">
        <f t="shared" si="52"/>
        <v>1</v>
      </c>
      <c r="P117" s="4">
        <f t="shared" si="52"/>
        <v>1</v>
      </c>
      <c r="Q117" s="4">
        <f t="shared" si="52"/>
        <v>1</v>
      </c>
    </row>
    <row r="118" spans="1:17" x14ac:dyDescent="0.25">
      <c r="A118" s="2">
        <v>3</v>
      </c>
      <c r="B118" s="8" t="s">
        <v>950</v>
      </c>
      <c r="C118" s="2" t="s">
        <v>33</v>
      </c>
      <c r="D118" s="2">
        <v>3</v>
      </c>
      <c r="E118" s="1" t="str">
        <f>IF(C118="","",VLOOKUP(C118,Table1[#All],2,FALSE))</f>
        <v>Sliding T Slot Nuts 4040 Series M5 26 Pack T Nuts Carbon Steel</v>
      </c>
      <c r="F118" s="2">
        <f t="shared" si="50"/>
        <v>3</v>
      </c>
      <c r="G118" s="46">
        <f>IF(C118&lt;&gt;"",(VLOOKUP(C118,part_details,4,FALSE)+VLOOKUP(C118,part_details,5,FALSE)+VLOOKUP(C118,part_details,6,FALSE))*'Multi-level BOM'!D118,"")</f>
        <v>1.0174730769230771</v>
      </c>
      <c r="H118" s="4">
        <f t="shared" si="52"/>
        <v>1</v>
      </c>
      <c r="I118" s="4">
        <f t="shared" si="52"/>
        <v>1</v>
      </c>
      <c r="J118" s="4">
        <f t="shared" si="52"/>
        <v>1</v>
      </c>
      <c r="K118" s="4">
        <f t="shared" si="52"/>
        <v>3</v>
      </c>
      <c r="L118" s="4">
        <f t="shared" si="52"/>
        <v>1</v>
      </c>
      <c r="M118" s="4">
        <f t="shared" si="52"/>
        <v>1</v>
      </c>
      <c r="N118" s="4">
        <f t="shared" si="52"/>
        <v>1</v>
      </c>
      <c r="O118" s="4">
        <f t="shared" si="52"/>
        <v>1</v>
      </c>
      <c r="P118" s="4">
        <f t="shared" si="52"/>
        <v>1</v>
      </c>
      <c r="Q118" s="4">
        <f t="shared" si="52"/>
        <v>1</v>
      </c>
    </row>
    <row r="119" spans="1:17" x14ac:dyDescent="0.25">
      <c r="A119" s="2">
        <v>3</v>
      </c>
      <c r="B119" s="8" t="s">
        <v>953</v>
      </c>
      <c r="C119" s="2" t="s">
        <v>73</v>
      </c>
      <c r="D119" s="2">
        <v>1</v>
      </c>
      <c r="E119" s="1" t="str">
        <f>IF(C119="","",VLOOKUP(C119,Table1[#All],2,FALSE))</f>
        <v xml:space="preserve">Aluminum plate (T6061).25 thick, 4" x 16" </v>
      </c>
      <c r="F119" s="2">
        <f t="shared" si="50"/>
        <v>1</v>
      </c>
      <c r="G119" s="46">
        <f>IF(C119&lt;&gt;"",(VLOOKUP(C119,part_details,4,FALSE)+VLOOKUP(C119,part_details,5,FALSE)+VLOOKUP(C119,part_details,6,FALSE))*'Multi-level BOM'!D119,"")</f>
        <v>15.0146</v>
      </c>
      <c r="H119" s="4">
        <f t="shared" si="52"/>
        <v>1</v>
      </c>
      <c r="I119" s="4">
        <f t="shared" si="52"/>
        <v>1</v>
      </c>
      <c r="J119" s="4">
        <f t="shared" si="52"/>
        <v>1</v>
      </c>
      <c r="K119" s="4">
        <f t="shared" si="52"/>
        <v>1</v>
      </c>
      <c r="L119" s="4">
        <f t="shared" si="52"/>
        <v>1</v>
      </c>
      <c r="M119" s="4">
        <f t="shared" si="52"/>
        <v>1</v>
      </c>
      <c r="N119" s="4">
        <f t="shared" si="52"/>
        <v>1</v>
      </c>
      <c r="O119" s="4">
        <f t="shared" si="52"/>
        <v>1</v>
      </c>
      <c r="P119" s="4">
        <f t="shared" si="52"/>
        <v>1</v>
      </c>
      <c r="Q119" s="4">
        <f t="shared" si="52"/>
        <v>1</v>
      </c>
    </row>
    <row r="120" spans="1:17" x14ac:dyDescent="0.25">
      <c r="A120" s="2">
        <v>3</v>
      </c>
      <c r="B120" s="8" t="s">
        <v>943</v>
      </c>
      <c r="C120" s="2" t="s">
        <v>72</v>
      </c>
      <c r="D120" s="2">
        <v>2</v>
      </c>
      <c r="E120" s="1" t="str">
        <f>IF(C120="","",VLOOKUP(C120,Table1[#All],2,FALSE))</f>
        <v>M4 x 20mm Metric Hex Socket Countersunk Head Screw</v>
      </c>
      <c r="F120" s="2">
        <f t="shared" si="50"/>
        <v>2</v>
      </c>
      <c r="G120" s="46">
        <f>IF(C120&lt;&gt;"",(VLOOKUP(C120,part_details,4,FALSE)+VLOOKUP(C120,part_details,5,FALSE)+VLOOKUP(C120,part_details,6,FALSE))*'Multi-level BOM'!D120,"")</f>
        <v>0.26116400000000001</v>
      </c>
      <c r="H120" s="4">
        <f t="shared" si="52"/>
        <v>1</v>
      </c>
      <c r="I120" s="4">
        <f t="shared" si="52"/>
        <v>1</v>
      </c>
      <c r="J120" s="4">
        <f t="shared" si="52"/>
        <v>1</v>
      </c>
      <c r="K120" s="4">
        <f t="shared" si="52"/>
        <v>2</v>
      </c>
      <c r="L120" s="4">
        <f t="shared" si="52"/>
        <v>1</v>
      </c>
      <c r="M120" s="4">
        <f t="shared" si="52"/>
        <v>1</v>
      </c>
      <c r="N120" s="4">
        <f t="shared" si="52"/>
        <v>1</v>
      </c>
      <c r="O120" s="4">
        <f t="shared" si="52"/>
        <v>1</v>
      </c>
      <c r="P120" s="4">
        <f t="shared" si="52"/>
        <v>1</v>
      </c>
      <c r="Q120" s="4">
        <f t="shared" si="52"/>
        <v>1</v>
      </c>
    </row>
    <row r="121" spans="1:17" x14ac:dyDescent="0.25">
      <c r="A121" s="2">
        <v>3</v>
      </c>
      <c r="B121" s="8" t="s">
        <v>948</v>
      </c>
      <c r="C121" s="2" t="s">
        <v>32</v>
      </c>
      <c r="D121" s="2">
        <v>3</v>
      </c>
      <c r="E121" s="1" t="str">
        <f>IF(C121="","",VLOOKUP(C121,Table1[#All],2,FALSE))</f>
        <v xml:space="preserve">M5-0.8 x 16mm Button Head Socket Cap Screws, Stainless Steel 304, Plain Finish, Quantity 50 </v>
      </c>
      <c r="F121" s="2">
        <f t="shared" si="50"/>
        <v>3</v>
      </c>
      <c r="G121" s="46">
        <f>IF(C121&lt;&gt;"",(VLOOKUP(C121,part_details,4,FALSE)+VLOOKUP(C121,part_details,5,FALSE)+VLOOKUP(C121,part_details,6,FALSE))*'Multi-level BOM'!D121,"")</f>
        <v>0.58794600000000008</v>
      </c>
      <c r="H121" s="4">
        <f t="shared" si="52"/>
        <v>1</v>
      </c>
      <c r="I121" s="4">
        <f t="shared" si="52"/>
        <v>1</v>
      </c>
      <c r="J121" s="4">
        <f t="shared" si="52"/>
        <v>1</v>
      </c>
      <c r="K121" s="4">
        <f t="shared" si="52"/>
        <v>3</v>
      </c>
      <c r="L121" s="4">
        <f t="shared" si="52"/>
        <v>1</v>
      </c>
      <c r="M121" s="4">
        <f t="shared" si="52"/>
        <v>1</v>
      </c>
      <c r="N121" s="4">
        <f t="shared" si="52"/>
        <v>1</v>
      </c>
      <c r="O121" s="4">
        <f t="shared" si="52"/>
        <v>1</v>
      </c>
      <c r="P121" s="4">
        <f t="shared" si="52"/>
        <v>1</v>
      </c>
      <c r="Q121" s="4">
        <f t="shared" si="52"/>
        <v>1</v>
      </c>
    </row>
    <row r="122" spans="1:17" x14ac:dyDescent="0.25">
      <c r="A122" s="2">
        <v>3</v>
      </c>
      <c r="B122" s="8" t="s">
        <v>949</v>
      </c>
      <c r="C122" s="2" t="s">
        <v>68</v>
      </c>
      <c r="D122" s="2">
        <v>3</v>
      </c>
      <c r="E122" s="1" t="str">
        <f>IF(C122="","",VLOOKUP(C122,Table1[#All],2,FALSE))</f>
        <v>M5x10mmx1mm Stainless Steel Metric Round Flat Washer</v>
      </c>
      <c r="F122" s="2">
        <f t="shared" si="50"/>
        <v>3</v>
      </c>
      <c r="G122" s="46">
        <f>IF(C122&lt;&gt;"",(VLOOKUP(C122,part_details,4,FALSE)+VLOOKUP(C122,part_details,5,FALSE)+VLOOKUP(C122,part_details,6,FALSE))*'Multi-level BOM'!D122,"")</f>
        <v>0.29397300000000004</v>
      </c>
      <c r="H122" s="4">
        <f t="shared" si="52"/>
        <v>1</v>
      </c>
      <c r="I122" s="4">
        <f t="shared" si="52"/>
        <v>1</v>
      </c>
      <c r="J122" s="4">
        <f t="shared" si="52"/>
        <v>1</v>
      </c>
      <c r="K122" s="4">
        <f t="shared" si="52"/>
        <v>3</v>
      </c>
      <c r="L122" s="4">
        <f t="shared" si="52"/>
        <v>1</v>
      </c>
      <c r="M122" s="4">
        <f t="shared" si="52"/>
        <v>1</v>
      </c>
      <c r="N122" s="4">
        <f t="shared" si="52"/>
        <v>1</v>
      </c>
      <c r="O122" s="4">
        <f t="shared" si="52"/>
        <v>1</v>
      </c>
      <c r="P122" s="4">
        <f t="shared" si="52"/>
        <v>1</v>
      </c>
      <c r="Q122" s="4">
        <f t="shared" si="52"/>
        <v>1</v>
      </c>
    </row>
    <row r="123" spans="1:17" x14ac:dyDescent="0.25">
      <c r="A123" s="2">
        <v>3</v>
      </c>
      <c r="B123" s="8" t="s">
        <v>950</v>
      </c>
      <c r="C123" s="2" t="s">
        <v>33</v>
      </c>
      <c r="D123" s="2">
        <v>3</v>
      </c>
      <c r="E123" s="1" t="str">
        <f>IF(C123="","",VLOOKUP(C123,Table1[#All],2,FALSE))</f>
        <v>Sliding T Slot Nuts 4040 Series M5 26 Pack T Nuts Carbon Steel</v>
      </c>
      <c r="F123" s="2">
        <f t="shared" si="50"/>
        <v>3</v>
      </c>
      <c r="G123" s="46">
        <f>IF(C123&lt;&gt;"",(VLOOKUP(C123,part_details,4,FALSE)+VLOOKUP(C123,part_details,5,FALSE)+VLOOKUP(C123,part_details,6,FALSE))*'Multi-level BOM'!D123,"")</f>
        <v>1.0174730769230771</v>
      </c>
      <c r="H123" s="4">
        <f t="shared" si="52"/>
        <v>1</v>
      </c>
      <c r="I123" s="4">
        <f t="shared" si="52"/>
        <v>1</v>
      </c>
      <c r="J123" s="4">
        <f t="shared" si="52"/>
        <v>1</v>
      </c>
      <c r="K123" s="4">
        <f t="shared" si="52"/>
        <v>3</v>
      </c>
      <c r="L123" s="4">
        <f t="shared" si="52"/>
        <v>1</v>
      </c>
      <c r="M123" s="4">
        <f t="shared" si="52"/>
        <v>1</v>
      </c>
      <c r="N123" s="4">
        <f t="shared" si="52"/>
        <v>1</v>
      </c>
      <c r="O123" s="4">
        <f t="shared" si="52"/>
        <v>1</v>
      </c>
      <c r="P123" s="4">
        <f t="shared" si="52"/>
        <v>1</v>
      </c>
      <c r="Q123" s="4">
        <f t="shared" si="52"/>
        <v>1</v>
      </c>
    </row>
    <row r="124" spans="1:17" x14ac:dyDescent="0.25">
      <c r="A124" s="2">
        <v>3</v>
      </c>
      <c r="B124" s="8" t="s">
        <v>954</v>
      </c>
      <c r="C124" s="2" t="s">
        <v>73</v>
      </c>
      <c r="D124" s="2">
        <v>1</v>
      </c>
      <c r="E124" s="1" t="str">
        <f>IF(C124="","",VLOOKUP(C124,Table1[#All],2,FALSE))</f>
        <v xml:space="preserve">Aluminum plate (T6061).25 thick, 4" x 16" </v>
      </c>
      <c r="F124" s="2">
        <f t="shared" si="50"/>
        <v>1</v>
      </c>
      <c r="G124" s="46">
        <f>IF(C124&lt;&gt;"",(VLOOKUP(C124,part_details,4,FALSE)+VLOOKUP(C124,part_details,5,FALSE)+VLOOKUP(C124,part_details,6,FALSE))*'Multi-level BOM'!D124,"")</f>
        <v>15.0146</v>
      </c>
      <c r="H124" s="4">
        <f t="shared" si="52"/>
        <v>1</v>
      </c>
      <c r="I124" s="4">
        <f t="shared" si="52"/>
        <v>1</v>
      </c>
      <c r="J124" s="4">
        <f t="shared" si="52"/>
        <v>1</v>
      </c>
      <c r="K124" s="4">
        <f t="shared" si="52"/>
        <v>1</v>
      </c>
      <c r="L124" s="4">
        <f t="shared" si="52"/>
        <v>1</v>
      </c>
      <c r="M124" s="4">
        <f t="shared" si="52"/>
        <v>1</v>
      </c>
      <c r="N124" s="4">
        <f t="shared" si="52"/>
        <v>1</v>
      </c>
      <c r="O124" s="4">
        <f t="shared" si="52"/>
        <v>1</v>
      </c>
      <c r="P124" s="4">
        <f t="shared" si="52"/>
        <v>1</v>
      </c>
      <c r="Q124" s="4">
        <f t="shared" si="52"/>
        <v>1</v>
      </c>
    </row>
    <row r="125" spans="1:17" x14ac:dyDescent="0.25">
      <c r="A125" s="2">
        <v>3</v>
      </c>
      <c r="B125" s="8" t="s">
        <v>943</v>
      </c>
      <c r="C125" s="2" t="s">
        <v>72</v>
      </c>
      <c r="D125" s="2">
        <v>2</v>
      </c>
      <c r="E125" s="1" t="str">
        <f>IF(C125="","",VLOOKUP(C125,Table1[#All],2,FALSE))</f>
        <v>M4 x 20mm Metric Hex Socket Countersunk Head Screw</v>
      </c>
      <c r="F125" s="2">
        <f t="shared" si="50"/>
        <v>2</v>
      </c>
      <c r="G125" s="46">
        <f>IF(C125&lt;&gt;"",(VLOOKUP(C125,part_details,4,FALSE)+VLOOKUP(C125,part_details,5,FALSE)+VLOOKUP(C125,part_details,6,FALSE))*'Multi-level BOM'!D125,"")</f>
        <v>0.26116400000000001</v>
      </c>
      <c r="H125" s="4">
        <f t="shared" si="52"/>
        <v>1</v>
      </c>
      <c r="I125" s="4">
        <f t="shared" si="52"/>
        <v>1</v>
      </c>
      <c r="J125" s="4">
        <f t="shared" si="52"/>
        <v>1</v>
      </c>
      <c r="K125" s="4">
        <f t="shared" si="52"/>
        <v>2</v>
      </c>
      <c r="L125" s="4">
        <f t="shared" si="52"/>
        <v>1</v>
      </c>
      <c r="M125" s="4">
        <f t="shared" si="52"/>
        <v>1</v>
      </c>
      <c r="N125" s="4">
        <f t="shared" si="52"/>
        <v>1</v>
      </c>
      <c r="O125" s="4">
        <f t="shared" si="52"/>
        <v>1</v>
      </c>
      <c r="P125" s="4">
        <f t="shared" si="52"/>
        <v>1</v>
      </c>
      <c r="Q125" s="4">
        <f t="shared" si="52"/>
        <v>1</v>
      </c>
    </row>
    <row r="126" spans="1:17" x14ac:dyDescent="0.25">
      <c r="A126" s="2">
        <v>3</v>
      </c>
      <c r="B126" s="8" t="s">
        <v>948</v>
      </c>
      <c r="C126" s="2" t="s">
        <v>32</v>
      </c>
      <c r="D126" s="2">
        <v>3</v>
      </c>
      <c r="E126" s="1" t="str">
        <f>IF(C126="","",VLOOKUP(C126,Table1[#All],2,FALSE))</f>
        <v xml:space="preserve">M5-0.8 x 16mm Button Head Socket Cap Screws, Stainless Steel 304, Plain Finish, Quantity 50 </v>
      </c>
      <c r="F126" s="2">
        <f t="shared" si="50"/>
        <v>3</v>
      </c>
      <c r="G126" s="46">
        <f>IF(C126&lt;&gt;"",(VLOOKUP(C126,part_details,4,FALSE)+VLOOKUP(C126,part_details,5,FALSE)+VLOOKUP(C126,part_details,6,FALSE))*'Multi-level BOM'!D126,"")</f>
        <v>0.58794600000000008</v>
      </c>
      <c r="H126" s="4">
        <f t="shared" ref="H126:Q126" si="53">IF($A126="",H125,
    IF(H$2=$A126,$D126,
       IF(H$2&lt;$A126,H125,
           1
)))</f>
        <v>1</v>
      </c>
      <c r="I126" s="4">
        <f t="shared" si="53"/>
        <v>1</v>
      </c>
      <c r="J126" s="4">
        <f t="shared" si="53"/>
        <v>1</v>
      </c>
      <c r="K126" s="4">
        <f t="shared" si="53"/>
        <v>3</v>
      </c>
      <c r="L126" s="4">
        <f t="shared" si="53"/>
        <v>1</v>
      </c>
      <c r="M126" s="4">
        <f t="shared" si="53"/>
        <v>1</v>
      </c>
      <c r="N126" s="4">
        <f t="shared" si="53"/>
        <v>1</v>
      </c>
      <c r="O126" s="4">
        <f t="shared" si="53"/>
        <v>1</v>
      </c>
      <c r="P126" s="4">
        <f t="shared" si="53"/>
        <v>1</v>
      </c>
      <c r="Q126" s="4">
        <f t="shared" si="53"/>
        <v>1</v>
      </c>
    </row>
    <row r="127" spans="1:17" x14ac:dyDescent="0.25">
      <c r="A127" s="2">
        <v>3</v>
      </c>
      <c r="B127" s="8" t="s">
        <v>949</v>
      </c>
      <c r="C127" s="2" t="s">
        <v>68</v>
      </c>
      <c r="D127" s="2">
        <v>3</v>
      </c>
      <c r="E127" s="1" t="str">
        <f>IF(C127="","",VLOOKUP(C127,Table1[#All],2,FALSE))</f>
        <v>M5x10mmx1mm Stainless Steel Metric Round Flat Washer</v>
      </c>
      <c r="F127" s="2">
        <f t="shared" si="50"/>
        <v>3</v>
      </c>
      <c r="G127" s="46">
        <f>IF(C127&lt;&gt;"",(VLOOKUP(C127,part_details,4,FALSE)+VLOOKUP(C127,part_details,5,FALSE)+VLOOKUP(C127,part_details,6,FALSE))*'Multi-level BOM'!D127,"")</f>
        <v>0.29397300000000004</v>
      </c>
      <c r="H127" s="4">
        <f t="shared" ref="H127:Q127" si="54">IF($A127="",H126,
    IF(H$2=$A127,$D127,
       IF(H$2&lt;$A127,H126,
           1
)))</f>
        <v>1</v>
      </c>
      <c r="I127" s="4">
        <f t="shared" si="54"/>
        <v>1</v>
      </c>
      <c r="J127" s="4">
        <f t="shared" si="54"/>
        <v>1</v>
      </c>
      <c r="K127" s="4">
        <f t="shared" si="54"/>
        <v>3</v>
      </c>
      <c r="L127" s="4">
        <f t="shared" si="54"/>
        <v>1</v>
      </c>
      <c r="M127" s="4">
        <f t="shared" si="54"/>
        <v>1</v>
      </c>
      <c r="N127" s="4">
        <f t="shared" si="54"/>
        <v>1</v>
      </c>
      <c r="O127" s="4">
        <f t="shared" si="54"/>
        <v>1</v>
      </c>
      <c r="P127" s="4">
        <f t="shared" si="54"/>
        <v>1</v>
      </c>
      <c r="Q127" s="4">
        <f t="shared" si="54"/>
        <v>1</v>
      </c>
    </row>
    <row r="128" spans="1:17" x14ac:dyDescent="0.25">
      <c r="A128" s="2">
        <v>3</v>
      </c>
      <c r="B128" s="8" t="s">
        <v>950</v>
      </c>
      <c r="C128" s="2" t="s">
        <v>33</v>
      </c>
      <c r="D128" s="2">
        <v>3</v>
      </c>
      <c r="E128" s="1" t="str">
        <f>IF(C128="","",VLOOKUP(C128,Table1[#All],2,FALSE))</f>
        <v>Sliding T Slot Nuts 4040 Series M5 26 Pack T Nuts Carbon Steel</v>
      </c>
      <c r="F128" s="2">
        <f t="shared" si="50"/>
        <v>3</v>
      </c>
      <c r="G128" s="46">
        <f>IF(C128&lt;&gt;"",(VLOOKUP(C128,part_details,4,FALSE)+VLOOKUP(C128,part_details,5,FALSE)+VLOOKUP(C128,part_details,6,FALSE))*'Multi-level BOM'!D128,"")</f>
        <v>1.0174730769230771</v>
      </c>
      <c r="H128" s="4">
        <f t="shared" ref="H128:Q128" si="55">IF($A128="",H127,
    IF(H$2=$A128,$D128,
       IF(H$2&lt;$A128,H127,
           1
)))</f>
        <v>1</v>
      </c>
      <c r="I128" s="4">
        <f t="shared" si="55"/>
        <v>1</v>
      </c>
      <c r="J128" s="4">
        <f t="shared" si="55"/>
        <v>1</v>
      </c>
      <c r="K128" s="4">
        <f t="shared" si="55"/>
        <v>3</v>
      </c>
      <c r="L128" s="4">
        <f t="shared" si="55"/>
        <v>1</v>
      </c>
      <c r="M128" s="4">
        <f t="shared" si="55"/>
        <v>1</v>
      </c>
      <c r="N128" s="4">
        <f t="shared" si="55"/>
        <v>1</v>
      </c>
      <c r="O128" s="4">
        <f t="shared" si="55"/>
        <v>1</v>
      </c>
      <c r="P128" s="4">
        <f t="shared" si="55"/>
        <v>1</v>
      </c>
      <c r="Q128" s="4">
        <f t="shared" si="55"/>
        <v>1</v>
      </c>
    </row>
    <row r="129" spans="1:17" x14ac:dyDescent="0.25">
      <c r="B129" s="8"/>
      <c r="E129" s="1" t="str">
        <f>IF(C129="","",VLOOKUP(C129,Table1[#All],2,FALSE))</f>
        <v/>
      </c>
      <c r="G129" s="46" t="str">
        <f>IF(C129&lt;&gt;"",VLOOKUP(C129,part_details,4,FALSE)*'Multi-level BOM'!D129,"")</f>
        <v/>
      </c>
      <c r="H129" s="4">
        <f t="shared" ref="H129:Q129" si="56">IF($A129="",H128,
    IF(H$2=$A129,$D129,
       IF(H$2&lt;$A129,H128,
           1
)))</f>
        <v>1</v>
      </c>
      <c r="I129" s="4">
        <f t="shared" si="56"/>
        <v>1</v>
      </c>
      <c r="J129" s="4">
        <f t="shared" si="56"/>
        <v>1</v>
      </c>
      <c r="K129" s="4">
        <f t="shared" si="56"/>
        <v>3</v>
      </c>
      <c r="L129" s="4">
        <f t="shared" si="56"/>
        <v>1</v>
      </c>
      <c r="M129" s="4">
        <f t="shared" si="56"/>
        <v>1</v>
      </c>
      <c r="N129" s="4">
        <f t="shared" si="56"/>
        <v>1</v>
      </c>
      <c r="O129" s="4">
        <f t="shared" si="56"/>
        <v>1</v>
      </c>
      <c r="P129" s="4">
        <f t="shared" si="56"/>
        <v>1</v>
      </c>
      <c r="Q129" s="4">
        <f t="shared" si="56"/>
        <v>1</v>
      </c>
    </row>
    <row r="130" spans="1:17" ht="15.75" x14ac:dyDescent="0.25">
      <c r="A130" s="2">
        <v>1</v>
      </c>
      <c r="B130" s="8" t="s">
        <v>781</v>
      </c>
      <c r="C130" s="2" t="s">
        <v>21</v>
      </c>
      <c r="D130" s="2">
        <v>6</v>
      </c>
      <c r="E130" s="1" t="str">
        <f>IF(C130="","",VLOOKUP(C130,Table1[#All],2,FALSE))</f>
        <v>M12 x 1.75 flat head screw, 25mm long</v>
      </c>
      <c r="F130" s="2">
        <f>PRODUCT(H130:Q130)</f>
        <v>6</v>
      </c>
      <c r="G130" s="49">
        <f>IF(C130&lt;&gt;"",(VLOOKUP(C130,part_details,4,FALSE)+VLOOKUP(C130,part_details,5,FALSE)+VLOOKUP(C130,part_details,6,FALSE))*'Multi-level BOM'!D130,"")</f>
        <v>11.251619999999999</v>
      </c>
      <c r="H130" s="4">
        <f t="shared" ref="H130:Q130" si="57">IF($A130="",H129,
    IF(H$2=$A130,$D130,
       IF(H$2&lt;$A130,H129,
           1
)))</f>
        <v>1</v>
      </c>
      <c r="I130" s="4">
        <f t="shared" si="57"/>
        <v>6</v>
      </c>
      <c r="J130" s="4">
        <f t="shared" si="57"/>
        <v>1</v>
      </c>
      <c r="K130" s="4">
        <f t="shared" si="57"/>
        <v>1</v>
      </c>
      <c r="L130" s="4">
        <f t="shared" si="57"/>
        <v>1</v>
      </c>
      <c r="M130" s="4">
        <f t="shared" si="57"/>
        <v>1</v>
      </c>
      <c r="N130" s="4">
        <f t="shared" si="57"/>
        <v>1</v>
      </c>
      <c r="O130" s="4">
        <f t="shared" si="57"/>
        <v>1</v>
      </c>
      <c r="P130" s="4">
        <f t="shared" si="57"/>
        <v>1</v>
      </c>
      <c r="Q130" s="4">
        <f t="shared" si="57"/>
        <v>1</v>
      </c>
    </row>
    <row r="131" spans="1:17" x14ac:dyDescent="0.25">
      <c r="B131" s="8"/>
      <c r="G131" s="46" t="str">
        <f>IF(C131&lt;&gt;"",VLOOKUP(C131,part_details,4,FALSE)*'Multi-level BOM'!D131,"")</f>
        <v/>
      </c>
      <c r="H131" s="4">
        <f t="shared" ref="H131:Q131" si="58">IF($A131="",H130,
    IF(H$2=$A131,$D131,
       IF(H$2&lt;$A131,H130,
           1
)))</f>
        <v>1</v>
      </c>
      <c r="I131" s="4">
        <f t="shared" si="58"/>
        <v>6</v>
      </c>
      <c r="J131" s="4">
        <f t="shared" si="58"/>
        <v>1</v>
      </c>
      <c r="K131" s="4">
        <f t="shared" si="58"/>
        <v>1</v>
      </c>
      <c r="L131" s="4">
        <f t="shared" si="58"/>
        <v>1</v>
      </c>
      <c r="M131" s="4">
        <f t="shared" si="58"/>
        <v>1</v>
      </c>
      <c r="N131" s="4">
        <f t="shared" si="58"/>
        <v>1</v>
      </c>
      <c r="O131" s="4">
        <f t="shared" si="58"/>
        <v>1</v>
      </c>
      <c r="P131" s="4">
        <f t="shared" si="58"/>
        <v>1</v>
      </c>
      <c r="Q131" s="4">
        <f t="shared" si="58"/>
        <v>1</v>
      </c>
    </row>
    <row r="132" spans="1:17" x14ac:dyDescent="0.25">
      <c r="B132" s="8"/>
      <c r="E132" s="1" t="str">
        <f>IF(C132="","",VLOOKUP(C132,Table1[#All],2,FALSE))</f>
        <v/>
      </c>
      <c r="G132" s="46" t="str">
        <f>IF(C132&lt;&gt;"",VLOOKUP(C132,part_details,4,FALSE)*'Multi-level BOM'!D132,"")</f>
        <v/>
      </c>
      <c r="H132" s="4">
        <f t="shared" ref="H132:Q132" si="59">IF($A132="",H131,
    IF(H$2=$A132,$D132,
       IF(H$2&lt;$A132,H131,
           1
)))</f>
        <v>1</v>
      </c>
      <c r="I132" s="4">
        <f t="shared" si="59"/>
        <v>6</v>
      </c>
      <c r="J132" s="4">
        <f t="shared" si="59"/>
        <v>1</v>
      </c>
      <c r="K132" s="4">
        <f t="shared" si="59"/>
        <v>1</v>
      </c>
      <c r="L132" s="4">
        <f t="shared" si="59"/>
        <v>1</v>
      </c>
      <c r="M132" s="4">
        <f t="shared" si="59"/>
        <v>1</v>
      </c>
      <c r="N132" s="4">
        <f t="shared" si="59"/>
        <v>1</v>
      </c>
      <c r="O132" s="4">
        <f t="shared" si="59"/>
        <v>1</v>
      </c>
      <c r="P132" s="4">
        <f t="shared" si="59"/>
        <v>1</v>
      </c>
      <c r="Q132" s="4">
        <f t="shared" si="59"/>
        <v>1</v>
      </c>
    </row>
    <row r="133" spans="1:17" ht="15.75" x14ac:dyDescent="0.25">
      <c r="A133" s="2">
        <v>1</v>
      </c>
      <c r="B133" s="8" t="s">
        <v>713</v>
      </c>
      <c r="D133" s="2">
        <v>1</v>
      </c>
      <c r="E133" s="1" t="str">
        <f>IF(C133="","",VLOOKUP(C133,Table1[#All],2,FALSE))</f>
        <v/>
      </c>
      <c r="F133" s="2">
        <f t="shared" ref="F133:F138" si="60">PRODUCT(H133:Q133)</f>
        <v>1</v>
      </c>
      <c r="G133" s="49">
        <f>F133*SUM(G134,G156,G176)</f>
        <v>339.80708189743581</v>
      </c>
      <c r="H133" s="4">
        <f t="shared" ref="H133:Q146" si="61">IF($A133="",H132,
    IF(H$2=$A133,$D133,
       IF(H$2&lt;$A133,H132,
           1
)))</f>
        <v>1</v>
      </c>
      <c r="I133" s="4">
        <f t="shared" si="61"/>
        <v>1</v>
      </c>
      <c r="J133" s="4">
        <f t="shared" si="61"/>
        <v>1</v>
      </c>
      <c r="K133" s="4">
        <f t="shared" si="61"/>
        <v>1</v>
      </c>
      <c r="L133" s="4">
        <f t="shared" si="61"/>
        <v>1</v>
      </c>
      <c r="M133" s="4">
        <f t="shared" si="61"/>
        <v>1</v>
      </c>
      <c r="N133" s="4">
        <f t="shared" si="61"/>
        <v>1</v>
      </c>
      <c r="O133" s="4">
        <f t="shared" si="61"/>
        <v>1</v>
      </c>
      <c r="P133" s="4">
        <f t="shared" si="61"/>
        <v>1</v>
      </c>
      <c r="Q133" s="4">
        <f t="shared" si="61"/>
        <v>1</v>
      </c>
    </row>
    <row r="134" spans="1:17" x14ac:dyDescent="0.25">
      <c r="A134" s="2">
        <v>2</v>
      </c>
      <c r="B134" s="8" t="s">
        <v>738</v>
      </c>
      <c r="D134" s="2">
        <v>1</v>
      </c>
      <c r="E134" s="1" t="str">
        <f>IF(C134="","",VLOOKUP(C134,Table1[#All],2,FALSE))</f>
        <v/>
      </c>
      <c r="F134" s="2">
        <f t="shared" si="60"/>
        <v>1</v>
      </c>
      <c r="G134" s="47">
        <f>F134*SUM(G135:G153)</f>
        <v>117.10146574358971</v>
      </c>
      <c r="H134" s="4">
        <f t="shared" si="61"/>
        <v>1</v>
      </c>
      <c r="I134" s="4">
        <f t="shared" si="61"/>
        <v>1</v>
      </c>
      <c r="J134" s="4">
        <f t="shared" si="61"/>
        <v>1</v>
      </c>
      <c r="K134" s="4">
        <f t="shared" si="61"/>
        <v>1</v>
      </c>
      <c r="L134" s="4">
        <f t="shared" si="61"/>
        <v>1</v>
      </c>
      <c r="M134" s="4">
        <f t="shared" si="61"/>
        <v>1</v>
      </c>
      <c r="N134" s="4">
        <f t="shared" si="61"/>
        <v>1</v>
      </c>
      <c r="O134" s="4">
        <f t="shared" si="61"/>
        <v>1</v>
      </c>
      <c r="P134" s="4">
        <f t="shared" si="61"/>
        <v>1</v>
      </c>
      <c r="Q134" s="4">
        <f t="shared" si="61"/>
        <v>1</v>
      </c>
    </row>
    <row r="135" spans="1:17" x14ac:dyDescent="0.25">
      <c r="A135" s="2">
        <v>3</v>
      </c>
      <c r="B135" s="9" t="s">
        <v>714</v>
      </c>
      <c r="C135" s="2" t="s">
        <v>17</v>
      </c>
      <c r="D135" s="2">
        <v>1</v>
      </c>
      <c r="E135" s="1" t="str">
        <f>IF(C135="","",VLOOKUP(C135,Table1[#All],2,FALSE))</f>
        <v xml:space="preserve">
Machifit 500mm Length MGN15 Linear Rail Guide with MGN15H Linear Rail Block</v>
      </c>
      <c r="F135" s="2">
        <f t="shared" si="60"/>
        <v>1</v>
      </c>
      <c r="G135" s="46">
        <f>IF(C135&lt;&gt;"",(VLOOKUP(C135,part_details,4,FALSE)+VLOOKUP(C135,part_details,5,FALSE)+VLOOKUP(C135,part_details,6,FALSE))*'Multi-level BOM'!D135,"")</f>
        <v>33.81</v>
      </c>
      <c r="H135" s="4">
        <f t="shared" si="61"/>
        <v>1</v>
      </c>
      <c r="I135" s="4">
        <f t="shared" si="61"/>
        <v>1</v>
      </c>
      <c r="J135" s="4">
        <f t="shared" si="61"/>
        <v>1</v>
      </c>
      <c r="K135" s="4">
        <f t="shared" si="61"/>
        <v>1</v>
      </c>
      <c r="L135" s="4">
        <f t="shared" si="61"/>
        <v>1</v>
      </c>
      <c r="M135" s="4">
        <f t="shared" si="61"/>
        <v>1</v>
      </c>
      <c r="N135" s="4">
        <f t="shared" si="61"/>
        <v>1</v>
      </c>
      <c r="O135" s="4">
        <f t="shared" si="61"/>
        <v>1</v>
      </c>
      <c r="P135" s="4">
        <f t="shared" si="61"/>
        <v>1</v>
      </c>
      <c r="Q135" s="4">
        <f t="shared" si="61"/>
        <v>1</v>
      </c>
    </row>
    <row r="136" spans="1:17" x14ac:dyDescent="0.25">
      <c r="A136" s="2">
        <v>3</v>
      </c>
      <c r="B136" s="9" t="s">
        <v>691</v>
      </c>
      <c r="C136" s="2" t="s">
        <v>18</v>
      </c>
      <c r="D136" s="2">
        <v>13</v>
      </c>
      <c r="E136" s="1" t="str">
        <f>IF(C136="","",VLOOKUP(C136,Table1[#All],2,FALSE))</f>
        <v>M3-0.5x30mm Socket Head Cap Bolts Screws, 304 Stainless Steel 18-8, Allen Socket Drive, Fully Machine Thread, Bright Finish</v>
      </c>
      <c r="F136" s="2">
        <f t="shared" si="60"/>
        <v>13</v>
      </c>
      <c r="G136" s="46">
        <f>IF(C136&lt;&gt;"",(VLOOKUP(C136,part_details,4,FALSE)+VLOOKUP(C136,part_details,5,FALSE)+VLOOKUP(C136,part_details,6,FALSE))*'Multi-level BOM'!D136,"")</f>
        <v>1.2738830000000001</v>
      </c>
      <c r="H136" s="4">
        <f t="shared" si="61"/>
        <v>1</v>
      </c>
      <c r="I136" s="4">
        <f t="shared" si="61"/>
        <v>1</v>
      </c>
      <c r="J136" s="4">
        <f t="shared" si="61"/>
        <v>1</v>
      </c>
      <c r="K136" s="4">
        <f t="shared" si="61"/>
        <v>13</v>
      </c>
      <c r="L136" s="4">
        <f t="shared" si="61"/>
        <v>1</v>
      </c>
      <c r="M136" s="4">
        <f t="shared" si="61"/>
        <v>1</v>
      </c>
      <c r="N136" s="4">
        <f t="shared" si="61"/>
        <v>1</v>
      </c>
      <c r="O136" s="4">
        <f t="shared" si="61"/>
        <v>1</v>
      </c>
      <c r="P136" s="4">
        <f t="shared" si="61"/>
        <v>1</v>
      </c>
      <c r="Q136" s="4">
        <f t="shared" si="61"/>
        <v>1</v>
      </c>
    </row>
    <row r="137" spans="1:17" x14ac:dyDescent="0.25">
      <c r="A137" s="2">
        <v>3</v>
      </c>
      <c r="B137" s="9" t="s">
        <v>809</v>
      </c>
      <c r="C137" s="2" t="s">
        <v>24</v>
      </c>
      <c r="D137" s="2">
        <v>1</v>
      </c>
      <c r="E137" s="1" t="str">
        <f>IF(C137="","",VLOOKUP(C137,Table1[#All],2,FALSE))</f>
        <v>.625 x .375 aluminum bar T6061, 24 in long</v>
      </c>
      <c r="F137" s="2">
        <f t="shared" si="60"/>
        <v>1</v>
      </c>
      <c r="G137" s="46">
        <f>IF(C137&lt;&gt;"",(VLOOKUP(C137,part_details,4,FALSE)+VLOOKUP(C137,part_details,5,FALSE)+VLOOKUP(C137,part_details,6,FALSE))*'Multi-level BOM'!D137,"")</f>
        <v>6.0766</v>
      </c>
      <c r="H137" s="4">
        <f t="shared" si="61"/>
        <v>1</v>
      </c>
      <c r="I137" s="4">
        <f t="shared" si="61"/>
        <v>1</v>
      </c>
      <c r="J137" s="4">
        <f t="shared" si="61"/>
        <v>1</v>
      </c>
      <c r="K137" s="4">
        <f t="shared" si="61"/>
        <v>1</v>
      </c>
      <c r="L137" s="4">
        <f t="shared" si="61"/>
        <v>1</v>
      </c>
      <c r="M137" s="4">
        <f t="shared" si="61"/>
        <v>1</v>
      </c>
      <c r="N137" s="4">
        <f t="shared" si="61"/>
        <v>1</v>
      </c>
      <c r="O137" s="4">
        <f t="shared" si="61"/>
        <v>1</v>
      </c>
      <c r="P137" s="4">
        <f t="shared" si="61"/>
        <v>1</v>
      </c>
      <c r="Q137" s="4">
        <f t="shared" si="61"/>
        <v>1</v>
      </c>
    </row>
    <row r="138" spans="1:17" x14ac:dyDescent="0.25">
      <c r="A138" s="2">
        <v>3</v>
      </c>
      <c r="B138" s="9" t="s">
        <v>720</v>
      </c>
      <c r="C138" s="2" t="s">
        <v>25</v>
      </c>
      <c r="D138" s="2">
        <v>1</v>
      </c>
      <c r="E138" s="1" t="str">
        <f>IF(C138="","",VLOOKUP(C138,Table1[#All],2,FALSE))</f>
        <v>Nema 17 Bipolar Stepper 0.9deg(400 steps/rev) 1.68A 44Ncm(62.3oz.in) Motor, 5mm shaft</v>
      </c>
      <c r="F138" s="2">
        <f t="shared" si="60"/>
        <v>1</v>
      </c>
      <c r="G138" s="46">
        <f>IF(C138&lt;&gt;"",(VLOOKUP(C138,part_details,4,FALSE)+VLOOKUP(C138,part_details,5,FALSE)+VLOOKUP(C138,part_details,6,FALSE))*'Multi-level BOM'!D138,"")</f>
        <v>23.4895</v>
      </c>
      <c r="H138" s="4">
        <f t="shared" si="61"/>
        <v>1</v>
      </c>
      <c r="I138" s="4">
        <f t="shared" si="61"/>
        <v>1</v>
      </c>
      <c r="J138" s="4">
        <f t="shared" si="61"/>
        <v>1</v>
      </c>
      <c r="K138" s="4">
        <f t="shared" si="61"/>
        <v>1</v>
      </c>
      <c r="L138" s="4">
        <f t="shared" si="61"/>
        <v>1</v>
      </c>
      <c r="M138" s="4">
        <f t="shared" si="61"/>
        <v>1</v>
      </c>
      <c r="N138" s="4">
        <f t="shared" si="61"/>
        <v>1</v>
      </c>
      <c r="O138" s="4">
        <f t="shared" si="61"/>
        <v>1</v>
      </c>
      <c r="P138" s="4">
        <f t="shared" si="61"/>
        <v>1</v>
      </c>
      <c r="Q138" s="4">
        <f t="shared" si="61"/>
        <v>1</v>
      </c>
    </row>
    <row r="139" spans="1:17" x14ac:dyDescent="0.25">
      <c r="A139" s="2">
        <v>3</v>
      </c>
      <c r="B139" s="9" t="s">
        <v>918</v>
      </c>
      <c r="C139" s="2" t="s">
        <v>67</v>
      </c>
      <c r="D139" s="2">
        <v>4</v>
      </c>
      <c r="E139" s="1" t="str">
        <f>IF(C139="","",VLOOKUP(C139,Table1[#All],2,FALSE))</f>
        <v xml:space="preserve">M4 x 10mm Alloy Steel Hex Bolt Socket Head Cap Screws </v>
      </c>
      <c r="F139" s="2">
        <f t="shared" ref="F139:F142" si="62">PRODUCT(H139:Q139)</f>
        <v>4</v>
      </c>
      <c r="G139" s="46">
        <f>IF(C139&lt;&gt;"",(VLOOKUP(C139,part_details,4,FALSE)+VLOOKUP(C139,part_details,5,FALSE)+VLOOKUP(C139,part_details,6,FALSE))*'Multi-level BOM'!D139,"")</f>
        <v>0.43556400000000001</v>
      </c>
      <c r="H139" s="4">
        <f t="shared" si="61"/>
        <v>1</v>
      </c>
      <c r="I139" s="4">
        <f t="shared" si="61"/>
        <v>1</v>
      </c>
      <c r="J139" s="4">
        <f t="shared" si="61"/>
        <v>1</v>
      </c>
      <c r="K139" s="4">
        <f t="shared" si="61"/>
        <v>4</v>
      </c>
      <c r="L139" s="4">
        <f t="shared" si="61"/>
        <v>1</v>
      </c>
      <c r="M139" s="4">
        <f t="shared" si="61"/>
        <v>1</v>
      </c>
      <c r="N139" s="4">
        <f t="shared" si="61"/>
        <v>1</v>
      </c>
      <c r="O139" s="4">
        <f t="shared" si="61"/>
        <v>1</v>
      </c>
      <c r="P139" s="4">
        <f t="shared" si="61"/>
        <v>1</v>
      </c>
      <c r="Q139" s="4">
        <f t="shared" si="61"/>
        <v>1</v>
      </c>
    </row>
    <row r="140" spans="1:17" x14ac:dyDescent="0.25">
      <c r="A140" s="2">
        <v>3</v>
      </c>
      <c r="B140" s="9" t="s">
        <v>815</v>
      </c>
      <c r="C140" s="2" t="s">
        <v>47</v>
      </c>
      <c r="D140" s="2">
        <v>4</v>
      </c>
      <c r="E140" s="1" t="str">
        <f>IF(C140="","",VLOOKUP(C140,Table1[#All],2,FALSE))</f>
        <v>M4x12mmx1 mm Stainless Steel Round Flat Washer</v>
      </c>
      <c r="F140" s="2">
        <f t="shared" si="62"/>
        <v>4</v>
      </c>
      <c r="G140" s="46">
        <f>IF(C140&lt;&gt;"",(VLOOKUP(C140,part_details,4,FALSE)+VLOOKUP(C140,part_details,5,FALSE)+VLOOKUP(C140,part_details,6,FALSE))*'Multi-level BOM'!D140,"")</f>
        <v>0.26116400000000001</v>
      </c>
      <c r="H140" s="4">
        <f t="shared" si="61"/>
        <v>1</v>
      </c>
      <c r="I140" s="4">
        <f t="shared" si="61"/>
        <v>1</v>
      </c>
      <c r="J140" s="4">
        <f t="shared" si="61"/>
        <v>1</v>
      </c>
      <c r="K140" s="4">
        <f t="shared" si="61"/>
        <v>4</v>
      </c>
      <c r="L140" s="4">
        <f t="shared" si="61"/>
        <v>1</v>
      </c>
      <c r="M140" s="4">
        <f t="shared" si="61"/>
        <v>1</v>
      </c>
      <c r="N140" s="4">
        <f t="shared" si="61"/>
        <v>1</v>
      </c>
      <c r="O140" s="4">
        <f t="shared" si="61"/>
        <v>1</v>
      </c>
      <c r="P140" s="4">
        <f t="shared" si="61"/>
        <v>1</v>
      </c>
      <c r="Q140" s="4">
        <f t="shared" si="61"/>
        <v>1</v>
      </c>
    </row>
    <row r="141" spans="1:17" x14ac:dyDescent="0.25">
      <c r="A141" s="2">
        <v>3</v>
      </c>
      <c r="B141" s="9" t="s">
        <v>915</v>
      </c>
      <c r="C141" s="2" t="s">
        <v>26</v>
      </c>
      <c r="D141" s="2">
        <v>1</v>
      </c>
      <c r="E141" s="1" t="str">
        <f>IF(C141="","",VLOOKUP(C141,Table1[#All],2,FALSE))</f>
        <v>Witbot 500mm 8mm T8 Lead Screw Set Lead Screw+ Pillow Bearing Block + Copper Nut + Coupler for 3D Printer</v>
      </c>
      <c r="F141" s="2">
        <f t="shared" si="62"/>
        <v>1</v>
      </c>
      <c r="G141" s="46">
        <f>IF(C141&lt;&gt;"",(VLOOKUP(C141,part_details,4,FALSE)+VLOOKUP(C141,part_details,5,FALSE)+VLOOKUP(C141,part_details,6,FALSE))*'Multi-level BOM'!D141,"")</f>
        <v>21.778200000000002</v>
      </c>
      <c r="H141" s="4">
        <f t="shared" si="61"/>
        <v>1</v>
      </c>
      <c r="I141" s="4">
        <f t="shared" si="61"/>
        <v>1</v>
      </c>
      <c r="J141" s="4">
        <f t="shared" si="61"/>
        <v>1</v>
      </c>
      <c r="K141" s="4">
        <f t="shared" si="61"/>
        <v>1</v>
      </c>
      <c r="L141" s="4">
        <f t="shared" si="61"/>
        <v>1</v>
      </c>
      <c r="M141" s="4">
        <f t="shared" si="61"/>
        <v>1</v>
      </c>
      <c r="N141" s="4">
        <f t="shared" si="61"/>
        <v>1</v>
      </c>
      <c r="O141" s="4">
        <f t="shared" si="61"/>
        <v>1</v>
      </c>
      <c r="P141" s="4">
        <f t="shared" si="61"/>
        <v>1</v>
      </c>
      <c r="Q141" s="4">
        <f t="shared" si="61"/>
        <v>1</v>
      </c>
    </row>
    <row r="142" spans="1:17" x14ac:dyDescent="0.25">
      <c r="A142" s="2">
        <v>3</v>
      </c>
      <c r="B142" s="9" t="s">
        <v>916</v>
      </c>
      <c r="C142" s="2" t="s">
        <v>66</v>
      </c>
      <c r="D142" s="2">
        <v>1</v>
      </c>
      <c r="E142" s="1" t="str">
        <f>IF(C142="","",VLOOKUP(C142,Table1[#All],2,FALSE))</f>
        <v>Flexible Couplings 5mm to 8mm NEMA 17 Shaft Coupler</v>
      </c>
      <c r="F142" s="2">
        <f t="shared" si="62"/>
        <v>1</v>
      </c>
      <c r="G142" s="46">
        <f>IF(C142&lt;&gt;"",(VLOOKUP(C142,part_details,4,FALSE)+VLOOKUP(C142,part_details,5,FALSE)+VLOOKUP(C142,part_details,6,FALSE))*'Multi-level BOM'!D142,"")</f>
        <v>2.1778200000000001</v>
      </c>
      <c r="H142" s="4">
        <f t="shared" si="61"/>
        <v>1</v>
      </c>
      <c r="I142" s="4">
        <f t="shared" si="61"/>
        <v>1</v>
      </c>
      <c r="J142" s="4">
        <f t="shared" si="61"/>
        <v>1</v>
      </c>
      <c r="K142" s="4">
        <f t="shared" si="61"/>
        <v>1</v>
      </c>
      <c r="L142" s="4">
        <f t="shared" si="61"/>
        <v>1</v>
      </c>
      <c r="M142" s="4">
        <f t="shared" si="61"/>
        <v>1</v>
      </c>
      <c r="N142" s="4">
        <f t="shared" si="61"/>
        <v>1</v>
      </c>
      <c r="O142" s="4">
        <f t="shared" si="61"/>
        <v>1</v>
      </c>
      <c r="P142" s="4">
        <f t="shared" si="61"/>
        <v>1</v>
      </c>
      <c r="Q142" s="4">
        <f t="shared" si="61"/>
        <v>1</v>
      </c>
    </row>
    <row r="143" spans="1:17" x14ac:dyDescent="0.25">
      <c r="A143" s="2">
        <v>3</v>
      </c>
      <c r="B143" s="9" t="s">
        <v>962</v>
      </c>
      <c r="C143" s="2" t="s">
        <v>29</v>
      </c>
      <c r="D143" s="2">
        <v>1</v>
      </c>
      <c r="E143" s="1" t="str">
        <f>IF(C143="","",VLOOKUP(C143,Table1[#All],2,FALSE))</f>
        <v>T6061 Al Angle extrusion 3" x 3" x .25 thick, 3" long</v>
      </c>
      <c r="F143" s="2">
        <f t="shared" ref="F143:F144" si="63">PRODUCT(H143:Q143)</f>
        <v>1</v>
      </c>
      <c r="G143" s="46">
        <f>IF(C143&lt;&gt;"",(VLOOKUP(C143,part_details,4,FALSE)+VLOOKUP(C143,part_details,5,FALSE)+VLOOKUP(C143,part_details,6,FALSE))*'Multi-level BOM'!D143,"")</f>
        <v>4.7693750000000001</v>
      </c>
      <c r="H143" s="4">
        <f t="shared" si="61"/>
        <v>1</v>
      </c>
      <c r="I143" s="4">
        <f t="shared" si="61"/>
        <v>1</v>
      </c>
      <c r="J143" s="4">
        <f t="shared" si="61"/>
        <v>1</v>
      </c>
      <c r="K143" s="4">
        <f t="shared" si="61"/>
        <v>1</v>
      </c>
      <c r="L143" s="4">
        <f t="shared" si="61"/>
        <v>1</v>
      </c>
      <c r="M143" s="4">
        <f t="shared" si="61"/>
        <v>1</v>
      </c>
      <c r="N143" s="4">
        <f t="shared" si="61"/>
        <v>1</v>
      </c>
      <c r="O143" s="4">
        <f t="shared" si="61"/>
        <v>1</v>
      </c>
      <c r="P143" s="4">
        <f t="shared" si="61"/>
        <v>1</v>
      </c>
      <c r="Q143" s="4">
        <f t="shared" si="61"/>
        <v>1</v>
      </c>
    </row>
    <row r="144" spans="1:17" x14ac:dyDescent="0.25">
      <c r="A144" s="2">
        <v>3</v>
      </c>
      <c r="B144" s="9" t="s">
        <v>921</v>
      </c>
      <c r="C144" s="2" t="s">
        <v>32</v>
      </c>
      <c r="D144" s="2">
        <v>3</v>
      </c>
      <c r="E144" s="1" t="str">
        <f>IF(C144="","",VLOOKUP(C144,Table1[#All],2,FALSE))</f>
        <v xml:space="preserve">M5-0.8 x 16mm Button Head Socket Cap Screws, Stainless Steel 304, Plain Finish, Quantity 50 </v>
      </c>
      <c r="F144" s="2">
        <f t="shared" si="63"/>
        <v>3</v>
      </c>
      <c r="G144" s="46">
        <f>IF(C144&lt;&gt;"",(VLOOKUP(C144,part_details,4,FALSE)+VLOOKUP(C144,part_details,5,FALSE)+VLOOKUP(C144,part_details,6,FALSE))*'Multi-level BOM'!D144,"")</f>
        <v>0.58794600000000008</v>
      </c>
      <c r="H144" s="4">
        <f t="shared" si="61"/>
        <v>1</v>
      </c>
      <c r="I144" s="4">
        <f t="shared" si="61"/>
        <v>1</v>
      </c>
      <c r="J144" s="4">
        <f t="shared" si="61"/>
        <v>1</v>
      </c>
      <c r="K144" s="4">
        <f t="shared" si="61"/>
        <v>3</v>
      </c>
      <c r="L144" s="4">
        <f t="shared" si="61"/>
        <v>1</v>
      </c>
      <c r="M144" s="4">
        <f t="shared" si="61"/>
        <v>1</v>
      </c>
      <c r="N144" s="4">
        <f t="shared" si="61"/>
        <v>1</v>
      </c>
      <c r="O144" s="4">
        <f t="shared" si="61"/>
        <v>1</v>
      </c>
      <c r="P144" s="4">
        <f t="shared" si="61"/>
        <v>1</v>
      </c>
      <c r="Q144" s="4">
        <f t="shared" si="61"/>
        <v>1</v>
      </c>
    </row>
    <row r="145" spans="1:17" x14ac:dyDescent="0.25">
      <c r="A145" s="2">
        <v>3</v>
      </c>
      <c r="B145" s="9" t="s">
        <v>922</v>
      </c>
      <c r="C145" s="2" t="s">
        <v>68</v>
      </c>
      <c r="D145" s="2">
        <v>3</v>
      </c>
      <c r="E145" s="1" t="str">
        <f>IF(C145="","",VLOOKUP(C145,Table1[#All],2,FALSE))</f>
        <v>M5x10mmx1mm Stainless Steel Metric Round Flat Washer</v>
      </c>
      <c r="F145" s="2">
        <f t="shared" ref="F145:F146" si="64">PRODUCT(H145:Q145)</f>
        <v>3</v>
      </c>
      <c r="G145" s="46">
        <f>IF(C145&lt;&gt;"",(VLOOKUP(C145,part_details,4,FALSE)+VLOOKUP(C145,part_details,5,FALSE)+VLOOKUP(C145,part_details,6,FALSE))*'Multi-level BOM'!D145,"")</f>
        <v>0.29397300000000004</v>
      </c>
      <c r="H145" s="4">
        <f t="shared" si="61"/>
        <v>1</v>
      </c>
      <c r="I145" s="4">
        <f t="shared" si="61"/>
        <v>1</v>
      </c>
      <c r="J145" s="4">
        <f t="shared" si="61"/>
        <v>1</v>
      </c>
      <c r="K145" s="4">
        <f t="shared" si="61"/>
        <v>3</v>
      </c>
      <c r="L145" s="4">
        <f t="shared" si="61"/>
        <v>1</v>
      </c>
      <c r="M145" s="4">
        <f t="shared" si="61"/>
        <v>1</v>
      </c>
      <c r="N145" s="4">
        <f t="shared" si="61"/>
        <v>1</v>
      </c>
      <c r="O145" s="4">
        <f t="shared" si="61"/>
        <v>1</v>
      </c>
      <c r="P145" s="4">
        <f t="shared" si="61"/>
        <v>1</v>
      </c>
      <c r="Q145" s="4">
        <f t="shared" si="61"/>
        <v>1</v>
      </c>
    </row>
    <row r="146" spans="1:17" x14ac:dyDescent="0.25">
      <c r="A146" s="2">
        <v>3</v>
      </c>
      <c r="B146" s="9" t="s">
        <v>733</v>
      </c>
      <c r="C146" s="2" t="s">
        <v>33</v>
      </c>
      <c r="D146" s="2">
        <v>3</v>
      </c>
      <c r="E146" s="1" t="str">
        <f>IF(C146="","",VLOOKUP(C146,Table1[#All],2,FALSE))</f>
        <v>Sliding T Slot Nuts 4040 Series M5 26 Pack T Nuts Carbon Steel</v>
      </c>
      <c r="F146" s="2">
        <f t="shared" si="64"/>
        <v>3</v>
      </c>
      <c r="G146" s="46">
        <f>IF(C146&lt;&gt;"",(VLOOKUP(C146,part_details,4,FALSE)+VLOOKUP(C146,part_details,5,FALSE)+VLOOKUP(C146,part_details,6,FALSE))*'Multi-level BOM'!D146,"")</f>
        <v>1.0174730769230771</v>
      </c>
      <c r="H146" s="4">
        <f t="shared" si="61"/>
        <v>1</v>
      </c>
      <c r="I146" s="4">
        <f t="shared" si="61"/>
        <v>1</v>
      </c>
      <c r="J146" s="4">
        <f t="shared" si="61"/>
        <v>1</v>
      </c>
      <c r="K146" s="4">
        <f t="shared" si="61"/>
        <v>3</v>
      </c>
      <c r="L146" s="4">
        <f t="shared" si="61"/>
        <v>1</v>
      </c>
      <c r="M146" s="4">
        <f t="shared" si="61"/>
        <v>1</v>
      </c>
      <c r="N146" s="4">
        <f t="shared" si="61"/>
        <v>1</v>
      </c>
      <c r="O146" s="4">
        <f t="shared" si="61"/>
        <v>1</v>
      </c>
      <c r="P146" s="4">
        <f t="shared" si="61"/>
        <v>1</v>
      </c>
      <c r="Q146" s="4">
        <f t="shared" si="61"/>
        <v>1</v>
      </c>
    </row>
    <row r="147" spans="1:17" x14ac:dyDescent="0.25">
      <c r="A147" s="2">
        <v>3</v>
      </c>
      <c r="B147" s="9" t="s">
        <v>917</v>
      </c>
      <c r="C147" s="2" t="s">
        <v>31</v>
      </c>
      <c r="D147" s="2">
        <v>1</v>
      </c>
      <c r="E147" s="1" t="str">
        <f>IF(C147="","",VLOOKUP(C147,Table1[#All],2,FALSE))</f>
        <v>T 6061 Al Angle extrusion 2" x 2" x .125" 6" aluminum (for side ball mount)</v>
      </c>
      <c r="F147" s="2">
        <f t="shared" ref="F147" si="65">PRODUCT(H147:Q147)</f>
        <v>1</v>
      </c>
      <c r="G147" s="46">
        <f>IF(C147&lt;&gt;"",(VLOOKUP(C147,part_details,4,FALSE)+VLOOKUP(C147,part_details,5,FALSE)+VLOOKUP(C147,part_details,6,FALSE))*'Multi-level BOM'!D147,"")</f>
        <v>3.7794999999999996</v>
      </c>
      <c r="H147" s="4">
        <f t="shared" ref="H147:Q151" si="66">IF($A147="",H146,
    IF(H$2=$A147,$D147,
       IF(H$2&lt;$A147,H146,
           1
)))</f>
        <v>1</v>
      </c>
      <c r="I147" s="4">
        <f t="shared" si="66"/>
        <v>1</v>
      </c>
      <c r="J147" s="4">
        <f t="shared" si="66"/>
        <v>1</v>
      </c>
      <c r="K147" s="4">
        <f t="shared" si="66"/>
        <v>1</v>
      </c>
      <c r="L147" s="4">
        <f t="shared" si="66"/>
        <v>1</v>
      </c>
      <c r="M147" s="4">
        <f t="shared" si="66"/>
        <v>1</v>
      </c>
      <c r="N147" s="4">
        <f t="shared" si="66"/>
        <v>1</v>
      </c>
      <c r="O147" s="4">
        <f t="shared" si="66"/>
        <v>1</v>
      </c>
      <c r="P147" s="4">
        <f t="shared" si="66"/>
        <v>1</v>
      </c>
      <c r="Q147" s="4">
        <f t="shared" si="66"/>
        <v>1</v>
      </c>
    </row>
    <row r="148" spans="1:17" x14ac:dyDescent="0.25">
      <c r="A148" s="2">
        <v>3</v>
      </c>
      <c r="B148" s="9" t="s">
        <v>930</v>
      </c>
      <c r="C148" s="2" t="s">
        <v>29</v>
      </c>
      <c r="D148" s="2">
        <v>1</v>
      </c>
      <c r="E148" s="1" t="str">
        <f>IF(C148="","",VLOOKUP(C148,Table1[#All],2,FALSE))</f>
        <v>T6061 Al Angle extrusion 3" x 3" x .25 thick, 3" long</v>
      </c>
      <c r="F148" s="2">
        <f t="shared" ref="F148:F153" si="67">PRODUCT(H148:Q148)</f>
        <v>1</v>
      </c>
      <c r="G148" s="46">
        <f>IF(C148&lt;&gt;"",(VLOOKUP(C148,part_details,4,FALSE)+VLOOKUP(C148,part_details,5,FALSE)+VLOOKUP(C148,part_details,6,FALSE))*'Multi-level BOM'!D148,"")</f>
        <v>4.7693750000000001</v>
      </c>
      <c r="H148" s="4">
        <f t="shared" si="66"/>
        <v>1</v>
      </c>
      <c r="I148" s="4">
        <f t="shared" si="66"/>
        <v>1</v>
      </c>
      <c r="J148" s="4">
        <f t="shared" si="66"/>
        <v>1</v>
      </c>
      <c r="K148" s="4">
        <f t="shared" si="66"/>
        <v>1</v>
      </c>
      <c r="L148" s="4">
        <f t="shared" si="66"/>
        <v>1</v>
      </c>
      <c r="M148" s="4">
        <f t="shared" si="66"/>
        <v>1</v>
      </c>
      <c r="N148" s="4">
        <f t="shared" si="66"/>
        <v>1</v>
      </c>
      <c r="O148" s="4">
        <f t="shared" si="66"/>
        <v>1</v>
      </c>
      <c r="P148" s="4">
        <f t="shared" si="66"/>
        <v>1</v>
      </c>
      <c r="Q148" s="4">
        <f t="shared" si="66"/>
        <v>1</v>
      </c>
    </row>
    <row r="149" spans="1:17" x14ac:dyDescent="0.25">
      <c r="A149" s="2">
        <v>3</v>
      </c>
      <c r="B149" s="9" t="s">
        <v>929</v>
      </c>
      <c r="C149" s="2" t="s">
        <v>30</v>
      </c>
      <c r="D149" s="2">
        <v>5</v>
      </c>
      <c r="E149" s="1" t="str">
        <f>IF(C149="","",VLOOKUP(C149,Table1[#All],2,FALSE))</f>
        <v>Aluminum angle 2" x 2" x .25" thick, 12" long</v>
      </c>
      <c r="F149" s="2">
        <f t="shared" si="67"/>
        <v>5</v>
      </c>
      <c r="G149" s="46">
        <f>IF(C149&lt;&gt;"",(VLOOKUP(C149,part_details,4,FALSE)+VLOOKUP(C149,part_details,5,FALSE)+VLOOKUP(C149,part_details,6,FALSE))*'Multi-level BOM'!D149,"")</f>
        <v>4.6607916666666664</v>
      </c>
      <c r="H149" s="4">
        <f t="shared" si="66"/>
        <v>1</v>
      </c>
      <c r="I149" s="4">
        <f t="shared" si="66"/>
        <v>1</v>
      </c>
      <c r="J149" s="4">
        <f t="shared" si="66"/>
        <v>1</v>
      </c>
      <c r="K149" s="4">
        <f t="shared" si="66"/>
        <v>5</v>
      </c>
      <c r="L149" s="4">
        <f t="shared" si="66"/>
        <v>1</v>
      </c>
      <c r="M149" s="4">
        <f t="shared" si="66"/>
        <v>1</v>
      </c>
      <c r="N149" s="4">
        <f t="shared" si="66"/>
        <v>1</v>
      </c>
      <c r="O149" s="4">
        <f t="shared" si="66"/>
        <v>1</v>
      </c>
      <c r="P149" s="4">
        <f t="shared" si="66"/>
        <v>1</v>
      </c>
      <c r="Q149" s="4">
        <f t="shared" si="66"/>
        <v>1</v>
      </c>
    </row>
    <row r="150" spans="1:17" x14ac:dyDescent="0.25">
      <c r="A150" s="2">
        <v>3</v>
      </c>
      <c r="B150" s="9" t="s">
        <v>810</v>
      </c>
      <c r="C150" s="2" t="s">
        <v>42</v>
      </c>
      <c r="D150" s="2">
        <v>1</v>
      </c>
      <c r="E150" s="1" t="str">
        <f>IF(C150="","",VLOOKUP(C150,Table1[#All],2,FALSE))</f>
        <v>DIN 319 Ball Knob, .63" diameter, M4 threaded hole</v>
      </c>
      <c r="F150" s="2">
        <f t="shared" si="67"/>
        <v>1</v>
      </c>
      <c r="G150" s="46">
        <f>IF(C150&lt;&gt;"",(VLOOKUP(C150,part_details,4,FALSE)+VLOOKUP(C150,part_details,5,FALSE)+VLOOKUP(C150,part_details,6,FALSE))*'Multi-level BOM'!D150,"")</f>
        <v>7.2021000000000006</v>
      </c>
      <c r="H150" s="4">
        <f t="shared" si="66"/>
        <v>1</v>
      </c>
      <c r="I150" s="4">
        <f t="shared" si="66"/>
        <v>1</v>
      </c>
      <c r="J150" s="4">
        <f t="shared" si="66"/>
        <v>1</v>
      </c>
      <c r="K150" s="4">
        <f t="shared" si="66"/>
        <v>1</v>
      </c>
      <c r="L150" s="4">
        <f t="shared" si="66"/>
        <v>1</v>
      </c>
      <c r="M150" s="4">
        <f t="shared" si="66"/>
        <v>1</v>
      </c>
      <c r="N150" s="4">
        <f t="shared" si="66"/>
        <v>1</v>
      </c>
      <c r="O150" s="4">
        <f t="shared" si="66"/>
        <v>1</v>
      </c>
      <c r="P150" s="4">
        <f t="shared" si="66"/>
        <v>1</v>
      </c>
      <c r="Q150" s="4">
        <f t="shared" si="66"/>
        <v>1</v>
      </c>
    </row>
    <row r="151" spans="1:17" x14ac:dyDescent="0.25">
      <c r="A151" s="2">
        <v>3</v>
      </c>
      <c r="B151" s="32" t="s">
        <v>845</v>
      </c>
      <c r="D151" s="2">
        <v>1</v>
      </c>
      <c r="E151" s="1" t="str">
        <f>IF(C151="","",VLOOKUP(C151,Table1[#All],2,FALSE))</f>
        <v/>
      </c>
      <c r="F151" s="2">
        <f t="shared" si="67"/>
        <v>1</v>
      </c>
      <c r="G151" s="46" t="str">
        <f>IF(C151&lt;&gt;"",(VLOOKUP(C151,part_details,4,FALSE)+VLOOKUP(C151,part_details,5,FALSE)+VLOOKUP(C151,part_details,6,FALSE))*'Multi-level BOM'!D151,"")</f>
        <v/>
      </c>
      <c r="H151" s="4">
        <f t="shared" si="66"/>
        <v>1</v>
      </c>
      <c r="I151" s="4">
        <f t="shared" si="66"/>
        <v>1</v>
      </c>
      <c r="J151" s="4">
        <f t="shared" si="66"/>
        <v>1</v>
      </c>
      <c r="K151" s="4">
        <f t="shared" si="66"/>
        <v>1</v>
      </c>
      <c r="L151" s="4">
        <f t="shared" si="66"/>
        <v>1</v>
      </c>
      <c r="M151" s="4">
        <f t="shared" si="66"/>
        <v>1</v>
      </c>
      <c r="N151" s="4">
        <f t="shared" si="66"/>
        <v>1</v>
      </c>
      <c r="O151" s="4">
        <f t="shared" si="66"/>
        <v>1</v>
      </c>
      <c r="P151" s="4">
        <f t="shared" si="66"/>
        <v>1</v>
      </c>
      <c r="Q151" s="4">
        <f t="shared" si="66"/>
        <v>1</v>
      </c>
    </row>
    <row r="152" spans="1:17" x14ac:dyDescent="0.25">
      <c r="A152" s="2">
        <v>3</v>
      </c>
      <c r="B152" s="32" t="s">
        <v>846</v>
      </c>
      <c r="C152" s="2" t="s">
        <v>46</v>
      </c>
      <c r="D152" s="2">
        <v>2</v>
      </c>
      <c r="E152" s="1" t="str">
        <f>IF(C152="","",VLOOKUP(C152,Table1[#All],2,FALSE))</f>
        <v>M4 x 0.7mm 304 Stainless Steel Nylon Lock Nuts</v>
      </c>
      <c r="F152" s="2">
        <f t="shared" si="67"/>
        <v>2</v>
      </c>
      <c r="G152" s="46">
        <f>IF(C152&lt;&gt;"",(VLOOKUP(C152,part_details,4,FALSE)+VLOOKUP(C152,part_details,5,FALSE)+VLOOKUP(C152,part_details,6,FALSE))*'Multi-level BOM'!D152,"")</f>
        <v>0.326455</v>
      </c>
      <c r="H152" s="4">
        <f t="shared" ref="H152:Q152" si="68">IF($A152="",H151,
    IF(H$2=$A152,$D152,
       IF(H$2&lt;$A152,H151,
           1
)))</f>
        <v>1</v>
      </c>
      <c r="I152" s="4">
        <f t="shared" si="68"/>
        <v>1</v>
      </c>
      <c r="J152" s="4">
        <f t="shared" si="68"/>
        <v>1</v>
      </c>
      <c r="K152" s="4">
        <f t="shared" si="68"/>
        <v>2</v>
      </c>
      <c r="L152" s="4">
        <f t="shared" si="68"/>
        <v>1</v>
      </c>
      <c r="M152" s="4">
        <f t="shared" si="68"/>
        <v>1</v>
      </c>
      <c r="N152" s="4">
        <f t="shared" si="68"/>
        <v>1</v>
      </c>
      <c r="O152" s="4">
        <f t="shared" si="68"/>
        <v>1</v>
      </c>
      <c r="P152" s="4">
        <f t="shared" si="68"/>
        <v>1</v>
      </c>
      <c r="Q152" s="4">
        <f t="shared" si="68"/>
        <v>1</v>
      </c>
    </row>
    <row r="153" spans="1:17" x14ac:dyDescent="0.25">
      <c r="A153" s="2">
        <v>3</v>
      </c>
      <c r="B153" s="32" t="s">
        <v>815</v>
      </c>
      <c r="C153" s="2" t="s">
        <v>47</v>
      </c>
      <c r="D153" s="2">
        <v>6</v>
      </c>
      <c r="E153" s="1" t="str">
        <f>IF(C153="","",VLOOKUP(C153,Table1[#All],2,FALSE))</f>
        <v>M4x12mmx1 mm Stainless Steel Round Flat Washer</v>
      </c>
      <c r="F153" s="2">
        <f t="shared" si="67"/>
        <v>6</v>
      </c>
      <c r="G153" s="46">
        <f>IF(C153&lt;&gt;"",(VLOOKUP(C153,part_details,4,FALSE)+VLOOKUP(C153,part_details,5,FALSE)+VLOOKUP(C153,part_details,6,FALSE))*'Multi-level BOM'!D153,"")</f>
        <v>0.39174600000000004</v>
      </c>
      <c r="H153" s="4">
        <f t="shared" ref="H153:Q153" si="69">IF($A153="",H152,
    IF(H$2=$A153,$D153,
       IF(H$2&lt;$A153,H152,
           1
)))</f>
        <v>1</v>
      </c>
      <c r="I153" s="4">
        <f t="shared" si="69"/>
        <v>1</v>
      </c>
      <c r="J153" s="4">
        <f t="shared" si="69"/>
        <v>1</v>
      </c>
      <c r="K153" s="4">
        <f t="shared" si="69"/>
        <v>6</v>
      </c>
      <c r="L153" s="4">
        <f t="shared" si="69"/>
        <v>1</v>
      </c>
      <c r="M153" s="4">
        <f t="shared" si="69"/>
        <v>1</v>
      </c>
      <c r="N153" s="4">
        <f t="shared" si="69"/>
        <v>1</v>
      </c>
      <c r="O153" s="4">
        <f t="shared" si="69"/>
        <v>1</v>
      </c>
      <c r="P153" s="4">
        <f t="shared" si="69"/>
        <v>1</v>
      </c>
      <c r="Q153" s="4">
        <f t="shared" si="69"/>
        <v>1</v>
      </c>
    </row>
    <row r="154" spans="1:17" x14ac:dyDescent="0.25">
      <c r="B154" s="9"/>
      <c r="E154" s="1" t="str">
        <f>IF(C154="","",VLOOKUP(C154,Table1[#All],2,FALSE))</f>
        <v/>
      </c>
      <c r="G154" s="46" t="str">
        <f>IF(C154&lt;&gt;"",VLOOKUP(C154,part_details,4,FALSE)*'Multi-level BOM'!D154,"")</f>
        <v/>
      </c>
      <c r="H154" s="4">
        <f t="shared" ref="H154:Q154" si="70">IF($A154="",H153,
    IF(H$2=$A154,$D154,
       IF(H$2&lt;$A154,H153,
           1
)))</f>
        <v>1</v>
      </c>
      <c r="I154" s="4">
        <f t="shared" si="70"/>
        <v>1</v>
      </c>
      <c r="J154" s="4">
        <f t="shared" si="70"/>
        <v>1</v>
      </c>
      <c r="K154" s="4">
        <f t="shared" si="70"/>
        <v>6</v>
      </c>
      <c r="L154" s="4">
        <f t="shared" si="70"/>
        <v>1</v>
      </c>
      <c r="M154" s="4">
        <f t="shared" si="70"/>
        <v>1</v>
      </c>
      <c r="N154" s="4">
        <f t="shared" si="70"/>
        <v>1</v>
      </c>
      <c r="O154" s="4">
        <f t="shared" si="70"/>
        <v>1</v>
      </c>
      <c r="P154" s="4">
        <f t="shared" si="70"/>
        <v>1</v>
      </c>
      <c r="Q154" s="4">
        <f t="shared" si="70"/>
        <v>1</v>
      </c>
    </row>
    <row r="155" spans="1:17" x14ac:dyDescent="0.25">
      <c r="B155" s="9"/>
      <c r="G155" s="46" t="str">
        <f>IF(C155&lt;&gt;"",VLOOKUP(C155,part_details,4,FALSE)*'Multi-level BOM'!D155,"")</f>
        <v/>
      </c>
      <c r="H155" s="4">
        <f t="shared" ref="H155:Q155" si="71">IF($A155="",H154,
    IF(H$2=$A155,$D155,
       IF(H$2&lt;$A155,H154,
           1
)))</f>
        <v>1</v>
      </c>
      <c r="I155" s="4">
        <f t="shared" si="71"/>
        <v>1</v>
      </c>
      <c r="J155" s="4">
        <f t="shared" si="71"/>
        <v>1</v>
      </c>
      <c r="K155" s="4">
        <f t="shared" si="71"/>
        <v>6</v>
      </c>
      <c r="L155" s="4">
        <f t="shared" si="71"/>
        <v>1</v>
      </c>
      <c r="M155" s="4">
        <f t="shared" si="71"/>
        <v>1</v>
      </c>
      <c r="N155" s="4">
        <f t="shared" si="71"/>
        <v>1</v>
      </c>
      <c r="O155" s="4">
        <f t="shared" si="71"/>
        <v>1</v>
      </c>
      <c r="P155" s="4">
        <f t="shared" si="71"/>
        <v>1</v>
      </c>
      <c r="Q155" s="4">
        <f t="shared" si="71"/>
        <v>1</v>
      </c>
    </row>
    <row r="156" spans="1:17" x14ac:dyDescent="0.25">
      <c r="A156" s="2">
        <v>2</v>
      </c>
      <c r="B156" s="8" t="s">
        <v>737</v>
      </c>
      <c r="D156" s="2">
        <v>1</v>
      </c>
      <c r="E156" s="1" t="str">
        <f>IF(C156="","",VLOOKUP(C156,Table1[#All],2,FALSE))</f>
        <v/>
      </c>
      <c r="F156" s="2">
        <f t="shared" ref="F156:F168" si="72">PRODUCT(H156:Q156)</f>
        <v>1</v>
      </c>
      <c r="G156" s="47">
        <f>F156*SUM(G157:G174)</f>
        <v>111.45079907692305</v>
      </c>
      <c r="H156" s="4">
        <f t="shared" ref="H156:Q157" si="73">IF($A156="",H155,
    IF(H$2=$A156,$D156,
       IF(H$2&lt;$A156,H155,
           1
)))</f>
        <v>1</v>
      </c>
      <c r="I156" s="4">
        <f t="shared" si="73"/>
        <v>1</v>
      </c>
      <c r="J156" s="4">
        <f t="shared" si="73"/>
        <v>1</v>
      </c>
      <c r="K156" s="4">
        <f t="shared" si="73"/>
        <v>1</v>
      </c>
      <c r="L156" s="4">
        <f t="shared" si="73"/>
        <v>1</v>
      </c>
      <c r="M156" s="4">
        <f t="shared" si="73"/>
        <v>1</v>
      </c>
      <c r="N156" s="4">
        <f t="shared" si="73"/>
        <v>1</v>
      </c>
      <c r="O156" s="4">
        <f t="shared" si="73"/>
        <v>1</v>
      </c>
      <c r="P156" s="4">
        <f t="shared" si="73"/>
        <v>1</v>
      </c>
      <c r="Q156" s="4">
        <f t="shared" si="73"/>
        <v>1</v>
      </c>
    </row>
    <row r="157" spans="1:17" x14ac:dyDescent="0.25">
      <c r="A157" s="2">
        <v>3</v>
      </c>
      <c r="B157" s="9" t="s">
        <v>714</v>
      </c>
      <c r="C157" s="2" t="s">
        <v>17</v>
      </c>
      <c r="D157" s="2">
        <v>1</v>
      </c>
      <c r="E157" s="1" t="str">
        <f>IF(C157="","",VLOOKUP(C157,Table1[#All],2,FALSE))</f>
        <v xml:space="preserve">
Machifit 500mm Length MGN15 Linear Rail Guide with MGN15H Linear Rail Block</v>
      </c>
      <c r="F157" s="2">
        <f t="shared" si="72"/>
        <v>1</v>
      </c>
      <c r="G157" s="46">
        <f>IF(C157&lt;&gt;"",(VLOOKUP(C157,part_details,4,FALSE)+VLOOKUP(C157,part_details,5,FALSE)+VLOOKUP(C157,part_details,6,FALSE))*'Multi-level BOM'!D157,"")</f>
        <v>33.81</v>
      </c>
      <c r="H157" s="4">
        <f t="shared" si="73"/>
        <v>1</v>
      </c>
      <c r="I157" s="4">
        <f t="shared" si="73"/>
        <v>1</v>
      </c>
      <c r="J157" s="4">
        <f t="shared" si="73"/>
        <v>1</v>
      </c>
      <c r="K157" s="4">
        <f t="shared" si="73"/>
        <v>1</v>
      </c>
      <c r="L157" s="4">
        <f t="shared" si="73"/>
        <v>1</v>
      </c>
      <c r="M157" s="4">
        <f t="shared" si="73"/>
        <v>1</v>
      </c>
      <c r="N157" s="4">
        <f t="shared" si="73"/>
        <v>1</v>
      </c>
      <c r="O157" s="4">
        <f t="shared" si="73"/>
        <v>1</v>
      </c>
      <c r="P157" s="4">
        <f t="shared" si="73"/>
        <v>1</v>
      </c>
      <c r="Q157" s="4">
        <f t="shared" si="73"/>
        <v>1</v>
      </c>
    </row>
    <row r="158" spans="1:17" x14ac:dyDescent="0.25">
      <c r="A158" s="2">
        <v>3</v>
      </c>
      <c r="B158" s="9" t="s">
        <v>691</v>
      </c>
      <c r="C158" s="2" t="s">
        <v>18</v>
      </c>
      <c r="D158" s="2">
        <v>13</v>
      </c>
      <c r="E158" s="1" t="str">
        <f>IF(C158="","",VLOOKUP(C158,Table1[#All],2,FALSE))</f>
        <v>M3-0.5x30mm Socket Head Cap Bolts Screws, 304 Stainless Steel 18-8, Allen Socket Drive, Fully Machine Thread, Bright Finish</v>
      </c>
      <c r="F158" s="2">
        <f t="shared" si="72"/>
        <v>13</v>
      </c>
      <c r="G158" s="46">
        <f>IF(C158&lt;&gt;"",(VLOOKUP(C158,part_details,4,FALSE)+VLOOKUP(C158,part_details,5,FALSE)+VLOOKUP(C158,part_details,6,FALSE))*'Multi-level BOM'!D158,"")</f>
        <v>1.2738830000000001</v>
      </c>
      <c r="H158" s="4">
        <f t="shared" ref="H158:Q158" si="74">IF($A158="",H157,
    IF(H$2=$A158,$D158,
       IF(H$2&lt;$A158,H157,
           1
)))</f>
        <v>1</v>
      </c>
      <c r="I158" s="4">
        <f t="shared" si="74"/>
        <v>1</v>
      </c>
      <c r="J158" s="4">
        <f t="shared" si="74"/>
        <v>1</v>
      </c>
      <c r="K158" s="4">
        <f t="shared" si="74"/>
        <v>13</v>
      </c>
      <c r="L158" s="4">
        <f t="shared" si="74"/>
        <v>1</v>
      </c>
      <c r="M158" s="4">
        <f t="shared" si="74"/>
        <v>1</v>
      </c>
      <c r="N158" s="4">
        <f t="shared" si="74"/>
        <v>1</v>
      </c>
      <c r="O158" s="4">
        <f t="shared" si="74"/>
        <v>1</v>
      </c>
      <c r="P158" s="4">
        <f t="shared" si="74"/>
        <v>1</v>
      </c>
      <c r="Q158" s="4">
        <f t="shared" si="74"/>
        <v>1</v>
      </c>
    </row>
    <row r="159" spans="1:17" x14ac:dyDescent="0.25">
      <c r="A159" s="2">
        <v>3</v>
      </c>
      <c r="B159" s="9" t="s">
        <v>719</v>
      </c>
      <c r="C159" s="2" t="s">
        <v>24</v>
      </c>
      <c r="D159" s="2">
        <v>1</v>
      </c>
      <c r="E159" s="1" t="str">
        <f>IF(C159="","",VLOOKUP(C159,Table1[#All],2,FALSE))</f>
        <v>.625 x .375 aluminum bar T6061, 24 in long</v>
      </c>
      <c r="F159" s="2">
        <f t="shared" si="72"/>
        <v>1</v>
      </c>
      <c r="G159" s="46">
        <f>IF(C159&lt;&gt;"",(VLOOKUP(C159,part_details,4,FALSE)+VLOOKUP(C159,part_details,5,FALSE)+VLOOKUP(C159,part_details,6,FALSE))*'Multi-level BOM'!D159,"")</f>
        <v>6.0766</v>
      </c>
      <c r="H159" s="4">
        <f t="shared" ref="H159:Q159" si="75">IF($A159="",H158,
    IF(H$2=$A159,$D159,
       IF(H$2&lt;$A159,H158,
           1
)))</f>
        <v>1</v>
      </c>
      <c r="I159" s="4">
        <f t="shared" si="75"/>
        <v>1</v>
      </c>
      <c r="J159" s="4">
        <f t="shared" si="75"/>
        <v>1</v>
      </c>
      <c r="K159" s="4">
        <f t="shared" si="75"/>
        <v>1</v>
      </c>
      <c r="L159" s="4">
        <f t="shared" si="75"/>
        <v>1</v>
      </c>
      <c r="M159" s="4">
        <f t="shared" si="75"/>
        <v>1</v>
      </c>
      <c r="N159" s="4">
        <f t="shared" si="75"/>
        <v>1</v>
      </c>
      <c r="O159" s="4">
        <f t="shared" si="75"/>
        <v>1</v>
      </c>
      <c r="P159" s="4">
        <f t="shared" si="75"/>
        <v>1</v>
      </c>
      <c r="Q159" s="4">
        <f t="shared" si="75"/>
        <v>1</v>
      </c>
    </row>
    <row r="160" spans="1:17" x14ac:dyDescent="0.25">
      <c r="A160" s="2">
        <v>3</v>
      </c>
      <c r="B160" s="9" t="s">
        <v>720</v>
      </c>
      <c r="C160" s="2" t="s">
        <v>25</v>
      </c>
      <c r="D160" s="2">
        <v>1</v>
      </c>
      <c r="E160" s="1" t="str">
        <f>IF(C160="","",VLOOKUP(C160,Table1[#All],2,FALSE))</f>
        <v>Nema 17 Bipolar Stepper 0.9deg(400 steps/rev) 1.68A 44Ncm(62.3oz.in) Motor, 5mm shaft</v>
      </c>
      <c r="F160" s="2">
        <f t="shared" si="72"/>
        <v>1</v>
      </c>
      <c r="G160" s="46">
        <f>IF(C160&lt;&gt;"",(VLOOKUP(C160,part_details,4,FALSE)+VLOOKUP(C160,part_details,5,FALSE)+VLOOKUP(C160,part_details,6,FALSE))*'Multi-level BOM'!D160,"")</f>
        <v>23.4895</v>
      </c>
      <c r="H160" s="4">
        <f t="shared" ref="H160:Q160" si="76">IF($A160="",H159,
    IF(H$2=$A160,$D160,
       IF(H$2&lt;$A160,H159,
           1
)))</f>
        <v>1</v>
      </c>
      <c r="I160" s="4">
        <f t="shared" si="76"/>
        <v>1</v>
      </c>
      <c r="J160" s="4">
        <f t="shared" si="76"/>
        <v>1</v>
      </c>
      <c r="K160" s="4">
        <f t="shared" si="76"/>
        <v>1</v>
      </c>
      <c r="L160" s="4">
        <f t="shared" si="76"/>
        <v>1</v>
      </c>
      <c r="M160" s="4">
        <f t="shared" si="76"/>
        <v>1</v>
      </c>
      <c r="N160" s="4">
        <f t="shared" si="76"/>
        <v>1</v>
      </c>
      <c r="O160" s="4">
        <f t="shared" si="76"/>
        <v>1</v>
      </c>
      <c r="P160" s="4">
        <f t="shared" si="76"/>
        <v>1</v>
      </c>
      <c r="Q160" s="4">
        <f t="shared" si="76"/>
        <v>1</v>
      </c>
    </row>
    <row r="161" spans="1:17" x14ac:dyDescent="0.25">
      <c r="A161" s="2">
        <v>3</v>
      </c>
      <c r="B161" s="9" t="s">
        <v>918</v>
      </c>
      <c r="C161" s="2" t="s">
        <v>67</v>
      </c>
      <c r="D161" s="2">
        <v>4</v>
      </c>
      <c r="E161" s="1" t="str">
        <f>IF(C161="","",VLOOKUP(C161,Table1[#All],2,FALSE))</f>
        <v xml:space="preserve">M4 x 10mm Alloy Steel Hex Bolt Socket Head Cap Screws </v>
      </c>
      <c r="F161" s="2">
        <f t="shared" si="72"/>
        <v>4</v>
      </c>
      <c r="G161" s="46">
        <f>IF(C161&lt;&gt;"",(VLOOKUP(C161,part_details,4,FALSE)+VLOOKUP(C161,part_details,5,FALSE)+VLOOKUP(C161,part_details,6,FALSE))*'Multi-level BOM'!D161,"")</f>
        <v>0.43556400000000001</v>
      </c>
      <c r="H161" s="4">
        <f t="shared" ref="H161:Q161" si="77">IF($A161="",H160,
    IF(H$2=$A161,$D161,
       IF(H$2&lt;$A161,H160,
           1
)))</f>
        <v>1</v>
      </c>
      <c r="I161" s="4">
        <f t="shared" si="77"/>
        <v>1</v>
      </c>
      <c r="J161" s="4">
        <f t="shared" si="77"/>
        <v>1</v>
      </c>
      <c r="K161" s="4">
        <f t="shared" si="77"/>
        <v>4</v>
      </c>
      <c r="L161" s="4">
        <f t="shared" si="77"/>
        <v>1</v>
      </c>
      <c r="M161" s="4">
        <f t="shared" si="77"/>
        <v>1</v>
      </c>
      <c r="N161" s="4">
        <f t="shared" si="77"/>
        <v>1</v>
      </c>
      <c r="O161" s="4">
        <f t="shared" si="77"/>
        <v>1</v>
      </c>
      <c r="P161" s="4">
        <f t="shared" si="77"/>
        <v>1</v>
      </c>
      <c r="Q161" s="4">
        <f t="shared" si="77"/>
        <v>1</v>
      </c>
    </row>
    <row r="162" spans="1:17" x14ac:dyDescent="0.25">
      <c r="A162" s="2">
        <v>3</v>
      </c>
      <c r="B162" s="9" t="s">
        <v>815</v>
      </c>
      <c r="C162" s="2" t="s">
        <v>47</v>
      </c>
      <c r="D162" s="2">
        <v>4</v>
      </c>
      <c r="E162" s="1" t="str">
        <f>IF(C162="","",VLOOKUP(C162,Table1[#All],2,FALSE))</f>
        <v>M4x12mmx1 mm Stainless Steel Round Flat Washer</v>
      </c>
      <c r="F162" s="2">
        <f t="shared" si="72"/>
        <v>4</v>
      </c>
      <c r="G162" s="46">
        <f>IF(C162&lt;&gt;"",(VLOOKUP(C162,part_details,4,FALSE)+VLOOKUP(C162,part_details,5,FALSE)+VLOOKUP(C162,part_details,6,FALSE))*'Multi-level BOM'!D162,"")</f>
        <v>0.26116400000000001</v>
      </c>
      <c r="H162" s="4">
        <f t="shared" ref="H162:Q162" si="78">IF($A162="",H161,
    IF(H$2=$A162,$D162,
       IF(H$2&lt;$A162,H161,
           1
)))</f>
        <v>1</v>
      </c>
      <c r="I162" s="4">
        <f t="shared" si="78"/>
        <v>1</v>
      </c>
      <c r="J162" s="4">
        <f t="shared" si="78"/>
        <v>1</v>
      </c>
      <c r="K162" s="4">
        <f t="shared" si="78"/>
        <v>4</v>
      </c>
      <c r="L162" s="4">
        <f t="shared" si="78"/>
        <v>1</v>
      </c>
      <c r="M162" s="4">
        <f t="shared" si="78"/>
        <v>1</v>
      </c>
      <c r="N162" s="4">
        <f t="shared" si="78"/>
        <v>1</v>
      </c>
      <c r="O162" s="4">
        <f t="shared" si="78"/>
        <v>1</v>
      </c>
      <c r="P162" s="4">
        <f t="shared" si="78"/>
        <v>1</v>
      </c>
      <c r="Q162" s="4">
        <f t="shared" si="78"/>
        <v>1</v>
      </c>
    </row>
    <row r="163" spans="1:17" x14ac:dyDescent="0.25">
      <c r="A163" s="2">
        <v>3</v>
      </c>
      <c r="B163" s="9" t="s">
        <v>915</v>
      </c>
      <c r="C163" s="2" t="s">
        <v>26</v>
      </c>
      <c r="D163" s="2">
        <v>1</v>
      </c>
      <c r="E163" s="1" t="str">
        <f>IF(C163="","",VLOOKUP(C163,Table1[#All],2,FALSE))</f>
        <v>Witbot 500mm 8mm T8 Lead Screw Set Lead Screw+ Pillow Bearing Block + Copper Nut + Coupler for 3D Printer</v>
      </c>
      <c r="F163" s="2">
        <f t="shared" si="72"/>
        <v>1</v>
      </c>
      <c r="G163" s="46">
        <f>IF(C163&lt;&gt;"",(VLOOKUP(C163,part_details,4,FALSE)+VLOOKUP(C163,part_details,5,FALSE)+VLOOKUP(C163,part_details,6,FALSE))*'Multi-level BOM'!D163,"")</f>
        <v>21.778200000000002</v>
      </c>
      <c r="H163" s="4">
        <f t="shared" ref="H163:Q163" si="79">IF($A163="",H162,
    IF(H$2=$A163,$D163,
       IF(H$2&lt;$A163,H162,
           1
)))</f>
        <v>1</v>
      </c>
      <c r="I163" s="4">
        <f t="shared" si="79"/>
        <v>1</v>
      </c>
      <c r="J163" s="4">
        <f t="shared" si="79"/>
        <v>1</v>
      </c>
      <c r="K163" s="4">
        <f t="shared" si="79"/>
        <v>1</v>
      </c>
      <c r="L163" s="4">
        <f t="shared" si="79"/>
        <v>1</v>
      </c>
      <c r="M163" s="4">
        <f t="shared" si="79"/>
        <v>1</v>
      </c>
      <c r="N163" s="4">
        <f t="shared" si="79"/>
        <v>1</v>
      </c>
      <c r="O163" s="4">
        <f t="shared" si="79"/>
        <v>1</v>
      </c>
      <c r="P163" s="4">
        <f t="shared" si="79"/>
        <v>1</v>
      </c>
      <c r="Q163" s="4">
        <f t="shared" si="79"/>
        <v>1</v>
      </c>
    </row>
    <row r="164" spans="1:17" x14ac:dyDescent="0.25">
      <c r="A164" s="2">
        <v>3</v>
      </c>
      <c r="B164" s="9" t="s">
        <v>916</v>
      </c>
      <c r="C164" s="2" t="s">
        <v>66</v>
      </c>
      <c r="D164" s="2">
        <v>1</v>
      </c>
      <c r="E164" s="1" t="str">
        <f>IF(C164="","",VLOOKUP(C164,Table1[#All],2,FALSE))</f>
        <v>Flexible Couplings 5mm to 8mm NEMA 17 Shaft Coupler</v>
      </c>
      <c r="F164" s="2">
        <f t="shared" si="72"/>
        <v>1</v>
      </c>
      <c r="G164" s="46">
        <f>IF(C164&lt;&gt;"",(VLOOKUP(C164,part_details,4,FALSE)+VLOOKUP(C164,part_details,5,FALSE)+VLOOKUP(C164,part_details,6,FALSE))*'Multi-level BOM'!D164,"")</f>
        <v>2.1778200000000001</v>
      </c>
      <c r="H164" s="4">
        <f t="shared" ref="H164:Q164" si="80">IF($A164="",H163,
    IF(H$2=$A164,$D164,
       IF(H$2&lt;$A164,H163,
           1
)))</f>
        <v>1</v>
      </c>
      <c r="I164" s="4">
        <f t="shared" si="80"/>
        <v>1</v>
      </c>
      <c r="J164" s="4">
        <f t="shared" si="80"/>
        <v>1</v>
      </c>
      <c r="K164" s="4">
        <f t="shared" si="80"/>
        <v>1</v>
      </c>
      <c r="L164" s="4">
        <f t="shared" si="80"/>
        <v>1</v>
      </c>
      <c r="M164" s="4">
        <f t="shared" si="80"/>
        <v>1</v>
      </c>
      <c r="N164" s="4">
        <f t="shared" si="80"/>
        <v>1</v>
      </c>
      <c r="O164" s="4">
        <f t="shared" si="80"/>
        <v>1</v>
      </c>
      <c r="P164" s="4">
        <f t="shared" si="80"/>
        <v>1</v>
      </c>
      <c r="Q164" s="4">
        <f t="shared" si="80"/>
        <v>1</v>
      </c>
    </row>
    <row r="165" spans="1:17" x14ac:dyDescent="0.25">
      <c r="A165" s="2">
        <v>3</v>
      </c>
      <c r="B165" s="9" t="s">
        <v>962</v>
      </c>
      <c r="C165" s="2" t="s">
        <v>29</v>
      </c>
      <c r="D165" s="2">
        <v>1</v>
      </c>
      <c r="E165" s="1" t="str">
        <f>IF(C165="","",VLOOKUP(C165,Table1[#All],2,FALSE))</f>
        <v>T6061 Al Angle extrusion 3" x 3" x .25 thick, 3" long</v>
      </c>
      <c r="F165" s="2">
        <f t="shared" si="72"/>
        <v>1</v>
      </c>
      <c r="G165" s="46">
        <f>IF(C165&lt;&gt;"",(VLOOKUP(C165,part_details,4,FALSE)+VLOOKUP(C165,part_details,5,FALSE)+VLOOKUP(C165,part_details,6,FALSE))*'Multi-level BOM'!D165,"")</f>
        <v>4.7693750000000001</v>
      </c>
      <c r="H165" s="4">
        <f t="shared" ref="H165:Q165" si="81">IF($A165="",H164,
    IF(H$2=$A165,$D165,
       IF(H$2&lt;$A165,H164,
           1
)))</f>
        <v>1</v>
      </c>
      <c r="I165" s="4">
        <f t="shared" si="81"/>
        <v>1</v>
      </c>
      <c r="J165" s="4">
        <f t="shared" si="81"/>
        <v>1</v>
      </c>
      <c r="K165" s="4">
        <f t="shared" si="81"/>
        <v>1</v>
      </c>
      <c r="L165" s="4">
        <f t="shared" si="81"/>
        <v>1</v>
      </c>
      <c r="M165" s="4">
        <f t="shared" si="81"/>
        <v>1</v>
      </c>
      <c r="N165" s="4">
        <f t="shared" si="81"/>
        <v>1</v>
      </c>
      <c r="O165" s="4">
        <f t="shared" si="81"/>
        <v>1</v>
      </c>
      <c r="P165" s="4">
        <f t="shared" si="81"/>
        <v>1</v>
      </c>
      <c r="Q165" s="4">
        <f t="shared" si="81"/>
        <v>1</v>
      </c>
    </row>
    <row r="166" spans="1:17" x14ac:dyDescent="0.25">
      <c r="A166" s="2">
        <v>3</v>
      </c>
      <c r="B166" s="9" t="s">
        <v>727</v>
      </c>
      <c r="C166" s="2" t="s">
        <v>32</v>
      </c>
      <c r="D166" s="2">
        <v>3</v>
      </c>
      <c r="E166" s="1" t="str">
        <f>IF(C166="","",VLOOKUP(C166,Table1[#All],2,FALSE))</f>
        <v xml:space="preserve">M5-0.8 x 16mm Button Head Socket Cap Screws, Stainless Steel 304, Plain Finish, Quantity 50 </v>
      </c>
      <c r="F166" s="2">
        <f t="shared" si="72"/>
        <v>3</v>
      </c>
      <c r="G166" s="46">
        <f>IF(C166&lt;&gt;"",(VLOOKUP(C166,part_details,4,FALSE)+VLOOKUP(C166,part_details,5,FALSE)+VLOOKUP(C166,part_details,6,FALSE))*'Multi-level BOM'!D166,"")</f>
        <v>0.58794600000000008</v>
      </c>
      <c r="H166" s="4">
        <f t="shared" ref="H166:Q166" si="82">IF($A166="",H165,
    IF(H$2=$A166,$D166,
       IF(H$2&lt;$A166,H165,
           1
)))</f>
        <v>1</v>
      </c>
      <c r="I166" s="4">
        <f t="shared" si="82"/>
        <v>1</v>
      </c>
      <c r="J166" s="4">
        <f t="shared" si="82"/>
        <v>1</v>
      </c>
      <c r="K166" s="4">
        <f t="shared" si="82"/>
        <v>3</v>
      </c>
      <c r="L166" s="4">
        <f t="shared" si="82"/>
        <v>1</v>
      </c>
      <c r="M166" s="4">
        <f t="shared" si="82"/>
        <v>1</v>
      </c>
      <c r="N166" s="4">
        <f t="shared" si="82"/>
        <v>1</v>
      </c>
      <c r="O166" s="4">
        <f t="shared" si="82"/>
        <v>1</v>
      </c>
      <c r="P166" s="4">
        <f t="shared" si="82"/>
        <v>1</v>
      </c>
      <c r="Q166" s="4">
        <f t="shared" si="82"/>
        <v>1</v>
      </c>
    </row>
    <row r="167" spans="1:17" x14ac:dyDescent="0.25">
      <c r="A167" s="2">
        <v>3</v>
      </c>
      <c r="B167" s="9" t="s">
        <v>922</v>
      </c>
      <c r="C167" s="2" t="s">
        <v>68</v>
      </c>
      <c r="D167" s="2">
        <v>3</v>
      </c>
      <c r="E167" s="1" t="str">
        <f>IF(C167="","",VLOOKUP(C167,Table1[#All],2,FALSE))</f>
        <v>M5x10mmx1mm Stainless Steel Metric Round Flat Washer</v>
      </c>
      <c r="F167" s="2">
        <f t="shared" si="72"/>
        <v>3</v>
      </c>
      <c r="G167" s="46">
        <f>IF(C167&lt;&gt;"",(VLOOKUP(C167,part_details,4,FALSE)+VLOOKUP(C167,part_details,5,FALSE)+VLOOKUP(C167,part_details,6,FALSE))*'Multi-level BOM'!D167,"")</f>
        <v>0.29397300000000004</v>
      </c>
      <c r="H167" s="4">
        <f t="shared" ref="H167:Q167" si="83">IF($A167="",H166,
    IF(H$2=$A167,$D167,
       IF(H$2&lt;$A167,H166,
           1
)))</f>
        <v>1</v>
      </c>
      <c r="I167" s="4">
        <f t="shared" si="83"/>
        <v>1</v>
      </c>
      <c r="J167" s="4">
        <f t="shared" si="83"/>
        <v>1</v>
      </c>
      <c r="K167" s="4">
        <f t="shared" si="83"/>
        <v>3</v>
      </c>
      <c r="L167" s="4">
        <f t="shared" si="83"/>
        <v>1</v>
      </c>
      <c r="M167" s="4">
        <f t="shared" si="83"/>
        <v>1</v>
      </c>
      <c r="N167" s="4">
        <f t="shared" si="83"/>
        <v>1</v>
      </c>
      <c r="O167" s="4">
        <f t="shared" si="83"/>
        <v>1</v>
      </c>
      <c r="P167" s="4">
        <f t="shared" si="83"/>
        <v>1</v>
      </c>
      <c r="Q167" s="4">
        <f t="shared" si="83"/>
        <v>1</v>
      </c>
    </row>
    <row r="168" spans="1:17" x14ac:dyDescent="0.25">
      <c r="A168" s="2">
        <v>3</v>
      </c>
      <c r="B168" s="9" t="s">
        <v>733</v>
      </c>
      <c r="C168" s="2" t="s">
        <v>33</v>
      </c>
      <c r="D168" s="2">
        <v>3</v>
      </c>
      <c r="E168" s="1" t="str">
        <f>IF(C168="","",VLOOKUP(C168,Table1[#All],2,FALSE))</f>
        <v>Sliding T Slot Nuts 4040 Series M5 26 Pack T Nuts Carbon Steel</v>
      </c>
      <c r="F168" s="2">
        <f t="shared" si="72"/>
        <v>3</v>
      </c>
      <c r="G168" s="46">
        <f>IF(C168&lt;&gt;"",(VLOOKUP(C168,part_details,4,FALSE)+VLOOKUP(C168,part_details,5,FALSE)+VLOOKUP(C168,part_details,6,FALSE))*'Multi-level BOM'!D168,"")</f>
        <v>1.0174730769230771</v>
      </c>
      <c r="H168" s="4">
        <f t="shared" ref="H168:Q168" si="84">IF($A168="",H167,
    IF(H$2=$A168,$D168,
       IF(H$2&lt;$A168,H167,
           1
)))</f>
        <v>1</v>
      </c>
      <c r="I168" s="4">
        <f t="shared" si="84"/>
        <v>1</v>
      </c>
      <c r="J168" s="4">
        <f t="shared" si="84"/>
        <v>1</v>
      </c>
      <c r="K168" s="4">
        <f t="shared" si="84"/>
        <v>3</v>
      </c>
      <c r="L168" s="4">
        <f t="shared" si="84"/>
        <v>1</v>
      </c>
      <c r="M168" s="4">
        <f t="shared" si="84"/>
        <v>1</v>
      </c>
      <c r="N168" s="4">
        <f t="shared" si="84"/>
        <v>1</v>
      </c>
      <c r="O168" s="4">
        <f t="shared" si="84"/>
        <v>1</v>
      </c>
      <c r="P168" s="4">
        <f t="shared" si="84"/>
        <v>1</v>
      </c>
      <c r="Q168" s="4">
        <f t="shared" si="84"/>
        <v>1</v>
      </c>
    </row>
    <row r="169" spans="1:17" x14ac:dyDescent="0.25">
      <c r="A169" s="2">
        <v>3</v>
      </c>
      <c r="B169" s="9" t="s">
        <v>917</v>
      </c>
      <c r="C169" s="2" t="s">
        <v>31</v>
      </c>
      <c r="D169" s="2">
        <v>1</v>
      </c>
      <c r="E169" s="1" t="str">
        <f>IF(C169="","",VLOOKUP(C169,Table1[#All],2,FALSE))</f>
        <v>T 6061 Al Angle extrusion 2" x 2" x .125" 6" aluminum (for side ball mount)</v>
      </c>
      <c r="F169" s="2">
        <f t="shared" ref="F169:F173" si="85">PRODUCT(H169:Q169)</f>
        <v>1</v>
      </c>
      <c r="G169" s="46">
        <f>IF(C169&lt;&gt;"",(VLOOKUP(C169,part_details,4,FALSE)+VLOOKUP(C169,part_details,5,FALSE)+VLOOKUP(C169,part_details,6,FALSE))*'Multi-level BOM'!D169,"")</f>
        <v>3.7794999999999996</v>
      </c>
      <c r="H169" s="4">
        <f t="shared" ref="H169:Q169" si="86">IF($A169="",H168,
    IF(H$2=$A169,$D169,
       IF(H$2&lt;$A169,H168,
           1
)))</f>
        <v>1</v>
      </c>
      <c r="I169" s="4">
        <f t="shared" si="86"/>
        <v>1</v>
      </c>
      <c r="J169" s="4">
        <f t="shared" si="86"/>
        <v>1</v>
      </c>
      <c r="K169" s="4">
        <f t="shared" si="86"/>
        <v>1</v>
      </c>
      <c r="L169" s="4">
        <f t="shared" si="86"/>
        <v>1</v>
      </c>
      <c r="M169" s="4">
        <f t="shared" si="86"/>
        <v>1</v>
      </c>
      <c r="N169" s="4">
        <f t="shared" si="86"/>
        <v>1</v>
      </c>
      <c r="O169" s="4">
        <f t="shared" si="86"/>
        <v>1</v>
      </c>
      <c r="P169" s="4">
        <f t="shared" si="86"/>
        <v>1</v>
      </c>
      <c r="Q169" s="4">
        <f t="shared" si="86"/>
        <v>1</v>
      </c>
    </row>
    <row r="170" spans="1:17" x14ac:dyDescent="0.25">
      <c r="A170" s="2">
        <v>3</v>
      </c>
      <c r="B170" s="9" t="s">
        <v>742</v>
      </c>
      <c r="C170" s="2" t="s">
        <v>31</v>
      </c>
      <c r="D170" s="2">
        <v>1</v>
      </c>
      <c r="E170" s="1" t="str">
        <f>IF(C170="","",VLOOKUP(C170,Table1[#All],2,FALSE))</f>
        <v>T 6061 Al Angle extrusion 2" x 2" x .125" 6" aluminum (for side ball mount)</v>
      </c>
      <c r="F170" s="2">
        <f t="shared" si="85"/>
        <v>1</v>
      </c>
      <c r="G170" s="46">
        <f>IF(C170&lt;&gt;"",(VLOOKUP(C170,part_details,4,FALSE)+VLOOKUP(C170,part_details,5,FALSE)+VLOOKUP(C170,part_details,6,FALSE))*'Multi-level BOM'!D170,"")</f>
        <v>3.7794999999999996</v>
      </c>
      <c r="H170" s="4">
        <f t="shared" ref="H170:Q170" si="87">IF($A170="",H169,
    IF(H$2=$A170,$D170,
       IF(H$2&lt;$A170,H169,
           1
)))</f>
        <v>1</v>
      </c>
      <c r="I170" s="4">
        <f t="shared" si="87"/>
        <v>1</v>
      </c>
      <c r="J170" s="4">
        <f t="shared" si="87"/>
        <v>1</v>
      </c>
      <c r="K170" s="4">
        <f t="shared" si="87"/>
        <v>1</v>
      </c>
      <c r="L170" s="4">
        <f t="shared" si="87"/>
        <v>1</v>
      </c>
      <c r="M170" s="4">
        <f t="shared" si="87"/>
        <v>1</v>
      </c>
      <c r="N170" s="4">
        <f t="shared" si="87"/>
        <v>1</v>
      </c>
      <c r="O170" s="4">
        <f t="shared" si="87"/>
        <v>1</v>
      </c>
      <c r="P170" s="4">
        <f t="shared" si="87"/>
        <v>1</v>
      </c>
      <c r="Q170" s="4">
        <f t="shared" si="87"/>
        <v>1</v>
      </c>
    </row>
    <row r="171" spans="1:17" x14ac:dyDescent="0.25">
      <c r="A171" s="2">
        <v>3</v>
      </c>
      <c r="B171" s="9" t="s">
        <v>810</v>
      </c>
      <c r="C171" s="2" t="s">
        <v>42</v>
      </c>
      <c r="D171" s="2">
        <v>1</v>
      </c>
      <c r="E171" s="1" t="str">
        <f>IF(C171="","",VLOOKUP(C171,Table1[#All],2,FALSE))</f>
        <v>DIN 319 Ball Knob, .63" diameter, M4 threaded hole</v>
      </c>
      <c r="F171" s="2">
        <f t="shared" si="85"/>
        <v>1</v>
      </c>
      <c r="G171" s="46">
        <f>IF(C171&lt;&gt;"",(VLOOKUP(C171,part_details,4,FALSE)+VLOOKUP(C171,part_details,5,FALSE)+VLOOKUP(C171,part_details,6,FALSE))*'Multi-level BOM'!D171,"")</f>
        <v>7.2021000000000006</v>
      </c>
      <c r="H171" s="4">
        <f t="shared" ref="H171:Q171" si="88">IF($A171="",H170,
    IF(H$2=$A171,$D171,
       IF(H$2&lt;$A171,H170,
           1
)))</f>
        <v>1</v>
      </c>
      <c r="I171" s="4">
        <f t="shared" si="88"/>
        <v>1</v>
      </c>
      <c r="J171" s="4">
        <f t="shared" si="88"/>
        <v>1</v>
      </c>
      <c r="K171" s="4">
        <f t="shared" si="88"/>
        <v>1</v>
      </c>
      <c r="L171" s="4">
        <f t="shared" si="88"/>
        <v>1</v>
      </c>
      <c r="M171" s="4">
        <f t="shared" si="88"/>
        <v>1</v>
      </c>
      <c r="N171" s="4">
        <f t="shared" si="88"/>
        <v>1</v>
      </c>
      <c r="O171" s="4">
        <f t="shared" si="88"/>
        <v>1</v>
      </c>
      <c r="P171" s="4">
        <f t="shared" si="88"/>
        <v>1</v>
      </c>
      <c r="Q171" s="4">
        <f t="shared" si="88"/>
        <v>1</v>
      </c>
    </row>
    <row r="172" spans="1:17" x14ac:dyDescent="0.25">
      <c r="A172" s="2">
        <v>3</v>
      </c>
      <c r="B172" s="32" t="s">
        <v>845</v>
      </c>
      <c r="D172" s="2">
        <v>1</v>
      </c>
      <c r="E172" s="1" t="str">
        <f>IF(C172="","",VLOOKUP(C172,Table1[#All],2,FALSE))</f>
        <v/>
      </c>
      <c r="F172" s="2">
        <f t="shared" si="85"/>
        <v>1</v>
      </c>
      <c r="G172" s="46" t="str">
        <f>IF(C172&lt;&gt;"",(VLOOKUP(C172,part_details,4,FALSE)+VLOOKUP(C172,part_details,5,FALSE)+VLOOKUP(C172,part_details,6,FALSE))*'Multi-level BOM'!D172,"")</f>
        <v/>
      </c>
      <c r="H172" s="4">
        <f t="shared" ref="H172:Q172" si="89">IF($A172="",H171,
    IF(H$2=$A172,$D172,
       IF(H$2&lt;$A172,H171,
           1
)))</f>
        <v>1</v>
      </c>
      <c r="I172" s="4">
        <f t="shared" si="89"/>
        <v>1</v>
      </c>
      <c r="J172" s="4">
        <f t="shared" si="89"/>
        <v>1</v>
      </c>
      <c r="K172" s="4">
        <f t="shared" si="89"/>
        <v>1</v>
      </c>
      <c r="L172" s="4">
        <f t="shared" si="89"/>
        <v>1</v>
      </c>
      <c r="M172" s="4">
        <f t="shared" si="89"/>
        <v>1</v>
      </c>
      <c r="N172" s="4">
        <f t="shared" si="89"/>
        <v>1</v>
      </c>
      <c r="O172" s="4">
        <f t="shared" si="89"/>
        <v>1</v>
      </c>
      <c r="P172" s="4">
        <f t="shared" si="89"/>
        <v>1</v>
      </c>
      <c r="Q172" s="4">
        <f t="shared" si="89"/>
        <v>1</v>
      </c>
    </row>
    <row r="173" spans="1:17" x14ac:dyDescent="0.25">
      <c r="A173" s="2">
        <v>3</v>
      </c>
      <c r="B173" s="32" t="s">
        <v>846</v>
      </c>
      <c r="C173" s="2" t="s">
        <v>46</v>
      </c>
      <c r="D173" s="2">
        <v>2</v>
      </c>
      <c r="E173" s="1" t="str">
        <f>IF(C173="","",VLOOKUP(C173,Table1[#All],2,FALSE))</f>
        <v>M4 x 0.7mm 304 Stainless Steel Nylon Lock Nuts</v>
      </c>
      <c r="F173" s="2">
        <f t="shared" si="85"/>
        <v>2</v>
      </c>
      <c r="G173" s="46">
        <f>IF(C173&lt;&gt;"",(VLOOKUP(C173,part_details,4,FALSE)+VLOOKUP(C173,part_details,5,FALSE)+VLOOKUP(C173,part_details,6,FALSE))*'Multi-level BOM'!D173,"")</f>
        <v>0.326455</v>
      </c>
      <c r="H173" s="4">
        <f t="shared" ref="H173:Q173" si="90">IF($A173="",H172,
    IF(H$2=$A173,$D173,
       IF(H$2&lt;$A173,H172,
           1
)))</f>
        <v>1</v>
      </c>
      <c r="I173" s="4">
        <f t="shared" si="90"/>
        <v>1</v>
      </c>
      <c r="J173" s="4">
        <f t="shared" si="90"/>
        <v>1</v>
      </c>
      <c r="K173" s="4">
        <f t="shared" si="90"/>
        <v>2</v>
      </c>
      <c r="L173" s="4">
        <f t="shared" si="90"/>
        <v>1</v>
      </c>
      <c r="M173" s="4">
        <f t="shared" si="90"/>
        <v>1</v>
      </c>
      <c r="N173" s="4">
        <f t="shared" si="90"/>
        <v>1</v>
      </c>
      <c r="O173" s="4">
        <f t="shared" si="90"/>
        <v>1</v>
      </c>
      <c r="P173" s="4">
        <f t="shared" si="90"/>
        <v>1</v>
      </c>
      <c r="Q173" s="4">
        <f t="shared" si="90"/>
        <v>1</v>
      </c>
    </row>
    <row r="174" spans="1:17" x14ac:dyDescent="0.25">
      <c r="A174" s="2">
        <v>3</v>
      </c>
      <c r="B174" s="32" t="s">
        <v>815</v>
      </c>
      <c r="C174" s="2" t="s">
        <v>47</v>
      </c>
      <c r="D174" s="2">
        <v>6</v>
      </c>
      <c r="E174" s="1" t="str">
        <f>IF(C174="","",VLOOKUP(C174,Table1[#All],2,FALSE))</f>
        <v>M4x12mmx1 mm Stainless Steel Round Flat Washer</v>
      </c>
      <c r="F174" s="2">
        <f>PRODUCT(H174:Q174)</f>
        <v>6</v>
      </c>
      <c r="G174" s="46">
        <f>IF(C174&lt;&gt;"",(VLOOKUP(C174,part_details,4,FALSE)+VLOOKUP(C174,part_details,5,FALSE)+VLOOKUP(C174,part_details,6,FALSE))*'Multi-level BOM'!D174,"")</f>
        <v>0.39174600000000004</v>
      </c>
      <c r="H174" s="4">
        <f t="shared" ref="H174:Q174" si="91">IF($A174="",H173,
    IF(H$2=$A174,$D174,
       IF(H$2&lt;$A174,H173,
           1
)))</f>
        <v>1</v>
      </c>
      <c r="I174" s="4">
        <f t="shared" si="91"/>
        <v>1</v>
      </c>
      <c r="J174" s="4">
        <f t="shared" si="91"/>
        <v>1</v>
      </c>
      <c r="K174" s="4">
        <f t="shared" si="91"/>
        <v>6</v>
      </c>
      <c r="L174" s="4">
        <f t="shared" si="91"/>
        <v>1</v>
      </c>
      <c r="M174" s="4">
        <f t="shared" si="91"/>
        <v>1</v>
      </c>
      <c r="N174" s="4">
        <f t="shared" si="91"/>
        <v>1</v>
      </c>
      <c r="O174" s="4">
        <f t="shared" si="91"/>
        <v>1</v>
      </c>
      <c r="P174" s="4">
        <f t="shared" si="91"/>
        <v>1</v>
      </c>
      <c r="Q174" s="4">
        <f t="shared" si="91"/>
        <v>1</v>
      </c>
    </row>
    <row r="175" spans="1:17" x14ac:dyDescent="0.25">
      <c r="B175" s="9"/>
      <c r="G175" s="46" t="str">
        <f>IF(C175&lt;&gt;"",VLOOKUP(C175,part_details,4,FALSE)*'Multi-level BOM'!D175,"")</f>
        <v/>
      </c>
      <c r="H175" s="4">
        <f t="shared" ref="H175:Q175" si="92">IF($A175="",H174,
    IF(H$2=$A175,$D175,
       IF(H$2&lt;$A175,H174,
           1
)))</f>
        <v>1</v>
      </c>
      <c r="I175" s="4">
        <f t="shared" si="92"/>
        <v>1</v>
      </c>
      <c r="J175" s="4">
        <f t="shared" si="92"/>
        <v>1</v>
      </c>
      <c r="K175" s="4">
        <f t="shared" si="92"/>
        <v>6</v>
      </c>
      <c r="L175" s="4">
        <f t="shared" si="92"/>
        <v>1</v>
      </c>
      <c r="M175" s="4">
        <f t="shared" si="92"/>
        <v>1</v>
      </c>
      <c r="N175" s="4">
        <f t="shared" si="92"/>
        <v>1</v>
      </c>
      <c r="O175" s="4">
        <f t="shared" si="92"/>
        <v>1</v>
      </c>
      <c r="P175" s="4">
        <f t="shared" si="92"/>
        <v>1</v>
      </c>
      <c r="Q175" s="4">
        <f t="shared" si="92"/>
        <v>1</v>
      </c>
    </row>
    <row r="176" spans="1:17" x14ac:dyDescent="0.25">
      <c r="A176" s="2">
        <v>2</v>
      </c>
      <c r="B176" s="8" t="s">
        <v>743</v>
      </c>
      <c r="D176" s="2">
        <v>1</v>
      </c>
      <c r="E176" s="1" t="str">
        <f>IF(C176="","",VLOOKUP(C176,Table1[#All],2,FALSE))</f>
        <v/>
      </c>
      <c r="F176" s="2">
        <f>PRODUCT(H176:Q176)</f>
        <v>1</v>
      </c>
      <c r="G176" s="47">
        <f>F176*SUM(G177:G194)</f>
        <v>111.25481707692305</v>
      </c>
      <c r="H176" s="4">
        <f t="shared" ref="H176:Q176" si="93">IF($A176="",H175,
    IF(H$2=$A176,$D176,
       IF(H$2&lt;$A176,H175,
           1
)))</f>
        <v>1</v>
      </c>
      <c r="I176" s="4">
        <f t="shared" si="93"/>
        <v>1</v>
      </c>
      <c r="J176" s="4">
        <f t="shared" si="93"/>
        <v>1</v>
      </c>
      <c r="K176" s="4">
        <f t="shared" si="93"/>
        <v>1</v>
      </c>
      <c r="L176" s="4">
        <f t="shared" si="93"/>
        <v>1</v>
      </c>
      <c r="M176" s="4">
        <f t="shared" si="93"/>
        <v>1</v>
      </c>
      <c r="N176" s="4">
        <f t="shared" si="93"/>
        <v>1</v>
      </c>
      <c r="O176" s="4">
        <f t="shared" si="93"/>
        <v>1</v>
      </c>
      <c r="P176" s="4">
        <f t="shared" si="93"/>
        <v>1</v>
      </c>
      <c r="Q176" s="4">
        <f t="shared" si="93"/>
        <v>1</v>
      </c>
    </row>
    <row r="177" spans="1:17" x14ac:dyDescent="0.25">
      <c r="A177" s="2">
        <v>3</v>
      </c>
      <c r="B177" s="9" t="s">
        <v>714</v>
      </c>
      <c r="C177" s="2" t="s">
        <v>17</v>
      </c>
      <c r="D177" s="2">
        <v>1</v>
      </c>
      <c r="E177" s="1" t="str">
        <f>IF(C177="","",VLOOKUP(C177,Table1[#All],2,FALSE))</f>
        <v xml:space="preserve">
Machifit 500mm Length MGN15 Linear Rail Guide with MGN15H Linear Rail Block</v>
      </c>
      <c r="F177" s="2">
        <f>PRODUCT(H177:Q177)</f>
        <v>1</v>
      </c>
      <c r="G177" s="46">
        <f>IF(C177&lt;&gt;"",(VLOOKUP(C177,part_details,4,FALSE)+VLOOKUP(C177,part_details,5,FALSE)+VLOOKUP(C177,part_details,6,FALSE))*'Multi-level BOM'!D177,"")</f>
        <v>33.81</v>
      </c>
      <c r="H177" s="4">
        <f t="shared" ref="H177:Q177" si="94">IF($A177="",H176,
    IF(H$2=$A177,$D177,
       IF(H$2&lt;$A177,H176,
           1
)))</f>
        <v>1</v>
      </c>
      <c r="I177" s="4">
        <f t="shared" si="94"/>
        <v>1</v>
      </c>
      <c r="J177" s="4">
        <f t="shared" si="94"/>
        <v>1</v>
      </c>
      <c r="K177" s="4">
        <f t="shared" si="94"/>
        <v>1</v>
      </c>
      <c r="L177" s="4">
        <f t="shared" si="94"/>
        <v>1</v>
      </c>
      <c r="M177" s="4">
        <f t="shared" si="94"/>
        <v>1</v>
      </c>
      <c r="N177" s="4">
        <f t="shared" si="94"/>
        <v>1</v>
      </c>
      <c r="O177" s="4">
        <f t="shared" si="94"/>
        <v>1</v>
      </c>
      <c r="P177" s="4">
        <f t="shared" si="94"/>
        <v>1</v>
      </c>
      <c r="Q177" s="4">
        <f t="shared" si="94"/>
        <v>1</v>
      </c>
    </row>
    <row r="178" spans="1:17" x14ac:dyDescent="0.25">
      <c r="A178" s="2">
        <v>3</v>
      </c>
      <c r="B178" s="9" t="s">
        <v>691</v>
      </c>
      <c r="C178" s="2" t="s">
        <v>18</v>
      </c>
      <c r="D178" s="2">
        <v>13</v>
      </c>
      <c r="E178" s="1" t="str">
        <f>IF(C178="","",VLOOKUP(C178,Table1[#All],2,FALSE))</f>
        <v>M3-0.5x30mm Socket Head Cap Bolts Screws, 304 Stainless Steel 18-8, Allen Socket Drive, Fully Machine Thread, Bright Finish</v>
      </c>
      <c r="F178" s="2">
        <f>PRODUCT(H178:Q178)</f>
        <v>13</v>
      </c>
      <c r="G178" s="46">
        <f>IF(C178&lt;&gt;"",(VLOOKUP(C178,part_details,4,FALSE)+VLOOKUP(C178,part_details,5,FALSE)+VLOOKUP(C178,part_details,6,FALSE))*'Multi-level BOM'!D178,"")</f>
        <v>1.2738830000000001</v>
      </c>
      <c r="H178" s="4">
        <f t="shared" ref="H178:Q178" si="95">IF($A178="",H177,
    IF(H$2=$A178,$D178,
       IF(H$2&lt;$A178,H177,
           1
)))</f>
        <v>1</v>
      </c>
      <c r="I178" s="4">
        <f t="shared" si="95"/>
        <v>1</v>
      </c>
      <c r="J178" s="4">
        <f t="shared" si="95"/>
        <v>1</v>
      </c>
      <c r="K178" s="4">
        <f t="shared" si="95"/>
        <v>13</v>
      </c>
      <c r="L178" s="4">
        <f t="shared" si="95"/>
        <v>1</v>
      </c>
      <c r="M178" s="4">
        <f t="shared" si="95"/>
        <v>1</v>
      </c>
      <c r="N178" s="4">
        <f t="shared" si="95"/>
        <v>1</v>
      </c>
      <c r="O178" s="4">
        <f t="shared" si="95"/>
        <v>1</v>
      </c>
      <c r="P178" s="4">
        <f t="shared" si="95"/>
        <v>1</v>
      </c>
      <c r="Q178" s="4">
        <f t="shared" si="95"/>
        <v>1</v>
      </c>
    </row>
    <row r="179" spans="1:17" x14ac:dyDescent="0.25">
      <c r="A179" s="2">
        <v>3</v>
      </c>
      <c r="B179" s="9" t="s">
        <v>719</v>
      </c>
      <c r="C179" s="2" t="s">
        <v>24</v>
      </c>
      <c r="D179" s="2">
        <v>1</v>
      </c>
      <c r="E179" s="1" t="str">
        <f>IF(C179="","",VLOOKUP(C179,Table1[#All],2,FALSE))</f>
        <v>.625 x .375 aluminum bar T6061, 24 in long</v>
      </c>
      <c r="F179" s="2">
        <f>PRODUCT(H179:Q179)</f>
        <v>1</v>
      </c>
      <c r="G179" s="46">
        <f>IF(C179&lt;&gt;"",(VLOOKUP(C179,part_details,4,FALSE)+VLOOKUP(C179,part_details,5,FALSE)+VLOOKUP(C179,part_details,6,FALSE))*'Multi-level BOM'!D179,"")</f>
        <v>6.0766</v>
      </c>
      <c r="H179" s="4">
        <f t="shared" ref="H179:Q179" si="96">IF($A179="",H178,
    IF(H$2=$A179,$D179,
       IF(H$2&lt;$A179,H178,
           1
)))</f>
        <v>1</v>
      </c>
      <c r="I179" s="4">
        <f t="shared" si="96"/>
        <v>1</v>
      </c>
      <c r="J179" s="4">
        <f t="shared" si="96"/>
        <v>1</v>
      </c>
      <c r="K179" s="4">
        <f t="shared" si="96"/>
        <v>1</v>
      </c>
      <c r="L179" s="4">
        <f t="shared" si="96"/>
        <v>1</v>
      </c>
      <c r="M179" s="4">
        <f t="shared" si="96"/>
        <v>1</v>
      </c>
      <c r="N179" s="4">
        <f t="shared" si="96"/>
        <v>1</v>
      </c>
      <c r="O179" s="4">
        <f t="shared" si="96"/>
        <v>1</v>
      </c>
      <c r="P179" s="4">
        <f t="shared" si="96"/>
        <v>1</v>
      </c>
      <c r="Q179" s="4">
        <f t="shared" si="96"/>
        <v>1</v>
      </c>
    </row>
    <row r="180" spans="1:17" x14ac:dyDescent="0.25">
      <c r="A180" s="2">
        <v>3</v>
      </c>
      <c r="B180" s="9" t="s">
        <v>720</v>
      </c>
      <c r="C180" s="2" t="s">
        <v>25</v>
      </c>
      <c r="D180" s="2">
        <v>1</v>
      </c>
      <c r="E180" s="1" t="str">
        <f>IF(C180="","",VLOOKUP(C180,Table1[#All],2,FALSE))</f>
        <v>Nema 17 Bipolar Stepper 0.9deg(400 steps/rev) 1.68A 44Ncm(62.3oz.in) Motor, 5mm shaft</v>
      </c>
      <c r="F180" s="2">
        <f>PRODUCT(H180:Q180)</f>
        <v>1</v>
      </c>
      <c r="G180" s="46">
        <f>IF(C180&lt;&gt;"",(VLOOKUP(C180,part_details,4,FALSE)+VLOOKUP(C180,part_details,5,FALSE)+VLOOKUP(C180,part_details,6,FALSE))*'Multi-level BOM'!D180,"")</f>
        <v>23.4895</v>
      </c>
      <c r="H180" s="4">
        <f t="shared" ref="H180:Q180" si="97">IF($A180="",H179,
    IF(H$2=$A180,$D180,
       IF(H$2&lt;$A180,H179,
           1
)))</f>
        <v>1</v>
      </c>
      <c r="I180" s="4">
        <f t="shared" si="97"/>
        <v>1</v>
      </c>
      <c r="J180" s="4">
        <f t="shared" si="97"/>
        <v>1</v>
      </c>
      <c r="K180" s="4">
        <f t="shared" si="97"/>
        <v>1</v>
      </c>
      <c r="L180" s="4">
        <f t="shared" si="97"/>
        <v>1</v>
      </c>
      <c r="M180" s="4">
        <f t="shared" si="97"/>
        <v>1</v>
      </c>
      <c r="N180" s="4">
        <f t="shared" si="97"/>
        <v>1</v>
      </c>
      <c r="O180" s="4">
        <f t="shared" si="97"/>
        <v>1</v>
      </c>
      <c r="P180" s="4">
        <f t="shared" si="97"/>
        <v>1</v>
      </c>
      <c r="Q180" s="4">
        <f t="shared" si="97"/>
        <v>1</v>
      </c>
    </row>
    <row r="181" spans="1:17" x14ac:dyDescent="0.25">
      <c r="A181" s="2">
        <v>3</v>
      </c>
      <c r="B181" s="9" t="s">
        <v>918</v>
      </c>
      <c r="C181" s="2" t="s">
        <v>67</v>
      </c>
      <c r="D181" s="2">
        <v>4</v>
      </c>
      <c r="E181" s="1" t="str">
        <f>IF(C181="","",VLOOKUP(C181,Table1[#All],2,FALSE))</f>
        <v xml:space="preserve">M4 x 10mm Alloy Steel Hex Bolt Socket Head Cap Screws </v>
      </c>
      <c r="F181" s="2">
        <f t="shared" ref="F181:F182" si="98">PRODUCT(H181:Q181)</f>
        <v>4</v>
      </c>
      <c r="G181" s="46">
        <f>IF(C181&lt;&gt;"",(VLOOKUP(C181,part_details,4,FALSE)+VLOOKUP(C181,part_details,5,FALSE)+VLOOKUP(C181,part_details,6,FALSE))*'Multi-level BOM'!D181,"")</f>
        <v>0.43556400000000001</v>
      </c>
      <c r="H181" s="4">
        <f t="shared" ref="H181:Q181" si="99">IF($A181="",H180,
    IF(H$2=$A181,$D181,
       IF(H$2&lt;$A181,H180,
           1
)))</f>
        <v>1</v>
      </c>
      <c r="I181" s="4">
        <f t="shared" si="99"/>
        <v>1</v>
      </c>
      <c r="J181" s="4">
        <f t="shared" si="99"/>
        <v>1</v>
      </c>
      <c r="K181" s="4">
        <f t="shared" si="99"/>
        <v>4</v>
      </c>
      <c r="L181" s="4">
        <f t="shared" si="99"/>
        <v>1</v>
      </c>
      <c r="M181" s="4">
        <f t="shared" si="99"/>
        <v>1</v>
      </c>
      <c r="N181" s="4">
        <f t="shared" si="99"/>
        <v>1</v>
      </c>
      <c r="O181" s="4">
        <f t="shared" si="99"/>
        <v>1</v>
      </c>
      <c r="P181" s="4">
        <f t="shared" si="99"/>
        <v>1</v>
      </c>
      <c r="Q181" s="4">
        <f t="shared" si="99"/>
        <v>1</v>
      </c>
    </row>
    <row r="182" spans="1:17" x14ac:dyDescent="0.25">
      <c r="A182" s="2">
        <v>3</v>
      </c>
      <c r="B182" s="9" t="s">
        <v>815</v>
      </c>
      <c r="C182" s="2" t="s">
        <v>47</v>
      </c>
      <c r="D182" s="2">
        <v>4</v>
      </c>
      <c r="E182" s="1" t="str">
        <f>IF(C182="","",VLOOKUP(C182,Table1[#All],2,FALSE))</f>
        <v>M4x12mmx1 mm Stainless Steel Round Flat Washer</v>
      </c>
      <c r="F182" s="2">
        <f t="shared" si="98"/>
        <v>4</v>
      </c>
      <c r="G182" s="46">
        <f>IF(C182&lt;&gt;"",(VLOOKUP(C182,part_details,4,FALSE)+VLOOKUP(C182,part_details,5,FALSE)+VLOOKUP(C182,part_details,6,FALSE))*'Multi-level BOM'!D182,"")</f>
        <v>0.26116400000000001</v>
      </c>
      <c r="H182" s="4">
        <f t="shared" ref="H182:Q182" si="100">IF($A182="",H181,
    IF(H$2=$A182,$D182,
       IF(H$2&lt;$A182,H181,
           1
)))</f>
        <v>1</v>
      </c>
      <c r="I182" s="4">
        <f t="shared" si="100"/>
        <v>1</v>
      </c>
      <c r="J182" s="4">
        <f t="shared" si="100"/>
        <v>1</v>
      </c>
      <c r="K182" s="4">
        <f t="shared" si="100"/>
        <v>4</v>
      </c>
      <c r="L182" s="4">
        <f t="shared" si="100"/>
        <v>1</v>
      </c>
      <c r="M182" s="4">
        <f t="shared" si="100"/>
        <v>1</v>
      </c>
      <c r="N182" s="4">
        <f t="shared" si="100"/>
        <v>1</v>
      </c>
      <c r="O182" s="4">
        <f t="shared" si="100"/>
        <v>1</v>
      </c>
      <c r="P182" s="4">
        <f t="shared" si="100"/>
        <v>1</v>
      </c>
      <c r="Q182" s="4">
        <f t="shared" si="100"/>
        <v>1</v>
      </c>
    </row>
    <row r="183" spans="1:17" x14ac:dyDescent="0.25">
      <c r="A183" s="2">
        <v>3</v>
      </c>
      <c r="B183" s="9" t="s">
        <v>739</v>
      </c>
      <c r="C183" s="2" t="s">
        <v>26</v>
      </c>
      <c r="D183" s="2">
        <v>1</v>
      </c>
      <c r="E183" s="1" t="str">
        <f>IF(C183="","",VLOOKUP(C183,Table1[#All],2,FALSE))</f>
        <v>Witbot 500mm 8mm T8 Lead Screw Set Lead Screw+ Pillow Bearing Block + Copper Nut + Coupler for 3D Printer</v>
      </c>
      <c r="F183" s="2">
        <f>PRODUCT(H183:Q183)</f>
        <v>1</v>
      </c>
      <c r="G183" s="46">
        <f>IF(C183&lt;&gt;"",(VLOOKUP(C183,part_details,4,FALSE)+VLOOKUP(C183,part_details,5,FALSE)+VLOOKUP(C183,part_details,6,FALSE))*'Multi-level BOM'!D183,"")</f>
        <v>21.778200000000002</v>
      </c>
      <c r="H183" s="4">
        <f t="shared" ref="H183:Q183" si="101">IF($A183="",H182,
    IF(H$2=$A183,$D183,
       IF(H$2&lt;$A183,H182,
           1
)))</f>
        <v>1</v>
      </c>
      <c r="I183" s="4">
        <f t="shared" si="101"/>
        <v>1</v>
      </c>
      <c r="J183" s="4">
        <f t="shared" si="101"/>
        <v>1</v>
      </c>
      <c r="K183" s="4">
        <f t="shared" si="101"/>
        <v>1</v>
      </c>
      <c r="L183" s="4">
        <f t="shared" si="101"/>
        <v>1</v>
      </c>
      <c r="M183" s="4">
        <f t="shared" si="101"/>
        <v>1</v>
      </c>
      <c r="N183" s="4">
        <f t="shared" si="101"/>
        <v>1</v>
      </c>
      <c r="O183" s="4">
        <f t="shared" si="101"/>
        <v>1</v>
      </c>
      <c r="P183" s="4">
        <f t="shared" si="101"/>
        <v>1</v>
      </c>
      <c r="Q183" s="4">
        <f t="shared" si="101"/>
        <v>1</v>
      </c>
    </row>
    <row r="184" spans="1:17" x14ac:dyDescent="0.25">
      <c r="A184" s="2">
        <v>3</v>
      </c>
      <c r="B184" s="9" t="s">
        <v>916</v>
      </c>
      <c r="C184" s="2" t="s">
        <v>66</v>
      </c>
      <c r="D184" s="2">
        <v>1</v>
      </c>
      <c r="E184" s="1" t="str">
        <f>IF(C184="","",VLOOKUP(C184,Table1[#All],2,FALSE))</f>
        <v>Flexible Couplings 5mm to 8mm NEMA 17 Shaft Coupler</v>
      </c>
      <c r="F184" s="2">
        <f t="shared" ref="F184" si="102">PRODUCT(H184:Q184)</f>
        <v>1</v>
      </c>
      <c r="G184" s="46">
        <f>IF(C184&lt;&gt;"",(VLOOKUP(C184,part_details,4,FALSE)+VLOOKUP(C184,part_details,5,FALSE)+VLOOKUP(C184,part_details,6,FALSE))*'Multi-level BOM'!D184,"")</f>
        <v>2.1778200000000001</v>
      </c>
      <c r="H184" s="4">
        <f t="shared" ref="H184:Q184" si="103">IF($A184="",H183,
    IF(H$2=$A184,$D184,
       IF(H$2&lt;$A184,H183,
           1
)))</f>
        <v>1</v>
      </c>
      <c r="I184" s="4">
        <f t="shared" si="103"/>
        <v>1</v>
      </c>
      <c r="J184" s="4">
        <f t="shared" si="103"/>
        <v>1</v>
      </c>
      <c r="K184" s="4">
        <f t="shared" si="103"/>
        <v>1</v>
      </c>
      <c r="L184" s="4">
        <f t="shared" si="103"/>
        <v>1</v>
      </c>
      <c r="M184" s="4">
        <f t="shared" si="103"/>
        <v>1</v>
      </c>
      <c r="N184" s="4">
        <f t="shared" si="103"/>
        <v>1</v>
      </c>
      <c r="O184" s="4">
        <f t="shared" si="103"/>
        <v>1</v>
      </c>
      <c r="P184" s="4">
        <f t="shared" si="103"/>
        <v>1</v>
      </c>
      <c r="Q184" s="4">
        <f t="shared" si="103"/>
        <v>1</v>
      </c>
    </row>
    <row r="185" spans="1:17" x14ac:dyDescent="0.25">
      <c r="A185" s="2">
        <v>3</v>
      </c>
      <c r="B185" s="9" t="s">
        <v>726</v>
      </c>
      <c r="C185" s="2" t="s">
        <v>29</v>
      </c>
      <c r="D185" s="2">
        <v>1</v>
      </c>
      <c r="E185" s="1" t="str">
        <f>IF(C185="","",VLOOKUP(C185,Table1[#All],2,FALSE))</f>
        <v>T6061 Al Angle extrusion 3" x 3" x .25 thick, 3" long</v>
      </c>
      <c r="F185" s="2">
        <f>PRODUCT(H185:Q185)</f>
        <v>1</v>
      </c>
      <c r="G185" s="46">
        <f>IF(C185&lt;&gt;"",(VLOOKUP(C185,part_details,4,FALSE)+VLOOKUP(C185,part_details,5,FALSE)+VLOOKUP(C185,part_details,6,FALSE))*'Multi-level BOM'!D185,"")</f>
        <v>4.7693750000000001</v>
      </c>
      <c r="H185" s="4">
        <f t="shared" ref="H185:Q185" si="104">IF($A185="",H184,
    IF(H$2=$A185,$D185,
       IF(H$2&lt;$A185,H184,
           1
)))</f>
        <v>1</v>
      </c>
      <c r="I185" s="4">
        <f t="shared" si="104"/>
        <v>1</v>
      </c>
      <c r="J185" s="4">
        <f t="shared" si="104"/>
        <v>1</v>
      </c>
      <c r="K185" s="4">
        <f t="shared" si="104"/>
        <v>1</v>
      </c>
      <c r="L185" s="4">
        <f t="shared" si="104"/>
        <v>1</v>
      </c>
      <c r="M185" s="4">
        <f t="shared" si="104"/>
        <v>1</v>
      </c>
      <c r="N185" s="4">
        <f t="shared" si="104"/>
        <v>1</v>
      </c>
      <c r="O185" s="4">
        <f t="shared" si="104"/>
        <v>1</v>
      </c>
      <c r="P185" s="4">
        <f t="shared" si="104"/>
        <v>1</v>
      </c>
      <c r="Q185" s="4">
        <f t="shared" si="104"/>
        <v>1</v>
      </c>
    </row>
    <row r="186" spans="1:17" x14ac:dyDescent="0.25">
      <c r="A186" s="2">
        <v>3</v>
      </c>
      <c r="B186" s="9" t="s">
        <v>727</v>
      </c>
      <c r="C186" s="2" t="s">
        <v>32</v>
      </c>
      <c r="D186" s="2">
        <v>2</v>
      </c>
      <c r="E186" s="1" t="str">
        <f>IF(C186="","",VLOOKUP(C186,Table1[#All],2,FALSE))</f>
        <v xml:space="preserve">M5-0.8 x 16mm Button Head Socket Cap Screws, Stainless Steel 304, Plain Finish, Quantity 50 </v>
      </c>
      <c r="F186" s="2">
        <f>PRODUCT(H186:Q186)</f>
        <v>2</v>
      </c>
      <c r="G186" s="46">
        <f>IF(C186&lt;&gt;"",(VLOOKUP(C186,part_details,4,FALSE)+VLOOKUP(C186,part_details,5,FALSE)+VLOOKUP(C186,part_details,6,FALSE))*'Multi-level BOM'!D186,"")</f>
        <v>0.39196400000000003</v>
      </c>
      <c r="H186" s="4">
        <f t="shared" ref="H186:Q186" si="105">IF($A186="",H185,
    IF(H$2=$A186,$D186,
       IF(H$2&lt;$A186,H185,
           1
)))</f>
        <v>1</v>
      </c>
      <c r="I186" s="4">
        <f t="shared" si="105"/>
        <v>1</v>
      </c>
      <c r="J186" s="4">
        <f t="shared" si="105"/>
        <v>1</v>
      </c>
      <c r="K186" s="4">
        <f t="shared" si="105"/>
        <v>2</v>
      </c>
      <c r="L186" s="4">
        <f t="shared" si="105"/>
        <v>1</v>
      </c>
      <c r="M186" s="4">
        <f t="shared" si="105"/>
        <v>1</v>
      </c>
      <c r="N186" s="4">
        <f t="shared" si="105"/>
        <v>1</v>
      </c>
      <c r="O186" s="4">
        <f t="shared" si="105"/>
        <v>1</v>
      </c>
      <c r="P186" s="4">
        <f t="shared" si="105"/>
        <v>1</v>
      </c>
      <c r="Q186" s="4">
        <f t="shared" si="105"/>
        <v>1</v>
      </c>
    </row>
    <row r="187" spans="1:17" x14ac:dyDescent="0.25">
      <c r="A187" s="2">
        <v>3</v>
      </c>
      <c r="B187" s="9" t="s">
        <v>922</v>
      </c>
      <c r="C187" s="2" t="s">
        <v>68</v>
      </c>
      <c r="D187" s="2">
        <v>3</v>
      </c>
      <c r="E187" s="1" t="str">
        <f>IF(C187="","",VLOOKUP(C187,Table1[#All],2,FALSE))</f>
        <v>M5x10mmx1mm Stainless Steel Metric Round Flat Washer</v>
      </c>
      <c r="F187" s="2">
        <f>PRODUCT(H187:Q187)</f>
        <v>3</v>
      </c>
      <c r="G187" s="46">
        <f>IF(C187&lt;&gt;"",(VLOOKUP(C187,part_details,4,FALSE)+VLOOKUP(C187,part_details,5,FALSE)+VLOOKUP(C187,part_details,6,FALSE))*'Multi-level BOM'!D187,"")</f>
        <v>0.29397300000000004</v>
      </c>
      <c r="H187" s="4">
        <f t="shared" ref="H187:Q187" si="106">IF($A187="",H186,
    IF(H$2=$A187,$D187,
       IF(H$2&lt;$A187,H186,
           1
)))</f>
        <v>1</v>
      </c>
      <c r="I187" s="4">
        <f t="shared" si="106"/>
        <v>1</v>
      </c>
      <c r="J187" s="4">
        <f t="shared" si="106"/>
        <v>1</v>
      </c>
      <c r="K187" s="4">
        <f t="shared" si="106"/>
        <v>3</v>
      </c>
      <c r="L187" s="4">
        <f t="shared" si="106"/>
        <v>1</v>
      </c>
      <c r="M187" s="4">
        <f t="shared" si="106"/>
        <v>1</v>
      </c>
      <c r="N187" s="4">
        <f t="shared" si="106"/>
        <v>1</v>
      </c>
      <c r="O187" s="4">
        <f t="shared" si="106"/>
        <v>1</v>
      </c>
      <c r="P187" s="4">
        <f t="shared" si="106"/>
        <v>1</v>
      </c>
      <c r="Q187" s="4">
        <f t="shared" si="106"/>
        <v>1</v>
      </c>
    </row>
    <row r="188" spans="1:17" x14ac:dyDescent="0.25">
      <c r="A188" s="2">
        <v>3</v>
      </c>
      <c r="B188" s="9" t="s">
        <v>733</v>
      </c>
      <c r="C188" s="2" t="s">
        <v>33</v>
      </c>
      <c r="D188" s="2">
        <v>3</v>
      </c>
      <c r="E188" s="1" t="str">
        <f>IF(C188="","",VLOOKUP(C188,Table1[#All],2,FALSE))</f>
        <v>Sliding T Slot Nuts 4040 Series M5 26 Pack T Nuts Carbon Steel</v>
      </c>
      <c r="F188" s="2">
        <f>PRODUCT(H188:Q188)</f>
        <v>3</v>
      </c>
      <c r="G188" s="46">
        <f>IF(C188&lt;&gt;"",(VLOOKUP(C188,part_details,4,FALSE)+VLOOKUP(C188,part_details,5,FALSE)+VLOOKUP(C188,part_details,6,FALSE))*'Multi-level BOM'!D188,"")</f>
        <v>1.0174730769230771</v>
      </c>
      <c r="H188" s="4">
        <f t="shared" ref="H188:Q188" si="107">IF($A188="",H187,
    IF(H$2=$A188,$D188,
       IF(H$2&lt;$A188,H187,
           1
)))</f>
        <v>1</v>
      </c>
      <c r="I188" s="4">
        <f t="shared" si="107"/>
        <v>1</v>
      </c>
      <c r="J188" s="4">
        <f t="shared" si="107"/>
        <v>1</v>
      </c>
      <c r="K188" s="4">
        <f t="shared" si="107"/>
        <v>3</v>
      </c>
      <c r="L188" s="4">
        <f t="shared" si="107"/>
        <v>1</v>
      </c>
      <c r="M188" s="4">
        <f t="shared" si="107"/>
        <v>1</v>
      </c>
      <c r="N188" s="4">
        <f t="shared" si="107"/>
        <v>1</v>
      </c>
      <c r="O188" s="4">
        <f t="shared" si="107"/>
        <v>1</v>
      </c>
      <c r="P188" s="4">
        <f t="shared" si="107"/>
        <v>1</v>
      </c>
      <c r="Q188" s="4">
        <f t="shared" si="107"/>
        <v>1</v>
      </c>
    </row>
    <row r="189" spans="1:17" x14ac:dyDescent="0.25">
      <c r="A189" s="2">
        <v>3</v>
      </c>
      <c r="B189" s="9" t="s">
        <v>917</v>
      </c>
      <c r="C189" s="2" t="s">
        <v>31</v>
      </c>
      <c r="D189" s="2">
        <v>1</v>
      </c>
      <c r="E189" s="1" t="str">
        <f>IF(C189="","",VLOOKUP(C189,Table1[#All],2,FALSE))</f>
        <v>T 6061 Al Angle extrusion 2" x 2" x .125" 6" aluminum (for side ball mount)</v>
      </c>
      <c r="F189" s="2">
        <f t="shared" ref="F189:F193" si="108">PRODUCT(H189:Q189)</f>
        <v>1</v>
      </c>
      <c r="G189" s="46">
        <f>IF(C189&lt;&gt;"",(VLOOKUP(C189,part_details,4,FALSE)+VLOOKUP(C189,part_details,5,FALSE)+VLOOKUP(C189,part_details,6,FALSE))*'Multi-level BOM'!D189,"")</f>
        <v>3.7794999999999996</v>
      </c>
      <c r="H189" s="4">
        <f t="shared" ref="H189:Q189" si="109">IF($A189="",H188,
    IF(H$2=$A189,$D189,
       IF(H$2&lt;$A189,H188,
           1
)))</f>
        <v>1</v>
      </c>
      <c r="I189" s="4">
        <f t="shared" si="109"/>
        <v>1</v>
      </c>
      <c r="J189" s="4">
        <f t="shared" si="109"/>
        <v>1</v>
      </c>
      <c r="K189" s="4">
        <f t="shared" si="109"/>
        <v>1</v>
      </c>
      <c r="L189" s="4">
        <f t="shared" si="109"/>
        <v>1</v>
      </c>
      <c r="M189" s="4">
        <f t="shared" si="109"/>
        <v>1</v>
      </c>
      <c r="N189" s="4">
        <f t="shared" si="109"/>
        <v>1</v>
      </c>
      <c r="O189" s="4">
        <f t="shared" si="109"/>
        <v>1</v>
      </c>
      <c r="P189" s="4">
        <f t="shared" si="109"/>
        <v>1</v>
      </c>
      <c r="Q189" s="4">
        <f t="shared" si="109"/>
        <v>1</v>
      </c>
    </row>
    <row r="190" spans="1:17" x14ac:dyDescent="0.25">
      <c r="A190" s="2">
        <v>3</v>
      </c>
      <c r="B190" s="9" t="s">
        <v>742</v>
      </c>
      <c r="C190" s="2" t="s">
        <v>31</v>
      </c>
      <c r="D190" s="2">
        <v>1</v>
      </c>
      <c r="E190" s="1" t="str">
        <f>IF(C190="","",VLOOKUP(C190,Table1[#All],2,FALSE))</f>
        <v>T 6061 Al Angle extrusion 2" x 2" x .125" 6" aluminum (for side ball mount)</v>
      </c>
      <c r="F190" s="2">
        <f t="shared" si="108"/>
        <v>1</v>
      </c>
      <c r="G190" s="46">
        <f>IF(C190&lt;&gt;"",(VLOOKUP(C190,part_details,4,FALSE)+VLOOKUP(C190,part_details,5,FALSE)+VLOOKUP(C190,part_details,6,FALSE))*'Multi-level BOM'!D190,"")</f>
        <v>3.7794999999999996</v>
      </c>
      <c r="H190" s="4">
        <f t="shared" ref="H190:Q190" si="110">IF($A190="",H189,
    IF(H$2=$A190,$D190,
       IF(H$2&lt;$A190,H189,
           1
)))</f>
        <v>1</v>
      </c>
      <c r="I190" s="4">
        <f t="shared" si="110"/>
        <v>1</v>
      </c>
      <c r="J190" s="4">
        <f t="shared" si="110"/>
        <v>1</v>
      </c>
      <c r="K190" s="4">
        <f t="shared" si="110"/>
        <v>1</v>
      </c>
      <c r="L190" s="4">
        <f t="shared" si="110"/>
        <v>1</v>
      </c>
      <c r="M190" s="4">
        <f t="shared" si="110"/>
        <v>1</v>
      </c>
      <c r="N190" s="4">
        <f t="shared" si="110"/>
        <v>1</v>
      </c>
      <c r="O190" s="4">
        <f t="shared" si="110"/>
        <v>1</v>
      </c>
      <c r="P190" s="4">
        <f t="shared" si="110"/>
        <v>1</v>
      </c>
      <c r="Q190" s="4">
        <f t="shared" si="110"/>
        <v>1</v>
      </c>
    </row>
    <row r="191" spans="1:17" x14ac:dyDescent="0.25">
      <c r="A191" s="2">
        <v>3</v>
      </c>
      <c r="B191" s="9" t="s">
        <v>810</v>
      </c>
      <c r="C191" s="2" t="s">
        <v>42</v>
      </c>
      <c r="D191" s="2">
        <v>1</v>
      </c>
      <c r="E191" s="1" t="str">
        <f>IF(C191="","",VLOOKUP(C191,Table1[#All],2,FALSE))</f>
        <v>DIN 319 Ball Knob, .63" diameter, M4 threaded hole</v>
      </c>
      <c r="F191" s="2">
        <f t="shared" si="108"/>
        <v>1</v>
      </c>
      <c r="G191" s="46">
        <f>IF(C191&lt;&gt;"",(VLOOKUP(C191,part_details,4,FALSE)+VLOOKUP(C191,part_details,5,FALSE)+VLOOKUP(C191,part_details,6,FALSE))*'Multi-level BOM'!D191,"")</f>
        <v>7.2021000000000006</v>
      </c>
      <c r="H191" s="4">
        <f t="shared" ref="H191:Q191" si="111">IF($A191="",H190,
    IF(H$2=$A191,$D191,
       IF(H$2&lt;$A191,H190,
           1
)))</f>
        <v>1</v>
      </c>
      <c r="I191" s="4">
        <f t="shared" si="111"/>
        <v>1</v>
      </c>
      <c r="J191" s="4">
        <f t="shared" si="111"/>
        <v>1</v>
      </c>
      <c r="K191" s="4">
        <f t="shared" si="111"/>
        <v>1</v>
      </c>
      <c r="L191" s="4">
        <f t="shared" si="111"/>
        <v>1</v>
      </c>
      <c r="M191" s="4">
        <f t="shared" si="111"/>
        <v>1</v>
      </c>
      <c r="N191" s="4">
        <f t="shared" si="111"/>
        <v>1</v>
      </c>
      <c r="O191" s="4">
        <f t="shared" si="111"/>
        <v>1</v>
      </c>
      <c r="P191" s="4">
        <f t="shared" si="111"/>
        <v>1</v>
      </c>
      <c r="Q191" s="4">
        <f t="shared" si="111"/>
        <v>1</v>
      </c>
    </row>
    <row r="192" spans="1:17" x14ac:dyDescent="0.25">
      <c r="A192" s="2">
        <v>3</v>
      </c>
      <c r="B192" s="32" t="s">
        <v>845</v>
      </c>
      <c r="D192" s="2">
        <v>1</v>
      </c>
      <c r="E192" s="1" t="str">
        <f>IF(C192="","",VLOOKUP(C192,Table1[#All],2,FALSE))</f>
        <v/>
      </c>
      <c r="F192" s="2">
        <f t="shared" si="108"/>
        <v>1</v>
      </c>
      <c r="G192" s="46" t="str">
        <f>IF(C192&lt;&gt;"",(VLOOKUP(C192,part_details,4,FALSE)+VLOOKUP(C192,part_details,5,FALSE)+VLOOKUP(C192,part_details,6,FALSE))*'Multi-level BOM'!D192,"")</f>
        <v/>
      </c>
      <c r="H192" s="4">
        <f t="shared" ref="H192:Q192" si="112">IF($A192="",H191,
    IF(H$2=$A192,$D192,
       IF(H$2&lt;$A192,H191,
           1
)))</f>
        <v>1</v>
      </c>
      <c r="I192" s="4">
        <f t="shared" si="112"/>
        <v>1</v>
      </c>
      <c r="J192" s="4">
        <f t="shared" si="112"/>
        <v>1</v>
      </c>
      <c r="K192" s="4">
        <f t="shared" si="112"/>
        <v>1</v>
      </c>
      <c r="L192" s="4">
        <f t="shared" si="112"/>
        <v>1</v>
      </c>
      <c r="M192" s="4">
        <f t="shared" si="112"/>
        <v>1</v>
      </c>
      <c r="N192" s="4">
        <f t="shared" si="112"/>
        <v>1</v>
      </c>
      <c r="O192" s="4">
        <f t="shared" si="112"/>
        <v>1</v>
      </c>
      <c r="P192" s="4">
        <f t="shared" si="112"/>
        <v>1</v>
      </c>
      <c r="Q192" s="4">
        <f t="shared" si="112"/>
        <v>1</v>
      </c>
    </row>
    <row r="193" spans="1:17" x14ac:dyDescent="0.25">
      <c r="A193" s="2">
        <v>3</v>
      </c>
      <c r="B193" s="32" t="s">
        <v>846</v>
      </c>
      <c r="C193" s="2" t="s">
        <v>46</v>
      </c>
      <c r="D193" s="2">
        <v>2</v>
      </c>
      <c r="E193" s="1" t="str">
        <f>IF(C193="","",VLOOKUP(C193,Table1[#All],2,FALSE))</f>
        <v>M4 x 0.7mm 304 Stainless Steel Nylon Lock Nuts</v>
      </c>
      <c r="F193" s="2">
        <f t="shared" si="108"/>
        <v>2</v>
      </c>
      <c r="G193" s="46">
        <f>IF(C193&lt;&gt;"",(VLOOKUP(C193,part_details,4,FALSE)+VLOOKUP(C193,part_details,5,FALSE)+VLOOKUP(C193,part_details,6,FALSE))*'Multi-level BOM'!D193,"")</f>
        <v>0.326455</v>
      </c>
      <c r="H193" s="4">
        <f t="shared" ref="H193:Q193" si="113">IF($A193="",H192,
    IF(H$2=$A193,$D193,
       IF(H$2&lt;$A193,H192,
           1
)))</f>
        <v>1</v>
      </c>
      <c r="I193" s="4">
        <f t="shared" si="113"/>
        <v>1</v>
      </c>
      <c r="J193" s="4">
        <f t="shared" si="113"/>
        <v>1</v>
      </c>
      <c r="K193" s="4">
        <f t="shared" si="113"/>
        <v>2</v>
      </c>
      <c r="L193" s="4">
        <f t="shared" si="113"/>
        <v>1</v>
      </c>
      <c r="M193" s="4">
        <f t="shared" si="113"/>
        <v>1</v>
      </c>
      <c r="N193" s="4">
        <f t="shared" si="113"/>
        <v>1</v>
      </c>
      <c r="O193" s="4">
        <f t="shared" si="113"/>
        <v>1</v>
      </c>
      <c r="P193" s="4">
        <f t="shared" si="113"/>
        <v>1</v>
      </c>
      <c r="Q193" s="4">
        <f t="shared" si="113"/>
        <v>1</v>
      </c>
    </row>
    <row r="194" spans="1:17" x14ac:dyDescent="0.25">
      <c r="A194" s="2">
        <v>3</v>
      </c>
      <c r="B194" s="32" t="s">
        <v>815</v>
      </c>
      <c r="C194" s="2" t="s">
        <v>47</v>
      </c>
      <c r="D194" s="2">
        <v>6</v>
      </c>
      <c r="E194" s="1" t="str">
        <f>IF(C194="","",VLOOKUP(C194,Table1[#All],2,FALSE))</f>
        <v>M4x12mmx1 mm Stainless Steel Round Flat Washer</v>
      </c>
      <c r="F194" s="2">
        <f>PRODUCT(H194:Q194)</f>
        <v>6</v>
      </c>
      <c r="G194" s="46">
        <f>IF(C194&lt;&gt;"",(VLOOKUP(C194,part_details,4,FALSE)+VLOOKUP(C194,part_details,5,FALSE)+VLOOKUP(C194,part_details,6,FALSE))*'Multi-level BOM'!D194,"")</f>
        <v>0.39174600000000004</v>
      </c>
      <c r="H194" s="4">
        <f t="shared" ref="H194:Q198" si="114">IF($A194="",H193,
    IF(H$2=$A194,$D194,
       IF(H$2&lt;$A194,H193,
           1
)))</f>
        <v>1</v>
      </c>
      <c r="I194" s="4">
        <f t="shared" si="114"/>
        <v>1</v>
      </c>
      <c r="J194" s="4">
        <f t="shared" si="114"/>
        <v>1</v>
      </c>
      <c r="K194" s="4">
        <f t="shared" si="114"/>
        <v>6</v>
      </c>
      <c r="L194" s="4">
        <f t="shared" si="114"/>
        <v>1</v>
      </c>
      <c r="M194" s="4">
        <f t="shared" si="114"/>
        <v>1</v>
      </c>
      <c r="N194" s="4">
        <f t="shared" si="114"/>
        <v>1</v>
      </c>
      <c r="O194" s="4">
        <f t="shared" si="114"/>
        <v>1</v>
      </c>
      <c r="P194" s="4">
        <f t="shared" si="114"/>
        <v>1</v>
      </c>
      <c r="Q194" s="4">
        <f t="shared" si="114"/>
        <v>1</v>
      </c>
    </row>
    <row r="195" spans="1:17" x14ac:dyDescent="0.25">
      <c r="B195" s="8"/>
      <c r="E195" s="1" t="str">
        <f>IF(C195="","",VLOOKUP(C195,Table1[#All],2,FALSE))</f>
        <v/>
      </c>
      <c r="G195" s="46" t="str">
        <f>IF(C195&lt;&gt;"",VLOOKUP(C195,part_details,4,FALSE)*'Multi-level BOM'!D195,"")</f>
        <v/>
      </c>
      <c r="H195" s="4">
        <f t="shared" si="114"/>
        <v>1</v>
      </c>
      <c r="I195" s="4">
        <f t="shared" si="114"/>
        <v>1</v>
      </c>
      <c r="J195" s="4">
        <f t="shared" si="114"/>
        <v>1</v>
      </c>
      <c r="K195" s="4">
        <f t="shared" si="114"/>
        <v>6</v>
      </c>
      <c r="L195" s="4">
        <f t="shared" si="114"/>
        <v>1</v>
      </c>
      <c r="M195" s="4">
        <f t="shared" si="114"/>
        <v>1</v>
      </c>
      <c r="N195" s="4">
        <f t="shared" si="114"/>
        <v>1</v>
      </c>
      <c r="O195" s="4">
        <f t="shared" si="114"/>
        <v>1</v>
      </c>
      <c r="P195" s="4">
        <f t="shared" si="114"/>
        <v>1</v>
      </c>
      <c r="Q195" s="4">
        <f t="shared" si="114"/>
        <v>1</v>
      </c>
    </row>
    <row r="196" spans="1:17" ht="15.75" x14ac:dyDescent="0.25">
      <c r="A196" s="2">
        <v>1</v>
      </c>
      <c r="B196" s="8" t="s">
        <v>816</v>
      </c>
      <c r="D196" s="2">
        <v>1</v>
      </c>
      <c r="E196" s="1" t="str">
        <f>IF(C196="","",VLOOKUP(C196,Table1[#All],2,FALSE))</f>
        <v/>
      </c>
      <c r="F196" s="2">
        <f>PRODUCT(H196:Q196)</f>
        <v>1</v>
      </c>
      <c r="G196" s="49">
        <f>F196*SUM(G197:G203)</f>
        <v>183.28210000000001</v>
      </c>
      <c r="H196" s="4">
        <f t="shared" si="114"/>
        <v>1</v>
      </c>
      <c r="I196" s="4">
        <f t="shared" si="114"/>
        <v>1</v>
      </c>
      <c r="J196" s="4">
        <f t="shared" si="114"/>
        <v>1</v>
      </c>
      <c r="K196" s="4">
        <f t="shared" si="114"/>
        <v>1</v>
      </c>
      <c r="L196" s="4">
        <f t="shared" si="114"/>
        <v>1</v>
      </c>
      <c r="M196" s="4">
        <f t="shared" si="114"/>
        <v>1</v>
      </c>
      <c r="N196" s="4">
        <f t="shared" si="114"/>
        <v>1</v>
      </c>
      <c r="O196" s="4">
        <f t="shared" si="114"/>
        <v>1</v>
      </c>
      <c r="P196" s="4">
        <f t="shared" si="114"/>
        <v>1</v>
      </c>
      <c r="Q196" s="4">
        <f t="shared" si="114"/>
        <v>1</v>
      </c>
    </row>
    <row r="197" spans="1:17" x14ac:dyDescent="0.25">
      <c r="A197" s="2">
        <v>2</v>
      </c>
      <c r="B197" s="8" t="s">
        <v>817</v>
      </c>
      <c r="C197" s="2" t="s">
        <v>43</v>
      </c>
      <c r="D197" s="2">
        <v>1</v>
      </c>
      <c r="E197" s="1" t="str">
        <f>IF(C197="","",VLOOKUP(C197,Table1[#All],2,FALSE))</f>
        <v xml:space="preserve">1/4" thick Cast aluminum plate, 17" x 19" </v>
      </c>
      <c r="F197" s="2">
        <f>PRODUCT(H197:Q197)</f>
        <v>1</v>
      </c>
      <c r="G197" s="47">
        <f>IF(C197&lt;&gt;"",(VLOOKUP(C197,part_details,4,FALSE)+VLOOKUP(C197,part_details,5,FALSE)+VLOOKUP(C197,part_details,6,FALSE))*'Multi-level BOM'!D197,"")</f>
        <v>70.8</v>
      </c>
      <c r="H197" s="4">
        <f t="shared" si="114"/>
        <v>1</v>
      </c>
      <c r="I197" s="4">
        <f t="shared" si="114"/>
        <v>1</v>
      </c>
      <c r="J197" s="4">
        <f t="shared" si="114"/>
        <v>1</v>
      </c>
      <c r="K197" s="4">
        <f t="shared" si="114"/>
        <v>1</v>
      </c>
      <c r="L197" s="4">
        <f t="shared" si="114"/>
        <v>1</v>
      </c>
      <c r="M197" s="4">
        <f t="shared" si="114"/>
        <v>1</v>
      </c>
      <c r="N197" s="4">
        <f t="shared" si="114"/>
        <v>1</v>
      </c>
      <c r="O197" s="4">
        <f t="shared" si="114"/>
        <v>1</v>
      </c>
      <c r="P197" s="4">
        <f t="shared" si="114"/>
        <v>1</v>
      </c>
      <c r="Q197" s="4">
        <f t="shared" si="114"/>
        <v>1</v>
      </c>
    </row>
    <row r="198" spans="1:17" x14ac:dyDescent="0.25">
      <c r="A198" s="2">
        <v>2</v>
      </c>
      <c r="B198" s="8" t="s">
        <v>822</v>
      </c>
      <c r="E198" s="1" t="str">
        <f>IF(C198="","",VLOOKUP(C198,Table1[#All],2,FALSE))</f>
        <v/>
      </c>
      <c r="F198" s="2">
        <f>PRODUCT(H198:Q198)</f>
        <v>0</v>
      </c>
      <c r="G198" s="47" t="str">
        <f>IF(C198&lt;&gt;"",(VLOOKUP(C198,part_details,4,FALSE)+VLOOKUP(C198,part_details,5,FALSE)+VLOOKUP(C198,part_details,6,FALSE))*'Multi-level BOM'!D198,"")</f>
        <v/>
      </c>
      <c r="H198" s="4">
        <f t="shared" si="114"/>
        <v>1</v>
      </c>
      <c r="I198" s="4">
        <f t="shared" si="114"/>
        <v>1</v>
      </c>
      <c r="J198" s="4">
        <f t="shared" si="114"/>
        <v>0</v>
      </c>
      <c r="K198" s="4">
        <f t="shared" si="114"/>
        <v>1</v>
      </c>
      <c r="L198" s="4">
        <f t="shared" si="114"/>
        <v>1</v>
      </c>
      <c r="M198" s="4">
        <f t="shared" si="114"/>
        <v>1</v>
      </c>
      <c r="N198" s="4">
        <f t="shared" si="114"/>
        <v>1</v>
      </c>
      <c r="O198" s="4">
        <f t="shared" si="114"/>
        <v>1</v>
      </c>
      <c r="P198" s="4">
        <f t="shared" si="114"/>
        <v>1</v>
      </c>
      <c r="Q198" s="4">
        <f t="shared" si="114"/>
        <v>1</v>
      </c>
    </row>
    <row r="199" spans="1:17" x14ac:dyDescent="0.25">
      <c r="A199" s="2">
        <v>2</v>
      </c>
      <c r="B199" s="8" t="s">
        <v>818</v>
      </c>
      <c r="D199" s="2">
        <v>1</v>
      </c>
      <c r="E199" s="1" t="str">
        <f>IF(C199="","",VLOOKUP(C199,Table1[#All],2,FALSE))</f>
        <v/>
      </c>
      <c r="F199" s="2">
        <f t="shared" ref="F199:F201" si="115">PRODUCT(H199:Q199)</f>
        <v>1</v>
      </c>
      <c r="G199" s="47" t="str">
        <f>IF(C199&lt;&gt;"",(VLOOKUP(C199,part_details,4,FALSE)+VLOOKUP(C199,part_details,5,FALSE)+VLOOKUP(C199,part_details,6,FALSE))*'Multi-level BOM'!D199,"")</f>
        <v/>
      </c>
      <c r="H199" s="4">
        <f t="shared" ref="H199:Q199" si="116">IF($A199="",H198,
    IF(H$2=$A199,$D199,
       IF(H$2&lt;$A199,H198,
           1
)))</f>
        <v>1</v>
      </c>
      <c r="I199" s="4">
        <f t="shared" si="116"/>
        <v>1</v>
      </c>
      <c r="J199" s="4">
        <f t="shared" si="116"/>
        <v>1</v>
      </c>
      <c r="K199" s="4">
        <f t="shared" si="116"/>
        <v>1</v>
      </c>
      <c r="L199" s="4">
        <f t="shared" si="116"/>
        <v>1</v>
      </c>
      <c r="M199" s="4">
        <f t="shared" si="116"/>
        <v>1</v>
      </c>
      <c r="N199" s="4">
        <f t="shared" si="116"/>
        <v>1</v>
      </c>
      <c r="O199" s="4">
        <f t="shared" si="116"/>
        <v>1</v>
      </c>
      <c r="P199" s="4">
        <f t="shared" si="116"/>
        <v>1</v>
      </c>
      <c r="Q199" s="4">
        <f t="shared" si="116"/>
        <v>1</v>
      </c>
    </row>
    <row r="200" spans="1:17" x14ac:dyDescent="0.25">
      <c r="A200" s="2">
        <v>2</v>
      </c>
      <c r="B200" s="8" t="s">
        <v>820</v>
      </c>
      <c r="D200" s="2">
        <v>3</v>
      </c>
      <c r="E200" s="1" t="str">
        <f>IF(C200="","",VLOOKUP(C200,Table1[#All],2,FALSE))</f>
        <v/>
      </c>
      <c r="F200" s="2">
        <f t="shared" si="115"/>
        <v>3</v>
      </c>
      <c r="G200" s="47" t="str">
        <f>IF(C200&lt;&gt;"",(VLOOKUP(C200,part_details,4,FALSE)+VLOOKUP(C200,part_details,5,FALSE)+VLOOKUP(C200,part_details,6,FALSE))*'Multi-level BOM'!D200,"")</f>
        <v/>
      </c>
      <c r="H200" s="4">
        <f t="shared" ref="H200:Q200" si="117">IF($A200="",H199,
    IF(H$2=$A200,$D200,
       IF(H$2&lt;$A200,H199,
           1
)))</f>
        <v>1</v>
      </c>
      <c r="I200" s="4">
        <f t="shared" si="117"/>
        <v>1</v>
      </c>
      <c r="J200" s="4">
        <f t="shared" si="117"/>
        <v>3</v>
      </c>
      <c r="K200" s="4">
        <f t="shared" si="117"/>
        <v>1</v>
      </c>
      <c r="L200" s="4">
        <f t="shared" si="117"/>
        <v>1</v>
      </c>
      <c r="M200" s="4">
        <f t="shared" si="117"/>
        <v>1</v>
      </c>
      <c r="N200" s="4">
        <f t="shared" si="117"/>
        <v>1</v>
      </c>
      <c r="O200" s="4">
        <f t="shared" si="117"/>
        <v>1</v>
      </c>
      <c r="P200" s="4">
        <f t="shared" si="117"/>
        <v>1</v>
      </c>
      <c r="Q200" s="4">
        <f t="shared" si="117"/>
        <v>1</v>
      </c>
    </row>
    <row r="201" spans="1:17" x14ac:dyDescent="0.25">
      <c r="A201" s="2">
        <v>2</v>
      </c>
      <c r="B201" s="8" t="s">
        <v>819</v>
      </c>
      <c r="C201" s="2" t="s">
        <v>55</v>
      </c>
      <c r="D201" s="2">
        <v>1</v>
      </c>
      <c r="E201" s="1" t="str">
        <f>IF(C201="","",VLOOKUP(C201,Table1[#All],2,FALSE))</f>
        <v>Wisamic Silicone Rubber Heater 310x310mm 120V 750W, with 3M Tape Screw Holes for 3D Printer CR-10 CR-10S S3</v>
      </c>
      <c r="F201" s="2">
        <f t="shared" si="115"/>
        <v>1</v>
      </c>
      <c r="G201" s="47">
        <f>IF(C201&lt;&gt;"",(VLOOKUP(C201,part_details,4,FALSE)+VLOOKUP(C201,part_details,5,FALSE)+VLOOKUP(C201,part_details,6,FALSE))*'Multi-level BOM'!D201,"")</f>
        <v>43.589100000000002</v>
      </c>
      <c r="H201" s="4">
        <f t="shared" ref="H201:Q201" si="118">IF($A201="",H200,
    IF(H$2=$A201,$D201,
       IF(H$2&lt;$A201,H200,
           1
)))</f>
        <v>1</v>
      </c>
      <c r="I201" s="4">
        <f t="shared" si="118"/>
        <v>1</v>
      </c>
      <c r="J201" s="4">
        <f t="shared" si="118"/>
        <v>1</v>
      </c>
      <c r="K201" s="4">
        <f t="shared" si="118"/>
        <v>1</v>
      </c>
      <c r="L201" s="4">
        <f t="shared" si="118"/>
        <v>1</v>
      </c>
      <c r="M201" s="4">
        <f t="shared" si="118"/>
        <v>1</v>
      </c>
      <c r="N201" s="4">
        <f t="shared" si="118"/>
        <v>1</v>
      </c>
      <c r="O201" s="4">
        <f t="shared" si="118"/>
        <v>1</v>
      </c>
      <c r="P201" s="4">
        <f t="shared" si="118"/>
        <v>1</v>
      </c>
      <c r="Q201" s="4">
        <f t="shared" si="118"/>
        <v>1</v>
      </c>
    </row>
    <row r="202" spans="1:17" x14ac:dyDescent="0.25">
      <c r="A202" s="2">
        <v>2</v>
      </c>
      <c r="B202" s="8" t="s">
        <v>884</v>
      </c>
      <c r="C202" s="2" t="s">
        <v>56</v>
      </c>
      <c r="D202" s="2">
        <v>1</v>
      </c>
      <c r="E202" s="1" t="str">
        <f>IF(C202="","",VLOOKUP(C202,Table1[#All],2,FALSE))</f>
        <v xml:space="preserve">Printer 3D Parts, FYSETC 12" x 12" x 0.3" 3D Printer Heated Bed Insulation Lightweight Foam Foil Self-Adhesive Insulation Mat </v>
      </c>
      <c r="F202" s="2">
        <f t="shared" ref="F202:F203" si="119">PRODUCT(H202:Q202)</f>
        <v>1</v>
      </c>
      <c r="G202" s="47">
        <f>IF(C202&lt;&gt;"",(VLOOKUP(C202,part_details,4,FALSE)+VLOOKUP(C202,part_details,5,FALSE)+VLOOKUP(C202,part_details,6,FALSE))*'Multi-level BOM'!D202,"")</f>
        <v>11.979100000000001</v>
      </c>
      <c r="H202" s="4">
        <f t="shared" ref="H202:Q203" si="120">IF($A202="",H201,
    IF(H$2=$A202,$D202,
       IF(H$2&lt;$A202,H201,
           1
)))</f>
        <v>1</v>
      </c>
      <c r="I202" s="4">
        <f t="shared" si="120"/>
        <v>1</v>
      </c>
      <c r="J202" s="4">
        <f t="shared" si="120"/>
        <v>1</v>
      </c>
      <c r="K202" s="4">
        <f t="shared" si="120"/>
        <v>1</v>
      </c>
      <c r="L202" s="4">
        <f t="shared" si="120"/>
        <v>1</v>
      </c>
      <c r="M202" s="4">
        <f t="shared" si="120"/>
        <v>1</v>
      </c>
      <c r="N202" s="4">
        <f t="shared" si="120"/>
        <v>1</v>
      </c>
      <c r="O202" s="4">
        <f t="shared" si="120"/>
        <v>1</v>
      </c>
      <c r="P202" s="4">
        <f t="shared" si="120"/>
        <v>1</v>
      </c>
      <c r="Q202" s="4">
        <f t="shared" si="120"/>
        <v>1</v>
      </c>
    </row>
    <row r="203" spans="1:17" x14ac:dyDescent="0.25">
      <c r="A203" s="2">
        <v>2</v>
      </c>
      <c r="B203" s="8" t="s">
        <v>886</v>
      </c>
      <c r="C203" s="2" t="s">
        <v>57</v>
      </c>
      <c r="D203" s="2">
        <v>1</v>
      </c>
      <c r="E203" s="1" t="str">
        <f>IF(C203="","",VLOOKUP(C203,Table1[#All],2,FALSE))</f>
        <v>406 x 406mm Flex Spring Steel Sheet Pre-Applied PEI</v>
      </c>
      <c r="F203" s="2">
        <f t="shared" si="119"/>
        <v>1</v>
      </c>
      <c r="G203" s="47">
        <f>IF(C203&lt;&gt;"",(VLOOKUP(C203,part_details,4,FALSE)+VLOOKUP(C203,part_details,5,FALSE)+VLOOKUP(C203,part_details,6,FALSE))*'Multi-level BOM'!D203,"")</f>
        <v>56.913899999999998</v>
      </c>
      <c r="H203" s="4">
        <f t="shared" si="120"/>
        <v>1</v>
      </c>
      <c r="I203" s="4">
        <f t="shared" si="120"/>
        <v>1</v>
      </c>
      <c r="J203" s="4">
        <f t="shared" si="120"/>
        <v>1</v>
      </c>
      <c r="K203" s="4">
        <f t="shared" si="120"/>
        <v>1</v>
      </c>
      <c r="L203" s="4">
        <f t="shared" si="120"/>
        <v>1</v>
      </c>
      <c r="M203" s="4">
        <f t="shared" si="120"/>
        <v>1</v>
      </c>
      <c r="N203" s="4">
        <f t="shared" si="120"/>
        <v>1</v>
      </c>
      <c r="O203" s="4">
        <f t="shared" si="120"/>
        <v>1</v>
      </c>
      <c r="P203" s="4">
        <f t="shared" si="120"/>
        <v>1</v>
      </c>
      <c r="Q203" s="4">
        <f t="shared" si="120"/>
        <v>1</v>
      </c>
    </row>
    <row r="204" spans="1:17" x14ac:dyDescent="0.25">
      <c r="B204" s="9"/>
      <c r="E204" s="1" t="str">
        <f>IF(C204="","",VLOOKUP(C204,Table1[#All],2,FALSE))</f>
        <v/>
      </c>
      <c r="G204" s="47" t="str">
        <f>IF(C204&lt;&gt;"",VLOOKUP(C204,part_details,4,FALSE)*'Multi-level BOM'!D204,"")</f>
        <v/>
      </c>
      <c r="H204" s="4">
        <f t="shared" ref="H204:Q204" si="121">IF($A204="",H203,
    IF(H$2=$A204,$D204,
       IF(H$2&lt;$A204,H203,
           1
)))</f>
        <v>1</v>
      </c>
      <c r="I204" s="4">
        <f t="shared" si="121"/>
        <v>1</v>
      </c>
      <c r="J204" s="4">
        <f t="shared" si="121"/>
        <v>1</v>
      </c>
      <c r="K204" s="4">
        <f t="shared" si="121"/>
        <v>1</v>
      </c>
      <c r="L204" s="4">
        <f t="shared" si="121"/>
        <v>1</v>
      </c>
      <c r="M204" s="4">
        <f t="shared" si="121"/>
        <v>1</v>
      </c>
      <c r="N204" s="4">
        <f t="shared" si="121"/>
        <v>1</v>
      </c>
      <c r="O204" s="4">
        <f t="shared" si="121"/>
        <v>1</v>
      </c>
      <c r="P204" s="4">
        <f t="shared" si="121"/>
        <v>1</v>
      </c>
      <c r="Q204" s="4">
        <f t="shared" si="121"/>
        <v>1</v>
      </c>
    </row>
    <row r="205" spans="1:17" x14ac:dyDescent="0.25">
      <c r="A205" s="2">
        <v>1</v>
      </c>
      <c r="B205" s="8" t="s">
        <v>963</v>
      </c>
      <c r="D205" s="2">
        <v>1</v>
      </c>
      <c r="E205" s="1" t="str">
        <f>IF(C205="","",VLOOKUP(C205,Table1[#All],2,FALSE))</f>
        <v/>
      </c>
      <c r="F205" s="2">
        <f>PRODUCT(H205:Q205)</f>
        <v>1</v>
      </c>
      <c r="G205" s="47">
        <f>F205*SUM(G206:G208)</f>
        <v>93.665599999999998</v>
      </c>
      <c r="H205" s="4">
        <f t="shared" ref="H205:Q205" si="122">IF($A205="",H204,
    IF(H$2=$A205,$D205,
       IF(H$2&lt;$A205,H204,
           1
)))</f>
        <v>1</v>
      </c>
      <c r="I205" s="4">
        <f t="shared" si="122"/>
        <v>1</v>
      </c>
      <c r="J205" s="4">
        <f t="shared" si="122"/>
        <v>1</v>
      </c>
      <c r="K205" s="4">
        <f t="shared" si="122"/>
        <v>1</v>
      </c>
      <c r="L205" s="4">
        <f t="shared" si="122"/>
        <v>1</v>
      </c>
      <c r="M205" s="4">
        <f t="shared" si="122"/>
        <v>1</v>
      </c>
      <c r="N205" s="4">
        <f t="shared" si="122"/>
        <v>1</v>
      </c>
      <c r="O205" s="4">
        <f t="shared" si="122"/>
        <v>1</v>
      </c>
      <c r="P205" s="4">
        <f t="shared" si="122"/>
        <v>1</v>
      </c>
      <c r="Q205" s="4">
        <f t="shared" si="122"/>
        <v>1</v>
      </c>
    </row>
    <row r="206" spans="1:17" x14ac:dyDescent="0.25">
      <c r="A206" s="2">
        <v>2</v>
      </c>
      <c r="B206" s="8" t="s">
        <v>892</v>
      </c>
      <c r="C206" s="2" t="s">
        <v>58</v>
      </c>
      <c r="D206" s="2">
        <v>1</v>
      </c>
      <c r="E206" s="1" t="str">
        <f>IF(C206="","",VLOOKUP(C206,Table1[#All],2,FALSE))</f>
        <v>Redrex Dual Drive BMG Bowden Extruder High Performance Upgrading Parts (no motor)</v>
      </c>
      <c r="F206" s="2">
        <f>PRODUCT(H206:Q206)</f>
        <v>1</v>
      </c>
      <c r="G206" s="47">
        <f>IF(C206&lt;&gt;"",(VLOOKUP(C206,part_details,4,FALSE)+VLOOKUP(C206,part_details,5,FALSE)+VLOOKUP(C206,part_details,6,FALSE))*'Multi-level BOM'!D206,"")</f>
        <v>25.059099999999997</v>
      </c>
      <c r="H206" s="4">
        <f t="shared" ref="H206:Q206" si="123">IF($A206="",H205,
    IF(H$2=$A206,$D206,
       IF(H$2&lt;$A206,H205,
           1
)))</f>
        <v>1</v>
      </c>
      <c r="I206" s="4">
        <f t="shared" si="123"/>
        <v>1</v>
      </c>
      <c r="J206" s="4">
        <f t="shared" si="123"/>
        <v>1</v>
      </c>
      <c r="K206" s="4">
        <f t="shared" si="123"/>
        <v>1</v>
      </c>
      <c r="L206" s="4">
        <f t="shared" si="123"/>
        <v>1</v>
      </c>
      <c r="M206" s="4">
        <f t="shared" si="123"/>
        <v>1</v>
      </c>
      <c r="N206" s="4">
        <f t="shared" si="123"/>
        <v>1</v>
      </c>
      <c r="O206" s="4">
        <f t="shared" si="123"/>
        <v>1</v>
      </c>
      <c r="P206" s="4">
        <f t="shared" si="123"/>
        <v>1</v>
      </c>
      <c r="Q206" s="4">
        <f t="shared" si="123"/>
        <v>1</v>
      </c>
    </row>
    <row r="207" spans="1:17" x14ac:dyDescent="0.25">
      <c r="A207" s="2">
        <v>2</v>
      </c>
      <c r="B207" s="8" t="s">
        <v>893</v>
      </c>
      <c r="C207" s="2" t="s">
        <v>59</v>
      </c>
      <c r="D207" s="2">
        <v>1</v>
      </c>
      <c r="E207" s="1" t="str">
        <f>IF(C207="","",VLOOKUP(C207,Table1[#All],2,FALSE))</f>
        <v>Usongshine Nema 17 Stepper Motor Bipolar Step Motor for Titan Extruder 3D Printer 4.1V 1A 13Ncm</v>
      </c>
      <c r="F207" s="2">
        <f>PRODUCT(H207:Q207)</f>
        <v>1</v>
      </c>
      <c r="G207" s="47">
        <f>IF(C207&lt;&gt;"",(VLOOKUP(C207,part_details,4,FALSE)+VLOOKUP(C207,part_details,5,FALSE)+VLOOKUP(C207,part_details,6,FALSE))*'Multi-level BOM'!D207,"")</f>
        <v>9.6464999999999996</v>
      </c>
      <c r="H207" s="4">
        <f t="shared" ref="H207:Q207" si="124">IF($A207="",H206,
    IF(H$2=$A207,$D207,
       IF(H$2&lt;$A207,H206,
           1
)))</f>
        <v>1</v>
      </c>
      <c r="I207" s="4">
        <f t="shared" si="124"/>
        <v>1</v>
      </c>
      <c r="J207" s="4">
        <f t="shared" si="124"/>
        <v>1</v>
      </c>
      <c r="K207" s="4">
        <f t="shared" si="124"/>
        <v>1</v>
      </c>
      <c r="L207" s="4">
        <f t="shared" si="124"/>
        <v>1</v>
      </c>
      <c r="M207" s="4">
        <f t="shared" si="124"/>
        <v>1</v>
      </c>
      <c r="N207" s="4">
        <f t="shared" si="124"/>
        <v>1</v>
      </c>
      <c r="O207" s="4">
        <f t="shared" si="124"/>
        <v>1</v>
      </c>
      <c r="P207" s="4">
        <f t="shared" si="124"/>
        <v>1</v>
      </c>
      <c r="Q207" s="4">
        <f t="shared" si="124"/>
        <v>1</v>
      </c>
    </row>
    <row r="208" spans="1:17" x14ac:dyDescent="0.25">
      <c r="A208" s="2">
        <v>2</v>
      </c>
      <c r="B208" s="8" t="s">
        <v>894</v>
      </c>
      <c r="C208" s="2" t="s">
        <v>60</v>
      </c>
      <c r="D208" s="2">
        <v>1</v>
      </c>
      <c r="E208" s="1" t="str">
        <f>IF(C208="","",VLOOKUP(C208,Table1[#All],2,FALSE))</f>
        <v>Mellow All Metal NF-Crazy Hotend V6 Copper Nozzle For Ender 3 CR10 Prusa I3 MK3S Alfawise Titan/Bmg Extruder 3D Printer Part</v>
      </c>
      <c r="F208" s="2">
        <f>PRODUCT(H208:Q208)</f>
        <v>1</v>
      </c>
      <c r="G208" s="47">
        <f>IF(C208&lt;&gt;"",(VLOOKUP(C208,part_details,4,FALSE)+VLOOKUP(C208,part_details,5,FALSE)+VLOOKUP(C208,part_details,6,FALSE))*'Multi-level BOM'!D208,"")</f>
        <v>58.96</v>
      </c>
      <c r="H208" s="4">
        <f t="shared" ref="H208:Q208" si="125">IF($A208="",H207,
    IF(H$2=$A208,$D208,
       IF(H$2&lt;$A208,H207,
           1
)))</f>
        <v>1</v>
      </c>
      <c r="I208" s="4">
        <f t="shared" si="125"/>
        <v>1</v>
      </c>
      <c r="J208" s="4">
        <f t="shared" si="125"/>
        <v>1</v>
      </c>
      <c r="K208" s="4">
        <f t="shared" si="125"/>
        <v>1</v>
      </c>
      <c r="L208" s="4">
        <f t="shared" si="125"/>
        <v>1</v>
      </c>
      <c r="M208" s="4">
        <f t="shared" si="125"/>
        <v>1</v>
      </c>
      <c r="N208" s="4">
        <f t="shared" si="125"/>
        <v>1</v>
      </c>
      <c r="O208" s="4">
        <f t="shared" si="125"/>
        <v>1</v>
      </c>
      <c r="P208" s="4">
        <f t="shared" si="125"/>
        <v>1</v>
      </c>
      <c r="Q208" s="4">
        <f t="shared" si="125"/>
        <v>1</v>
      </c>
    </row>
    <row r="209" spans="1:17" x14ac:dyDescent="0.25">
      <c r="B209" s="8"/>
      <c r="E209" s="1" t="str">
        <f>IF(C209="","",VLOOKUP(C209,Table1[#All],2,FALSE))</f>
        <v/>
      </c>
      <c r="G209" s="47" t="str">
        <f>IF(C209&lt;&gt;"",VLOOKUP(C209,part_details,4,FALSE)*'Multi-level BOM'!D209,"")</f>
        <v/>
      </c>
      <c r="H209" s="4">
        <f t="shared" ref="H209:Q209" si="126">IF($A209="",H208,
    IF(H$2=$A209,$D209,
       IF(H$2&lt;$A209,H208,
           1
)))</f>
        <v>1</v>
      </c>
      <c r="I209" s="4">
        <f t="shared" si="126"/>
        <v>1</v>
      </c>
      <c r="J209" s="4">
        <f t="shared" si="126"/>
        <v>1</v>
      </c>
      <c r="K209" s="4">
        <f t="shared" si="126"/>
        <v>1</v>
      </c>
      <c r="L209" s="4">
        <f t="shared" si="126"/>
        <v>1</v>
      </c>
      <c r="M209" s="4">
        <f t="shared" si="126"/>
        <v>1</v>
      </c>
      <c r="N209" s="4">
        <f t="shared" si="126"/>
        <v>1</v>
      </c>
      <c r="O209" s="4">
        <f t="shared" si="126"/>
        <v>1</v>
      </c>
      <c r="P209" s="4">
        <f t="shared" si="126"/>
        <v>1</v>
      </c>
      <c r="Q209" s="4">
        <f t="shared" si="126"/>
        <v>1</v>
      </c>
    </row>
    <row r="210" spans="1:17" x14ac:dyDescent="0.25">
      <c r="B210" s="8"/>
      <c r="E210" s="1" t="str">
        <f>IF(C210="","",VLOOKUP(C210,Table1[#All],2,FALSE))</f>
        <v/>
      </c>
      <c r="G210" s="47" t="str">
        <f>IF(C210&lt;&gt;"",VLOOKUP(C210,part_details,4,FALSE)*'Multi-level BOM'!D210,"")</f>
        <v/>
      </c>
      <c r="H210" s="4">
        <f t="shared" ref="H210:Q210" si="127">IF($A210="",H209,
    IF(H$2=$A210,$D210,
       IF(H$2&lt;$A210,H209,
           1
)))</f>
        <v>1</v>
      </c>
      <c r="I210" s="4">
        <f t="shared" si="127"/>
        <v>1</v>
      </c>
      <c r="J210" s="4">
        <f t="shared" si="127"/>
        <v>1</v>
      </c>
      <c r="K210" s="4">
        <f t="shared" si="127"/>
        <v>1</v>
      </c>
      <c r="L210" s="4">
        <f t="shared" si="127"/>
        <v>1</v>
      </c>
      <c r="M210" s="4">
        <f t="shared" si="127"/>
        <v>1</v>
      </c>
      <c r="N210" s="4">
        <f t="shared" si="127"/>
        <v>1</v>
      </c>
      <c r="O210" s="4">
        <f t="shared" si="127"/>
        <v>1</v>
      </c>
      <c r="P210" s="4">
        <f t="shared" si="127"/>
        <v>1</v>
      </c>
      <c r="Q210" s="4">
        <f t="shared" si="127"/>
        <v>1</v>
      </c>
    </row>
    <row r="211" spans="1:17" x14ac:dyDescent="0.25">
      <c r="B211" s="8"/>
      <c r="E211" s="1" t="str">
        <f>IF(C211="","",VLOOKUP(C211,Table1[#All],2,FALSE))</f>
        <v/>
      </c>
      <c r="G211" s="47" t="str">
        <f>IF(C211&lt;&gt;"",VLOOKUP(C211,part_details,4,FALSE)*'Multi-level BOM'!D211,"")</f>
        <v/>
      </c>
      <c r="H211" s="4">
        <f t="shared" ref="H211:Q211" si="128">IF($A211="",H210,
    IF(H$2=$A211,$D211,
       IF(H$2&lt;$A211,H210,
           1
)))</f>
        <v>1</v>
      </c>
      <c r="I211" s="4">
        <f t="shared" si="128"/>
        <v>1</v>
      </c>
      <c r="J211" s="4">
        <f t="shared" si="128"/>
        <v>1</v>
      </c>
      <c r="K211" s="4">
        <f t="shared" si="128"/>
        <v>1</v>
      </c>
      <c r="L211" s="4">
        <f t="shared" si="128"/>
        <v>1</v>
      </c>
      <c r="M211" s="4">
        <f t="shared" si="128"/>
        <v>1</v>
      </c>
      <c r="N211" s="4">
        <f t="shared" si="128"/>
        <v>1</v>
      </c>
      <c r="O211" s="4">
        <f t="shared" si="128"/>
        <v>1</v>
      </c>
      <c r="P211" s="4">
        <f t="shared" si="128"/>
        <v>1</v>
      </c>
      <c r="Q211" s="4">
        <f t="shared" si="128"/>
        <v>1</v>
      </c>
    </row>
    <row r="212" spans="1:17" x14ac:dyDescent="0.25">
      <c r="B212" s="8"/>
      <c r="E212" s="1" t="str">
        <f>IF(C212="","",VLOOKUP(C212,Table1[#All],2,FALSE))</f>
        <v/>
      </c>
      <c r="G212" s="47" t="str">
        <f>IF(C212&lt;&gt;"",VLOOKUP(C212,part_details,4,FALSE)*'Multi-level BOM'!D212,"")</f>
        <v/>
      </c>
      <c r="H212" s="4">
        <f t="shared" ref="H212:Q212" si="129">IF($A212="",H211,
    IF(H$2=$A212,$D212,
       IF(H$2&lt;$A212,H211,
           1
)))</f>
        <v>1</v>
      </c>
      <c r="I212" s="4">
        <f t="shared" si="129"/>
        <v>1</v>
      </c>
      <c r="J212" s="4">
        <f t="shared" si="129"/>
        <v>1</v>
      </c>
      <c r="K212" s="4">
        <f t="shared" si="129"/>
        <v>1</v>
      </c>
      <c r="L212" s="4">
        <f t="shared" si="129"/>
        <v>1</v>
      </c>
      <c r="M212" s="4">
        <f t="shared" si="129"/>
        <v>1</v>
      </c>
      <c r="N212" s="4">
        <f t="shared" si="129"/>
        <v>1</v>
      </c>
      <c r="O212" s="4">
        <f t="shared" si="129"/>
        <v>1</v>
      </c>
      <c r="P212" s="4">
        <f t="shared" si="129"/>
        <v>1</v>
      </c>
      <c r="Q212" s="4">
        <f t="shared" si="129"/>
        <v>1</v>
      </c>
    </row>
    <row r="213" spans="1:17" x14ac:dyDescent="0.25">
      <c r="B213" s="8"/>
      <c r="E213" s="1" t="str">
        <f>IF(C213="","",VLOOKUP(C213,Table1[#All],2,FALSE))</f>
        <v/>
      </c>
      <c r="G213" s="47" t="str">
        <f>IF(C213&lt;&gt;"",VLOOKUP(C213,part_details,4,FALSE)*'Multi-level BOM'!D213,"")</f>
        <v/>
      </c>
      <c r="H213" s="4">
        <f t="shared" ref="H213:Q213" si="130">IF($A213="",H212,
    IF(H$2=$A213,$D213,
       IF(H$2&lt;$A213,H212,
           1
)))</f>
        <v>1</v>
      </c>
      <c r="I213" s="4">
        <f t="shared" si="130"/>
        <v>1</v>
      </c>
      <c r="J213" s="4">
        <f t="shared" si="130"/>
        <v>1</v>
      </c>
      <c r="K213" s="4">
        <f t="shared" si="130"/>
        <v>1</v>
      </c>
      <c r="L213" s="4">
        <f t="shared" si="130"/>
        <v>1</v>
      </c>
      <c r="M213" s="4">
        <f t="shared" si="130"/>
        <v>1</v>
      </c>
      <c r="N213" s="4">
        <f t="shared" si="130"/>
        <v>1</v>
      </c>
      <c r="O213" s="4">
        <f t="shared" si="130"/>
        <v>1</v>
      </c>
      <c r="P213" s="4">
        <f t="shared" si="130"/>
        <v>1</v>
      </c>
      <c r="Q213" s="4">
        <f t="shared" si="130"/>
        <v>1</v>
      </c>
    </row>
    <row r="214" spans="1:17" x14ac:dyDescent="0.25">
      <c r="A214" s="2">
        <v>1</v>
      </c>
      <c r="B214" s="8" t="s">
        <v>865</v>
      </c>
      <c r="D214" s="2">
        <v>1</v>
      </c>
      <c r="E214" s="1" t="str">
        <f>IF(C214="","",VLOOKUP(C214,Table1[#All],2,FALSE))</f>
        <v/>
      </c>
      <c r="F214" s="2">
        <f t="shared" ref="F214:F226" si="131">PRODUCT(H214:Q214)</f>
        <v>1</v>
      </c>
      <c r="G214" s="47">
        <f>F214*SUM(G215:G223)</f>
        <v>93.125</v>
      </c>
      <c r="H214" s="4">
        <f t="shared" ref="H214:Q214" si="132">IF($A214="",H213,
    IF(H$2=$A214,$D214,
       IF(H$2&lt;$A214,H213,
           1
)))</f>
        <v>1</v>
      </c>
      <c r="I214" s="4">
        <f t="shared" si="132"/>
        <v>1</v>
      </c>
      <c r="J214" s="4">
        <f t="shared" si="132"/>
        <v>1</v>
      </c>
      <c r="K214" s="4">
        <f t="shared" si="132"/>
        <v>1</v>
      </c>
      <c r="L214" s="4">
        <f t="shared" si="132"/>
        <v>1</v>
      </c>
      <c r="M214" s="4">
        <f t="shared" si="132"/>
        <v>1</v>
      </c>
      <c r="N214" s="4">
        <f t="shared" si="132"/>
        <v>1</v>
      </c>
      <c r="O214" s="4">
        <f t="shared" si="132"/>
        <v>1</v>
      </c>
      <c r="P214" s="4">
        <f t="shared" si="132"/>
        <v>1</v>
      </c>
      <c r="Q214" s="4">
        <f t="shared" si="132"/>
        <v>1</v>
      </c>
    </row>
    <row r="215" spans="1:17" x14ac:dyDescent="0.25">
      <c r="A215" s="2">
        <v>2</v>
      </c>
      <c r="B215" s="8" t="s">
        <v>850</v>
      </c>
      <c r="C215" s="2" t="s">
        <v>45</v>
      </c>
      <c r="D215" s="2">
        <v>2</v>
      </c>
      <c r="E215" s="1" t="str">
        <f>IF(C215="","",VLOOKUP(C215,Table1[#All],2,FALSE))</f>
        <v>Polycarbonate sheet (Heat Saver 3-Wall) 10mm, 2' x 2'</v>
      </c>
      <c r="F215" s="2">
        <f t="shared" si="131"/>
        <v>2</v>
      </c>
      <c r="G215" s="47">
        <f>IF(C215&lt;&gt;"",(VLOOKUP(C215,part_details,4,FALSE)+VLOOKUP(C215,part_details,5,FALSE)+VLOOKUP(C215,part_details,6,FALSE))*'Multi-level BOM'!D215,"")</f>
        <v>37.25</v>
      </c>
      <c r="H215" s="4">
        <f t="shared" ref="H215:Q215" si="133">IF($A215="",H214,
    IF(H$2=$A215,$D215,
       IF(H$2&lt;$A215,H214,
           1
)))</f>
        <v>1</v>
      </c>
      <c r="I215" s="4">
        <f t="shared" si="133"/>
        <v>1</v>
      </c>
      <c r="J215" s="4">
        <f t="shared" si="133"/>
        <v>2</v>
      </c>
      <c r="K215" s="4">
        <f t="shared" si="133"/>
        <v>1</v>
      </c>
      <c r="L215" s="4">
        <f t="shared" si="133"/>
        <v>1</v>
      </c>
      <c r="M215" s="4">
        <f t="shared" si="133"/>
        <v>1</v>
      </c>
      <c r="N215" s="4">
        <f t="shared" si="133"/>
        <v>1</v>
      </c>
      <c r="O215" s="4">
        <f t="shared" si="133"/>
        <v>1</v>
      </c>
      <c r="P215" s="4">
        <f t="shared" si="133"/>
        <v>1</v>
      </c>
      <c r="Q215" s="4">
        <f t="shared" si="133"/>
        <v>1</v>
      </c>
    </row>
    <row r="216" spans="1:17" x14ac:dyDescent="0.25">
      <c r="A216" s="2">
        <v>2</v>
      </c>
      <c r="B216" s="8" t="s">
        <v>851</v>
      </c>
      <c r="C216" s="2" t="s">
        <v>45</v>
      </c>
      <c r="D216" s="2">
        <v>1</v>
      </c>
      <c r="E216" s="1" t="str">
        <f>IF(C216="","",VLOOKUP(C216,Table1[#All],2,FALSE))</f>
        <v>Polycarbonate sheet (Heat Saver 3-Wall) 10mm, 2' x 2'</v>
      </c>
      <c r="F216" s="2">
        <f t="shared" si="131"/>
        <v>1</v>
      </c>
      <c r="G216" s="47">
        <f>IF(C216&lt;&gt;"",(VLOOKUP(C216,part_details,4,FALSE)+VLOOKUP(C216,part_details,5,FALSE)+VLOOKUP(C216,part_details,6,FALSE))*'Multi-level BOM'!D216,"")</f>
        <v>18.625</v>
      </c>
      <c r="H216" s="4">
        <f t="shared" ref="H216:Q216" si="134">IF($A216="",H215,
    IF(H$2=$A216,$D216,
       IF(H$2&lt;$A216,H215,
           1
)))</f>
        <v>1</v>
      </c>
      <c r="I216" s="4">
        <f t="shared" si="134"/>
        <v>1</v>
      </c>
      <c r="J216" s="4">
        <f t="shared" si="134"/>
        <v>1</v>
      </c>
      <c r="K216" s="4">
        <f t="shared" si="134"/>
        <v>1</v>
      </c>
      <c r="L216" s="4">
        <f t="shared" si="134"/>
        <v>1</v>
      </c>
      <c r="M216" s="4">
        <f t="shared" si="134"/>
        <v>1</v>
      </c>
      <c r="N216" s="4">
        <f t="shared" si="134"/>
        <v>1</v>
      </c>
      <c r="O216" s="4">
        <f t="shared" si="134"/>
        <v>1</v>
      </c>
      <c r="P216" s="4">
        <f t="shared" si="134"/>
        <v>1</v>
      </c>
      <c r="Q216" s="4">
        <f t="shared" si="134"/>
        <v>1</v>
      </c>
    </row>
    <row r="217" spans="1:17" x14ac:dyDescent="0.25">
      <c r="A217" s="2">
        <v>2</v>
      </c>
      <c r="B217" s="8" t="s">
        <v>852</v>
      </c>
      <c r="C217" s="2" t="s">
        <v>45</v>
      </c>
      <c r="D217" s="2">
        <v>1</v>
      </c>
      <c r="E217" s="1" t="str">
        <f>IF(C217="","",VLOOKUP(C217,Table1[#All],2,FALSE))</f>
        <v>Polycarbonate sheet (Heat Saver 3-Wall) 10mm, 2' x 2'</v>
      </c>
      <c r="F217" s="2">
        <f t="shared" si="131"/>
        <v>1</v>
      </c>
      <c r="G217" s="47">
        <f>IF(C217&lt;&gt;"",(VLOOKUP(C217,part_details,4,FALSE)+VLOOKUP(C217,part_details,5,FALSE)+VLOOKUP(C217,part_details,6,FALSE))*'Multi-level BOM'!D217,"")</f>
        <v>18.625</v>
      </c>
      <c r="H217" s="4">
        <f t="shared" ref="H217:Q217" si="135">IF($A217="",H216,
    IF(H$2=$A217,$D217,
       IF(H$2&lt;$A217,H216,
           1
)))</f>
        <v>1</v>
      </c>
      <c r="I217" s="4">
        <f t="shared" si="135"/>
        <v>1</v>
      </c>
      <c r="J217" s="4">
        <f t="shared" si="135"/>
        <v>1</v>
      </c>
      <c r="K217" s="4">
        <f t="shared" si="135"/>
        <v>1</v>
      </c>
      <c r="L217" s="4">
        <f t="shared" si="135"/>
        <v>1</v>
      </c>
      <c r="M217" s="4">
        <f t="shared" si="135"/>
        <v>1</v>
      </c>
      <c r="N217" s="4">
        <f t="shared" si="135"/>
        <v>1</v>
      </c>
      <c r="O217" s="4">
        <f t="shared" si="135"/>
        <v>1</v>
      </c>
      <c r="P217" s="4">
        <f t="shared" si="135"/>
        <v>1</v>
      </c>
      <c r="Q217" s="4">
        <f t="shared" si="135"/>
        <v>1</v>
      </c>
    </row>
    <row r="218" spans="1:17" x14ac:dyDescent="0.25">
      <c r="A218" s="2">
        <v>2</v>
      </c>
      <c r="B218" s="8" t="s">
        <v>853</v>
      </c>
      <c r="C218" s="2" t="s">
        <v>45</v>
      </c>
      <c r="D218" s="2">
        <v>1</v>
      </c>
      <c r="E218" s="1" t="str">
        <f>IF(C218="","",VLOOKUP(C218,Table1[#All],2,FALSE))</f>
        <v>Polycarbonate sheet (Heat Saver 3-Wall) 10mm, 2' x 2'</v>
      </c>
      <c r="F218" s="2">
        <f t="shared" si="131"/>
        <v>1</v>
      </c>
      <c r="G218" s="47">
        <f>IF(C218&lt;&gt;"",(VLOOKUP(C218,part_details,4,FALSE)+VLOOKUP(C218,part_details,5,FALSE)+VLOOKUP(C218,part_details,6,FALSE))*'Multi-level BOM'!D218,"")</f>
        <v>18.625</v>
      </c>
      <c r="H218" s="4">
        <f t="shared" ref="H218:Q218" si="136">IF($A218="",H217,
    IF(H$2=$A218,$D218,
       IF(H$2&lt;$A218,H217,
           1
)))</f>
        <v>1</v>
      </c>
      <c r="I218" s="4">
        <f t="shared" si="136"/>
        <v>1</v>
      </c>
      <c r="J218" s="4">
        <f t="shared" si="136"/>
        <v>1</v>
      </c>
      <c r="K218" s="4">
        <f t="shared" si="136"/>
        <v>1</v>
      </c>
      <c r="L218" s="4">
        <f t="shared" si="136"/>
        <v>1</v>
      </c>
      <c r="M218" s="4">
        <f t="shared" si="136"/>
        <v>1</v>
      </c>
      <c r="N218" s="4">
        <f t="shared" si="136"/>
        <v>1</v>
      </c>
      <c r="O218" s="4">
        <f t="shared" si="136"/>
        <v>1</v>
      </c>
      <c r="P218" s="4">
        <f t="shared" si="136"/>
        <v>1</v>
      </c>
      <c r="Q218" s="4">
        <f t="shared" si="136"/>
        <v>1</v>
      </c>
    </row>
    <row r="219" spans="1:17" x14ac:dyDescent="0.25">
      <c r="B219" s="36" t="s">
        <v>859</v>
      </c>
      <c r="E219" s="1" t="str">
        <f>IF(C219="","",VLOOKUP(C219,Table1[#All],2,FALSE))</f>
        <v/>
      </c>
      <c r="F219" s="2">
        <f t="shared" si="131"/>
        <v>1</v>
      </c>
      <c r="G219" s="47" t="str">
        <f>IF(C219&lt;&gt;"",VLOOKUP(C219,part_details,4,FALSE)*'Multi-level BOM'!D219,"")</f>
        <v/>
      </c>
      <c r="H219" s="4">
        <f t="shared" ref="H219:Q219" si="137">IF($A219="",H218,
    IF(H$2=$A219,$D219,
       IF(H$2&lt;$A219,H218,
           1
)))</f>
        <v>1</v>
      </c>
      <c r="I219" s="4">
        <f t="shared" si="137"/>
        <v>1</v>
      </c>
      <c r="J219" s="4">
        <f t="shared" si="137"/>
        <v>1</v>
      </c>
      <c r="K219" s="4">
        <f t="shared" si="137"/>
        <v>1</v>
      </c>
      <c r="L219" s="4">
        <f t="shared" si="137"/>
        <v>1</v>
      </c>
      <c r="M219" s="4">
        <f t="shared" si="137"/>
        <v>1</v>
      </c>
      <c r="N219" s="4">
        <f t="shared" si="137"/>
        <v>1</v>
      </c>
      <c r="O219" s="4">
        <f t="shared" si="137"/>
        <v>1</v>
      </c>
      <c r="P219" s="4">
        <f t="shared" si="137"/>
        <v>1</v>
      </c>
      <c r="Q219" s="4">
        <f t="shared" si="137"/>
        <v>1</v>
      </c>
    </row>
    <row r="220" spans="1:17" x14ac:dyDescent="0.25">
      <c r="B220" s="36" t="s">
        <v>860</v>
      </c>
      <c r="F220" s="2">
        <f t="shared" si="131"/>
        <v>1</v>
      </c>
      <c r="G220" s="47" t="str">
        <f>IF(C220&lt;&gt;"",VLOOKUP(C220,part_details,4,FALSE)*'Multi-level BOM'!D220,"")</f>
        <v/>
      </c>
      <c r="H220" s="4">
        <f t="shared" ref="H220:Q220" si="138">IF($A220="",H219,
    IF(H$2=$A220,$D220,
       IF(H$2&lt;$A220,H219,
           1
)))</f>
        <v>1</v>
      </c>
      <c r="I220" s="4">
        <f t="shared" si="138"/>
        <v>1</v>
      </c>
      <c r="J220" s="4">
        <f t="shared" si="138"/>
        <v>1</v>
      </c>
      <c r="K220" s="4">
        <f t="shared" si="138"/>
        <v>1</v>
      </c>
      <c r="L220" s="4">
        <f t="shared" si="138"/>
        <v>1</v>
      </c>
      <c r="M220" s="4">
        <f t="shared" si="138"/>
        <v>1</v>
      </c>
      <c r="N220" s="4">
        <f t="shared" si="138"/>
        <v>1</v>
      </c>
      <c r="O220" s="4">
        <f t="shared" si="138"/>
        <v>1</v>
      </c>
      <c r="P220" s="4">
        <f t="shared" si="138"/>
        <v>1</v>
      </c>
      <c r="Q220" s="4">
        <f t="shared" si="138"/>
        <v>1</v>
      </c>
    </row>
    <row r="221" spans="1:17" x14ac:dyDescent="0.25">
      <c r="B221" s="36" t="s">
        <v>861</v>
      </c>
      <c r="F221" s="2">
        <f t="shared" si="131"/>
        <v>1</v>
      </c>
      <c r="G221" s="47" t="str">
        <f>IF(C221&lt;&gt;"",VLOOKUP(C221,part_details,4,FALSE)*'Multi-level BOM'!D221,"")</f>
        <v/>
      </c>
      <c r="H221" s="4">
        <f t="shared" ref="H221:Q221" si="139">IF($A221="",H220,
    IF(H$2=$A221,$D221,
       IF(H$2&lt;$A221,H220,
           1
)))</f>
        <v>1</v>
      </c>
      <c r="I221" s="4">
        <f t="shared" si="139"/>
        <v>1</v>
      </c>
      <c r="J221" s="4">
        <f t="shared" si="139"/>
        <v>1</v>
      </c>
      <c r="K221" s="4">
        <f t="shared" si="139"/>
        <v>1</v>
      </c>
      <c r="L221" s="4">
        <f t="shared" si="139"/>
        <v>1</v>
      </c>
      <c r="M221" s="4">
        <f t="shared" si="139"/>
        <v>1</v>
      </c>
      <c r="N221" s="4">
        <f t="shared" si="139"/>
        <v>1</v>
      </c>
      <c r="O221" s="4">
        <f t="shared" si="139"/>
        <v>1</v>
      </c>
      <c r="P221" s="4">
        <f t="shared" si="139"/>
        <v>1</v>
      </c>
      <c r="Q221" s="4">
        <f t="shared" si="139"/>
        <v>1</v>
      </c>
    </row>
    <row r="222" spans="1:17" x14ac:dyDescent="0.25">
      <c r="B222" s="36" t="s">
        <v>862</v>
      </c>
      <c r="D222" s="2">
        <v>4</v>
      </c>
      <c r="F222" s="2">
        <f t="shared" si="131"/>
        <v>1</v>
      </c>
      <c r="G222" s="47" t="str">
        <f>IF(C222&lt;&gt;"",VLOOKUP(C222,part_details,4,FALSE)*'Multi-level BOM'!D222,"")</f>
        <v/>
      </c>
      <c r="H222" s="4">
        <f t="shared" ref="H222:Q222" si="140">IF($A222="",H221,
    IF(H$2=$A222,$D222,
       IF(H$2&lt;$A222,H221,
           1
)))</f>
        <v>1</v>
      </c>
      <c r="I222" s="4">
        <f t="shared" si="140"/>
        <v>1</v>
      </c>
      <c r="J222" s="4">
        <f t="shared" si="140"/>
        <v>1</v>
      </c>
      <c r="K222" s="4">
        <f t="shared" si="140"/>
        <v>1</v>
      </c>
      <c r="L222" s="4">
        <f t="shared" si="140"/>
        <v>1</v>
      </c>
      <c r="M222" s="4">
        <f t="shared" si="140"/>
        <v>1</v>
      </c>
      <c r="N222" s="4">
        <f t="shared" si="140"/>
        <v>1</v>
      </c>
      <c r="O222" s="4">
        <f t="shared" si="140"/>
        <v>1</v>
      </c>
      <c r="P222" s="4">
        <f t="shared" si="140"/>
        <v>1</v>
      </c>
      <c r="Q222" s="4">
        <f t="shared" si="140"/>
        <v>1</v>
      </c>
    </row>
    <row r="223" spans="1:17" x14ac:dyDescent="0.25">
      <c r="B223" s="36" t="s">
        <v>863</v>
      </c>
      <c r="F223" s="2">
        <f t="shared" si="131"/>
        <v>1</v>
      </c>
      <c r="G223" s="47" t="str">
        <f>IF(C223&lt;&gt;"",VLOOKUP(C223,part_details,4,FALSE)*'Multi-level BOM'!D223,"")</f>
        <v/>
      </c>
      <c r="H223" s="4">
        <f t="shared" ref="H223:Q223" si="141">IF($A223="",H222,
    IF(H$2=$A223,$D223,
       IF(H$2&lt;$A223,H222,
           1
)))</f>
        <v>1</v>
      </c>
      <c r="I223" s="4">
        <f t="shared" si="141"/>
        <v>1</v>
      </c>
      <c r="J223" s="4">
        <f t="shared" si="141"/>
        <v>1</v>
      </c>
      <c r="K223" s="4">
        <f t="shared" si="141"/>
        <v>1</v>
      </c>
      <c r="L223" s="4">
        <f t="shared" si="141"/>
        <v>1</v>
      </c>
      <c r="M223" s="4">
        <f t="shared" si="141"/>
        <v>1</v>
      </c>
      <c r="N223" s="4">
        <f t="shared" si="141"/>
        <v>1</v>
      </c>
      <c r="O223" s="4">
        <f t="shared" si="141"/>
        <v>1</v>
      </c>
      <c r="P223" s="4">
        <f t="shared" si="141"/>
        <v>1</v>
      </c>
      <c r="Q223" s="4">
        <f t="shared" si="141"/>
        <v>1</v>
      </c>
    </row>
    <row r="224" spans="1:17" x14ac:dyDescent="0.25">
      <c r="B224" s="8"/>
      <c r="F224" s="2">
        <f t="shared" si="131"/>
        <v>1</v>
      </c>
      <c r="G224" s="47" t="str">
        <f>IF(C224&lt;&gt;"",VLOOKUP(C224,part_details,4,FALSE)*'Multi-level BOM'!D224,"")</f>
        <v/>
      </c>
      <c r="H224" s="4">
        <f t="shared" ref="H224:Q224" si="142">IF($A224="",H223,
    IF(H$2=$A224,$D224,
       IF(H$2&lt;$A224,H223,
           1
)))</f>
        <v>1</v>
      </c>
      <c r="I224" s="4">
        <f t="shared" si="142"/>
        <v>1</v>
      </c>
      <c r="J224" s="4">
        <f t="shared" si="142"/>
        <v>1</v>
      </c>
      <c r="K224" s="4">
        <f t="shared" si="142"/>
        <v>1</v>
      </c>
      <c r="L224" s="4">
        <f t="shared" si="142"/>
        <v>1</v>
      </c>
      <c r="M224" s="4">
        <f t="shared" si="142"/>
        <v>1</v>
      </c>
      <c r="N224" s="4">
        <f t="shared" si="142"/>
        <v>1</v>
      </c>
      <c r="O224" s="4">
        <f t="shared" si="142"/>
        <v>1</v>
      </c>
      <c r="P224" s="4">
        <f t="shared" si="142"/>
        <v>1</v>
      </c>
      <c r="Q224" s="4">
        <f t="shared" si="142"/>
        <v>1</v>
      </c>
    </row>
    <row r="225" spans="1:17" x14ac:dyDescent="0.25">
      <c r="A225" s="2">
        <v>1</v>
      </c>
      <c r="B225" s="8" t="s">
        <v>864</v>
      </c>
      <c r="D225" s="2">
        <v>1</v>
      </c>
      <c r="E225" s="1" t="str">
        <f>IF(C225="","",VLOOKUP(C225,Table1[#All],2,FALSE))</f>
        <v/>
      </c>
      <c r="F225" s="2">
        <f t="shared" si="131"/>
        <v>1</v>
      </c>
      <c r="G225" s="47">
        <f>F225*SUM(G226:G233)</f>
        <v>194.54480000000004</v>
      </c>
      <c r="H225" s="4">
        <f t="shared" ref="H225:Q225" si="143">IF($A225="",H224,
    IF(H$2=$A225,$D225,
       IF(H$2&lt;$A225,H224,
           1
)))</f>
        <v>1</v>
      </c>
      <c r="I225" s="4">
        <f t="shared" si="143"/>
        <v>1</v>
      </c>
      <c r="J225" s="4">
        <f t="shared" si="143"/>
        <v>1</v>
      </c>
      <c r="K225" s="4">
        <f t="shared" si="143"/>
        <v>1</v>
      </c>
      <c r="L225" s="4">
        <f t="shared" si="143"/>
        <v>1</v>
      </c>
      <c r="M225" s="4">
        <f t="shared" si="143"/>
        <v>1</v>
      </c>
      <c r="N225" s="4">
        <f t="shared" si="143"/>
        <v>1</v>
      </c>
      <c r="O225" s="4">
        <f t="shared" si="143"/>
        <v>1</v>
      </c>
      <c r="P225" s="4">
        <f t="shared" si="143"/>
        <v>1</v>
      </c>
      <c r="Q225" s="4">
        <f t="shared" si="143"/>
        <v>1</v>
      </c>
    </row>
    <row r="226" spans="1:17" x14ac:dyDescent="0.25">
      <c r="A226" s="2">
        <v>2</v>
      </c>
      <c r="B226" s="8" t="s">
        <v>868</v>
      </c>
      <c r="C226" s="2" t="s">
        <v>48</v>
      </c>
      <c r="D226" s="2">
        <v>8</v>
      </c>
      <c r="E226" s="1" t="str">
        <f>IF(C226="","",VLOOKUP(C226,Table1[#All],2,FALSE))</f>
        <v>2020 Series 3-Way End Corner Bracket Connector, with Screws</v>
      </c>
      <c r="F226" s="2">
        <f t="shared" si="131"/>
        <v>8</v>
      </c>
      <c r="G226" s="47">
        <f>IF(C226&lt;&gt;"",(VLOOKUP(C226,part_details,4,FALSE)+VLOOKUP(C226,part_details,5,FALSE)+VLOOKUP(C226,part_details,6,FALSE))*'Multi-level BOM'!D226,"")</f>
        <v>23.958200000000001</v>
      </c>
      <c r="H226" s="4">
        <f t="shared" ref="H226:Q226" si="144">IF($A226="",H225,
    IF(H$2=$A226,$D226,
       IF(H$2&lt;$A226,H225,
           1
)))</f>
        <v>1</v>
      </c>
      <c r="I226" s="4">
        <f t="shared" si="144"/>
        <v>1</v>
      </c>
      <c r="J226" s="4">
        <f t="shared" si="144"/>
        <v>8</v>
      </c>
      <c r="K226" s="4">
        <f t="shared" si="144"/>
        <v>1</v>
      </c>
      <c r="L226" s="4">
        <f t="shared" si="144"/>
        <v>1</v>
      </c>
      <c r="M226" s="4">
        <f t="shared" si="144"/>
        <v>1</v>
      </c>
      <c r="N226" s="4">
        <f t="shared" si="144"/>
        <v>1</v>
      </c>
      <c r="O226" s="4">
        <f t="shared" si="144"/>
        <v>1</v>
      </c>
      <c r="P226" s="4">
        <f t="shared" si="144"/>
        <v>1</v>
      </c>
      <c r="Q226" s="4">
        <f t="shared" si="144"/>
        <v>1</v>
      </c>
    </row>
    <row r="227" spans="1:17" x14ac:dyDescent="0.25">
      <c r="A227" s="2">
        <v>2</v>
      </c>
      <c r="B227" s="8" t="s">
        <v>870</v>
      </c>
      <c r="C227" s="2" t="s">
        <v>49</v>
      </c>
      <c r="D227" s="2">
        <v>4</v>
      </c>
      <c r="E227" s="1" t="str">
        <f>IF(C227="","",VLOOKUP(C227,Table1[#All],2,FALSE))</f>
        <v>HFS5-2020 aluminum extrusion, 553mm</v>
      </c>
      <c r="F227" s="2">
        <f t="shared" ref="F227:F230" si="145">PRODUCT(H227:Q227)</f>
        <v>4</v>
      </c>
      <c r="G227" s="47">
        <f>IF(C227&lt;&gt;"",(VLOOKUP(C227,part_details,4,FALSE)+VLOOKUP(C227,part_details,5,FALSE)+VLOOKUP(C227,part_details,6,FALSE))*'Multi-level BOM'!D227,"")</f>
        <v>20.172800000000002</v>
      </c>
      <c r="H227" s="4">
        <f t="shared" ref="H227:Q227" si="146">IF($A227="",H226,
    IF(H$2=$A227,$D227,
       IF(H$2&lt;$A227,H226,
           1
)))</f>
        <v>1</v>
      </c>
      <c r="I227" s="4">
        <f t="shared" si="146"/>
        <v>1</v>
      </c>
      <c r="J227" s="4">
        <f>IF($A227="",J226,
    IF(J$2=$A227,$D227,
       IF(J$2&lt;$A227,J226,
           1
)))</f>
        <v>4</v>
      </c>
      <c r="K227" s="4">
        <f t="shared" si="146"/>
        <v>1</v>
      </c>
      <c r="L227" s="4">
        <f t="shared" si="146"/>
        <v>1</v>
      </c>
      <c r="M227" s="4">
        <f t="shared" si="146"/>
        <v>1</v>
      </c>
      <c r="N227" s="4">
        <f t="shared" si="146"/>
        <v>1</v>
      </c>
      <c r="O227" s="4">
        <f t="shared" si="146"/>
        <v>1</v>
      </c>
      <c r="P227" s="4">
        <f t="shared" si="146"/>
        <v>1</v>
      </c>
      <c r="Q227" s="4">
        <f t="shared" si="146"/>
        <v>1</v>
      </c>
    </row>
    <row r="228" spans="1:17" x14ac:dyDescent="0.25">
      <c r="A228" s="2">
        <v>2</v>
      </c>
      <c r="B228" s="8" t="s">
        <v>871</v>
      </c>
      <c r="C228" s="2" t="s">
        <v>50</v>
      </c>
      <c r="D228" s="2">
        <v>3</v>
      </c>
      <c r="E228" s="1" t="str">
        <f>IF(C228="","",VLOOKUP(C228,Table1[#All],2,FALSE))</f>
        <v>HFS5-2020 aluminum extrusion, 573mm</v>
      </c>
      <c r="F228" s="2">
        <f t="shared" si="145"/>
        <v>3</v>
      </c>
      <c r="G228" s="47">
        <f>IF(C228&lt;&gt;"",(VLOOKUP(C228,part_details,4,FALSE)+VLOOKUP(C228,part_details,5,FALSE)+VLOOKUP(C228,part_details,6,FALSE))*'Multi-level BOM'!D228,"")</f>
        <v>15.521999999999998</v>
      </c>
      <c r="H228" s="4">
        <f t="shared" ref="H228:Q228" si="147">IF($A228="",H227,
    IF(H$2=$A228,$D228,
       IF(H$2&lt;$A228,H227,
           1
)))</f>
        <v>1</v>
      </c>
      <c r="I228" s="4">
        <f t="shared" si="147"/>
        <v>1</v>
      </c>
      <c r="J228" s="4">
        <f t="shared" si="147"/>
        <v>3</v>
      </c>
      <c r="K228" s="4">
        <f t="shared" si="147"/>
        <v>1</v>
      </c>
      <c r="L228" s="4">
        <f t="shared" si="147"/>
        <v>1</v>
      </c>
      <c r="M228" s="4">
        <f t="shared" si="147"/>
        <v>1</v>
      </c>
      <c r="N228" s="4">
        <f t="shared" si="147"/>
        <v>1</v>
      </c>
      <c r="O228" s="4">
        <f t="shared" si="147"/>
        <v>1</v>
      </c>
      <c r="P228" s="4">
        <f t="shared" si="147"/>
        <v>1</v>
      </c>
      <c r="Q228" s="4">
        <f t="shared" si="147"/>
        <v>1</v>
      </c>
    </row>
    <row r="229" spans="1:17" x14ac:dyDescent="0.25">
      <c r="A229" s="2">
        <v>2</v>
      </c>
      <c r="B229" s="36" t="s">
        <v>869</v>
      </c>
      <c r="C229" s="37" t="s">
        <v>50</v>
      </c>
      <c r="D229" s="2">
        <v>1</v>
      </c>
      <c r="E229" s="1" t="str">
        <f>IF(C229="","",VLOOKUP(C229,Table1[#All],2,FALSE))</f>
        <v>HFS5-2020 aluminum extrusion, 573mm</v>
      </c>
      <c r="F229" s="2">
        <f t="shared" si="145"/>
        <v>1</v>
      </c>
      <c r="G229" s="47">
        <f>IF(C229&lt;&gt;"",(VLOOKUP(C229,part_details,4,FALSE)+VLOOKUP(C229,part_details,5,FALSE)+VLOOKUP(C229,part_details,6,FALSE))*'Multi-level BOM'!D229,"")</f>
        <v>5.1739999999999995</v>
      </c>
      <c r="H229" s="4">
        <f t="shared" ref="H229:Q229" si="148">IF($A229="",H228,
    IF(H$2=$A229,$D229,
       IF(H$2&lt;$A229,H228,
           1
)))</f>
        <v>1</v>
      </c>
      <c r="I229" s="4">
        <f t="shared" si="148"/>
        <v>1</v>
      </c>
      <c r="J229" s="4">
        <f t="shared" si="148"/>
        <v>1</v>
      </c>
      <c r="K229" s="4">
        <f t="shared" si="148"/>
        <v>1</v>
      </c>
      <c r="L229" s="4">
        <f t="shared" si="148"/>
        <v>1</v>
      </c>
      <c r="M229" s="4">
        <f t="shared" si="148"/>
        <v>1</v>
      </c>
      <c r="N229" s="4">
        <f t="shared" si="148"/>
        <v>1</v>
      </c>
      <c r="O229" s="4">
        <f t="shared" si="148"/>
        <v>1</v>
      </c>
      <c r="P229" s="4">
        <f t="shared" si="148"/>
        <v>1</v>
      </c>
      <c r="Q229" s="4">
        <f t="shared" si="148"/>
        <v>1</v>
      </c>
    </row>
    <row r="230" spans="1:17" x14ac:dyDescent="0.25">
      <c r="A230" s="2">
        <v>2</v>
      </c>
      <c r="B230" s="8" t="s">
        <v>872</v>
      </c>
      <c r="C230" s="2" t="s">
        <v>52</v>
      </c>
      <c r="D230" s="2">
        <v>4</v>
      </c>
      <c r="E230" s="1" t="str">
        <f>IF(C230="","",VLOOKUP(C230,Table1[#All],2,FALSE))</f>
        <v>HFS5-2020 aluminum extrusion, 200mm</v>
      </c>
      <c r="F230" s="2">
        <f t="shared" si="145"/>
        <v>4</v>
      </c>
      <c r="G230" s="47">
        <f>IF(C230&lt;&gt;"",(VLOOKUP(C230,part_details,4,FALSE)+VLOOKUP(C230,part_details,5,FALSE)+VLOOKUP(C230,part_details,6,FALSE))*'Multi-level BOM'!D230,"")</f>
        <v>18.210799999999999</v>
      </c>
      <c r="H230" s="4">
        <f t="shared" ref="H230:Q230" si="149">IF($A230="",H229,
    IF(H$2=$A230,$D230,
       IF(H$2&lt;$A230,H229,
           1
)))</f>
        <v>1</v>
      </c>
      <c r="I230" s="4">
        <f t="shared" si="149"/>
        <v>1</v>
      </c>
      <c r="J230" s="4">
        <f t="shared" si="149"/>
        <v>4</v>
      </c>
      <c r="K230" s="4">
        <f t="shared" si="149"/>
        <v>1</v>
      </c>
      <c r="L230" s="4">
        <f t="shared" si="149"/>
        <v>1</v>
      </c>
      <c r="M230" s="4">
        <f t="shared" si="149"/>
        <v>1</v>
      </c>
      <c r="N230" s="4">
        <f t="shared" si="149"/>
        <v>1</v>
      </c>
      <c r="O230" s="4">
        <f t="shared" si="149"/>
        <v>1</v>
      </c>
      <c r="P230" s="4">
        <f t="shared" si="149"/>
        <v>1</v>
      </c>
      <c r="Q230" s="4">
        <f t="shared" si="149"/>
        <v>1</v>
      </c>
    </row>
    <row r="231" spans="1:17" x14ac:dyDescent="0.25">
      <c r="A231" s="2">
        <v>2</v>
      </c>
      <c r="B231" s="30" t="s">
        <v>873</v>
      </c>
      <c r="C231" s="2" t="s">
        <v>54</v>
      </c>
      <c r="D231" s="2">
        <v>2</v>
      </c>
      <c r="E231" s="1" t="str">
        <f>IF(C231="","",VLOOKUP(C231,Table1[#All],2,FALSE))</f>
        <v>Lexan Sheet - Polycarbonate - .236" - 1/4" Thick, Clear, 24" x 12"</v>
      </c>
      <c r="F231" s="2">
        <f t="shared" ref="F231:F236" si="150">PRODUCT(H231:Q231)</f>
        <v>2</v>
      </c>
      <c r="G231" s="47">
        <f>IF(C231&lt;&gt;"",(VLOOKUP(C231,part_details,4,FALSE)+VLOOKUP(C231,part_details,5,FALSE)+VLOOKUP(C231,part_details,6,FALSE))*'Multi-level BOM'!D231,"")</f>
        <v>37.169000000000004</v>
      </c>
      <c r="H231" s="4">
        <f t="shared" ref="H231:Q231" si="151">IF($A231="",H230,
    IF(H$2=$A231,$D231,
       IF(H$2&lt;$A231,H230,
           1
)))</f>
        <v>1</v>
      </c>
      <c r="I231" s="4">
        <f t="shared" si="151"/>
        <v>1</v>
      </c>
      <c r="J231" s="4">
        <f t="shared" si="151"/>
        <v>2</v>
      </c>
      <c r="K231" s="4">
        <f t="shared" si="151"/>
        <v>1</v>
      </c>
      <c r="L231" s="4">
        <f t="shared" si="151"/>
        <v>1</v>
      </c>
      <c r="M231" s="4">
        <f t="shared" si="151"/>
        <v>1</v>
      </c>
      <c r="N231" s="4">
        <f t="shared" si="151"/>
        <v>1</v>
      </c>
      <c r="O231" s="4">
        <f t="shared" si="151"/>
        <v>1</v>
      </c>
      <c r="P231" s="4">
        <f t="shared" si="151"/>
        <v>1</v>
      </c>
      <c r="Q231" s="4">
        <f t="shared" si="151"/>
        <v>1</v>
      </c>
    </row>
    <row r="232" spans="1:17" x14ac:dyDescent="0.25">
      <c r="A232" s="2">
        <v>2</v>
      </c>
      <c r="B232" s="30" t="s">
        <v>874</v>
      </c>
      <c r="C232" s="2" t="s">
        <v>54</v>
      </c>
      <c r="D232" s="2">
        <v>2</v>
      </c>
      <c r="E232" s="1" t="str">
        <f>IF(C232="","",VLOOKUP(C232,Table1[#All],2,FALSE))</f>
        <v>Lexan Sheet - Polycarbonate - .236" - 1/4" Thick, Clear, 24" x 12"</v>
      </c>
      <c r="F232" s="2">
        <f t="shared" si="150"/>
        <v>2</v>
      </c>
      <c r="G232" s="47">
        <f>IF(C232&lt;&gt;"",(VLOOKUP(C232,part_details,4,FALSE)+VLOOKUP(C232,part_details,5,FALSE)+VLOOKUP(C232,part_details,6,FALSE))*'Multi-level BOM'!D232,"")</f>
        <v>37.169000000000004</v>
      </c>
      <c r="H232" s="4">
        <f t="shared" ref="H232:Q232" si="152">IF($A232="",H231,
    IF(H$2=$A232,$D232,
       IF(H$2&lt;$A232,H231,
           1
)))</f>
        <v>1</v>
      </c>
      <c r="I232" s="4">
        <f t="shared" si="152"/>
        <v>1</v>
      </c>
      <c r="J232" s="4">
        <f t="shared" si="152"/>
        <v>2</v>
      </c>
      <c r="K232" s="4">
        <f t="shared" si="152"/>
        <v>1</v>
      </c>
      <c r="L232" s="4">
        <f t="shared" si="152"/>
        <v>1</v>
      </c>
      <c r="M232" s="4">
        <f t="shared" si="152"/>
        <v>1</v>
      </c>
      <c r="N232" s="4">
        <f t="shared" si="152"/>
        <v>1</v>
      </c>
      <c r="O232" s="4">
        <f t="shared" si="152"/>
        <v>1</v>
      </c>
      <c r="P232" s="4">
        <f t="shared" si="152"/>
        <v>1</v>
      </c>
      <c r="Q232" s="4">
        <f t="shared" si="152"/>
        <v>1</v>
      </c>
    </row>
    <row r="233" spans="1:17" x14ac:dyDescent="0.25">
      <c r="A233" s="2">
        <v>2</v>
      </c>
      <c r="B233" s="30" t="s">
        <v>875</v>
      </c>
      <c r="C233" s="2" t="s">
        <v>53</v>
      </c>
      <c r="D233" s="2">
        <v>1</v>
      </c>
      <c r="E233" s="1" t="str">
        <f>IF(C233="","",VLOOKUP(C233,Table1[#All],2,FALSE))</f>
        <v>Lexan Sheet - Polycarbonate - .236" - 1/4" Thick, Clear, 24" x 12"</v>
      </c>
      <c r="F233" s="2">
        <f t="shared" si="150"/>
        <v>1</v>
      </c>
      <c r="G233" s="47">
        <f>IF(C233&lt;&gt;"",(VLOOKUP(C233,part_details,4,FALSE)+VLOOKUP(C233,part_details,5,FALSE)+VLOOKUP(C233,part_details,6,FALSE))*'Multi-level BOM'!D233,"")</f>
        <v>37.169000000000004</v>
      </c>
      <c r="H233" s="4">
        <f t="shared" ref="H233:Q233" si="153">IF($A233="",H232,
    IF(H$2=$A233,$D233,
       IF(H$2&lt;$A233,H232,
           1
)))</f>
        <v>1</v>
      </c>
      <c r="I233" s="4">
        <f t="shared" si="153"/>
        <v>1</v>
      </c>
      <c r="J233" s="4">
        <f t="shared" si="153"/>
        <v>1</v>
      </c>
      <c r="K233" s="4">
        <f t="shared" si="153"/>
        <v>1</v>
      </c>
      <c r="L233" s="4">
        <f t="shared" si="153"/>
        <v>1</v>
      </c>
      <c r="M233" s="4">
        <f t="shared" si="153"/>
        <v>1</v>
      </c>
      <c r="N233" s="4">
        <f t="shared" si="153"/>
        <v>1</v>
      </c>
      <c r="O233" s="4">
        <f t="shared" si="153"/>
        <v>1</v>
      </c>
      <c r="P233" s="4">
        <f t="shared" si="153"/>
        <v>1</v>
      </c>
      <c r="Q233" s="4">
        <f t="shared" si="153"/>
        <v>1</v>
      </c>
    </row>
    <row r="234" spans="1:17" x14ac:dyDescent="0.25">
      <c r="B234" s="30"/>
      <c r="E234" s="1" t="str">
        <f>IF(C234="","",VLOOKUP(C234,Table1[#All],2,FALSE))</f>
        <v/>
      </c>
      <c r="F234" s="2">
        <f t="shared" si="150"/>
        <v>1</v>
      </c>
      <c r="G234" s="47" t="str">
        <f>IF(C234&lt;&gt;"",VLOOKUP(C234,part_details,4,FALSE)*'Multi-level BOM'!D234,"")</f>
        <v/>
      </c>
      <c r="H234" s="4">
        <f t="shared" ref="H234:Q234" si="154">IF($A234="",H233,
    IF(H$2=$A234,$D234,
       IF(H$2&lt;$A234,H233,
           1
)))</f>
        <v>1</v>
      </c>
      <c r="I234" s="4">
        <f t="shared" si="154"/>
        <v>1</v>
      </c>
      <c r="J234" s="4">
        <f t="shared" si="154"/>
        <v>1</v>
      </c>
      <c r="K234" s="4">
        <f t="shared" si="154"/>
        <v>1</v>
      </c>
      <c r="L234" s="4">
        <f t="shared" si="154"/>
        <v>1</v>
      </c>
      <c r="M234" s="4">
        <f t="shared" si="154"/>
        <v>1</v>
      </c>
      <c r="N234" s="4">
        <f t="shared" si="154"/>
        <v>1</v>
      </c>
      <c r="O234" s="4">
        <f t="shared" si="154"/>
        <v>1</v>
      </c>
      <c r="P234" s="4">
        <f t="shared" si="154"/>
        <v>1</v>
      </c>
      <c r="Q234" s="4">
        <f t="shared" si="154"/>
        <v>1</v>
      </c>
    </row>
    <row r="235" spans="1:17" x14ac:dyDescent="0.25">
      <c r="A235" s="2">
        <v>1</v>
      </c>
      <c r="B235" s="8" t="s">
        <v>645</v>
      </c>
      <c r="D235" s="2">
        <v>1</v>
      </c>
      <c r="E235" s="1" t="str">
        <f>IF(C235="","",VLOOKUP(C235,Table1[#All],2,FALSE))</f>
        <v/>
      </c>
      <c r="F235" s="2">
        <f t="shared" si="150"/>
        <v>1</v>
      </c>
      <c r="G235" s="47">
        <f>F235*SUM(G236:G239)</f>
        <v>278.87029999999999</v>
      </c>
      <c r="H235" s="4">
        <f t="shared" ref="H235:Q235" si="155">IF($A235="",H234,
    IF(H$2=$A235,$D235,
       IF(H$2&lt;$A235,H234,
           1
)))</f>
        <v>1</v>
      </c>
      <c r="I235" s="4">
        <f t="shared" si="155"/>
        <v>1</v>
      </c>
      <c r="J235" s="4">
        <f t="shared" si="155"/>
        <v>1</v>
      </c>
      <c r="K235" s="4">
        <f t="shared" si="155"/>
        <v>1</v>
      </c>
      <c r="L235" s="4">
        <f t="shared" si="155"/>
        <v>1</v>
      </c>
      <c r="M235" s="4">
        <f t="shared" si="155"/>
        <v>1</v>
      </c>
      <c r="N235" s="4">
        <f t="shared" si="155"/>
        <v>1</v>
      </c>
      <c r="O235" s="4">
        <f t="shared" si="155"/>
        <v>1</v>
      </c>
      <c r="P235" s="4">
        <f t="shared" si="155"/>
        <v>1</v>
      </c>
      <c r="Q235" s="4">
        <f t="shared" si="155"/>
        <v>1</v>
      </c>
    </row>
    <row r="236" spans="1:17" x14ac:dyDescent="0.25">
      <c r="A236" s="2">
        <v>2</v>
      </c>
      <c r="B236" s="8" t="s">
        <v>904</v>
      </c>
      <c r="C236" s="2" t="s">
        <v>61</v>
      </c>
      <c r="D236" s="2">
        <v>1</v>
      </c>
      <c r="E236" s="1" t="str">
        <f>IF(C236="","",VLOOKUP(C236,Table1[#All],2,FALSE))</f>
        <v>Cloned Duet 2 Wifi V1.04 DuetWifi Advanced 32 Bit Electronics With 4.3" 5" 7" PanelDue Touch Screen Controller</v>
      </c>
      <c r="F236" s="2">
        <f t="shared" si="150"/>
        <v>1</v>
      </c>
      <c r="G236" s="47">
        <f>IF(C236&lt;&gt;"",(VLOOKUP(C236,part_details,4,FALSE)+VLOOKUP(C236,part_details,5,FALSE)+VLOOKUP(C236,part_details,6,FALSE))*'Multi-level BOM'!D236,"")</f>
        <v>162</v>
      </c>
      <c r="H236" s="4">
        <f t="shared" ref="H236:Q236" si="156">IF($A236="",H235,
    IF(H$2=$A236,$D236,
       IF(H$2&lt;$A236,H235,
           1
)))</f>
        <v>1</v>
      </c>
      <c r="I236" s="4">
        <f t="shared" si="156"/>
        <v>1</v>
      </c>
      <c r="J236" s="4">
        <f t="shared" si="156"/>
        <v>1</v>
      </c>
      <c r="K236" s="4">
        <f t="shared" si="156"/>
        <v>1</v>
      </c>
      <c r="L236" s="4">
        <f t="shared" si="156"/>
        <v>1</v>
      </c>
      <c r="M236" s="4">
        <f t="shared" si="156"/>
        <v>1</v>
      </c>
      <c r="N236" s="4">
        <f t="shared" si="156"/>
        <v>1</v>
      </c>
      <c r="O236" s="4">
        <f t="shared" si="156"/>
        <v>1</v>
      </c>
      <c r="P236" s="4">
        <f t="shared" si="156"/>
        <v>1</v>
      </c>
      <c r="Q236" s="4">
        <f t="shared" si="156"/>
        <v>1</v>
      </c>
    </row>
    <row r="237" spans="1:17" x14ac:dyDescent="0.25">
      <c r="A237" s="2">
        <v>2</v>
      </c>
      <c r="B237" s="8" t="s">
        <v>900</v>
      </c>
      <c r="C237" s="2" t="s">
        <v>62</v>
      </c>
      <c r="D237" s="2">
        <v>1</v>
      </c>
      <c r="E237" s="1" t="str">
        <f>IF(C237="","",VLOOKUP(C237,Table1[#All],2,FALSE))</f>
        <v>Cloned Duex5 Expansion Board Controller With TMC2660 Stepper Motor Driver Fit Thermocouple PT100 VS Duet 2 Wifi 3D Printer Parts</v>
      </c>
      <c r="F237" s="2">
        <f>PRODUCT(H237:Q237)</f>
        <v>1</v>
      </c>
      <c r="G237" s="47">
        <f>IF(C237&lt;&gt;"",(VLOOKUP(C237,part_details,4,FALSE)+VLOOKUP(C237,part_details,5,FALSE)+VLOOKUP(C237,part_details,6,FALSE))*'Multi-level BOM'!D237,"")</f>
        <v>79.08</v>
      </c>
      <c r="H237" s="4">
        <f t="shared" ref="H237:Q237" si="157">IF($A237="",H236,
    IF(H$2=$A237,$D237,
       IF(H$2&lt;$A237,H236,
           1
)))</f>
        <v>1</v>
      </c>
      <c r="I237" s="4">
        <f t="shared" si="157"/>
        <v>1</v>
      </c>
      <c r="J237" s="4">
        <f t="shared" si="157"/>
        <v>1</v>
      </c>
      <c r="K237" s="4">
        <f t="shared" si="157"/>
        <v>1</v>
      </c>
      <c r="L237" s="4">
        <f t="shared" si="157"/>
        <v>1</v>
      </c>
      <c r="M237" s="4">
        <f t="shared" si="157"/>
        <v>1</v>
      </c>
      <c r="N237" s="4">
        <f t="shared" si="157"/>
        <v>1</v>
      </c>
      <c r="O237" s="4">
        <f t="shared" si="157"/>
        <v>1</v>
      </c>
      <c r="P237" s="4">
        <f t="shared" si="157"/>
        <v>1</v>
      </c>
      <c r="Q237" s="4">
        <f t="shared" si="157"/>
        <v>1</v>
      </c>
    </row>
    <row r="238" spans="1:17" x14ac:dyDescent="0.25">
      <c r="A238" s="2">
        <v>2</v>
      </c>
      <c r="B238" s="8" t="s">
        <v>905</v>
      </c>
      <c r="C238" s="2" t="s">
        <v>63</v>
      </c>
      <c r="D238" s="2">
        <v>1</v>
      </c>
      <c r="E238" s="1" t="str">
        <f>IF(C238="","",VLOOKUP(C238,Table1[#All],2,FALSE))</f>
        <v>EAGWELL 24v 15a DC Universal Regulated Switching Power Supply 360w</v>
      </c>
      <c r="F238" s="2">
        <f t="shared" ref="F238:F301" si="158">PRODUCT(H238:Q238)</f>
        <v>1</v>
      </c>
      <c r="G238" s="47">
        <f>IF(C238&lt;&gt;"",(VLOOKUP(C238,part_details,4,FALSE)+VLOOKUP(C238,part_details,5,FALSE)+VLOOKUP(C238,part_details,6,FALSE))*'Multi-level BOM'!D238,"")</f>
        <v>26.901199999999999</v>
      </c>
      <c r="H238" s="4">
        <f t="shared" ref="H238:Q238" si="159">IF($A238="",H237,
    IF(H$2=$A238,$D238,
       IF(H$2&lt;$A238,H237,
           1
)))</f>
        <v>1</v>
      </c>
      <c r="I238" s="4">
        <f t="shared" si="159"/>
        <v>1</v>
      </c>
      <c r="J238" s="4">
        <f t="shared" si="159"/>
        <v>1</v>
      </c>
      <c r="K238" s="4">
        <f t="shared" si="159"/>
        <v>1</v>
      </c>
      <c r="L238" s="4">
        <f t="shared" si="159"/>
        <v>1</v>
      </c>
      <c r="M238" s="4">
        <f t="shared" si="159"/>
        <v>1</v>
      </c>
      <c r="N238" s="4">
        <f t="shared" si="159"/>
        <v>1</v>
      </c>
      <c r="O238" s="4">
        <f t="shared" si="159"/>
        <v>1</v>
      </c>
      <c r="P238" s="4">
        <f t="shared" si="159"/>
        <v>1</v>
      </c>
      <c r="Q238" s="4">
        <f t="shared" si="159"/>
        <v>1</v>
      </c>
    </row>
    <row r="239" spans="1:17" x14ac:dyDescent="0.25">
      <c r="A239" s="2">
        <v>2</v>
      </c>
      <c r="B239" s="8" t="s">
        <v>908</v>
      </c>
      <c r="C239" s="2" t="s">
        <v>64</v>
      </c>
      <c r="D239" s="2">
        <v>1</v>
      </c>
      <c r="E239" s="1" t="str">
        <f>IF(C239="","",VLOOKUP(C239,Table1[#All],2,FALSE))</f>
        <v>Ogrmar Solid State Relay SSR-25 DD DC-DC 25A 3-32VDC/5-200V DC SSR-25DD + Heat Sink</v>
      </c>
      <c r="F239" s="2">
        <f t="shared" si="158"/>
        <v>1</v>
      </c>
      <c r="G239" s="47">
        <f>IF(C239&lt;&gt;"",(VLOOKUP(C239,part_details,4,FALSE)+VLOOKUP(C239,part_details,5,FALSE)+VLOOKUP(C239,part_details,6,FALSE))*'Multi-level BOM'!D239,"")</f>
        <v>10.889100000000001</v>
      </c>
      <c r="H239" s="4">
        <f t="shared" ref="H239:Q239" si="160">IF($A239="",H238,
    IF(H$2=$A239,$D239,
       IF(H$2&lt;$A239,H238,
           1
)))</f>
        <v>1</v>
      </c>
      <c r="I239" s="4">
        <f t="shared" si="160"/>
        <v>1</v>
      </c>
      <c r="J239" s="4">
        <f t="shared" si="160"/>
        <v>1</v>
      </c>
      <c r="K239" s="4">
        <f t="shared" si="160"/>
        <v>1</v>
      </c>
      <c r="L239" s="4">
        <f t="shared" si="160"/>
        <v>1</v>
      </c>
      <c r="M239" s="4">
        <f t="shared" si="160"/>
        <v>1</v>
      </c>
      <c r="N239" s="4">
        <f t="shared" si="160"/>
        <v>1</v>
      </c>
      <c r="O239" s="4">
        <f t="shared" si="160"/>
        <v>1</v>
      </c>
      <c r="P239" s="4">
        <f t="shared" si="160"/>
        <v>1</v>
      </c>
      <c r="Q239" s="4">
        <f t="shared" si="160"/>
        <v>1</v>
      </c>
    </row>
    <row r="240" spans="1:17" x14ac:dyDescent="0.25">
      <c r="B240" s="8"/>
      <c r="E240" s="1" t="str">
        <f>IF(C240="","",VLOOKUP(C240,Table1[#All],2,FALSE))</f>
        <v/>
      </c>
      <c r="F240" s="2">
        <f t="shared" si="158"/>
        <v>1</v>
      </c>
      <c r="G240" s="46" t="str">
        <f>IF(C240&lt;&gt;"",VLOOKUP(C240,part_details,4,FALSE)*'Multi-level BOM'!D240,"")</f>
        <v/>
      </c>
      <c r="H240" s="4">
        <f t="shared" ref="H240:Q240" si="161">IF($A240="",H239,
    IF(H$2=$A240,$D240,
       IF(H$2&lt;$A240,H239,
           1
)))</f>
        <v>1</v>
      </c>
      <c r="I240" s="4">
        <f t="shared" si="161"/>
        <v>1</v>
      </c>
      <c r="J240" s="4">
        <f t="shared" si="161"/>
        <v>1</v>
      </c>
      <c r="K240" s="4">
        <f t="shared" si="161"/>
        <v>1</v>
      </c>
      <c r="L240" s="4">
        <f t="shared" si="161"/>
        <v>1</v>
      </c>
      <c r="M240" s="4">
        <f t="shared" si="161"/>
        <v>1</v>
      </c>
      <c r="N240" s="4">
        <f t="shared" si="161"/>
        <v>1</v>
      </c>
      <c r="O240" s="4">
        <f t="shared" si="161"/>
        <v>1</v>
      </c>
      <c r="P240" s="4">
        <f t="shared" si="161"/>
        <v>1</v>
      </c>
      <c r="Q240" s="4">
        <f t="shared" si="161"/>
        <v>1</v>
      </c>
    </row>
    <row r="241" spans="2:17" x14ac:dyDescent="0.25">
      <c r="B241" s="8"/>
      <c r="E241" s="1" t="str">
        <f>IF(C241="","",VLOOKUP(C241,Table1[#All],2,FALSE))</f>
        <v/>
      </c>
      <c r="F241" s="2">
        <f t="shared" si="158"/>
        <v>1</v>
      </c>
      <c r="G241" s="46" t="str">
        <f>IF(C241&lt;&gt;"",VLOOKUP(C241,part_details,4,FALSE)*'Multi-level BOM'!D241,"")</f>
        <v/>
      </c>
      <c r="H241" s="4">
        <f t="shared" ref="H241:Q241" si="162">IF($A241="",H240,
    IF(H$2=$A241,$D241,
       IF(H$2&lt;$A241,H240,
           1
)))</f>
        <v>1</v>
      </c>
      <c r="I241" s="4">
        <f t="shared" si="162"/>
        <v>1</v>
      </c>
      <c r="J241" s="4">
        <f t="shared" si="162"/>
        <v>1</v>
      </c>
      <c r="K241" s="4">
        <f t="shared" si="162"/>
        <v>1</v>
      </c>
      <c r="L241" s="4">
        <f t="shared" si="162"/>
        <v>1</v>
      </c>
      <c r="M241" s="4">
        <f t="shared" si="162"/>
        <v>1</v>
      </c>
      <c r="N241" s="4">
        <f t="shared" si="162"/>
        <v>1</v>
      </c>
      <c r="O241" s="4">
        <f t="shared" si="162"/>
        <v>1</v>
      </c>
      <c r="P241" s="4">
        <f t="shared" si="162"/>
        <v>1</v>
      </c>
      <c r="Q241" s="4">
        <f t="shared" si="162"/>
        <v>1</v>
      </c>
    </row>
    <row r="242" spans="2:17" x14ac:dyDescent="0.25">
      <c r="B242" s="8"/>
      <c r="E242" s="1" t="str">
        <f>IF(C242="","",VLOOKUP(C242,Table1[#All],2,FALSE))</f>
        <v/>
      </c>
      <c r="F242" s="2">
        <f t="shared" si="158"/>
        <v>1</v>
      </c>
      <c r="G242" s="46" t="str">
        <f>IF(C242&lt;&gt;"",VLOOKUP(C242,part_details,4,FALSE)*'Multi-level BOM'!D242,"")</f>
        <v/>
      </c>
      <c r="H242" s="4">
        <f t="shared" ref="H242:Q242" si="163">IF($A242="",H241,
    IF(H$2=$A242,$D242,
       IF(H$2&lt;$A242,H241,
           1
)))</f>
        <v>1</v>
      </c>
      <c r="I242" s="4">
        <f t="shared" si="163"/>
        <v>1</v>
      </c>
      <c r="J242" s="4">
        <f t="shared" si="163"/>
        <v>1</v>
      </c>
      <c r="K242" s="4">
        <f t="shared" si="163"/>
        <v>1</v>
      </c>
      <c r="L242" s="4">
        <f t="shared" si="163"/>
        <v>1</v>
      </c>
      <c r="M242" s="4">
        <f t="shared" si="163"/>
        <v>1</v>
      </c>
      <c r="N242" s="4">
        <f t="shared" si="163"/>
        <v>1</v>
      </c>
      <c r="O242" s="4">
        <f t="shared" si="163"/>
        <v>1</v>
      </c>
      <c r="P242" s="4">
        <f t="shared" si="163"/>
        <v>1</v>
      </c>
      <c r="Q242" s="4">
        <f t="shared" si="163"/>
        <v>1</v>
      </c>
    </row>
    <row r="243" spans="2:17" x14ac:dyDescent="0.25">
      <c r="B243" s="8"/>
      <c r="E243" s="1" t="str">
        <f>IF(C243="","",VLOOKUP(C243,Table1[#All],2,FALSE))</f>
        <v/>
      </c>
      <c r="F243" s="2">
        <f t="shared" si="158"/>
        <v>1</v>
      </c>
      <c r="G243" s="46" t="str">
        <f>IF(C243&lt;&gt;"",VLOOKUP(C243,part_details,4,FALSE)*'Multi-level BOM'!D243,"")</f>
        <v/>
      </c>
      <c r="H243" s="4">
        <f t="shared" ref="H243:Q243" si="164">IF($A243="",H242,
    IF(H$2=$A243,$D243,
       IF(H$2&lt;$A243,H242,
           1
)))</f>
        <v>1</v>
      </c>
      <c r="I243" s="4">
        <f t="shared" si="164"/>
        <v>1</v>
      </c>
      <c r="J243" s="4">
        <f t="shared" si="164"/>
        <v>1</v>
      </c>
      <c r="K243" s="4">
        <f t="shared" si="164"/>
        <v>1</v>
      </c>
      <c r="L243" s="4">
        <f t="shared" si="164"/>
        <v>1</v>
      </c>
      <c r="M243" s="4">
        <f t="shared" si="164"/>
        <v>1</v>
      </c>
      <c r="N243" s="4">
        <f t="shared" si="164"/>
        <v>1</v>
      </c>
      <c r="O243" s="4">
        <f t="shared" si="164"/>
        <v>1</v>
      </c>
      <c r="P243" s="4">
        <f t="shared" si="164"/>
        <v>1</v>
      </c>
      <c r="Q243" s="4">
        <f t="shared" si="164"/>
        <v>1</v>
      </c>
    </row>
    <row r="244" spans="2:17" x14ac:dyDescent="0.25">
      <c r="B244" s="8"/>
      <c r="E244" s="1" t="str">
        <f>IF(C244="","",VLOOKUP(C244,Table1[#All],2,FALSE))</f>
        <v/>
      </c>
      <c r="F244" s="2">
        <f t="shared" si="158"/>
        <v>1</v>
      </c>
      <c r="G244" s="46" t="str">
        <f>IF(C244&lt;&gt;"",VLOOKUP(C244,part_details,4,FALSE)*'Multi-level BOM'!D244,"")</f>
        <v/>
      </c>
      <c r="H244" s="4">
        <f t="shared" ref="H244:Q244" si="165">IF($A244="",H243,
    IF(H$2=$A244,$D244,
       IF(H$2&lt;$A244,H243,
           1
)))</f>
        <v>1</v>
      </c>
      <c r="I244" s="4">
        <f t="shared" si="165"/>
        <v>1</v>
      </c>
      <c r="J244" s="4">
        <f t="shared" si="165"/>
        <v>1</v>
      </c>
      <c r="K244" s="4">
        <f t="shared" si="165"/>
        <v>1</v>
      </c>
      <c r="L244" s="4">
        <f t="shared" si="165"/>
        <v>1</v>
      </c>
      <c r="M244" s="4">
        <f t="shared" si="165"/>
        <v>1</v>
      </c>
      <c r="N244" s="4">
        <f t="shared" si="165"/>
        <v>1</v>
      </c>
      <c r="O244" s="4">
        <f t="shared" si="165"/>
        <v>1</v>
      </c>
      <c r="P244" s="4">
        <f t="shared" si="165"/>
        <v>1</v>
      </c>
      <c r="Q244" s="4">
        <f t="shared" si="165"/>
        <v>1</v>
      </c>
    </row>
    <row r="245" spans="2:17" x14ac:dyDescent="0.25">
      <c r="B245" s="8"/>
      <c r="E245" s="1" t="str">
        <f>IF(C245="","",VLOOKUP(C245,Table1[#All],2,FALSE))</f>
        <v/>
      </c>
      <c r="F245" s="2">
        <f t="shared" si="158"/>
        <v>1</v>
      </c>
      <c r="G245" s="46" t="str">
        <f>IF(C245&lt;&gt;"",VLOOKUP(C245,part_details,4,FALSE)*'Multi-level BOM'!D245,"")</f>
        <v/>
      </c>
      <c r="H245" s="4">
        <f t="shared" ref="H245:Q245" si="166">IF($A245="",H244,
    IF(H$2=$A245,$D245,
       IF(H$2&lt;$A245,H244,
           1
)))</f>
        <v>1</v>
      </c>
      <c r="I245" s="4">
        <f t="shared" si="166"/>
        <v>1</v>
      </c>
      <c r="J245" s="4">
        <f t="shared" si="166"/>
        <v>1</v>
      </c>
      <c r="K245" s="4">
        <f t="shared" si="166"/>
        <v>1</v>
      </c>
      <c r="L245" s="4">
        <f t="shared" si="166"/>
        <v>1</v>
      </c>
      <c r="M245" s="4">
        <f t="shared" si="166"/>
        <v>1</v>
      </c>
      <c r="N245" s="4">
        <f t="shared" si="166"/>
        <v>1</v>
      </c>
      <c r="O245" s="4">
        <f t="shared" si="166"/>
        <v>1</v>
      </c>
      <c r="P245" s="4">
        <f t="shared" si="166"/>
        <v>1</v>
      </c>
      <c r="Q245" s="4">
        <f t="shared" si="166"/>
        <v>1</v>
      </c>
    </row>
    <row r="246" spans="2:17" x14ac:dyDescent="0.25">
      <c r="B246" s="8"/>
      <c r="E246" s="1" t="str">
        <f>IF(C246="","",VLOOKUP(C246,Table1[#All],2,FALSE))</f>
        <v/>
      </c>
      <c r="F246" s="2">
        <f t="shared" si="158"/>
        <v>1</v>
      </c>
      <c r="G246" s="46" t="str">
        <f>IF(C246&lt;&gt;"",VLOOKUP(C246,part_details,4,FALSE)*'Multi-level BOM'!D246,"")</f>
        <v/>
      </c>
      <c r="H246" s="4">
        <f t="shared" ref="H246:Q246" si="167">IF($A246="",H245,
    IF(H$2=$A246,$D246,
       IF(H$2&lt;$A246,H245,
           1
)))</f>
        <v>1</v>
      </c>
      <c r="I246" s="4">
        <f t="shared" si="167"/>
        <v>1</v>
      </c>
      <c r="J246" s="4">
        <f t="shared" si="167"/>
        <v>1</v>
      </c>
      <c r="K246" s="4">
        <f t="shared" si="167"/>
        <v>1</v>
      </c>
      <c r="L246" s="4">
        <f t="shared" si="167"/>
        <v>1</v>
      </c>
      <c r="M246" s="4">
        <f t="shared" si="167"/>
        <v>1</v>
      </c>
      <c r="N246" s="4">
        <f t="shared" si="167"/>
        <v>1</v>
      </c>
      <c r="O246" s="4">
        <f t="shared" si="167"/>
        <v>1</v>
      </c>
      <c r="P246" s="4">
        <f t="shared" si="167"/>
        <v>1</v>
      </c>
      <c r="Q246" s="4">
        <f t="shared" si="167"/>
        <v>1</v>
      </c>
    </row>
    <row r="247" spans="2:17" x14ac:dyDescent="0.25">
      <c r="B247" s="8"/>
      <c r="E247" s="1" t="str">
        <f>IF(C247="","",VLOOKUP(C247,Table1[#All],2,FALSE))</f>
        <v/>
      </c>
      <c r="F247" s="2">
        <f t="shared" si="158"/>
        <v>1</v>
      </c>
      <c r="G247" s="46" t="str">
        <f>IF(C247&lt;&gt;"",VLOOKUP(C247,part_details,4,FALSE)*'Multi-level BOM'!D247,"")</f>
        <v/>
      </c>
      <c r="H247" s="4">
        <f t="shared" ref="H247:Q247" si="168">IF($A247="",H246,
    IF(H$2=$A247,$D247,
       IF(H$2&lt;$A247,H246,
           1
)))</f>
        <v>1</v>
      </c>
      <c r="I247" s="4">
        <f t="shared" si="168"/>
        <v>1</v>
      </c>
      <c r="J247" s="4">
        <f t="shared" si="168"/>
        <v>1</v>
      </c>
      <c r="K247" s="4">
        <f t="shared" si="168"/>
        <v>1</v>
      </c>
      <c r="L247" s="4">
        <f t="shared" si="168"/>
        <v>1</v>
      </c>
      <c r="M247" s="4">
        <f t="shared" si="168"/>
        <v>1</v>
      </c>
      <c r="N247" s="4">
        <f t="shared" si="168"/>
        <v>1</v>
      </c>
      <c r="O247" s="4">
        <f t="shared" si="168"/>
        <v>1</v>
      </c>
      <c r="P247" s="4">
        <f t="shared" si="168"/>
        <v>1</v>
      </c>
      <c r="Q247" s="4">
        <f t="shared" si="168"/>
        <v>1</v>
      </c>
    </row>
    <row r="248" spans="2:17" x14ac:dyDescent="0.25">
      <c r="B248" s="8"/>
      <c r="E248" s="1" t="str">
        <f>IF(C248="","",VLOOKUP(C248,Table1[#All],2,FALSE))</f>
        <v/>
      </c>
      <c r="F248" s="2">
        <f t="shared" si="158"/>
        <v>1</v>
      </c>
      <c r="G248" s="46" t="str">
        <f>IF(C248&lt;&gt;"",VLOOKUP(C248,part_details,4,FALSE)*'Multi-level BOM'!D248,"")</f>
        <v/>
      </c>
      <c r="H248" s="4">
        <f t="shared" ref="H248:Q248" si="169">IF($A248="",H247,
    IF(H$2=$A248,$D248,
       IF(H$2&lt;$A248,H247,
           1
)))</f>
        <v>1</v>
      </c>
      <c r="I248" s="4">
        <f t="shared" si="169"/>
        <v>1</v>
      </c>
      <c r="J248" s="4">
        <f t="shared" si="169"/>
        <v>1</v>
      </c>
      <c r="K248" s="4">
        <f t="shared" si="169"/>
        <v>1</v>
      </c>
      <c r="L248" s="4">
        <f t="shared" si="169"/>
        <v>1</v>
      </c>
      <c r="M248" s="4">
        <f t="shared" si="169"/>
        <v>1</v>
      </c>
      <c r="N248" s="4">
        <f t="shared" si="169"/>
        <v>1</v>
      </c>
      <c r="O248" s="4">
        <f t="shared" si="169"/>
        <v>1</v>
      </c>
      <c r="P248" s="4">
        <f t="shared" si="169"/>
        <v>1</v>
      </c>
      <c r="Q248" s="4">
        <f t="shared" si="169"/>
        <v>1</v>
      </c>
    </row>
    <row r="249" spans="2:17" x14ac:dyDescent="0.25">
      <c r="B249" s="8"/>
      <c r="E249" s="1" t="str">
        <f>IF(C249="","",VLOOKUP(C249,Table1[#All],2,FALSE))</f>
        <v/>
      </c>
      <c r="F249" s="2">
        <f t="shared" si="158"/>
        <v>1</v>
      </c>
      <c r="G249" s="46" t="str">
        <f>IF(C249&lt;&gt;"",VLOOKUP(C249,part_details,4,FALSE)*'Multi-level BOM'!D249,"")</f>
        <v/>
      </c>
      <c r="H249" s="4">
        <f t="shared" ref="H249:Q249" si="170">IF($A249="",H248,
    IF(H$2=$A249,$D249,
       IF(H$2&lt;$A249,H248,
           1
)))</f>
        <v>1</v>
      </c>
      <c r="I249" s="4">
        <f t="shared" si="170"/>
        <v>1</v>
      </c>
      <c r="J249" s="4">
        <f t="shared" si="170"/>
        <v>1</v>
      </c>
      <c r="K249" s="4">
        <f t="shared" si="170"/>
        <v>1</v>
      </c>
      <c r="L249" s="4">
        <f t="shared" si="170"/>
        <v>1</v>
      </c>
      <c r="M249" s="4">
        <f t="shared" si="170"/>
        <v>1</v>
      </c>
      <c r="N249" s="4">
        <f t="shared" si="170"/>
        <v>1</v>
      </c>
      <c r="O249" s="4">
        <f t="shared" si="170"/>
        <v>1</v>
      </c>
      <c r="P249" s="4">
        <f t="shared" si="170"/>
        <v>1</v>
      </c>
      <c r="Q249" s="4">
        <f t="shared" si="170"/>
        <v>1</v>
      </c>
    </row>
    <row r="250" spans="2:17" x14ac:dyDescent="0.25">
      <c r="B250" s="8"/>
      <c r="E250" s="1" t="str">
        <f>IF(C250="","",VLOOKUP(C250,Table1[#All],2,FALSE))</f>
        <v/>
      </c>
      <c r="F250" s="2">
        <f t="shared" si="158"/>
        <v>1</v>
      </c>
      <c r="G250" s="46" t="str">
        <f>IF(C250&lt;&gt;"",VLOOKUP(C250,part_details,4,FALSE)*'Multi-level BOM'!D250,"")</f>
        <v/>
      </c>
      <c r="H250" s="4">
        <f t="shared" ref="H250:Q250" si="171">IF($A250="",H249,
    IF(H$2=$A250,$D250,
       IF(H$2&lt;$A250,H249,
           1
)))</f>
        <v>1</v>
      </c>
      <c r="I250" s="4">
        <f t="shared" si="171"/>
        <v>1</v>
      </c>
      <c r="J250" s="4">
        <f t="shared" si="171"/>
        <v>1</v>
      </c>
      <c r="K250" s="4">
        <f t="shared" si="171"/>
        <v>1</v>
      </c>
      <c r="L250" s="4">
        <f t="shared" si="171"/>
        <v>1</v>
      </c>
      <c r="M250" s="4">
        <f t="shared" si="171"/>
        <v>1</v>
      </c>
      <c r="N250" s="4">
        <f t="shared" si="171"/>
        <v>1</v>
      </c>
      <c r="O250" s="4">
        <f t="shared" si="171"/>
        <v>1</v>
      </c>
      <c r="P250" s="4">
        <f t="shared" si="171"/>
        <v>1</v>
      </c>
      <c r="Q250" s="4">
        <f t="shared" si="171"/>
        <v>1</v>
      </c>
    </row>
    <row r="251" spans="2:17" x14ac:dyDescent="0.25">
      <c r="B251" s="8"/>
      <c r="E251" s="1" t="str">
        <f>IF(C251="","",VLOOKUP(C251,Table1[#All],2,FALSE))</f>
        <v/>
      </c>
      <c r="F251" s="2">
        <f t="shared" si="158"/>
        <v>1</v>
      </c>
      <c r="G251" s="46" t="str">
        <f>IF(C251&lt;&gt;"",VLOOKUP(C251,part_details,4,FALSE)*'Multi-level BOM'!D251,"")</f>
        <v/>
      </c>
      <c r="H251" s="4">
        <f t="shared" ref="H251:Q251" si="172">IF($A251="",H250,
    IF(H$2=$A251,$D251,
       IF(H$2&lt;$A251,H250,
           1
)))</f>
        <v>1</v>
      </c>
      <c r="I251" s="4">
        <f t="shared" si="172"/>
        <v>1</v>
      </c>
      <c r="J251" s="4">
        <f t="shared" si="172"/>
        <v>1</v>
      </c>
      <c r="K251" s="4">
        <f t="shared" si="172"/>
        <v>1</v>
      </c>
      <c r="L251" s="4">
        <f t="shared" si="172"/>
        <v>1</v>
      </c>
      <c r="M251" s="4">
        <f t="shared" si="172"/>
        <v>1</v>
      </c>
      <c r="N251" s="4">
        <f t="shared" si="172"/>
        <v>1</v>
      </c>
      <c r="O251" s="4">
        <f t="shared" si="172"/>
        <v>1</v>
      </c>
      <c r="P251" s="4">
        <f t="shared" si="172"/>
        <v>1</v>
      </c>
      <c r="Q251" s="4">
        <f t="shared" si="172"/>
        <v>1</v>
      </c>
    </row>
    <row r="252" spans="2:17" x14ac:dyDescent="0.25">
      <c r="B252" s="8"/>
      <c r="E252" s="1" t="str">
        <f>IF(C252="","",VLOOKUP(C252,Table1[#All],2,FALSE))</f>
        <v/>
      </c>
      <c r="F252" s="2">
        <f t="shared" si="158"/>
        <v>1</v>
      </c>
      <c r="G252" s="46" t="str">
        <f>IF(C252&lt;&gt;"",VLOOKUP(C252,part_details,4,FALSE)*'Multi-level BOM'!D252,"")</f>
        <v/>
      </c>
      <c r="H252" s="4">
        <f t="shared" ref="H252:Q252" si="173">IF($A252="",H251,
    IF(H$2=$A252,$D252,
       IF(H$2&lt;$A252,H251,
           1
)))</f>
        <v>1</v>
      </c>
      <c r="I252" s="4">
        <f t="shared" si="173"/>
        <v>1</v>
      </c>
      <c r="J252" s="4">
        <f t="shared" si="173"/>
        <v>1</v>
      </c>
      <c r="K252" s="4">
        <f t="shared" si="173"/>
        <v>1</v>
      </c>
      <c r="L252" s="4">
        <f t="shared" si="173"/>
        <v>1</v>
      </c>
      <c r="M252" s="4">
        <f t="shared" si="173"/>
        <v>1</v>
      </c>
      <c r="N252" s="4">
        <f t="shared" si="173"/>
        <v>1</v>
      </c>
      <c r="O252" s="4">
        <f t="shared" si="173"/>
        <v>1</v>
      </c>
      <c r="P252" s="4">
        <f t="shared" si="173"/>
        <v>1</v>
      </c>
      <c r="Q252" s="4">
        <f t="shared" si="173"/>
        <v>1</v>
      </c>
    </row>
    <row r="253" spans="2:17" x14ac:dyDescent="0.25">
      <c r="B253" s="8"/>
      <c r="E253" s="1" t="str">
        <f>IF(C253="","",VLOOKUP(C253,Table1[#All],2,FALSE))</f>
        <v/>
      </c>
      <c r="F253" s="2">
        <f t="shared" si="158"/>
        <v>1</v>
      </c>
      <c r="G253" s="46" t="str">
        <f>IF(C253&lt;&gt;"",VLOOKUP(C253,part_details,4,FALSE)*'Multi-level BOM'!D253,"")</f>
        <v/>
      </c>
      <c r="H253" s="4">
        <f t="shared" ref="H253:Q253" si="174">IF($A253="",H252,
    IF(H$2=$A253,$D253,
       IF(H$2&lt;$A253,H252,
           1
)))</f>
        <v>1</v>
      </c>
      <c r="I253" s="4">
        <f t="shared" si="174"/>
        <v>1</v>
      </c>
      <c r="J253" s="4">
        <f t="shared" si="174"/>
        <v>1</v>
      </c>
      <c r="K253" s="4">
        <f t="shared" si="174"/>
        <v>1</v>
      </c>
      <c r="L253" s="4">
        <f t="shared" si="174"/>
        <v>1</v>
      </c>
      <c r="M253" s="4">
        <f t="shared" si="174"/>
        <v>1</v>
      </c>
      <c r="N253" s="4">
        <f t="shared" si="174"/>
        <v>1</v>
      </c>
      <c r="O253" s="4">
        <f t="shared" si="174"/>
        <v>1</v>
      </c>
      <c r="P253" s="4">
        <f t="shared" si="174"/>
        <v>1</v>
      </c>
      <c r="Q253" s="4">
        <f t="shared" si="174"/>
        <v>1</v>
      </c>
    </row>
    <row r="254" spans="2:17" x14ac:dyDescent="0.25">
      <c r="B254" s="8"/>
      <c r="E254" s="1" t="str">
        <f>IF(C254="","",VLOOKUP(C254,Table1[#All],2,FALSE))</f>
        <v/>
      </c>
      <c r="F254" s="2">
        <f t="shared" si="158"/>
        <v>1</v>
      </c>
      <c r="G254" s="46" t="str">
        <f>IF(C254&lt;&gt;"",VLOOKUP(C254,part_details,4,FALSE)*'Multi-level BOM'!D254,"")</f>
        <v/>
      </c>
      <c r="H254" s="4">
        <f t="shared" ref="H254:Q254" si="175">IF($A254="",H253,
    IF(H$2=$A254,$D254,
       IF(H$2&lt;$A254,H253,
           1
)))</f>
        <v>1</v>
      </c>
      <c r="I254" s="4">
        <f t="shared" si="175"/>
        <v>1</v>
      </c>
      <c r="J254" s="4">
        <f t="shared" si="175"/>
        <v>1</v>
      </c>
      <c r="K254" s="4">
        <f t="shared" si="175"/>
        <v>1</v>
      </c>
      <c r="L254" s="4">
        <f t="shared" si="175"/>
        <v>1</v>
      </c>
      <c r="M254" s="4">
        <f t="shared" si="175"/>
        <v>1</v>
      </c>
      <c r="N254" s="4">
        <f t="shared" si="175"/>
        <v>1</v>
      </c>
      <c r="O254" s="4">
        <f t="shared" si="175"/>
        <v>1</v>
      </c>
      <c r="P254" s="4">
        <f t="shared" si="175"/>
        <v>1</v>
      </c>
      <c r="Q254" s="4">
        <f t="shared" si="175"/>
        <v>1</v>
      </c>
    </row>
    <row r="255" spans="2:17" x14ac:dyDescent="0.25">
      <c r="B255" s="8"/>
      <c r="E255" s="1" t="str">
        <f>IF(C255="","",VLOOKUP(C255,Table1[#All],2,FALSE))</f>
        <v/>
      </c>
      <c r="F255" s="2">
        <f t="shared" si="158"/>
        <v>1</v>
      </c>
      <c r="G255" s="46" t="str">
        <f>IF(C255&lt;&gt;"",VLOOKUP(C255,part_details,4,FALSE)*'Multi-level BOM'!D255,"")</f>
        <v/>
      </c>
      <c r="H255" s="4">
        <f t="shared" ref="H255:Q255" si="176">IF($A255="",H254,
    IF(H$2=$A255,$D255,
       IF(H$2&lt;$A255,H254,
           1
)))</f>
        <v>1</v>
      </c>
      <c r="I255" s="4">
        <f t="shared" si="176"/>
        <v>1</v>
      </c>
      <c r="J255" s="4">
        <f t="shared" si="176"/>
        <v>1</v>
      </c>
      <c r="K255" s="4">
        <f t="shared" si="176"/>
        <v>1</v>
      </c>
      <c r="L255" s="4">
        <f t="shared" si="176"/>
        <v>1</v>
      </c>
      <c r="M255" s="4">
        <f t="shared" si="176"/>
        <v>1</v>
      </c>
      <c r="N255" s="4">
        <f t="shared" si="176"/>
        <v>1</v>
      </c>
      <c r="O255" s="4">
        <f t="shared" si="176"/>
        <v>1</v>
      </c>
      <c r="P255" s="4">
        <f t="shared" si="176"/>
        <v>1</v>
      </c>
      <c r="Q255" s="4">
        <f t="shared" si="176"/>
        <v>1</v>
      </c>
    </row>
    <row r="256" spans="2:17" x14ac:dyDescent="0.25">
      <c r="B256" s="8"/>
      <c r="E256" s="1" t="str">
        <f>IF(C256="","",VLOOKUP(C256,Table1[#All],2,FALSE))</f>
        <v/>
      </c>
      <c r="F256" s="2">
        <f t="shared" si="158"/>
        <v>1</v>
      </c>
      <c r="G256" s="46" t="str">
        <f>IF(C256&lt;&gt;"",VLOOKUP(C256,part_details,4,FALSE)*'Multi-level BOM'!D256,"")</f>
        <v/>
      </c>
      <c r="H256" s="4">
        <f t="shared" ref="H256:Q256" si="177">IF($A256="",H255,
    IF(H$2=$A256,$D256,
       IF(H$2&lt;$A256,H255,
           1
)))</f>
        <v>1</v>
      </c>
      <c r="I256" s="4">
        <f t="shared" si="177"/>
        <v>1</v>
      </c>
      <c r="J256" s="4">
        <f t="shared" si="177"/>
        <v>1</v>
      </c>
      <c r="K256" s="4">
        <f t="shared" si="177"/>
        <v>1</v>
      </c>
      <c r="L256" s="4">
        <f t="shared" si="177"/>
        <v>1</v>
      </c>
      <c r="M256" s="4">
        <f t="shared" si="177"/>
        <v>1</v>
      </c>
      <c r="N256" s="4">
        <f t="shared" si="177"/>
        <v>1</v>
      </c>
      <c r="O256" s="4">
        <f t="shared" si="177"/>
        <v>1</v>
      </c>
      <c r="P256" s="4">
        <f t="shared" si="177"/>
        <v>1</v>
      </c>
      <c r="Q256" s="4">
        <f t="shared" si="177"/>
        <v>1</v>
      </c>
    </row>
    <row r="257" spans="2:17" x14ac:dyDescent="0.25">
      <c r="B257" s="8"/>
      <c r="E257" s="1" t="str">
        <f>IF(C257="","",VLOOKUP(C257,Table1[#All],2,FALSE))</f>
        <v/>
      </c>
      <c r="F257" s="2">
        <f t="shared" si="158"/>
        <v>1</v>
      </c>
      <c r="G257" s="46" t="str">
        <f>IF(C257&lt;&gt;"",VLOOKUP(C257,part_details,4,FALSE)*'Multi-level BOM'!D257,"")</f>
        <v/>
      </c>
      <c r="H257" s="4">
        <f t="shared" ref="H257:Q257" si="178">IF($A257="",H256,
    IF(H$2=$A257,$D257,
       IF(H$2&lt;$A257,H256,
           1
)))</f>
        <v>1</v>
      </c>
      <c r="I257" s="4">
        <f t="shared" si="178"/>
        <v>1</v>
      </c>
      <c r="J257" s="4">
        <f t="shared" si="178"/>
        <v>1</v>
      </c>
      <c r="K257" s="4">
        <f t="shared" si="178"/>
        <v>1</v>
      </c>
      <c r="L257" s="4">
        <f t="shared" si="178"/>
        <v>1</v>
      </c>
      <c r="M257" s="4">
        <f t="shared" si="178"/>
        <v>1</v>
      </c>
      <c r="N257" s="4">
        <f t="shared" si="178"/>
        <v>1</v>
      </c>
      <c r="O257" s="4">
        <f t="shared" si="178"/>
        <v>1</v>
      </c>
      <c r="P257" s="4">
        <f t="shared" si="178"/>
        <v>1</v>
      </c>
      <c r="Q257" s="4">
        <f t="shared" si="178"/>
        <v>1</v>
      </c>
    </row>
    <row r="258" spans="2:17" x14ac:dyDescent="0.25">
      <c r="B258" s="8"/>
      <c r="E258" s="1" t="str">
        <f>IF(C258="","",VLOOKUP(C258,Table1[#All],2,FALSE))</f>
        <v/>
      </c>
      <c r="F258" s="2">
        <f t="shared" si="158"/>
        <v>1</v>
      </c>
      <c r="G258" s="46" t="str">
        <f>IF(C258&lt;&gt;"",VLOOKUP(C258,part_details,4,FALSE)*'Multi-level BOM'!D258,"")</f>
        <v/>
      </c>
      <c r="H258" s="4">
        <f t="shared" ref="H258:Q258" si="179">IF($A258="",H257,
    IF(H$2=$A258,$D258,
       IF(H$2&lt;$A258,H257,
           1
)))</f>
        <v>1</v>
      </c>
      <c r="I258" s="4">
        <f t="shared" si="179"/>
        <v>1</v>
      </c>
      <c r="J258" s="4">
        <f t="shared" si="179"/>
        <v>1</v>
      </c>
      <c r="K258" s="4">
        <f t="shared" si="179"/>
        <v>1</v>
      </c>
      <c r="L258" s="4">
        <f t="shared" si="179"/>
        <v>1</v>
      </c>
      <c r="M258" s="4">
        <f t="shared" si="179"/>
        <v>1</v>
      </c>
      <c r="N258" s="4">
        <f t="shared" si="179"/>
        <v>1</v>
      </c>
      <c r="O258" s="4">
        <f t="shared" si="179"/>
        <v>1</v>
      </c>
      <c r="P258" s="4">
        <f t="shared" si="179"/>
        <v>1</v>
      </c>
      <c r="Q258" s="4">
        <f t="shared" si="179"/>
        <v>1</v>
      </c>
    </row>
    <row r="259" spans="2:17" x14ac:dyDescent="0.25">
      <c r="B259" s="8"/>
      <c r="E259" s="1" t="str">
        <f>IF(C259="","",VLOOKUP(C259,Table1[#All],2,FALSE))</f>
        <v/>
      </c>
      <c r="F259" s="2">
        <f t="shared" si="158"/>
        <v>1</v>
      </c>
      <c r="G259" s="46" t="str">
        <f>IF(C259&lt;&gt;"",VLOOKUP(C259,part_details,4,FALSE)*'Multi-level BOM'!D259,"")</f>
        <v/>
      </c>
      <c r="H259" s="4">
        <f t="shared" ref="H259:Q259" si="180">IF($A259="",H258,
    IF(H$2=$A259,$D259,
       IF(H$2&lt;$A259,H258,
           1
)))</f>
        <v>1</v>
      </c>
      <c r="I259" s="4">
        <f t="shared" si="180"/>
        <v>1</v>
      </c>
      <c r="J259" s="4">
        <f t="shared" si="180"/>
        <v>1</v>
      </c>
      <c r="K259" s="4">
        <f t="shared" si="180"/>
        <v>1</v>
      </c>
      <c r="L259" s="4">
        <f t="shared" si="180"/>
        <v>1</v>
      </c>
      <c r="M259" s="4">
        <f t="shared" si="180"/>
        <v>1</v>
      </c>
      <c r="N259" s="4">
        <f t="shared" si="180"/>
        <v>1</v>
      </c>
      <c r="O259" s="4">
        <f t="shared" si="180"/>
        <v>1</v>
      </c>
      <c r="P259" s="4">
        <f t="shared" si="180"/>
        <v>1</v>
      </c>
      <c r="Q259" s="4">
        <f t="shared" si="180"/>
        <v>1</v>
      </c>
    </row>
    <row r="260" spans="2:17" x14ac:dyDescent="0.25">
      <c r="B260" s="8"/>
      <c r="E260" s="1" t="str">
        <f>IF(C260="","",VLOOKUP(C260,Table1[#All],2,FALSE))</f>
        <v/>
      </c>
      <c r="F260" s="2">
        <f t="shared" si="158"/>
        <v>1</v>
      </c>
      <c r="G260" s="46" t="str">
        <f>IF(C260&lt;&gt;"",VLOOKUP(C260,part_details,4,FALSE)*'Multi-level BOM'!D260,"")</f>
        <v/>
      </c>
      <c r="H260" s="4">
        <f t="shared" ref="H260:Q260" si="181">IF($A260="",H259,
    IF(H$2=$A260,$D260,
       IF(H$2&lt;$A260,H259,
           1
)))</f>
        <v>1</v>
      </c>
      <c r="I260" s="4">
        <f t="shared" si="181"/>
        <v>1</v>
      </c>
      <c r="J260" s="4">
        <f t="shared" si="181"/>
        <v>1</v>
      </c>
      <c r="K260" s="4">
        <f t="shared" si="181"/>
        <v>1</v>
      </c>
      <c r="L260" s="4">
        <f t="shared" si="181"/>
        <v>1</v>
      </c>
      <c r="M260" s="4">
        <f t="shared" si="181"/>
        <v>1</v>
      </c>
      <c r="N260" s="4">
        <f t="shared" si="181"/>
        <v>1</v>
      </c>
      <c r="O260" s="4">
        <f t="shared" si="181"/>
        <v>1</v>
      </c>
      <c r="P260" s="4">
        <f t="shared" si="181"/>
        <v>1</v>
      </c>
      <c r="Q260" s="4">
        <f t="shared" si="181"/>
        <v>1</v>
      </c>
    </row>
    <row r="261" spans="2:17" x14ac:dyDescent="0.25">
      <c r="B261" s="8"/>
      <c r="E261" s="1" t="str">
        <f>IF(C261="","",VLOOKUP(C261,Table1[#All],2,FALSE))</f>
        <v/>
      </c>
      <c r="F261" s="2">
        <f t="shared" si="158"/>
        <v>1</v>
      </c>
      <c r="G261" s="46" t="str">
        <f>IF(C261&lt;&gt;"",VLOOKUP(C261,part_details,4,FALSE)*'Multi-level BOM'!D261,"")</f>
        <v/>
      </c>
      <c r="H261" s="4">
        <f t="shared" ref="H261:Q261" si="182">IF($A261="",H260,
    IF(H$2=$A261,$D261,
       IF(H$2&lt;$A261,H260,
           1
)))</f>
        <v>1</v>
      </c>
      <c r="I261" s="4">
        <f t="shared" si="182"/>
        <v>1</v>
      </c>
      <c r="J261" s="4">
        <f t="shared" si="182"/>
        <v>1</v>
      </c>
      <c r="K261" s="4">
        <f t="shared" si="182"/>
        <v>1</v>
      </c>
      <c r="L261" s="4">
        <f t="shared" si="182"/>
        <v>1</v>
      </c>
      <c r="M261" s="4">
        <f t="shared" si="182"/>
        <v>1</v>
      </c>
      <c r="N261" s="4">
        <f t="shared" si="182"/>
        <v>1</v>
      </c>
      <c r="O261" s="4">
        <f t="shared" si="182"/>
        <v>1</v>
      </c>
      <c r="P261" s="4">
        <f t="shared" si="182"/>
        <v>1</v>
      </c>
      <c r="Q261" s="4">
        <f t="shared" si="182"/>
        <v>1</v>
      </c>
    </row>
    <row r="262" spans="2:17" x14ac:dyDescent="0.25">
      <c r="B262" s="8"/>
      <c r="E262" s="1" t="str">
        <f>IF(C262="","",VLOOKUP(C262,Table1[#All],2,FALSE))</f>
        <v/>
      </c>
      <c r="F262" s="2">
        <f t="shared" si="158"/>
        <v>1</v>
      </c>
      <c r="G262" s="46" t="str">
        <f>IF(C262&lt;&gt;"",VLOOKUP(C262,part_details,4,FALSE)*'Multi-level BOM'!D262,"")</f>
        <v/>
      </c>
      <c r="H262" s="4">
        <f t="shared" ref="H262:Q262" si="183">IF($A262="",H261,
    IF(H$2=$A262,$D262,
       IF(H$2&lt;$A262,H261,
           1
)))</f>
        <v>1</v>
      </c>
      <c r="I262" s="4">
        <f t="shared" si="183"/>
        <v>1</v>
      </c>
      <c r="J262" s="4">
        <f t="shared" si="183"/>
        <v>1</v>
      </c>
      <c r="K262" s="4">
        <f t="shared" si="183"/>
        <v>1</v>
      </c>
      <c r="L262" s="4">
        <f t="shared" si="183"/>
        <v>1</v>
      </c>
      <c r="M262" s="4">
        <f t="shared" si="183"/>
        <v>1</v>
      </c>
      <c r="N262" s="4">
        <f t="shared" si="183"/>
        <v>1</v>
      </c>
      <c r="O262" s="4">
        <f t="shared" si="183"/>
        <v>1</v>
      </c>
      <c r="P262" s="4">
        <f t="shared" si="183"/>
        <v>1</v>
      </c>
      <c r="Q262" s="4">
        <f t="shared" si="183"/>
        <v>1</v>
      </c>
    </row>
    <row r="263" spans="2:17" x14ac:dyDescent="0.25">
      <c r="B263" s="8"/>
      <c r="E263" s="1" t="str">
        <f>IF(C263="","",VLOOKUP(C263,Table1[#All],2,FALSE))</f>
        <v/>
      </c>
      <c r="F263" s="2">
        <f t="shared" si="158"/>
        <v>1</v>
      </c>
      <c r="G263" s="46" t="str">
        <f>IF(C263&lt;&gt;"",VLOOKUP(C263,part_details,4,FALSE)*'Multi-level BOM'!D263,"")</f>
        <v/>
      </c>
      <c r="H263" s="4">
        <f t="shared" ref="H263:Q263" si="184">IF($A263="",H262,
    IF(H$2=$A263,$D263,
       IF(H$2&lt;$A263,H262,
           1
)))</f>
        <v>1</v>
      </c>
      <c r="I263" s="4">
        <f t="shared" si="184"/>
        <v>1</v>
      </c>
      <c r="J263" s="4">
        <f t="shared" si="184"/>
        <v>1</v>
      </c>
      <c r="K263" s="4">
        <f t="shared" si="184"/>
        <v>1</v>
      </c>
      <c r="L263" s="4">
        <f t="shared" si="184"/>
        <v>1</v>
      </c>
      <c r="M263" s="4">
        <f t="shared" si="184"/>
        <v>1</v>
      </c>
      <c r="N263" s="4">
        <f t="shared" si="184"/>
        <v>1</v>
      </c>
      <c r="O263" s="4">
        <f t="shared" si="184"/>
        <v>1</v>
      </c>
      <c r="P263" s="4">
        <f t="shared" si="184"/>
        <v>1</v>
      </c>
      <c r="Q263" s="4">
        <f t="shared" si="184"/>
        <v>1</v>
      </c>
    </row>
    <row r="264" spans="2:17" x14ac:dyDescent="0.25">
      <c r="B264" s="8"/>
      <c r="E264" s="1" t="str">
        <f>IF(C264="","",VLOOKUP(C264,Table1[#All],2,FALSE))</f>
        <v/>
      </c>
      <c r="F264" s="2">
        <f t="shared" si="158"/>
        <v>1</v>
      </c>
      <c r="G264" s="46" t="str">
        <f>IF(C264&lt;&gt;"",VLOOKUP(C264,part_details,4,FALSE)*'Multi-level BOM'!D264,"")</f>
        <v/>
      </c>
      <c r="H264" s="4">
        <f t="shared" ref="H264:Q264" si="185">IF($A264="",H263,
    IF(H$2=$A264,$D264,
       IF(H$2&lt;$A264,H263,
           1
)))</f>
        <v>1</v>
      </c>
      <c r="I264" s="4">
        <f t="shared" si="185"/>
        <v>1</v>
      </c>
      <c r="J264" s="4">
        <f t="shared" si="185"/>
        <v>1</v>
      </c>
      <c r="K264" s="4">
        <f t="shared" si="185"/>
        <v>1</v>
      </c>
      <c r="L264" s="4">
        <f t="shared" si="185"/>
        <v>1</v>
      </c>
      <c r="M264" s="4">
        <f t="shared" si="185"/>
        <v>1</v>
      </c>
      <c r="N264" s="4">
        <f t="shared" si="185"/>
        <v>1</v>
      </c>
      <c r="O264" s="4">
        <f t="shared" si="185"/>
        <v>1</v>
      </c>
      <c r="P264" s="4">
        <f t="shared" si="185"/>
        <v>1</v>
      </c>
      <c r="Q264" s="4">
        <f t="shared" si="185"/>
        <v>1</v>
      </c>
    </row>
    <row r="265" spans="2:17" x14ac:dyDescent="0.25">
      <c r="B265" s="8"/>
      <c r="E265" s="1" t="str">
        <f>IF(C265="","",VLOOKUP(C265,Table1[#All],2,FALSE))</f>
        <v/>
      </c>
      <c r="F265" s="2">
        <f t="shared" si="158"/>
        <v>1</v>
      </c>
      <c r="G265" s="46" t="str">
        <f>IF(C265&lt;&gt;"",VLOOKUP(C265,part_details,4,FALSE)*'Multi-level BOM'!D265,"")</f>
        <v/>
      </c>
      <c r="H265" s="4">
        <f t="shared" ref="H265:Q265" si="186">IF($A265="",H264,
    IF(H$2=$A265,$D265,
       IF(H$2&lt;$A265,H264,
           1
)))</f>
        <v>1</v>
      </c>
      <c r="I265" s="4">
        <f t="shared" si="186"/>
        <v>1</v>
      </c>
      <c r="J265" s="4">
        <f t="shared" si="186"/>
        <v>1</v>
      </c>
      <c r="K265" s="4">
        <f t="shared" si="186"/>
        <v>1</v>
      </c>
      <c r="L265" s="4">
        <f t="shared" si="186"/>
        <v>1</v>
      </c>
      <c r="M265" s="4">
        <f t="shared" si="186"/>
        <v>1</v>
      </c>
      <c r="N265" s="4">
        <f t="shared" si="186"/>
        <v>1</v>
      </c>
      <c r="O265" s="4">
        <f t="shared" si="186"/>
        <v>1</v>
      </c>
      <c r="P265" s="4">
        <f t="shared" si="186"/>
        <v>1</v>
      </c>
      <c r="Q265" s="4">
        <f t="shared" si="186"/>
        <v>1</v>
      </c>
    </row>
    <row r="266" spans="2:17" x14ac:dyDescent="0.25">
      <c r="B266" s="8"/>
      <c r="E266" s="1" t="str">
        <f>IF(C266="","",VLOOKUP(C266,Table1[#All],2,FALSE))</f>
        <v/>
      </c>
      <c r="F266" s="2">
        <f t="shared" si="158"/>
        <v>1</v>
      </c>
      <c r="G266" s="46" t="str">
        <f>IF(C266&lt;&gt;"",VLOOKUP(C266,part_details,4,FALSE)*'Multi-level BOM'!D266,"")</f>
        <v/>
      </c>
      <c r="H266" s="4">
        <f t="shared" ref="H266:Q266" si="187">IF($A266="",H265,
    IF(H$2=$A266,$D266,
       IF(H$2&lt;$A266,H265,
           1
)))</f>
        <v>1</v>
      </c>
      <c r="I266" s="4">
        <f t="shared" si="187"/>
        <v>1</v>
      </c>
      <c r="J266" s="4">
        <f t="shared" si="187"/>
        <v>1</v>
      </c>
      <c r="K266" s="4">
        <f t="shared" si="187"/>
        <v>1</v>
      </c>
      <c r="L266" s="4">
        <f t="shared" si="187"/>
        <v>1</v>
      </c>
      <c r="M266" s="4">
        <f t="shared" si="187"/>
        <v>1</v>
      </c>
      <c r="N266" s="4">
        <f t="shared" si="187"/>
        <v>1</v>
      </c>
      <c r="O266" s="4">
        <f t="shared" si="187"/>
        <v>1</v>
      </c>
      <c r="P266" s="4">
        <f t="shared" si="187"/>
        <v>1</v>
      </c>
      <c r="Q266" s="4">
        <f t="shared" si="187"/>
        <v>1</v>
      </c>
    </row>
    <row r="267" spans="2:17" x14ac:dyDescent="0.25">
      <c r="B267" s="8"/>
      <c r="E267" s="1" t="str">
        <f>IF(C267="","",VLOOKUP(C267,Table1[#All],2,FALSE))</f>
        <v/>
      </c>
      <c r="F267" s="2">
        <f t="shared" si="158"/>
        <v>1</v>
      </c>
      <c r="G267" s="46" t="str">
        <f>IF(C267&lt;&gt;"",VLOOKUP(C267,part_details,4,FALSE)*'Multi-level BOM'!D267,"")</f>
        <v/>
      </c>
      <c r="H267" s="4">
        <f t="shared" ref="H267:Q267" si="188">IF($A267="",H266,
    IF(H$2=$A267,$D267,
       IF(H$2&lt;$A267,H266,
           1
)))</f>
        <v>1</v>
      </c>
      <c r="I267" s="4">
        <f t="shared" si="188"/>
        <v>1</v>
      </c>
      <c r="J267" s="4">
        <f t="shared" si="188"/>
        <v>1</v>
      </c>
      <c r="K267" s="4">
        <f t="shared" si="188"/>
        <v>1</v>
      </c>
      <c r="L267" s="4">
        <f t="shared" si="188"/>
        <v>1</v>
      </c>
      <c r="M267" s="4">
        <f t="shared" si="188"/>
        <v>1</v>
      </c>
      <c r="N267" s="4">
        <f t="shared" si="188"/>
        <v>1</v>
      </c>
      <c r="O267" s="4">
        <f t="shared" si="188"/>
        <v>1</v>
      </c>
      <c r="P267" s="4">
        <f t="shared" si="188"/>
        <v>1</v>
      </c>
      <c r="Q267" s="4">
        <f t="shared" si="188"/>
        <v>1</v>
      </c>
    </row>
    <row r="268" spans="2:17" x14ac:dyDescent="0.25">
      <c r="B268" s="8"/>
      <c r="E268" s="1" t="str">
        <f>IF(C268="","",VLOOKUP(C268,Table1[#All],2,FALSE))</f>
        <v/>
      </c>
      <c r="F268" s="2">
        <f t="shared" si="158"/>
        <v>1</v>
      </c>
      <c r="G268" s="46" t="str">
        <f>IF(C268&lt;&gt;"",VLOOKUP(C268,part_details,4,FALSE)*'Multi-level BOM'!D268,"")</f>
        <v/>
      </c>
      <c r="H268" s="4">
        <f t="shared" ref="H268:Q268" si="189">IF($A268="",H267,
    IF(H$2=$A268,$D268,
       IF(H$2&lt;$A268,H267,
           1
)))</f>
        <v>1</v>
      </c>
      <c r="I268" s="4">
        <f t="shared" si="189"/>
        <v>1</v>
      </c>
      <c r="J268" s="4">
        <f t="shared" si="189"/>
        <v>1</v>
      </c>
      <c r="K268" s="4">
        <f t="shared" si="189"/>
        <v>1</v>
      </c>
      <c r="L268" s="4">
        <f t="shared" si="189"/>
        <v>1</v>
      </c>
      <c r="M268" s="4">
        <f t="shared" si="189"/>
        <v>1</v>
      </c>
      <c r="N268" s="4">
        <f t="shared" si="189"/>
        <v>1</v>
      </c>
      <c r="O268" s="4">
        <f t="shared" si="189"/>
        <v>1</v>
      </c>
      <c r="P268" s="4">
        <f t="shared" si="189"/>
        <v>1</v>
      </c>
      <c r="Q268" s="4">
        <f t="shared" si="189"/>
        <v>1</v>
      </c>
    </row>
    <row r="269" spans="2:17" x14ac:dyDescent="0.25">
      <c r="B269" s="8"/>
      <c r="E269" s="1" t="str">
        <f>IF(C269="","",VLOOKUP(C269,Table1[#All],2,FALSE))</f>
        <v/>
      </c>
      <c r="F269" s="2">
        <f t="shared" si="158"/>
        <v>1</v>
      </c>
      <c r="G269" s="46" t="str">
        <f>IF(C269&lt;&gt;"",VLOOKUP(C269,part_details,4,FALSE)*'Multi-level BOM'!D269,"")</f>
        <v/>
      </c>
      <c r="H269" s="4">
        <f t="shared" ref="H269:Q269" si="190">IF($A269="",H268,
    IF(H$2=$A269,$D269,
       IF(H$2&lt;$A269,H268,
           1
)))</f>
        <v>1</v>
      </c>
      <c r="I269" s="4">
        <f t="shared" si="190"/>
        <v>1</v>
      </c>
      <c r="J269" s="4">
        <f t="shared" si="190"/>
        <v>1</v>
      </c>
      <c r="K269" s="4">
        <f t="shared" si="190"/>
        <v>1</v>
      </c>
      <c r="L269" s="4">
        <f t="shared" si="190"/>
        <v>1</v>
      </c>
      <c r="M269" s="4">
        <f t="shared" si="190"/>
        <v>1</v>
      </c>
      <c r="N269" s="4">
        <f t="shared" si="190"/>
        <v>1</v>
      </c>
      <c r="O269" s="4">
        <f t="shared" si="190"/>
        <v>1</v>
      </c>
      <c r="P269" s="4">
        <f t="shared" si="190"/>
        <v>1</v>
      </c>
      <c r="Q269" s="4">
        <f t="shared" si="190"/>
        <v>1</v>
      </c>
    </row>
    <row r="270" spans="2:17" x14ac:dyDescent="0.25">
      <c r="B270" s="8"/>
      <c r="E270" s="1" t="str">
        <f>IF(C270="","",VLOOKUP(C270,Table1[#All],2,FALSE))</f>
        <v/>
      </c>
      <c r="F270" s="2">
        <f t="shared" si="158"/>
        <v>1</v>
      </c>
      <c r="G270" s="46" t="str">
        <f>IF(C270&lt;&gt;"",VLOOKUP(C270,part_details,4,FALSE)*'Multi-level BOM'!D270,"")</f>
        <v/>
      </c>
      <c r="H270" s="4">
        <f t="shared" ref="H270:Q270" si="191">IF($A270="",H269,
    IF(H$2=$A270,$D270,
       IF(H$2&lt;$A270,H269,
           1
)))</f>
        <v>1</v>
      </c>
      <c r="I270" s="4">
        <f t="shared" si="191"/>
        <v>1</v>
      </c>
      <c r="J270" s="4">
        <f t="shared" si="191"/>
        <v>1</v>
      </c>
      <c r="K270" s="4">
        <f t="shared" si="191"/>
        <v>1</v>
      </c>
      <c r="L270" s="4">
        <f t="shared" si="191"/>
        <v>1</v>
      </c>
      <c r="M270" s="4">
        <f t="shared" si="191"/>
        <v>1</v>
      </c>
      <c r="N270" s="4">
        <f t="shared" si="191"/>
        <v>1</v>
      </c>
      <c r="O270" s="4">
        <f t="shared" si="191"/>
        <v>1</v>
      </c>
      <c r="P270" s="4">
        <f t="shared" si="191"/>
        <v>1</v>
      </c>
      <c r="Q270" s="4">
        <f t="shared" si="191"/>
        <v>1</v>
      </c>
    </row>
    <row r="271" spans="2:17" x14ac:dyDescent="0.25">
      <c r="B271" s="8"/>
      <c r="E271" s="1" t="str">
        <f>IF(C271="","",VLOOKUP(C271,Table1[#All],2,FALSE))</f>
        <v/>
      </c>
      <c r="F271" s="2">
        <f t="shared" si="158"/>
        <v>1</v>
      </c>
      <c r="G271" s="46" t="str">
        <f>IF(C271&lt;&gt;"",VLOOKUP(C271,part_details,4,FALSE)*'Multi-level BOM'!D271,"")</f>
        <v/>
      </c>
      <c r="H271" s="4">
        <f t="shared" ref="H271:Q271" si="192">IF($A271="",H270,
    IF(H$2=$A271,$D271,
       IF(H$2&lt;$A271,H270,
           1
)))</f>
        <v>1</v>
      </c>
      <c r="I271" s="4">
        <f t="shared" si="192"/>
        <v>1</v>
      </c>
      <c r="J271" s="4">
        <f t="shared" si="192"/>
        <v>1</v>
      </c>
      <c r="K271" s="4">
        <f t="shared" si="192"/>
        <v>1</v>
      </c>
      <c r="L271" s="4">
        <f t="shared" si="192"/>
        <v>1</v>
      </c>
      <c r="M271" s="4">
        <f t="shared" si="192"/>
        <v>1</v>
      </c>
      <c r="N271" s="4">
        <f t="shared" si="192"/>
        <v>1</v>
      </c>
      <c r="O271" s="4">
        <f t="shared" si="192"/>
        <v>1</v>
      </c>
      <c r="P271" s="4">
        <f t="shared" si="192"/>
        <v>1</v>
      </c>
      <c r="Q271" s="4">
        <f t="shared" si="192"/>
        <v>1</v>
      </c>
    </row>
    <row r="272" spans="2:17" x14ac:dyDescent="0.25">
      <c r="B272" s="8"/>
      <c r="E272" s="1" t="str">
        <f>IF(C272="","",VLOOKUP(C272,Table1[#All],2,FALSE))</f>
        <v/>
      </c>
      <c r="F272" s="2">
        <f t="shared" si="158"/>
        <v>1</v>
      </c>
      <c r="G272" s="46" t="str">
        <f>IF(C272&lt;&gt;"",VLOOKUP(C272,part_details,4,FALSE)*'Multi-level BOM'!D272,"")</f>
        <v/>
      </c>
      <c r="H272" s="4">
        <f t="shared" ref="H272:Q272" si="193">IF($A272="",H271,
    IF(H$2=$A272,$D272,
       IF(H$2&lt;$A272,H271,
           1
)))</f>
        <v>1</v>
      </c>
      <c r="I272" s="4">
        <f t="shared" si="193"/>
        <v>1</v>
      </c>
      <c r="J272" s="4">
        <f t="shared" si="193"/>
        <v>1</v>
      </c>
      <c r="K272" s="4">
        <f t="shared" si="193"/>
        <v>1</v>
      </c>
      <c r="L272" s="4">
        <f t="shared" si="193"/>
        <v>1</v>
      </c>
      <c r="M272" s="4">
        <f t="shared" si="193"/>
        <v>1</v>
      </c>
      <c r="N272" s="4">
        <f t="shared" si="193"/>
        <v>1</v>
      </c>
      <c r="O272" s="4">
        <f t="shared" si="193"/>
        <v>1</v>
      </c>
      <c r="P272" s="4">
        <f t="shared" si="193"/>
        <v>1</v>
      </c>
      <c r="Q272" s="4">
        <f t="shared" si="193"/>
        <v>1</v>
      </c>
    </row>
    <row r="273" spans="2:17" x14ac:dyDescent="0.25">
      <c r="B273" s="8"/>
      <c r="E273" s="1" t="str">
        <f>IF(C273="","",VLOOKUP(C273,Table1[#All],2,FALSE))</f>
        <v/>
      </c>
      <c r="F273" s="2">
        <f t="shared" si="158"/>
        <v>1</v>
      </c>
      <c r="G273" s="46" t="str">
        <f>IF(C273&lt;&gt;"",VLOOKUP(C273,part_details,4,FALSE)*'Multi-level BOM'!D273,"")</f>
        <v/>
      </c>
      <c r="H273" s="4">
        <f t="shared" ref="H273:Q273" si="194">IF($A273="",H272,
    IF(H$2=$A273,$D273,
       IF(H$2&lt;$A273,H272,
           1
)))</f>
        <v>1</v>
      </c>
      <c r="I273" s="4">
        <f t="shared" si="194"/>
        <v>1</v>
      </c>
      <c r="J273" s="4">
        <f t="shared" si="194"/>
        <v>1</v>
      </c>
      <c r="K273" s="4">
        <f t="shared" si="194"/>
        <v>1</v>
      </c>
      <c r="L273" s="4">
        <f t="shared" si="194"/>
        <v>1</v>
      </c>
      <c r="M273" s="4">
        <f t="shared" si="194"/>
        <v>1</v>
      </c>
      <c r="N273" s="4">
        <f t="shared" si="194"/>
        <v>1</v>
      </c>
      <c r="O273" s="4">
        <f t="shared" si="194"/>
        <v>1</v>
      </c>
      <c r="P273" s="4">
        <f t="shared" si="194"/>
        <v>1</v>
      </c>
      <c r="Q273" s="4">
        <f t="shared" si="194"/>
        <v>1</v>
      </c>
    </row>
    <row r="274" spans="2:17" x14ac:dyDescent="0.25">
      <c r="B274" s="8"/>
      <c r="E274" s="1" t="str">
        <f>IF(C274="","",VLOOKUP(C274,Table1[#All],2,FALSE))</f>
        <v/>
      </c>
      <c r="F274" s="2">
        <f t="shared" si="158"/>
        <v>1</v>
      </c>
      <c r="G274" s="46" t="str">
        <f>IF(C274&lt;&gt;"",VLOOKUP(C274,part_details,4,FALSE)*'Multi-level BOM'!D274,"")</f>
        <v/>
      </c>
      <c r="H274" s="4">
        <f t="shared" ref="H274:Q274" si="195">IF($A274="",H273,
    IF(H$2=$A274,$D274,
       IF(H$2&lt;$A274,H273,
           1
)))</f>
        <v>1</v>
      </c>
      <c r="I274" s="4">
        <f t="shared" si="195"/>
        <v>1</v>
      </c>
      <c r="J274" s="4">
        <f t="shared" si="195"/>
        <v>1</v>
      </c>
      <c r="K274" s="4">
        <f t="shared" si="195"/>
        <v>1</v>
      </c>
      <c r="L274" s="4">
        <f t="shared" si="195"/>
        <v>1</v>
      </c>
      <c r="M274" s="4">
        <f t="shared" si="195"/>
        <v>1</v>
      </c>
      <c r="N274" s="4">
        <f t="shared" si="195"/>
        <v>1</v>
      </c>
      <c r="O274" s="4">
        <f t="shared" si="195"/>
        <v>1</v>
      </c>
      <c r="P274" s="4">
        <f t="shared" si="195"/>
        <v>1</v>
      </c>
      <c r="Q274" s="4">
        <f t="shared" si="195"/>
        <v>1</v>
      </c>
    </row>
    <row r="275" spans="2:17" x14ac:dyDescent="0.25">
      <c r="B275" s="8"/>
      <c r="E275" s="1" t="str">
        <f>IF(C275="","",VLOOKUP(C275,Table1[#All],2,FALSE))</f>
        <v/>
      </c>
      <c r="F275" s="2">
        <f t="shared" si="158"/>
        <v>1</v>
      </c>
      <c r="G275" s="46" t="str">
        <f>IF(C275&lt;&gt;"",VLOOKUP(C275,part_details,4,FALSE)*'Multi-level BOM'!D275,"")</f>
        <v/>
      </c>
      <c r="H275" s="4">
        <f t="shared" ref="H275:Q275" si="196">IF($A275="",H274,
    IF(H$2=$A275,$D275,
       IF(H$2&lt;$A275,H274,
           1
)))</f>
        <v>1</v>
      </c>
      <c r="I275" s="4">
        <f t="shared" si="196"/>
        <v>1</v>
      </c>
      <c r="J275" s="4">
        <f t="shared" si="196"/>
        <v>1</v>
      </c>
      <c r="K275" s="4">
        <f t="shared" si="196"/>
        <v>1</v>
      </c>
      <c r="L275" s="4">
        <f t="shared" si="196"/>
        <v>1</v>
      </c>
      <c r="M275" s="4">
        <f t="shared" si="196"/>
        <v>1</v>
      </c>
      <c r="N275" s="4">
        <f t="shared" si="196"/>
        <v>1</v>
      </c>
      <c r="O275" s="4">
        <f t="shared" si="196"/>
        <v>1</v>
      </c>
      <c r="P275" s="4">
        <f t="shared" si="196"/>
        <v>1</v>
      </c>
      <c r="Q275" s="4">
        <f t="shared" si="196"/>
        <v>1</v>
      </c>
    </row>
    <row r="276" spans="2:17" x14ac:dyDescent="0.25">
      <c r="B276" s="8"/>
      <c r="E276" s="1" t="str">
        <f>IF(C276="","",VLOOKUP(C276,Table1[#All],2,FALSE))</f>
        <v/>
      </c>
      <c r="F276" s="2">
        <f t="shared" si="158"/>
        <v>1</v>
      </c>
      <c r="G276" s="46" t="str">
        <f>IF(C276&lt;&gt;"",VLOOKUP(C276,part_details,4,FALSE)*'Multi-level BOM'!D276,"")</f>
        <v/>
      </c>
      <c r="H276" s="4">
        <f t="shared" ref="H276:Q276" si="197">IF($A276="",H275,
    IF(H$2=$A276,$D276,
       IF(H$2&lt;$A276,H275,
           1
)))</f>
        <v>1</v>
      </c>
      <c r="I276" s="4">
        <f t="shared" si="197"/>
        <v>1</v>
      </c>
      <c r="J276" s="4">
        <f t="shared" si="197"/>
        <v>1</v>
      </c>
      <c r="K276" s="4">
        <f t="shared" si="197"/>
        <v>1</v>
      </c>
      <c r="L276" s="4">
        <f t="shared" si="197"/>
        <v>1</v>
      </c>
      <c r="M276" s="4">
        <f t="shared" si="197"/>
        <v>1</v>
      </c>
      <c r="N276" s="4">
        <f t="shared" si="197"/>
        <v>1</v>
      </c>
      <c r="O276" s="4">
        <f t="shared" si="197"/>
        <v>1</v>
      </c>
      <c r="P276" s="4">
        <f t="shared" si="197"/>
        <v>1</v>
      </c>
      <c r="Q276" s="4">
        <f t="shared" si="197"/>
        <v>1</v>
      </c>
    </row>
    <row r="277" spans="2:17" x14ac:dyDescent="0.25">
      <c r="B277" s="8"/>
      <c r="E277" s="1" t="str">
        <f>IF(C277="","",VLOOKUP(C277,Table1[#All],2,FALSE))</f>
        <v/>
      </c>
      <c r="F277" s="2">
        <f t="shared" si="158"/>
        <v>1</v>
      </c>
      <c r="G277" s="46" t="str">
        <f>IF(C277&lt;&gt;"",VLOOKUP(C277,part_details,4,FALSE)*'Multi-level BOM'!D277,"")</f>
        <v/>
      </c>
      <c r="H277" s="4">
        <f t="shared" ref="H277:Q277" si="198">IF($A277="",H276,
    IF(H$2=$A277,$D277,
       IF(H$2&lt;$A277,H276,
           1
)))</f>
        <v>1</v>
      </c>
      <c r="I277" s="4">
        <f t="shared" si="198"/>
        <v>1</v>
      </c>
      <c r="J277" s="4">
        <f t="shared" si="198"/>
        <v>1</v>
      </c>
      <c r="K277" s="4">
        <f t="shared" si="198"/>
        <v>1</v>
      </c>
      <c r="L277" s="4">
        <f t="shared" si="198"/>
        <v>1</v>
      </c>
      <c r="M277" s="4">
        <f t="shared" si="198"/>
        <v>1</v>
      </c>
      <c r="N277" s="4">
        <f t="shared" si="198"/>
        <v>1</v>
      </c>
      <c r="O277" s="4">
        <f t="shared" si="198"/>
        <v>1</v>
      </c>
      <c r="P277" s="4">
        <f t="shared" si="198"/>
        <v>1</v>
      </c>
      <c r="Q277" s="4">
        <f t="shared" si="198"/>
        <v>1</v>
      </c>
    </row>
    <row r="278" spans="2:17" x14ac:dyDescent="0.25">
      <c r="B278" s="8"/>
      <c r="E278" s="1" t="str">
        <f>IF(C278="","",VLOOKUP(C278,Table1[#All],2,FALSE))</f>
        <v/>
      </c>
      <c r="F278" s="2">
        <f t="shared" si="158"/>
        <v>1</v>
      </c>
      <c r="G278" s="46" t="str">
        <f>IF(C278&lt;&gt;"",VLOOKUP(C278,part_details,4,FALSE)*'Multi-level BOM'!D278,"")</f>
        <v/>
      </c>
      <c r="H278" s="4">
        <f t="shared" ref="H278:Q278" si="199">IF($A278="",H277,
    IF(H$2=$A278,$D278,
       IF(H$2&lt;$A278,H277,
           1
)))</f>
        <v>1</v>
      </c>
      <c r="I278" s="4">
        <f t="shared" si="199"/>
        <v>1</v>
      </c>
      <c r="J278" s="4">
        <f t="shared" si="199"/>
        <v>1</v>
      </c>
      <c r="K278" s="4">
        <f t="shared" si="199"/>
        <v>1</v>
      </c>
      <c r="L278" s="4">
        <f t="shared" si="199"/>
        <v>1</v>
      </c>
      <c r="M278" s="4">
        <f t="shared" si="199"/>
        <v>1</v>
      </c>
      <c r="N278" s="4">
        <f t="shared" si="199"/>
        <v>1</v>
      </c>
      <c r="O278" s="4">
        <f t="shared" si="199"/>
        <v>1</v>
      </c>
      <c r="P278" s="4">
        <f t="shared" si="199"/>
        <v>1</v>
      </c>
      <c r="Q278" s="4">
        <f t="shared" si="199"/>
        <v>1</v>
      </c>
    </row>
    <row r="279" spans="2:17" x14ac:dyDescent="0.25">
      <c r="B279" s="8"/>
      <c r="E279" s="1" t="str">
        <f>IF(C279="","",VLOOKUP(C279,Table1[#All],2,FALSE))</f>
        <v/>
      </c>
      <c r="F279" s="2">
        <f t="shared" si="158"/>
        <v>1</v>
      </c>
      <c r="G279" s="46" t="str">
        <f>IF(C279&lt;&gt;"",VLOOKUP(C279,part_details,4,FALSE)*'Multi-level BOM'!D279,"")</f>
        <v/>
      </c>
      <c r="H279" s="4">
        <f t="shared" ref="H279:Q279" si="200">IF($A279="",H278,
    IF(H$2=$A279,$D279,
       IF(H$2&lt;$A279,H278,
           1
)))</f>
        <v>1</v>
      </c>
      <c r="I279" s="4">
        <f t="shared" si="200"/>
        <v>1</v>
      </c>
      <c r="J279" s="4">
        <f t="shared" si="200"/>
        <v>1</v>
      </c>
      <c r="K279" s="4">
        <f t="shared" si="200"/>
        <v>1</v>
      </c>
      <c r="L279" s="4">
        <f t="shared" si="200"/>
        <v>1</v>
      </c>
      <c r="M279" s="4">
        <f t="shared" si="200"/>
        <v>1</v>
      </c>
      <c r="N279" s="4">
        <f t="shared" si="200"/>
        <v>1</v>
      </c>
      <c r="O279" s="4">
        <f t="shared" si="200"/>
        <v>1</v>
      </c>
      <c r="P279" s="4">
        <f t="shared" si="200"/>
        <v>1</v>
      </c>
      <c r="Q279" s="4">
        <f t="shared" si="200"/>
        <v>1</v>
      </c>
    </row>
    <row r="280" spans="2:17" x14ac:dyDescent="0.25">
      <c r="B280" s="8"/>
      <c r="E280" s="1" t="str">
        <f>IF(C280="","",VLOOKUP(C280,Table1[#All],2,FALSE))</f>
        <v/>
      </c>
      <c r="F280" s="2">
        <f t="shared" si="158"/>
        <v>1</v>
      </c>
      <c r="G280" s="46" t="str">
        <f>IF(C280&lt;&gt;"",VLOOKUP(C280,part_details,4,FALSE)*'Multi-level BOM'!D280,"")</f>
        <v/>
      </c>
      <c r="H280" s="4">
        <f t="shared" ref="H280:Q280" si="201">IF($A280="",H279,
    IF(H$2=$A280,$D280,
       IF(H$2&lt;$A280,H279,
           1
)))</f>
        <v>1</v>
      </c>
      <c r="I280" s="4">
        <f t="shared" si="201"/>
        <v>1</v>
      </c>
      <c r="J280" s="4">
        <f t="shared" si="201"/>
        <v>1</v>
      </c>
      <c r="K280" s="4">
        <f t="shared" si="201"/>
        <v>1</v>
      </c>
      <c r="L280" s="4">
        <f t="shared" si="201"/>
        <v>1</v>
      </c>
      <c r="M280" s="4">
        <f t="shared" si="201"/>
        <v>1</v>
      </c>
      <c r="N280" s="4">
        <f t="shared" si="201"/>
        <v>1</v>
      </c>
      <c r="O280" s="4">
        <f t="shared" si="201"/>
        <v>1</v>
      </c>
      <c r="P280" s="4">
        <f t="shared" si="201"/>
        <v>1</v>
      </c>
      <c r="Q280" s="4">
        <f t="shared" si="201"/>
        <v>1</v>
      </c>
    </row>
    <row r="281" spans="2:17" x14ac:dyDescent="0.25">
      <c r="B281" s="8"/>
      <c r="E281" s="1" t="str">
        <f>IF(C281="","",VLOOKUP(C281,Table1[#All],2,FALSE))</f>
        <v/>
      </c>
      <c r="F281" s="2">
        <f t="shared" si="158"/>
        <v>1</v>
      </c>
      <c r="G281" s="46" t="str">
        <f>IF(C281&lt;&gt;"",VLOOKUP(C281,part_details,4,FALSE)*'Multi-level BOM'!D281,"")</f>
        <v/>
      </c>
      <c r="H281" s="4">
        <f t="shared" ref="H281:Q281" si="202">IF($A281="",H280,
    IF(H$2=$A281,$D281,
       IF(H$2&lt;$A281,H280,
           1
)))</f>
        <v>1</v>
      </c>
      <c r="I281" s="4">
        <f t="shared" si="202"/>
        <v>1</v>
      </c>
      <c r="J281" s="4">
        <f t="shared" si="202"/>
        <v>1</v>
      </c>
      <c r="K281" s="4">
        <f t="shared" si="202"/>
        <v>1</v>
      </c>
      <c r="L281" s="4">
        <f t="shared" si="202"/>
        <v>1</v>
      </c>
      <c r="M281" s="4">
        <f t="shared" si="202"/>
        <v>1</v>
      </c>
      <c r="N281" s="4">
        <f t="shared" si="202"/>
        <v>1</v>
      </c>
      <c r="O281" s="4">
        <f t="shared" si="202"/>
        <v>1</v>
      </c>
      <c r="P281" s="4">
        <f t="shared" si="202"/>
        <v>1</v>
      </c>
      <c r="Q281" s="4">
        <f t="shared" si="202"/>
        <v>1</v>
      </c>
    </row>
    <row r="282" spans="2:17" x14ac:dyDescent="0.25">
      <c r="B282" s="8"/>
      <c r="E282" s="1" t="str">
        <f>IF(C282="","",VLOOKUP(C282,Table1[#All],2,FALSE))</f>
        <v/>
      </c>
      <c r="F282" s="2">
        <f t="shared" si="158"/>
        <v>1</v>
      </c>
      <c r="G282" s="46" t="str">
        <f>IF(C282&lt;&gt;"",VLOOKUP(C282,part_details,4,FALSE)*'Multi-level BOM'!D282,"")</f>
        <v/>
      </c>
      <c r="H282" s="4">
        <f t="shared" ref="H282:Q282" si="203">IF($A282="",H281,
    IF(H$2=$A282,$D282,
       IF(H$2&lt;$A282,H281,
           1
)))</f>
        <v>1</v>
      </c>
      <c r="I282" s="4">
        <f t="shared" si="203"/>
        <v>1</v>
      </c>
      <c r="J282" s="4">
        <f t="shared" si="203"/>
        <v>1</v>
      </c>
      <c r="K282" s="4">
        <f t="shared" si="203"/>
        <v>1</v>
      </c>
      <c r="L282" s="4">
        <f t="shared" si="203"/>
        <v>1</v>
      </c>
      <c r="M282" s="4">
        <f t="shared" si="203"/>
        <v>1</v>
      </c>
      <c r="N282" s="4">
        <f t="shared" si="203"/>
        <v>1</v>
      </c>
      <c r="O282" s="4">
        <f t="shared" si="203"/>
        <v>1</v>
      </c>
      <c r="P282" s="4">
        <f t="shared" si="203"/>
        <v>1</v>
      </c>
      <c r="Q282" s="4">
        <f t="shared" si="203"/>
        <v>1</v>
      </c>
    </row>
    <row r="283" spans="2:17" x14ac:dyDescent="0.25">
      <c r="B283" s="8"/>
      <c r="E283" s="1" t="str">
        <f>IF(C283="","",VLOOKUP(C283,Table1[#All],2,FALSE))</f>
        <v/>
      </c>
      <c r="F283" s="2">
        <f t="shared" si="158"/>
        <v>1</v>
      </c>
      <c r="G283" s="46" t="str">
        <f>IF(C283&lt;&gt;"",VLOOKUP(C283,part_details,4,FALSE)*'Multi-level BOM'!D283,"")</f>
        <v/>
      </c>
      <c r="H283" s="4">
        <f t="shared" ref="H283:Q283" si="204">IF($A283="",H282,
    IF(H$2=$A283,$D283,
       IF(H$2&lt;$A283,H282,
           1
)))</f>
        <v>1</v>
      </c>
      <c r="I283" s="4">
        <f t="shared" si="204"/>
        <v>1</v>
      </c>
      <c r="J283" s="4">
        <f t="shared" si="204"/>
        <v>1</v>
      </c>
      <c r="K283" s="4">
        <f t="shared" si="204"/>
        <v>1</v>
      </c>
      <c r="L283" s="4">
        <f t="shared" si="204"/>
        <v>1</v>
      </c>
      <c r="M283" s="4">
        <f t="shared" si="204"/>
        <v>1</v>
      </c>
      <c r="N283" s="4">
        <f t="shared" si="204"/>
        <v>1</v>
      </c>
      <c r="O283" s="4">
        <f t="shared" si="204"/>
        <v>1</v>
      </c>
      <c r="P283" s="4">
        <f t="shared" si="204"/>
        <v>1</v>
      </c>
      <c r="Q283" s="4">
        <f t="shared" si="204"/>
        <v>1</v>
      </c>
    </row>
    <row r="284" spans="2:17" x14ac:dyDescent="0.25">
      <c r="B284" s="8"/>
      <c r="E284" s="1" t="str">
        <f>IF(C284="","",VLOOKUP(C284,Table1[#All],2,FALSE))</f>
        <v/>
      </c>
      <c r="F284" s="2">
        <f t="shared" si="158"/>
        <v>1</v>
      </c>
      <c r="G284" s="46" t="str">
        <f>IF(C284&lt;&gt;"",VLOOKUP(C284,part_details,4,FALSE)*'Multi-level BOM'!D284,"")</f>
        <v/>
      </c>
      <c r="H284" s="4">
        <f t="shared" ref="H284:Q284" si="205">IF($A284="",H283,
    IF(H$2=$A284,$D284,
       IF(H$2&lt;$A284,H283,
           1
)))</f>
        <v>1</v>
      </c>
      <c r="I284" s="4">
        <f t="shared" si="205"/>
        <v>1</v>
      </c>
      <c r="J284" s="4">
        <f t="shared" si="205"/>
        <v>1</v>
      </c>
      <c r="K284" s="4">
        <f t="shared" si="205"/>
        <v>1</v>
      </c>
      <c r="L284" s="4">
        <f t="shared" si="205"/>
        <v>1</v>
      </c>
      <c r="M284" s="4">
        <f t="shared" si="205"/>
        <v>1</v>
      </c>
      <c r="N284" s="4">
        <f t="shared" si="205"/>
        <v>1</v>
      </c>
      <c r="O284" s="4">
        <f t="shared" si="205"/>
        <v>1</v>
      </c>
      <c r="P284" s="4">
        <f t="shared" si="205"/>
        <v>1</v>
      </c>
      <c r="Q284" s="4">
        <f t="shared" si="205"/>
        <v>1</v>
      </c>
    </row>
    <row r="285" spans="2:17" x14ac:dyDescent="0.25">
      <c r="B285" s="8"/>
      <c r="E285" s="1" t="str">
        <f>IF(C285="","",VLOOKUP(C285,Table1[#All],2,FALSE))</f>
        <v/>
      </c>
      <c r="F285" s="2">
        <f t="shared" si="158"/>
        <v>1</v>
      </c>
      <c r="G285" s="46" t="str">
        <f>IF(C285&lt;&gt;"",VLOOKUP(C285,part_details,4,FALSE)*'Multi-level BOM'!D285,"")</f>
        <v/>
      </c>
      <c r="H285" s="4">
        <f t="shared" ref="H285:Q285" si="206">IF($A285="",H284,
    IF(H$2=$A285,$D285,
       IF(H$2&lt;$A285,H284,
           1
)))</f>
        <v>1</v>
      </c>
      <c r="I285" s="4">
        <f t="shared" si="206"/>
        <v>1</v>
      </c>
      <c r="J285" s="4">
        <f t="shared" si="206"/>
        <v>1</v>
      </c>
      <c r="K285" s="4">
        <f t="shared" si="206"/>
        <v>1</v>
      </c>
      <c r="L285" s="4">
        <f t="shared" si="206"/>
        <v>1</v>
      </c>
      <c r="M285" s="4">
        <f t="shared" si="206"/>
        <v>1</v>
      </c>
      <c r="N285" s="4">
        <f t="shared" si="206"/>
        <v>1</v>
      </c>
      <c r="O285" s="4">
        <f t="shared" si="206"/>
        <v>1</v>
      </c>
      <c r="P285" s="4">
        <f t="shared" si="206"/>
        <v>1</v>
      </c>
      <c r="Q285" s="4">
        <f t="shared" si="206"/>
        <v>1</v>
      </c>
    </row>
    <row r="286" spans="2:17" x14ac:dyDescent="0.25">
      <c r="B286" s="8"/>
      <c r="E286" s="1" t="str">
        <f>IF(C286="","",VLOOKUP(C286,Table1[#All],2,FALSE))</f>
        <v/>
      </c>
      <c r="F286" s="2">
        <f t="shared" si="158"/>
        <v>1</v>
      </c>
      <c r="G286" s="46" t="str">
        <f>IF(C286&lt;&gt;"",VLOOKUP(C286,part_details,4,FALSE)*'Multi-level BOM'!D286,"")</f>
        <v/>
      </c>
      <c r="H286" s="4">
        <f t="shared" ref="H286:Q286" si="207">IF($A286="",H285,
    IF(H$2=$A286,$D286,
       IF(H$2&lt;$A286,H285,
           1
)))</f>
        <v>1</v>
      </c>
      <c r="I286" s="4">
        <f t="shared" si="207"/>
        <v>1</v>
      </c>
      <c r="J286" s="4">
        <f t="shared" si="207"/>
        <v>1</v>
      </c>
      <c r="K286" s="4">
        <f t="shared" si="207"/>
        <v>1</v>
      </c>
      <c r="L286" s="4">
        <f t="shared" si="207"/>
        <v>1</v>
      </c>
      <c r="M286" s="4">
        <f t="shared" si="207"/>
        <v>1</v>
      </c>
      <c r="N286" s="4">
        <f t="shared" si="207"/>
        <v>1</v>
      </c>
      <c r="O286" s="4">
        <f t="shared" si="207"/>
        <v>1</v>
      </c>
      <c r="P286" s="4">
        <f t="shared" si="207"/>
        <v>1</v>
      </c>
      <c r="Q286" s="4">
        <f t="shared" si="207"/>
        <v>1</v>
      </c>
    </row>
    <row r="287" spans="2:17" x14ac:dyDescent="0.25">
      <c r="B287" s="8"/>
      <c r="E287" s="1" t="str">
        <f>IF(C287="","",VLOOKUP(C287,Table1[#All],2,FALSE))</f>
        <v/>
      </c>
      <c r="F287" s="2">
        <f t="shared" si="158"/>
        <v>1</v>
      </c>
      <c r="G287" s="46" t="str">
        <f>IF(C287&lt;&gt;"",VLOOKUP(C287,part_details,4,FALSE)*'Multi-level BOM'!D287,"")</f>
        <v/>
      </c>
      <c r="H287" s="4">
        <f t="shared" ref="H287:Q287" si="208">IF($A287="",H286,
    IF(H$2=$A287,$D287,
       IF(H$2&lt;$A287,H286,
           1
)))</f>
        <v>1</v>
      </c>
      <c r="I287" s="4">
        <f t="shared" si="208"/>
        <v>1</v>
      </c>
      <c r="J287" s="4">
        <f t="shared" si="208"/>
        <v>1</v>
      </c>
      <c r="K287" s="4">
        <f t="shared" si="208"/>
        <v>1</v>
      </c>
      <c r="L287" s="4">
        <f t="shared" si="208"/>
        <v>1</v>
      </c>
      <c r="M287" s="4">
        <f t="shared" si="208"/>
        <v>1</v>
      </c>
      <c r="N287" s="4">
        <f t="shared" si="208"/>
        <v>1</v>
      </c>
      <c r="O287" s="4">
        <f t="shared" si="208"/>
        <v>1</v>
      </c>
      <c r="P287" s="4">
        <f t="shared" si="208"/>
        <v>1</v>
      </c>
      <c r="Q287" s="4">
        <f t="shared" si="208"/>
        <v>1</v>
      </c>
    </row>
    <row r="288" spans="2:17" x14ac:dyDescent="0.25">
      <c r="B288" s="8"/>
      <c r="E288" s="1" t="str">
        <f>IF(C288="","",VLOOKUP(C288,Table1[#All],2,FALSE))</f>
        <v/>
      </c>
      <c r="F288" s="2">
        <f t="shared" si="158"/>
        <v>1</v>
      </c>
      <c r="G288" s="46" t="str">
        <f>IF(C288&lt;&gt;"",VLOOKUP(C288,part_details,4,FALSE)*'Multi-level BOM'!D288,"")</f>
        <v/>
      </c>
      <c r="H288" s="4">
        <f t="shared" ref="H288:Q288" si="209">IF($A288="",H287,
    IF(H$2=$A288,$D288,
       IF(H$2&lt;$A288,H287,
           1
)))</f>
        <v>1</v>
      </c>
      <c r="I288" s="4">
        <f t="shared" si="209"/>
        <v>1</v>
      </c>
      <c r="J288" s="4">
        <f t="shared" si="209"/>
        <v>1</v>
      </c>
      <c r="K288" s="4">
        <f t="shared" si="209"/>
        <v>1</v>
      </c>
      <c r="L288" s="4">
        <f t="shared" si="209"/>
        <v>1</v>
      </c>
      <c r="M288" s="4">
        <f t="shared" si="209"/>
        <v>1</v>
      </c>
      <c r="N288" s="4">
        <f t="shared" si="209"/>
        <v>1</v>
      </c>
      <c r="O288" s="4">
        <f t="shared" si="209"/>
        <v>1</v>
      </c>
      <c r="P288" s="4">
        <f t="shared" si="209"/>
        <v>1</v>
      </c>
      <c r="Q288" s="4">
        <f t="shared" si="209"/>
        <v>1</v>
      </c>
    </row>
    <row r="289" spans="2:17" x14ac:dyDescent="0.25">
      <c r="B289" s="8"/>
      <c r="E289" s="1" t="str">
        <f>IF(C289="","",VLOOKUP(C289,Table1[#All],2,FALSE))</f>
        <v/>
      </c>
      <c r="F289" s="2">
        <f t="shared" si="158"/>
        <v>1</v>
      </c>
      <c r="G289" s="46" t="str">
        <f>IF(C289&lt;&gt;"",VLOOKUP(C289,part_details,4,FALSE)*'Multi-level BOM'!D289,"")</f>
        <v/>
      </c>
      <c r="H289" s="4">
        <f t="shared" ref="H289:Q289" si="210">IF($A289="",H288,
    IF(H$2=$A289,$D289,
       IF(H$2&lt;$A289,H288,
           1
)))</f>
        <v>1</v>
      </c>
      <c r="I289" s="4">
        <f t="shared" si="210"/>
        <v>1</v>
      </c>
      <c r="J289" s="4">
        <f t="shared" si="210"/>
        <v>1</v>
      </c>
      <c r="K289" s="4">
        <f t="shared" si="210"/>
        <v>1</v>
      </c>
      <c r="L289" s="4">
        <f t="shared" si="210"/>
        <v>1</v>
      </c>
      <c r="M289" s="4">
        <f t="shared" si="210"/>
        <v>1</v>
      </c>
      <c r="N289" s="4">
        <f t="shared" si="210"/>
        <v>1</v>
      </c>
      <c r="O289" s="4">
        <f t="shared" si="210"/>
        <v>1</v>
      </c>
      <c r="P289" s="4">
        <f t="shared" si="210"/>
        <v>1</v>
      </c>
      <c r="Q289" s="4">
        <f t="shared" si="210"/>
        <v>1</v>
      </c>
    </row>
    <row r="290" spans="2:17" x14ac:dyDescent="0.25">
      <c r="B290" s="8"/>
      <c r="E290" s="1" t="str">
        <f>IF(C290="","",VLOOKUP(C290,Table1[#All],2,FALSE))</f>
        <v/>
      </c>
      <c r="F290" s="2">
        <f t="shared" si="158"/>
        <v>1</v>
      </c>
      <c r="G290" s="46" t="str">
        <f>IF(C290&lt;&gt;"",VLOOKUP(C290,part_details,4,FALSE)*'Multi-level BOM'!D290,"")</f>
        <v/>
      </c>
      <c r="H290" s="4">
        <f t="shared" ref="H290:Q290" si="211">IF($A290="",H289,
    IF(H$2=$A290,$D290,
       IF(H$2&lt;$A290,H289,
           1
)))</f>
        <v>1</v>
      </c>
      <c r="I290" s="4">
        <f t="shared" si="211"/>
        <v>1</v>
      </c>
      <c r="J290" s="4">
        <f t="shared" si="211"/>
        <v>1</v>
      </c>
      <c r="K290" s="4">
        <f t="shared" si="211"/>
        <v>1</v>
      </c>
      <c r="L290" s="4">
        <f t="shared" si="211"/>
        <v>1</v>
      </c>
      <c r="M290" s="4">
        <f t="shared" si="211"/>
        <v>1</v>
      </c>
      <c r="N290" s="4">
        <f t="shared" si="211"/>
        <v>1</v>
      </c>
      <c r="O290" s="4">
        <f t="shared" si="211"/>
        <v>1</v>
      </c>
      <c r="P290" s="4">
        <f t="shared" si="211"/>
        <v>1</v>
      </c>
      <c r="Q290" s="4">
        <f t="shared" si="211"/>
        <v>1</v>
      </c>
    </row>
    <row r="291" spans="2:17" x14ac:dyDescent="0.25">
      <c r="B291" s="8"/>
      <c r="E291" s="1" t="str">
        <f>IF(C291="","",VLOOKUP(C291,Table1[#All],2,FALSE))</f>
        <v/>
      </c>
      <c r="F291" s="2">
        <f t="shared" si="158"/>
        <v>1</v>
      </c>
      <c r="G291" s="46" t="str">
        <f>IF(C291&lt;&gt;"",VLOOKUP(C291,part_details,4,FALSE)*'Multi-level BOM'!D291,"")</f>
        <v/>
      </c>
      <c r="H291" s="4">
        <f t="shared" ref="H291:Q291" si="212">IF($A291="",H290,
    IF(H$2=$A291,$D291,
       IF(H$2&lt;$A291,H290,
           1
)))</f>
        <v>1</v>
      </c>
      <c r="I291" s="4">
        <f t="shared" si="212"/>
        <v>1</v>
      </c>
      <c r="J291" s="4">
        <f t="shared" si="212"/>
        <v>1</v>
      </c>
      <c r="K291" s="4">
        <f t="shared" si="212"/>
        <v>1</v>
      </c>
      <c r="L291" s="4">
        <f t="shared" si="212"/>
        <v>1</v>
      </c>
      <c r="M291" s="4">
        <f t="shared" si="212"/>
        <v>1</v>
      </c>
      <c r="N291" s="4">
        <f t="shared" si="212"/>
        <v>1</v>
      </c>
      <c r="O291" s="4">
        <f t="shared" si="212"/>
        <v>1</v>
      </c>
      <c r="P291" s="4">
        <f t="shared" si="212"/>
        <v>1</v>
      </c>
      <c r="Q291" s="4">
        <f t="shared" si="212"/>
        <v>1</v>
      </c>
    </row>
    <row r="292" spans="2:17" x14ac:dyDescent="0.25">
      <c r="B292" s="8"/>
      <c r="E292" s="1" t="str">
        <f>IF(C292="","",VLOOKUP(C292,Table1[#All],2,FALSE))</f>
        <v/>
      </c>
      <c r="F292" s="2">
        <f t="shared" si="158"/>
        <v>1</v>
      </c>
      <c r="G292" s="46" t="str">
        <f>IF(C292&lt;&gt;"",VLOOKUP(C292,part_details,4,FALSE)*'Multi-level BOM'!D292,"")</f>
        <v/>
      </c>
      <c r="H292" s="4">
        <f t="shared" ref="H292:Q292" si="213">IF($A292="",H291,
    IF(H$2=$A292,$D292,
       IF(H$2&lt;$A292,H291,
           1
)))</f>
        <v>1</v>
      </c>
      <c r="I292" s="4">
        <f t="shared" si="213"/>
        <v>1</v>
      </c>
      <c r="J292" s="4">
        <f t="shared" si="213"/>
        <v>1</v>
      </c>
      <c r="K292" s="4">
        <f t="shared" si="213"/>
        <v>1</v>
      </c>
      <c r="L292" s="4">
        <f t="shared" si="213"/>
        <v>1</v>
      </c>
      <c r="M292" s="4">
        <f t="shared" si="213"/>
        <v>1</v>
      </c>
      <c r="N292" s="4">
        <f t="shared" si="213"/>
        <v>1</v>
      </c>
      <c r="O292" s="4">
        <f t="shared" si="213"/>
        <v>1</v>
      </c>
      <c r="P292" s="4">
        <f t="shared" si="213"/>
        <v>1</v>
      </c>
      <c r="Q292" s="4">
        <f t="shared" si="213"/>
        <v>1</v>
      </c>
    </row>
    <row r="293" spans="2:17" x14ac:dyDescent="0.25">
      <c r="B293" s="8"/>
      <c r="E293" s="1" t="str">
        <f>IF(C293="","",VLOOKUP(C293,Table1[#All],2,FALSE))</f>
        <v/>
      </c>
      <c r="F293" s="2">
        <f t="shared" si="158"/>
        <v>1</v>
      </c>
      <c r="G293" s="46" t="str">
        <f>IF(C293&lt;&gt;"",VLOOKUP(C293,part_details,4,FALSE)*'Multi-level BOM'!D293,"")</f>
        <v/>
      </c>
      <c r="H293" s="4">
        <f t="shared" ref="H293:Q293" si="214">IF($A293="",H292,
    IF(H$2=$A293,$D293,
       IF(H$2&lt;$A293,H292,
           1
)))</f>
        <v>1</v>
      </c>
      <c r="I293" s="4">
        <f t="shared" si="214"/>
        <v>1</v>
      </c>
      <c r="J293" s="4">
        <f t="shared" si="214"/>
        <v>1</v>
      </c>
      <c r="K293" s="4">
        <f t="shared" si="214"/>
        <v>1</v>
      </c>
      <c r="L293" s="4">
        <f t="shared" si="214"/>
        <v>1</v>
      </c>
      <c r="M293" s="4">
        <f t="shared" si="214"/>
        <v>1</v>
      </c>
      <c r="N293" s="4">
        <f t="shared" si="214"/>
        <v>1</v>
      </c>
      <c r="O293" s="4">
        <f t="shared" si="214"/>
        <v>1</v>
      </c>
      <c r="P293" s="4">
        <f t="shared" si="214"/>
        <v>1</v>
      </c>
      <c r="Q293" s="4">
        <f t="shared" si="214"/>
        <v>1</v>
      </c>
    </row>
    <row r="294" spans="2:17" x14ac:dyDescent="0.25">
      <c r="B294" s="8"/>
      <c r="E294" s="1" t="str">
        <f>IF(C294="","",VLOOKUP(C294,Table1[#All],2,FALSE))</f>
        <v/>
      </c>
      <c r="F294" s="2">
        <f t="shared" si="158"/>
        <v>1</v>
      </c>
      <c r="G294" s="46" t="str">
        <f>IF(C294&lt;&gt;"",VLOOKUP(C294,part_details,4,FALSE)*'Multi-level BOM'!D294,"")</f>
        <v/>
      </c>
      <c r="H294" s="4">
        <f t="shared" ref="H294:Q294" si="215">IF($A294="",H293,
    IF(H$2=$A294,$D294,
       IF(H$2&lt;$A294,H293,
           1
)))</f>
        <v>1</v>
      </c>
      <c r="I294" s="4">
        <f t="shared" si="215"/>
        <v>1</v>
      </c>
      <c r="J294" s="4">
        <f t="shared" si="215"/>
        <v>1</v>
      </c>
      <c r="K294" s="4">
        <f t="shared" si="215"/>
        <v>1</v>
      </c>
      <c r="L294" s="4">
        <f t="shared" si="215"/>
        <v>1</v>
      </c>
      <c r="M294" s="4">
        <f t="shared" si="215"/>
        <v>1</v>
      </c>
      <c r="N294" s="4">
        <f t="shared" si="215"/>
        <v>1</v>
      </c>
      <c r="O294" s="4">
        <f t="shared" si="215"/>
        <v>1</v>
      </c>
      <c r="P294" s="4">
        <f t="shared" si="215"/>
        <v>1</v>
      </c>
      <c r="Q294" s="4">
        <f t="shared" si="215"/>
        <v>1</v>
      </c>
    </row>
    <row r="295" spans="2:17" x14ac:dyDescent="0.25">
      <c r="B295" s="8"/>
      <c r="E295" s="1" t="str">
        <f>IF(C295="","",VLOOKUP(C295,Table1[#All],2,FALSE))</f>
        <v/>
      </c>
      <c r="F295" s="2">
        <f t="shared" si="158"/>
        <v>1</v>
      </c>
      <c r="G295" s="46" t="str">
        <f>IF(C295&lt;&gt;"",VLOOKUP(C295,part_details,4,FALSE)*'Multi-level BOM'!D295,"")</f>
        <v/>
      </c>
      <c r="H295" s="4">
        <f t="shared" ref="H295:Q295" si="216">IF($A295="",H294,
    IF(H$2=$A295,$D295,
       IF(H$2&lt;$A295,H294,
           1
)))</f>
        <v>1</v>
      </c>
      <c r="I295" s="4">
        <f t="shared" si="216"/>
        <v>1</v>
      </c>
      <c r="J295" s="4">
        <f t="shared" si="216"/>
        <v>1</v>
      </c>
      <c r="K295" s="4">
        <f t="shared" si="216"/>
        <v>1</v>
      </c>
      <c r="L295" s="4">
        <f t="shared" si="216"/>
        <v>1</v>
      </c>
      <c r="M295" s="4">
        <f t="shared" si="216"/>
        <v>1</v>
      </c>
      <c r="N295" s="4">
        <f t="shared" si="216"/>
        <v>1</v>
      </c>
      <c r="O295" s="4">
        <f t="shared" si="216"/>
        <v>1</v>
      </c>
      <c r="P295" s="4">
        <f t="shared" si="216"/>
        <v>1</v>
      </c>
      <c r="Q295" s="4">
        <f t="shared" si="216"/>
        <v>1</v>
      </c>
    </row>
    <row r="296" spans="2:17" x14ac:dyDescent="0.25">
      <c r="B296" s="8"/>
      <c r="E296" s="1" t="str">
        <f>IF(C296="","",VLOOKUP(C296,Table1[#All],2,FALSE))</f>
        <v/>
      </c>
      <c r="F296" s="2">
        <f t="shared" si="158"/>
        <v>1</v>
      </c>
      <c r="G296" s="46" t="str">
        <f>IF(C296&lt;&gt;"",VLOOKUP(C296,part_details,4,FALSE)*'Multi-level BOM'!D296,"")</f>
        <v/>
      </c>
      <c r="H296" s="4">
        <f t="shared" ref="H296:Q296" si="217">IF($A296="",H295,
    IF(H$2=$A296,$D296,
       IF(H$2&lt;$A296,H295,
           1
)))</f>
        <v>1</v>
      </c>
      <c r="I296" s="4">
        <f t="shared" si="217"/>
        <v>1</v>
      </c>
      <c r="J296" s="4">
        <f t="shared" si="217"/>
        <v>1</v>
      </c>
      <c r="K296" s="4">
        <f t="shared" si="217"/>
        <v>1</v>
      </c>
      <c r="L296" s="4">
        <f t="shared" si="217"/>
        <v>1</v>
      </c>
      <c r="M296" s="4">
        <f t="shared" si="217"/>
        <v>1</v>
      </c>
      <c r="N296" s="4">
        <f t="shared" si="217"/>
        <v>1</v>
      </c>
      <c r="O296" s="4">
        <f t="shared" si="217"/>
        <v>1</v>
      </c>
      <c r="P296" s="4">
        <f t="shared" si="217"/>
        <v>1</v>
      </c>
      <c r="Q296" s="4">
        <f t="shared" si="217"/>
        <v>1</v>
      </c>
    </row>
    <row r="297" spans="2:17" x14ac:dyDescent="0.25">
      <c r="B297" s="8"/>
      <c r="E297" s="1" t="str">
        <f>IF(C297="","",VLOOKUP(C297,Table1[#All],2,FALSE))</f>
        <v/>
      </c>
      <c r="F297" s="2">
        <f t="shared" si="158"/>
        <v>1</v>
      </c>
      <c r="G297" s="46" t="str">
        <f>IF(C297&lt;&gt;"",VLOOKUP(C297,part_details,4,FALSE)*'Multi-level BOM'!D297,"")</f>
        <v/>
      </c>
      <c r="H297" s="4">
        <f t="shared" ref="H297:Q297" si="218">IF($A297="",H296,
    IF(H$2=$A297,$D297,
       IF(H$2&lt;$A297,H296,
           1
)))</f>
        <v>1</v>
      </c>
      <c r="I297" s="4">
        <f t="shared" si="218"/>
        <v>1</v>
      </c>
      <c r="J297" s="4">
        <f t="shared" si="218"/>
        <v>1</v>
      </c>
      <c r="K297" s="4">
        <f t="shared" si="218"/>
        <v>1</v>
      </c>
      <c r="L297" s="4">
        <f t="shared" si="218"/>
        <v>1</v>
      </c>
      <c r="M297" s="4">
        <f t="shared" si="218"/>
        <v>1</v>
      </c>
      <c r="N297" s="4">
        <f t="shared" si="218"/>
        <v>1</v>
      </c>
      <c r="O297" s="4">
        <f t="shared" si="218"/>
        <v>1</v>
      </c>
      <c r="P297" s="4">
        <f t="shared" si="218"/>
        <v>1</v>
      </c>
      <c r="Q297" s="4">
        <f t="shared" si="218"/>
        <v>1</v>
      </c>
    </row>
    <row r="298" spans="2:17" x14ac:dyDescent="0.25">
      <c r="B298" s="8"/>
      <c r="E298" s="1" t="str">
        <f>IF(C298="","",VLOOKUP(C298,Table1[#All],2,FALSE))</f>
        <v/>
      </c>
      <c r="F298" s="2">
        <f t="shared" si="158"/>
        <v>1</v>
      </c>
      <c r="G298" s="46" t="str">
        <f>IF(C298&lt;&gt;"",VLOOKUP(C298,part_details,4,FALSE)*'Multi-level BOM'!D298,"")</f>
        <v/>
      </c>
      <c r="H298" s="4">
        <f t="shared" ref="H298:Q298" si="219">IF($A298="",H297,
    IF(H$2=$A298,$D298,
       IF(H$2&lt;$A298,H297,
           1
)))</f>
        <v>1</v>
      </c>
      <c r="I298" s="4">
        <f t="shared" si="219"/>
        <v>1</v>
      </c>
      <c r="J298" s="4">
        <f t="shared" si="219"/>
        <v>1</v>
      </c>
      <c r="K298" s="4">
        <f t="shared" si="219"/>
        <v>1</v>
      </c>
      <c r="L298" s="4">
        <f t="shared" si="219"/>
        <v>1</v>
      </c>
      <c r="M298" s="4">
        <f t="shared" si="219"/>
        <v>1</v>
      </c>
      <c r="N298" s="4">
        <f t="shared" si="219"/>
        <v>1</v>
      </c>
      <c r="O298" s="4">
        <f t="shared" si="219"/>
        <v>1</v>
      </c>
      <c r="P298" s="4">
        <f t="shared" si="219"/>
        <v>1</v>
      </c>
      <c r="Q298" s="4">
        <f t="shared" si="219"/>
        <v>1</v>
      </c>
    </row>
    <row r="299" spans="2:17" x14ac:dyDescent="0.25">
      <c r="B299" s="8"/>
      <c r="E299" s="1" t="str">
        <f>IF(C299="","",VLOOKUP(C299,Table1[#All],2,FALSE))</f>
        <v/>
      </c>
      <c r="F299" s="2">
        <f t="shared" si="158"/>
        <v>1</v>
      </c>
      <c r="G299" s="46" t="str">
        <f>IF(C299&lt;&gt;"",VLOOKUP(C299,part_details,4,FALSE)*'Multi-level BOM'!D299,"")</f>
        <v/>
      </c>
      <c r="H299" s="4">
        <f t="shared" ref="H299:Q299" si="220">IF($A299="",H298,
    IF(H$2=$A299,$D299,
       IF(H$2&lt;$A299,H298,
           1
)))</f>
        <v>1</v>
      </c>
      <c r="I299" s="4">
        <f t="shared" si="220"/>
        <v>1</v>
      </c>
      <c r="J299" s="4">
        <f t="shared" si="220"/>
        <v>1</v>
      </c>
      <c r="K299" s="4">
        <f t="shared" si="220"/>
        <v>1</v>
      </c>
      <c r="L299" s="4">
        <f t="shared" si="220"/>
        <v>1</v>
      </c>
      <c r="M299" s="4">
        <f t="shared" si="220"/>
        <v>1</v>
      </c>
      <c r="N299" s="4">
        <f t="shared" si="220"/>
        <v>1</v>
      </c>
      <c r="O299" s="4">
        <f t="shared" si="220"/>
        <v>1</v>
      </c>
      <c r="P299" s="4">
        <f t="shared" si="220"/>
        <v>1</v>
      </c>
      <c r="Q299" s="4">
        <f t="shared" si="220"/>
        <v>1</v>
      </c>
    </row>
    <row r="300" spans="2:17" x14ac:dyDescent="0.25">
      <c r="B300" s="8"/>
      <c r="E300" s="1" t="str">
        <f>IF(C300="","",VLOOKUP(C300,Table1[#All],2,FALSE))</f>
        <v/>
      </c>
      <c r="F300" s="2">
        <f t="shared" si="158"/>
        <v>1</v>
      </c>
      <c r="G300" s="46" t="str">
        <f>IF(C300&lt;&gt;"",VLOOKUP(C300,part_details,4,FALSE)*'Multi-level BOM'!D300,"")</f>
        <v/>
      </c>
      <c r="H300" s="4">
        <f t="shared" ref="H300:Q300" si="221">IF($A300="",H299,
    IF(H$2=$A300,$D300,
       IF(H$2&lt;$A300,H299,
           1
)))</f>
        <v>1</v>
      </c>
      <c r="I300" s="4">
        <f t="shared" si="221"/>
        <v>1</v>
      </c>
      <c r="J300" s="4">
        <f t="shared" si="221"/>
        <v>1</v>
      </c>
      <c r="K300" s="4">
        <f t="shared" si="221"/>
        <v>1</v>
      </c>
      <c r="L300" s="4">
        <f t="shared" si="221"/>
        <v>1</v>
      </c>
      <c r="M300" s="4">
        <f t="shared" si="221"/>
        <v>1</v>
      </c>
      <c r="N300" s="4">
        <f t="shared" si="221"/>
        <v>1</v>
      </c>
      <c r="O300" s="4">
        <f t="shared" si="221"/>
        <v>1</v>
      </c>
      <c r="P300" s="4">
        <f t="shared" si="221"/>
        <v>1</v>
      </c>
      <c r="Q300" s="4">
        <f t="shared" si="221"/>
        <v>1</v>
      </c>
    </row>
    <row r="301" spans="2:17" x14ac:dyDescent="0.25">
      <c r="B301" s="8"/>
      <c r="E301" s="1" t="str">
        <f>IF(C301="","",VLOOKUP(C301,Table1[#All],2,FALSE))</f>
        <v/>
      </c>
      <c r="F301" s="2">
        <f t="shared" si="158"/>
        <v>1</v>
      </c>
      <c r="G301" s="46" t="str">
        <f>IF(C301&lt;&gt;"",VLOOKUP(C301,part_details,4,FALSE)*'Multi-level BOM'!D301,"")</f>
        <v/>
      </c>
      <c r="H301" s="4">
        <f t="shared" ref="H301:Q301" si="222">IF($A301="",H300,
    IF(H$2=$A301,$D301,
       IF(H$2&lt;$A301,H300,
           1
)))</f>
        <v>1</v>
      </c>
      <c r="I301" s="4">
        <f t="shared" si="222"/>
        <v>1</v>
      </c>
      <c r="J301" s="4">
        <f t="shared" si="222"/>
        <v>1</v>
      </c>
      <c r="K301" s="4">
        <f t="shared" si="222"/>
        <v>1</v>
      </c>
      <c r="L301" s="4">
        <f t="shared" si="222"/>
        <v>1</v>
      </c>
      <c r="M301" s="4">
        <f t="shared" si="222"/>
        <v>1</v>
      </c>
      <c r="N301" s="4">
        <f t="shared" si="222"/>
        <v>1</v>
      </c>
      <c r="O301" s="4">
        <f t="shared" si="222"/>
        <v>1</v>
      </c>
      <c r="P301" s="4">
        <f t="shared" si="222"/>
        <v>1</v>
      </c>
      <c r="Q301" s="4">
        <f t="shared" si="222"/>
        <v>1</v>
      </c>
    </row>
    <row r="302" spans="2:17" x14ac:dyDescent="0.25">
      <c r="B302" s="8"/>
      <c r="E302" s="1" t="str">
        <f>IF(C302="","",VLOOKUP(C302,Table1[#All],2,FALSE))</f>
        <v/>
      </c>
      <c r="F302" s="2">
        <f t="shared" ref="F302:F350" si="223">PRODUCT(H302:Q302)</f>
        <v>1</v>
      </c>
      <c r="G302" s="46" t="str">
        <f>IF(C302&lt;&gt;"",VLOOKUP(C302,part_details,4,FALSE)*'Multi-level BOM'!D302,"")</f>
        <v/>
      </c>
      <c r="H302" s="4">
        <f t="shared" ref="H302:Q302" si="224">IF($A302="",H301,
    IF(H$2=$A302,$D302,
       IF(H$2&lt;$A302,H301,
           1
)))</f>
        <v>1</v>
      </c>
      <c r="I302" s="4">
        <f t="shared" si="224"/>
        <v>1</v>
      </c>
      <c r="J302" s="4">
        <f t="shared" si="224"/>
        <v>1</v>
      </c>
      <c r="K302" s="4">
        <f t="shared" si="224"/>
        <v>1</v>
      </c>
      <c r="L302" s="4">
        <f t="shared" si="224"/>
        <v>1</v>
      </c>
      <c r="M302" s="4">
        <f t="shared" si="224"/>
        <v>1</v>
      </c>
      <c r="N302" s="4">
        <f t="shared" si="224"/>
        <v>1</v>
      </c>
      <c r="O302" s="4">
        <f t="shared" si="224"/>
        <v>1</v>
      </c>
      <c r="P302" s="4">
        <f t="shared" si="224"/>
        <v>1</v>
      </c>
      <c r="Q302" s="4">
        <f t="shared" si="224"/>
        <v>1</v>
      </c>
    </row>
    <row r="303" spans="2:17" x14ac:dyDescent="0.25">
      <c r="B303" s="8"/>
      <c r="E303" s="1" t="str">
        <f>IF(C303="","",VLOOKUP(C303,Table1[#All],2,FALSE))</f>
        <v/>
      </c>
      <c r="F303" s="2">
        <f t="shared" si="223"/>
        <v>1</v>
      </c>
      <c r="G303" s="46" t="str">
        <f>IF(C303&lt;&gt;"",VLOOKUP(C303,part_details,4,FALSE)*'Multi-level BOM'!D303,"")</f>
        <v/>
      </c>
      <c r="H303" s="4">
        <f t="shared" ref="H303:Q303" si="225">IF($A303="",H302,
    IF(H$2=$A303,$D303,
       IF(H$2&lt;$A303,H302,
           1
)))</f>
        <v>1</v>
      </c>
      <c r="I303" s="4">
        <f t="shared" si="225"/>
        <v>1</v>
      </c>
      <c r="J303" s="4">
        <f t="shared" si="225"/>
        <v>1</v>
      </c>
      <c r="K303" s="4">
        <f t="shared" si="225"/>
        <v>1</v>
      </c>
      <c r="L303" s="4">
        <f t="shared" si="225"/>
        <v>1</v>
      </c>
      <c r="M303" s="4">
        <f t="shared" si="225"/>
        <v>1</v>
      </c>
      <c r="N303" s="4">
        <f t="shared" si="225"/>
        <v>1</v>
      </c>
      <c r="O303" s="4">
        <f t="shared" si="225"/>
        <v>1</v>
      </c>
      <c r="P303" s="4">
        <f t="shared" si="225"/>
        <v>1</v>
      </c>
      <c r="Q303" s="4">
        <f t="shared" si="225"/>
        <v>1</v>
      </c>
    </row>
    <row r="304" spans="2:17" x14ac:dyDescent="0.25">
      <c r="B304" s="8"/>
      <c r="E304" s="1" t="str">
        <f>IF(C304="","",VLOOKUP(C304,Table1[#All],2,FALSE))</f>
        <v/>
      </c>
      <c r="F304" s="2">
        <f t="shared" si="223"/>
        <v>1</v>
      </c>
      <c r="G304" s="46" t="str">
        <f>IF(C304&lt;&gt;"",VLOOKUP(C304,part_details,4,FALSE)*'Multi-level BOM'!D304,"")</f>
        <v/>
      </c>
      <c r="H304" s="4">
        <f t="shared" ref="H304:Q304" si="226">IF($A304="",H303,
    IF(H$2=$A304,$D304,
       IF(H$2&lt;$A304,H303,
           1
)))</f>
        <v>1</v>
      </c>
      <c r="I304" s="4">
        <f t="shared" si="226"/>
        <v>1</v>
      </c>
      <c r="J304" s="4">
        <f t="shared" si="226"/>
        <v>1</v>
      </c>
      <c r="K304" s="4">
        <f t="shared" si="226"/>
        <v>1</v>
      </c>
      <c r="L304" s="4">
        <f t="shared" si="226"/>
        <v>1</v>
      </c>
      <c r="M304" s="4">
        <f t="shared" si="226"/>
        <v>1</v>
      </c>
      <c r="N304" s="4">
        <f t="shared" si="226"/>
        <v>1</v>
      </c>
      <c r="O304" s="4">
        <f t="shared" si="226"/>
        <v>1</v>
      </c>
      <c r="P304" s="4">
        <f t="shared" si="226"/>
        <v>1</v>
      </c>
      <c r="Q304" s="4">
        <f t="shared" si="226"/>
        <v>1</v>
      </c>
    </row>
    <row r="305" spans="2:17" x14ac:dyDescent="0.25">
      <c r="B305" s="8"/>
      <c r="E305" s="1" t="str">
        <f>IF(C305="","",VLOOKUP(C305,Table1[#All],2,FALSE))</f>
        <v/>
      </c>
      <c r="F305" s="2">
        <f t="shared" si="223"/>
        <v>1</v>
      </c>
      <c r="G305" s="46" t="str">
        <f>IF(C305&lt;&gt;"",VLOOKUP(C305,part_details,4,FALSE)*'Multi-level BOM'!D305,"")</f>
        <v/>
      </c>
      <c r="H305" s="4">
        <f t="shared" ref="H305:Q305" si="227">IF($A305="",H304,
    IF(H$2=$A305,$D305,
       IF(H$2&lt;$A305,H304,
           1
)))</f>
        <v>1</v>
      </c>
      <c r="I305" s="4">
        <f t="shared" si="227"/>
        <v>1</v>
      </c>
      <c r="J305" s="4">
        <f t="shared" si="227"/>
        <v>1</v>
      </c>
      <c r="K305" s="4">
        <f t="shared" si="227"/>
        <v>1</v>
      </c>
      <c r="L305" s="4">
        <f t="shared" si="227"/>
        <v>1</v>
      </c>
      <c r="M305" s="4">
        <f t="shared" si="227"/>
        <v>1</v>
      </c>
      <c r="N305" s="4">
        <f t="shared" si="227"/>
        <v>1</v>
      </c>
      <c r="O305" s="4">
        <f t="shared" si="227"/>
        <v>1</v>
      </c>
      <c r="P305" s="4">
        <f t="shared" si="227"/>
        <v>1</v>
      </c>
      <c r="Q305" s="4">
        <f t="shared" si="227"/>
        <v>1</v>
      </c>
    </row>
    <row r="306" spans="2:17" x14ac:dyDescent="0.25">
      <c r="B306" s="8"/>
      <c r="E306" s="1" t="str">
        <f>IF(C306="","",VLOOKUP(C306,Table1[#All],2,FALSE))</f>
        <v/>
      </c>
      <c r="F306" s="2">
        <f t="shared" si="223"/>
        <v>1</v>
      </c>
      <c r="G306" s="46" t="str">
        <f>IF(C306&lt;&gt;"",VLOOKUP(C306,part_details,4,FALSE)*'Multi-level BOM'!D306,"")</f>
        <v/>
      </c>
      <c r="H306" s="4">
        <f t="shared" ref="H306:Q306" si="228">IF($A306="",H305,
    IF(H$2=$A306,$D306,
       IF(H$2&lt;$A306,H305,
           1
)))</f>
        <v>1</v>
      </c>
      <c r="I306" s="4">
        <f t="shared" si="228"/>
        <v>1</v>
      </c>
      <c r="J306" s="4">
        <f t="shared" si="228"/>
        <v>1</v>
      </c>
      <c r="K306" s="4">
        <f t="shared" si="228"/>
        <v>1</v>
      </c>
      <c r="L306" s="4">
        <f t="shared" si="228"/>
        <v>1</v>
      </c>
      <c r="M306" s="4">
        <f t="shared" si="228"/>
        <v>1</v>
      </c>
      <c r="N306" s="4">
        <f t="shared" si="228"/>
        <v>1</v>
      </c>
      <c r="O306" s="4">
        <f t="shared" si="228"/>
        <v>1</v>
      </c>
      <c r="P306" s="4">
        <f t="shared" si="228"/>
        <v>1</v>
      </c>
      <c r="Q306" s="4">
        <f t="shared" si="228"/>
        <v>1</v>
      </c>
    </row>
    <row r="307" spans="2:17" x14ac:dyDescent="0.25">
      <c r="B307" s="8"/>
      <c r="E307" s="1" t="str">
        <f>IF(C307="","",VLOOKUP(C307,Table1[#All],2,FALSE))</f>
        <v/>
      </c>
      <c r="F307" s="2">
        <f t="shared" si="223"/>
        <v>1</v>
      </c>
      <c r="G307" s="46" t="str">
        <f>IF(C307&lt;&gt;"",VLOOKUP(C307,part_details,4,FALSE)*'Multi-level BOM'!D307,"")</f>
        <v/>
      </c>
      <c r="H307" s="4">
        <f t="shared" ref="H307:Q307" si="229">IF($A307="",H306,
    IF(H$2=$A307,$D307,
       IF(H$2&lt;$A307,H306,
           1
)))</f>
        <v>1</v>
      </c>
      <c r="I307" s="4">
        <f t="shared" si="229"/>
        <v>1</v>
      </c>
      <c r="J307" s="4">
        <f t="shared" si="229"/>
        <v>1</v>
      </c>
      <c r="K307" s="4">
        <f t="shared" si="229"/>
        <v>1</v>
      </c>
      <c r="L307" s="4">
        <f t="shared" si="229"/>
        <v>1</v>
      </c>
      <c r="M307" s="4">
        <f t="shared" si="229"/>
        <v>1</v>
      </c>
      <c r="N307" s="4">
        <f t="shared" si="229"/>
        <v>1</v>
      </c>
      <c r="O307" s="4">
        <f t="shared" si="229"/>
        <v>1</v>
      </c>
      <c r="P307" s="4">
        <f t="shared" si="229"/>
        <v>1</v>
      </c>
      <c r="Q307" s="4">
        <f t="shared" si="229"/>
        <v>1</v>
      </c>
    </row>
    <row r="308" spans="2:17" x14ac:dyDescent="0.25">
      <c r="B308" s="8"/>
      <c r="E308" s="1" t="str">
        <f>IF(C308="","",VLOOKUP(C308,Table1[#All],2,FALSE))</f>
        <v/>
      </c>
      <c r="F308" s="2">
        <f t="shared" si="223"/>
        <v>1</v>
      </c>
      <c r="G308" s="46" t="str">
        <f>IF(C308&lt;&gt;"",VLOOKUP(C308,part_details,4,FALSE)*'Multi-level BOM'!D308,"")</f>
        <v/>
      </c>
      <c r="H308" s="4">
        <f t="shared" ref="H308:Q308" si="230">IF($A308="",H307,
    IF(H$2=$A308,$D308,
       IF(H$2&lt;$A308,H307,
           1
)))</f>
        <v>1</v>
      </c>
      <c r="I308" s="4">
        <f t="shared" si="230"/>
        <v>1</v>
      </c>
      <c r="J308" s="4">
        <f t="shared" si="230"/>
        <v>1</v>
      </c>
      <c r="K308" s="4">
        <f t="shared" si="230"/>
        <v>1</v>
      </c>
      <c r="L308" s="4">
        <f t="shared" si="230"/>
        <v>1</v>
      </c>
      <c r="M308" s="4">
        <f t="shared" si="230"/>
        <v>1</v>
      </c>
      <c r="N308" s="4">
        <f t="shared" si="230"/>
        <v>1</v>
      </c>
      <c r="O308" s="4">
        <f t="shared" si="230"/>
        <v>1</v>
      </c>
      <c r="P308" s="4">
        <f t="shared" si="230"/>
        <v>1</v>
      </c>
      <c r="Q308" s="4">
        <f t="shared" si="230"/>
        <v>1</v>
      </c>
    </row>
    <row r="309" spans="2:17" x14ac:dyDescent="0.25">
      <c r="B309" s="8"/>
      <c r="E309" s="1" t="str">
        <f>IF(C309="","",VLOOKUP(C309,Table1[#All],2,FALSE))</f>
        <v/>
      </c>
      <c r="F309" s="2">
        <f t="shared" si="223"/>
        <v>1</v>
      </c>
      <c r="G309" s="46" t="str">
        <f>IF(C309&lt;&gt;"",VLOOKUP(C309,part_details,4,FALSE)*'Multi-level BOM'!D309,"")</f>
        <v/>
      </c>
      <c r="H309" s="4">
        <f t="shared" ref="H309:Q309" si="231">IF($A309="",H308,
    IF(H$2=$A309,$D309,
       IF(H$2&lt;$A309,H308,
           1
)))</f>
        <v>1</v>
      </c>
      <c r="I309" s="4">
        <f t="shared" si="231"/>
        <v>1</v>
      </c>
      <c r="J309" s="4">
        <f t="shared" si="231"/>
        <v>1</v>
      </c>
      <c r="K309" s="4">
        <f t="shared" si="231"/>
        <v>1</v>
      </c>
      <c r="L309" s="4">
        <f t="shared" si="231"/>
        <v>1</v>
      </c>
      <c r="M309" s="4">
        <f t="shared" si="231"/>
        <v>1</v>
      </c>
      <c r="N309" s="4">
        <f t="shared" si="231"/>
        <v>1</v>
      </c>
      <c r="O309" s="4">
        <f t="shared" si="231"/>
        <v>1</v>
      </c>
      <c r="P309" s="4">
        <f t="shared" si="231"/>
        <v>1</v>
      </c>
      <c r="Q309" s="4">
        <f t="shared" si="231"/>
        <v>1</v>
      </c>
    </row>
    <row r="310" spans="2:17" x14ac:dyDescent="0.25">
      <c r="B310" s="8"/>
      <c r="E310" s="1" t="str">
        <f>IF(C310="","",VLOOKUP(C310,Table1[#All],2,FALSE))</f>
        <v/>
      </c>
      <c r="F310" s="2">
        <f t="shared" si="223"/>
        <v>1</v>
      </c>
      <c r="G310" s="46" t="str">
        <f>IF(C310&lt;&gt;"",VLOOKUP(C310,part_details,4,FALSE)*'Multi-level BOM'!D310,"")</f>
        <v/>
      </c>
      <c r="H310" s="4">
        <f t="shared" ref="H310:Q310" si="232">IF($A310="",H309,
    IF(H$2=$A310,$D310,
       IF(H$2&lt;$A310,H309,
           1
)))</f>
        <v>1</v>
      </c>
      <c r="I310" s="4">
        <f t="shared" si="232"/>
        <v>1</v>
      </c>
      <c r="J310" s="4">
        <f t="shared" si="232"/>
        <v>1</v>
      </c>
      <c r="K310" s="4">
        <f t="shared" si="232"/>
        <v>1</v>
      </c>
      <c r="L310" s="4">
        <f t="shared" si="232"/>
        <v>1</v>
      </c>
      <c r="M310" s="4">
        <f t="shared" si="232"/>
        <v>1</v>
      </c>
      <c r="N310" s="4">
        <f t="shared" si="232"/>
        <v>1</v>
      </c>
      <c r="O310" s="4">
        <f t="shared" si="232"/>
        <v>1</v>
      </c>
      <c r="P310" s="4">
        <f t="shared" si="232"/>
        <v>1</v>
      </c>
      <c r="Q310" s="4">
        <f t="shared" si="232"/>
        <v>1</v>
      </c>
    </row>
    <row r="311" spans="2:17" x14ac:dyDescent="0.25">
      <c r="B311" s="8"/>
      <c r="E311" s="1" t="str">
        <f>IF(C311="","",VLOOKUP(C311,Table1[#All],2,FALSE))</f>
        <v/>
      </c>
      <c r="F311" s="2">
        <f t="shared" si="223"/>
        <v>1</v>
      </c>
      <c r="G311" s="46" t="str">
        <f>IF(C311&lt;&gt;"",VLOOKUP(C311,part_details,4,FALSE)*'Multi-level BOM'!D311,"")</f>
        <v/>
      </c>
      <c r="H311" s="4">
        <f t="shared" ref="H311:Q311" si="233">IF($A311="",H310,
    IF(H$2=$A311,$D311,
       IF(H$2&lt;$A311,H310,
           1
)))</f>
        <v>1</v>
      </c>
      <c r="I311" s="4">
        <f t="shared" si="233"/>
        <v>1</v>
      </c>
      <c r="J311" s="4">
        <f t="shared" si="233"/>
        <v>1</v>
      </c>
      <c r="K311" s="4">
        <f t="shared" si="233"/>
        <v>1</v>
      </c>
      <c r="L311" s="4">
        <f t="shared" si="233"/>
        <v>1</v>
      </c>
      <c r="M311" s="4">
        <f t="shared" si="233"/>
        <v>1</v>
      </c>
      <c r="N311" s="4">
        <f t="shared" si="233"/>
        <v>1</v>
      </c>
      <c r="O311" s="4">
        <f t="shared" si="233"/>
        <v>1</v>
      </c>
      <c r="P311" s="4">
        <f t="shared" si="233"/>
        <v>1</v>
      </c>
      <c r="Q311" s="4">
        <f t="shared" si="233"/>
        <v>1</v>
      </c>
    </row>
    <row r="312" spans="2:17" x14ac:dyDescent="0.25">
      <c r="B312" s="8"/>
      <c r="E312" s="1" t="str">
        <f>IF(C312="","",VLOOKUP(C312,Table1[#All],2,FALSE))</f>
        <v/>
      </c>
      <c r="F312" s="2">
        <f t="shared" si="223"/>
        <v>1</v>
      </c>
      <c r="G312" s="46" t="str">
        <f>IF(C312&lt;&gt;"",VLOOKUP(C312,part_details,4,FALSE)*'Multi-level BOM'!D312,"")</f>
        <v/>
      </c>
      <c r="H312" s="4">
        <f t="shared" ref="H312:Q312" si="234">IF($A312="",H311,
    IF(H$2=$A312,$D312,
       IF(H$2&lt;$A312,H311,
           1
)))</f>
        <v>1</v>
      </c>
      <c r="I312" s="4">
        <f t="shared" si="234"/>
        <v>1</v>
      </c>
      <c r="J312" s="4">
        <f t="shared" si="234"/>
        <v>1</v>
      </c>
      <c r="K312" s="4">
        <f t="shared" si="234"/>
        <v>1</v>
      </c>
      <c r="L312" s="4">
        <f t="shared" si="234"/>
        <v>1</v>
      </c>
      <c r="M312" s="4">
        <f t="shared" si="234"/>
        <v>1</v>
      </c>
      <c r="N312" s="4">
        <f t="shared" si="234"/>
        <v>1</v>
      </c>
      <c r="O312" s="4">
        <f t="shared" si="234"/>
        <v>1</v>
      </c>
      <c r="P312" s="4">
        <f t="shared" si="234"/>
        <v>1</v>
      </c>
      <c r="Q312" s="4">
        <f t="shared" si="234"/>
        <v>1</v>
      </c>
    </row>
    <row r="313" spans="2:17" x14ac:dyDescent="0.25">
      <c r="B313" s="8"/>
      <c r="E313" s="1" t="str">
        <f>IF(C313="","",VLOOKUP(C313,Table1[#All],2,FALSE))</f>
        <v/>
      </c>
      <c r="F313" s="2">
        <f t="shared" si="223"/>
        <v>1</v>
      </c>
      <c r="G313" s="46" t="str">
        <f>IF(C313&lt;&gt;"",VLOOKUP(C313,part_details,4,FALSE)*'Multi-level BOM'!D313,"")</f>
        <v/>
      </c>
      <c r="H313" s="4">
        <f t="shared" ref="H313:Q313" si="235">IF($A313="",H312,
    IF(H$2=$A313,$D313,
       IF(H$2&lt;$A313,H312,
           1
)))</f>
        <v>1</v>
      </c>
      <c r="I313" s="4">
        <f t="shared" si="235"/>
        <v>1</v>
      </c>
      <c r="J313" s="4">
        <f t="shared" si="235"/>
        <v>1</v>
      </c>
      <c r="K313" s="4">
        <f t="shared" si="235"/>
        <v>1</v>
      </c>
      <c r="L313" s="4">
        <f t="shared" si="235"/>
        <v>1</v>
      </c>
      <c r="M313" s="4">
        <f t="shared" si="235"/>
        <v>1</v>
      </c>
      <c r="N313" s="4">
        <f t="shared" si="235"/>
        <v>1</v>
      </c>
      <c r="O313" s="4">
        <f t="shared" si="235"/>
        <v>1</v>
      </c>
      <c r="P313" s="4">
        <f t="shared" si="235"/>
        <v>1</v>
      </c>
      <c r="Q313" s="4">
        <f t="shared" si="235"/>
        <v>1</v>
      </c>
    </row>
    <row r="314" spans="2:17" x14ac:dyDescent="0.25">
      <c r="B314" s="8"/>
      <c r="E314" s="1" t="str">
        <f>IF(C314="","",VLOOKUP(C314,Table1[#All],2,FALSE))</f>
        <v/>
      </c>
      <c r="F314" s="2">
        <f t="shared" si="223"/>
        <v>1</v>
      </c>
      <c r="G314" s="46" t="str">
        <f>IF(C314&lt;&gt;"",VLOOKUP(C314,part_details,4,FALSE)*'Multi-level BOM'!D314,"")</f>
        <v/>
      </c>
      <c r="H314" s="4">
        <f t="shared" ref="H314:Q314" si="236">IF($A314="",H313,
    IF(H$2=$A314,$D314,
       IF(H$2&lt;$A314,H313,
           1
)))</f>
        <v>1</v>
      </c>
      <c r="I314" s="4">
        <f t="shared" si="236"/>
        <v>1</v>
      </c>
      <c r="J314" s="4">
        <f t="shared" si="236"/>
        <v>1</v>
      </c>
      <c r="K314" s="4">
        <f t="shared" si="236"/>
        <v>1</v>
      </c>
      <c r="L314" s="4">
        <f t="shared" si="236"/>
        <v>1</v>
      </c>
      <c r="M314" s="4">
        <f t="shared" si="236"/>
        <v>1</v>
      </c>
      <c r="N314" s="4">
        <f t="shared" si="236"/>
        <v>1</v>
      </c>
      <c r="O314" s="4">
        <f t="shared" si="236"/>
        <v>1</v>
      </c>
      <c r="P314" s="4">
        <f t="shared" si="236"/>
        <v>1</v>
      </c>
      <c r="Q314" s="4">
        <f t="shared" si="236"/>
        <v>1</v>
      </c>
    </row>
    <row r="315" spans="2:17" x14ac:dyDescent="0.25">
      <c r="B315" s="8"/>
      <c r="E315" s="1" t="str">
        <f>IF(C315="","",VLOOKUP(C315,Table1[#All],2,FALSE))</f>
        <v/>
      </c>
      <c r="F315" s="2">
        <f t="shared" si="223"/>
        <v>1</v>
      </c>
      <c r="G315" s="46" t="str">
        <f>IF(C315&lt;&gt;"",VLOOKUP(C315,part_details,4,FALSE)*'Multi-level BOM'!D315,"")</f>
        <v/>
      </c>
      <c r="H315" s="4">
        <f t="shared" ref="H315:Q315" si="237">IF($A315="",H314,
    IF(H$2=$A315,$D315,
       IF(H$2&lt;$A315,H314,
           1
)))</f>
        <v>1</v>
      </c>
      <c r="I315" s="4">
        <f t="shared" si="237"/>
        <v>1</v>
      </c>
      <c r="J315" s="4">
        <f t="shared" si="237"/>
        <v>1</v>
      </c>
      <c r="K315" s="4">
        <f t="shared" si="237"/>
        <v>1</v>
      </c>
      <c r="L315" s="4">
        <f t="shared" si="237"/>
        <v>1</v>
      </c>
      <c r="M315" s="4">
        <f t="shared" si="237"/>
        <v>1</v>
      </c>
      <c r="N315" s="4">
        <f t="shared" si="237"/>
        <v>1</v>
      </c>
      <c r="O315" s="4">
        <f t="shared" si="237"/>
        <v>1</v>
      </c>
      <c r="P315" s="4">
        <f t="shared" si="237"/>
        <v>1</v>
      </c>
      <c r="Q315" s="4">
        <f t="shared" si="237"/>
        <v>1</v>
      </c>
    </row>
    <row r="316" spans="2:17" x14ac:dyDescent="0.25">
      <c r="B316" s="8"/>
      <c r="E316" s="1" t="str">
        <f>IF(C316="","",VLOOKUP(C316,Table1[#All],2,FALSE))</f>
        <v/>
      </c>
      <c r="F316" s="2">
        <f t="shared" si="223"/>
        <v>1</v>
      </c>
      <c r="G316" s="46" t="str">
        <f>IF(C316&lt;&gt;"",VLOOKUP(C316,part_details,4,FALSE)*'Multi-level BOM'!D316,"")</f>
        <v/>
      </c>
      <c r="H316" s="4">
        <f t="shared" ref="H316:Q316" si="238">IF($A316="",H315,
    IF(H$2=$A316,$D316,
       IF(H$2&lt;$A316,H315,
           1
)))</f>
        <v>1</v>
      </c>
      <c r="I316" s="4">
        <f t="shared" si="238"/>
        <v>1</v>
      </c>
      <c r="J316" s="4">
        <f t="shared" si="238"/>
        <v>1</v>
      </c>
      <c r="K316" s="4">
        <f t="shared" si="238"/>
        <v>1</v>
      </c>
      <c r="L316" s="4">
        <f t="shared" si="238"/>
        <v>1</v>
      </c>
      <c r="M316" s="4">
        <f t="shared" si="238"/>
        <v>1</v>
      </c>
      <c r="N316" s="4">
        <f t="shared" si="238"/>
        <v>1</v>
      </c>
      <c r="O316" s="4">
        <f t="shared" si="238"/>
        <v>1</v>
      </c>
      <c r="P316" s="4">
        <f t="shared" si="238"/>
        <v>1</v>
      </c>
      <c r="Q316" s="4">
        <f t="shared" si="238"/>
        <v>1</v>
      </c>
    </row>
    <row r="317" spans="2:17" x14ac:dyDescent="0.25">
      <c r="B317" s="8"/>
      <c r="E317" s="1" t="str">
        <f>IF(C317="","",VLOOKUP(C317,Table1[#All],2,FALSE))</f>
        <v/>
      </c>
      <c r="F317" s="2">
        <f t="shared" si="223"/>
        <v>1</v>
      </c>
      <c r="G317" s="46" t="str">
        <f>IF(C317&lt;&gt;"",VLOOKUP(C317,part_details,4,FALSE)*'Multi-level BOM'!D317,"")</f>
        <v/>
      </c>
      <c r="H317" s="4">
        <f t="shared" ref="H317:Q317" si="239">IF($A317="",H316,
    IF(H$2=$A317,$D317,
       IF(H$2&lt;$A317,H316,
           1
)))</f>
        <v>1</v>
      </c>
      <c r="I317" s="4">
        <f t="shared" si="239"/>
        <v>1</v>
      </c>
      <c r="J317" s="4">
        <f t="shared" si="239"/>
        <v>1</v>
      </c>
      <c r="K317" s="4">
        <f t="shared" si="239"/>
        <v>1</v>
      </c>
      <c r="L317" s="4">
        <f t="shared" si="239"/>
        <v>1</v>
      </c>
      <c r="M317" s="4">
        <f t="shared" si="239"/>
        <v>1</v>
      </c>
      <c r="N317" s="4">
        <f t="shared" si="239"/>
        <v>1</v>
      </c>
      <c r="O317" s="4">
        <f t="shared" si="239"/>
        <v>1</v>
      </c>
      <c r="P317" s="4">
        <f t="shared" si="239"/>
        <v>1</v>
      </c>
      <c r="Q317" s="4">
        <f t="shared" si="239"/>
        <v>1</v>
      </c>
    </row>
    <row r="318" spans="2:17" x14ac:dyDescent="0.25">
      <c r="B318" s="8"/>
      <c r="E318" s="1" t="str">
        <f>IF(C318="","",VLOOKUP(C318,Table1[#All],2,FALSE))</f>
        <v/>
      </c>
      <c r="F318" s="2">
        <f t="shared" si="223"/>
        <v>1</v>
      </c>
      <c r="G318" s="46" t="str">
        <f>IF(C318&lt;&gt;"",VLOOKUP(C318,part_details,4,FALSE)*'Multi-level BOM'!D318,"")</f>
        <v/>
      </c>
      <c r="H318" s="4">
        <f t="shared" ref="H318:Q318" si="240">IF($A318="",H317,
    IF(H$2=$A318,$D318,
       IF(H$2&lt;$A318,H317,
           1
)))</f>
        <v>1</v>
      </c>
      <c r="I318" s="4">
        <f t="shared" si="240"/>
        <v>1</v>
      </c>
      <c r="J318" s="4">
        <f t="shared" si="240"/>
        <v>1</v>
      </c>
      <c r="K318" s="4">
        <f t="shared" si="240"/>
        <v>1</v>
      </c>
      <c r="L318" s="4">
        <f t="shared" si="240"/>
        <v>1</v>
      </c>
      <c r="M318" s="4">
        <f t="shared" si="240"/>
        <v>1</v>
      </c>
      <c r="N318" s="4">
        <f t="shared" si="240"/>
        <v>1</v>
      </c>
      <c r="O318" s="4">
        <f t="shared" si="240"/>
        <v>1</v>
      </c>
      <c r="P318" s="4">
        <f t="shared" si="240"/>
        <v>1</v>
      </c>
      <c r="Q318" s="4">
        <f t="shared" si="240"/>
        <v>1</v>
      </c>
    </row>
    <row r="319" spans="2:17" x14ac:dyDescent="0.25">
      <c r="B319" s="8"/>
      <c r="E319" s="1" t="str">
        <f>IF(C319="","",VLOOKUP(C319,Table1[#All],2,FALSE))</f>
        <v/>
      </c>
      <c r="F319" s="2">
        <f t="shared" si="223"/>
        <v>1</v>
      </c>
      <c r="G319" s="46" t="str">
        <f>IF(C319&lt;&gt;"",VLOOKUP(C319,part_details,4,FALSE)*'Multi-level BOM'!D319,"")</f>
        <v/>
      </c>
      <c r="H319" s="4">
        <f t="shared" ref="H319:Q319" si="241">IF($A319="",H318,
    IF(H$2=$A319,$D319,
       IF(H$2&lt;$A319,H318,
           1
)))</f>
        <v>1</v>
      </c>
      <c r="I319" s="4">
        <f t="shared" si="241"/>
        <v>1</v>
      </c>
      <c r="J319" s="4">
        <f t="shared" si="241"/>
        <v>1</v>
      </c>
      <c r="K319" s="4">
        <f t="shared" si="241"/>
        <v>1</v>
      </c>
      <c r="L319" s="4">
        <f t="shared" si="241"/>
        <v>1</v>
      </c>
      <c r="M319" s="4">
        <f t="shared" si="241"/>
        <v>1</v>
      </c>
      <c r="N319" s="4">
        <f t="shared" si="241"/>
        <v>1</v>
      </c>
      <c r="O319" s="4">
        <f t="shared" si="241"/>
        <v>1</v>
      </c>
      <c r="P319" s="4">
        <f t="shared" si="241"/>
        <v>1</v>
      </c>
      <c r="Q319" s="4">
        <f t="shared" si="241"/>
        <v>1</v>
      </c>
    </row>
    <row r="320" spans="2:17" x14ac:dyDescent="0.25">
      <c r="B320" s="8"/>
      <c r="E320" s="1" t="str">
        <f>IF(C320="","",VLOOKUP(C320,Table1[#All],2,FALSE))</f>
        <v/>
      </c>
      <c r="F320" s="2">
        <f t="shared" si="223"/>
        <v>1</v>
      </c>
      <c r="G320" s="46" t="str">
        <f>IF(C320&lt;&gt;"",VLOOKUP(C320,part_details,4,FALSE)*'Multi-level BOM'!D320,"")</f>
        <v/>
      </c>
      <c r="H320" s="4">
        <f t="shared" ref="H320:Q320" si="242">IF($A320="",H319,
    IF(H$2=$A320,$D320,
       IF(H$2&lt;$A320,H319,
           1
)))</f>
        <v>1</v>
      </c>
      <c r="I320" s="4">
        <f t="shared" si="242"/>
        <v>1</v>
      </c>
      <c r="J320" s="4">
        <f t="shared" si="242"/>
        <v>1</v>
      </c>
      <c r="K320" s="4">
        <f t="shared" si="242"/>
        <v>1</v>
      </c>
      <c r="L320" s="4">
        <f t="shared" si="242"/>
        <v>1</v>
      </c>
      <c r="M320" s="4">
        <f t="shared" si="242"/>
        <v>1</v>
      </c>
      <c r="N320" s="4">
        <f t="shared" si="242"/>
        <v>1</v>
      </c>
      <c r="O320" s="4">
        <f t="shared" si="242"/>
        <v>1</v>
      </c>
      <c r="P320" s="4">
        <f t="shared" si="242"/>
        <v>1</v>
      </c>
      <c r="Q320" s="4">
        <f t="shared" si="242"/>
        <v>1</v>
      </c>
    </row>
    <row r="321" spans="2:17" x14ac:dyDescent="0.25">
      <c r="B321" s="8"/>
      <c r="E321" s="1" t="str">
        <f>IF(C321="","",VLOOKUP(C321,Table1[#All],2,FALSE))</f>
        <v/>
      </c>
      <c r="F321" s="2">
        <f t="shared" si="223"/>
        <v>1</v>
      </c>
      <c r="G321" s="46" t="str">
        <f>IF(C321&lt;&gt;"",VLOOKUP(C321,part_details,4,FALSE)*'Multi-level BOM'!D321,"")</f>
        <v/>
      </c>
      <c r="H321" s="4">
        <f t="shared" ref="H321:Q321" si="243">IF($A321="",H320,
    IF(H$2=$A321,$D321,
       IF(H$2&lt;$A321,H320,
           1
)))</f>
        <v>1</v>
      </c>
      <c r="I321" s="4">
        <f t="shared" si="243"/>
        <v>1</v>
      </c>
      <c r="J321" s="4">
        <f t="shared" si="243"/>
        <v>1</v>
      </c>
      <c r="K321" s="4">
        <f t="shared" si="243"/>
        <v>1</v>
      </c>
      <c r="L321" s="4">
        <f t="shared" si="243"/>
        <v>1</v>
      </c>
      <c r="M321" s="4">
        <f t="shared" si="243"/>
        <v>1</v>
      </c>
      <c r="N321" s="4">
        <f t="shared" si="243"/>
        <v>1</v>
      </c>
      <c r="O321" s="4">
        <f t="shared" si="243"/>
        <v>1</v>
      </c>
      <c r="P321" s="4">
        <f t="shared" si="243"/>
        <v>1</v>
      </c>
      <c r="Q321" s="4">
        <f t="shared" si="243"/>
        <v>1</v>
      </c>
    </row>
    <row r="322" spans="2:17" x14ac:dyDescent="0.25">
      <c r="B322" s="8"/>
      <c r="E322" s="1" t="str">
        <f>IF(C322="","",VLOOKUP(C322,Table1[#All],2,FALSE))</f>
        <v/>
      </c>
      <c r="F322" s="2">
        <f t="shared" si="223"/>
        <v>1</v>
      </c>
      <c r="G322" s="46" t="str">
        <f>IF(C322&lt;&gt;"",VLOOKUP(C322,part_details,4,FALSE)*'Multi-level BOM'!D322,"")</f>
        <v/>
      </c>
      <c r="H322" s="4">
        <f t="shared" ref="H322:Q322" si="244">IF($A322="",H321,
    IF(H$2=$A322,$D322,
       IF(H$2&lt;$A322,H321,
           1
)))</f>
        <v>1</v>
      </c>
      <c r="I322" s="4">
        <f t="shared" si="244"/>
        <v>1</v>
      </c>
      <c r="J322" s="4">
        <f t="shared" si="244"/>
        <v>1</v>
      </c>
      <c r="K322" s="4">
        <f t="shared" si="244"/>
        <v>1</v>
      </c>
      <c r="L322" s="4">
        <f t="shared" si="244"/>
        <v>1</v>
      </c>
      <c r="M322" s="4">
        <f t="shared" si="244"/>
        <v>1</v>
      </c>
      <c r="N322" s="4">
        <f t="shared" si="244"/>
        <v>1</v>
      </c>
      <c r="O322" s="4">
        <f t="shared" si="244"/>
        <v>1</v>
      </c>
      <c r="P322" s="4">
        <f t="shared" si="244"/>
        <v>1</v>
      </c>
      <c r="Q322" s="4">
        <f t="shared" si="244"/>
        <v>1</v>
      </c>
    </row>
    <row r="323" spans="2:17" x14ac:dyDescent="0.25">
      <c r="B323" s="8"/>
      <c r="E323" s="1" t="str">
        <f>IF(C323="","",VLOOKUP(C323,Table1[#All],2,FALSE))</f>
        <v/>
      </c>
      <c r="F323" s="2">
        <f t="shared" si="223"/>
        <v>1</v>
      </c>
      <c r="G323" s="46" t="str">
        <f>IF(C323&lt;&gt;"",VLOOKUP(C323,part_details,4,FALSE)*'Multi-level BOM'!D323,"")</f>
        <v/>
      </c>
      <c r="H323" s="4">
        <f t="shared" ref="H323:Q323" si="245">IF($A323="",H322,
    IF(H$2=$A323,$D323,
       IF(H$2&lt;$A323,H322,
           1
)))</f>
        <v>1</v>
      </c>
      <c r="I323" s="4">
        <f t="shared" si="245"/>
        <v>1</v>
      </c>
      <c r="J323" s="4">
        <f t="shared" si="245"/>
        <v>1</v>
      </c>
      <c r="K323" s="4">
        <f t="shared" si="245"/>
        <v>1</v>
      </c>
      <c r="L323" s="4">
        <f t="shared" si="245"/>
        <v>1</v>
      </c>
      <c r="M323" s="4">
        <f t="shared" si="245"/>
        <v>1</v>
      </c>
      <c r="N323" s="4">
        <f t="shared" si="245"/>
        <v>1</v>
      </c>
      <c r="O323" s="4">
        <f t="shared" si="245"/>
        <v>1</v>
      </c>
      <c r="P323" s="4">
        <f t="shared" si="245"/>
        <v>1</v>
      </c>
      <c r="Q323" s="4">
        <f t="shared" si="245"/>
        <v>1</v>
      </c>
    </row>
    <row r="324" spans="2:17" x14ac:dyDescent="0.25">
      <c r="B324" s="8"/>
      <c r="E324" s="1" t="str">
        <f>IF(C324="","",VLOOKUP(C324,Table1[#All],2,FALSE))</f>
        <v/>
      </c>
      <c r="F324" s="2">
        <f t="shared" si="223"/>
        <v>1</v>
      </c>
      <c r="G324" s="46" t="str">
        <f>IF(C324&lt;&gt;"",VLOOKUP(C324,part_details,4,FALSE)*'Multi-level BOM'!D324,"")</f>
        <v/>
      </c>
      <c r="H324" s="4">
        <f t="shared" ref="H324:Q324" si="246">IF($A324="",H323,
    IF(H$2=$A324,$D324,
       IF(H$2&lt;$A324,H323,
           1
)))</f>
        <v>1</v>
      </c>
      <c r="I324" s="4">
        <f t="shared" si="246"/>
        <v>1</v>
      </c>
      <c r="J324" s="4">
        <f t="shared" si="246"/>
        <v>1</v>
      </c>
      <c r="K324" s="4">
        <f t="shared" si="246"/>
        <v>1</v>
      </c>
      <c r="L324" s="4">
        <f t="shared" si="246"/>
        <v>1</v>
      </c>
      <c r="M324" s="4">
        <f t="shared" si="246"/>
        <v>1</v>
      </c>
      <c r="N324" s="4">
        <f t="shared" si="246"/>
        <v>1</v>
      </c>
      <c r="O324" s="4">
        <f t="shared" si="246"/>
        <v>1</v>
      </c>
      <c r="P324" s="4">
        <f t="shared" si="246"/>
        <v>1</v>
      </c>
      <c r="Q324" s="4">
        <f t="shared" si="246"/>
        <v>1</v>
      </c>
    </row>
    <row r="325" spans="2:17" x14ac:dyDescent="0.25">
      <c r="B325" s="8"/>
      <c r="E325" s="1" t="str">
        <f>IF(C325="","",VLOOKUP(C325,Table1[#All],2,FALSE))</f>
        <v/>
      </c>
      <c r="F325" s="2">
        <f t="shared" si="223"/>
        <v>1</v>
      </c>
      <c r="G325" s="46" t="str">
        <f>IF(C325&lt;&gt;"",VLOOKUP(C325,part_details,4,FALSE)*'Multi-level BOM'!D325,"")</f>
        <v/>
      </c>
      <c r="H325" s="4">
        <f t="shared" ref="H325:Q325" si="247">IF($A325="",H324,
    IF(H$2=$A325,$D325,
       IF(H$2&lt;$A325,H324,
           1
)))</f>
        <v>1</v>
      </c>
      <c r="I325" s="4">
        <f t="shared" si="247"/>
        <v>1</v>
      </c>
      <c r="J325" s="4">
        <f t="shared" si="247"/>
        <v>1</v>
      </c>
      <c r="K325" s="4">
        <f t="shared" si="247"/>
        <v>1</v>
      </c>
      <c r="L325" s="4">
        <f t="shared" si="247"/>
        <v>1</v>
      </c>
      <c r="M325" s="4">
        <f t="shared" si="247"/>
        <v>1</v>
      </c>
      <c r="N325" s="4">
        <f t="shared" si="247"/>
        <v>1</v>
      </c>
      <c r="O325" s="4">
        <f t="shared" si="247"/>
        <v>1</v>
      </c>
      <c r="P325" s="4">
        <f t="shared" si="247"/>
        <v>1</v>
      </c>
      <c r="Q325" s="4">
        <f t="shared" si="247"/>
        <v>1</v>
      </c>
    </row>
    <row r="326" spans="2:17" x14ac:dyDescent="0.25">
      <c r="B326" s="8"/>
      <c r="E326" s="1" t="str">
        <f>IF(C326="","",VLOOKUP(C326,Table1[#All],2,FALSE))</f>
        <v/>
      </c>
      <c r="F326" s="2">
        <f t="shared" si="223"/>
        <v>1</v>
      </c>
      <c r="G326" s="46" t="str">
        <f>IF(C326&lt;&gt;"",VLOOKUP(C326,part_details,4,FALSE)*'Multi-level BOM'!D326,"")</f>
        <v/>
      </c>
      <c r="H326" s="4">
        <f t="shared" ref="H326:Q326" si="248">IF($A326="",H325,
    IF(H$2=$A326,$D326,
       IF(H$2&lt;$A326,H325,
           1
)))</f>
        <v>1</v>
      </c>
      <c r="I326" s="4">
        <f t="shared" si="248"/>
        <v>1</v>
      </c>
      <c r="J326" s="4">
        <f t="shared" si="248"/>
        <v>1</v>
      </c>
      <c r="K326" s="4">
        <f t="shared" si="248"/>
        <v>1</v>
      </c>
      <c r="L326" s="4">
        <f t="shared" si="248"/>
        <v>1</v>
      </c>
      <c r="M326" s="4">
        <f t="shared" si="248"/>
        <v>1</v>
      </c>
      <c r="N326" s="4">
        <f t="shared" si="248"/>
        <v>1</v>
      </c>
      <c r="O326" s="4">
        <f t="shared" si="248"/>
        <v>1</v>
      </c>
      <c r="P326" s="4">
        <f t="shared" si="248"/>
        <v>1</v>
      </c>
      <c r="Q326" s="4">
        <f t="shared" si="248"/>
        <v>1</v>
      </c>
    </row>
    <row r="327" spans="2:17" x14ac:dyDescent="0.25">
      <c r="B327" s="8"/>
      <c r="E327" s="1" t="str">
        <f>IF(C327="","",VLOOKUP(C327,Table1[#All],2,FALSE))</f>
        <v/>
      </c>
      <c r="F327" s="2">
        <f t="shared" si="223"/>
        <v>1</v>
      </c>
      <c r="G327" s="46" t="str">
        <f>IF(C327&lt;&gt;"",VLOOKUP(C327,part_details,4,FALSE)*'Multi-level BOM'!D327,"")</f>
        <v/>
      </c>
      <c r="H327" s="4">
        <f t="shared" ref="H327:Q327" si="249">IF($A327="",H326,
    IF(H$2=$A327,$D327,
       IF(H$2&lt;$A327,H326,
           1
)))</f>
        <v>1</v>
      </c>
      <c r="I327" s="4">
        <f t="shared" si="249"/>
        <v>1</v>
      </c>
      <c r="J327" s="4">
        <f t="shared" si="249"/>
        <v>1</v>
      </c>
      <c r="K327" s="4">
        <f t="shared" si="249"/>
        <v>1</v>
      </c>
      <c r="L327" s="4">
        <f t="shared" si="249"/>
        <v>1</v>
      </c>
      <c r="M327" s="4">
        <f t="shared" si="249"/>
        <v>1</v>
      </c>
      <c r="N327" s="4">
        <f t="shared" si="249"/>
        <v>1</v>
      </c>
      <c r="O327" s="4">
        <f t="shared" si="249"/>
        <v>1</v>
      </c>
      <c r="P327" s="4">
        <f t="shared" si="249"/>
        <v>1</v>
      </c>
      <c r="Q327" s="4">
        <f t="shared" si="249"/>
        <v>1</v>
      </c>
    </row>
    <row r="328" spans="2:17" x14ac:dyDescent="0.25">
      <c r="B328" s="8"/>
      <c r="E328" s="1" t="str">
        <f>IF(C328="","",VLOOKUP(C328,Table1[#All],2,FALSE))</f>
        <v/>
      </c>
      <c r="F328" s="2">
        <f t="shared" si="223"/>
        <v>1</v>
      </c>
      <c r="G328" s="46" t="str">
        <f>IF(C328&lt;&gt;"",VLOOKUP(C328,part_details,4,FALSE)*'Multi-level BOM'!D328,"")</f>
        <v/>
      </c>
      <c r="H328" s="4">
        <f t="shared" ref="H328:Q328" si="250">IF($A328="",H327,
    IF(H$2=$A328,$D328,
       IF(H$2&lt;$A328,H327,
           1
)))</f>
        <v>1</v>
      </c>
      <c r="I328" s="4">
        <f t="shared" si="250"/>
        <v>1</v>
      </c>
      <c r="J328" s="4">
        <f t="shared" si="250"/>
        <v>1</v>
      </c>
      <c r="K328" s="4">
        <f t="shared" si="250"/>
        <v>1</v>
      </c>
      <c r="L328" s="4">
        <f t="shared" si="250"/>
        <v>1</v>
      </c>
      <c r="M328" s="4">
        <f t="shared" si="250"/>
        <v>1</v>
      </c>
      <c r="N328" s="4">
        <f t="shared" si="250"/>
        <v>1</v>
      </c>
      <c r="O328" s="4">
        <f t="shared" si="250"/>
        <v>1</v>
      </c>
      <c r="P328" s="4">
        <f t="shared" si="250"/>
        <v>1</v>
      </c>
      <c r="Q328" s="4">
        <f t="shared" si="250"/>
        <v>1</v>
      </c>
    </row>
    <row r="329" spans="2:17" x14ac:dyDescent="0.25">
      <c r="B329" s="8"/>
      <c r="E329" s="1" t="str">
        <f>IF(C329="","",VLOOKUP(C329,Table1[#All],2,FALSE))</f>
        <v/>
      </c>
      <c r="F329" s="2">
        <f t="shared" si="223"/>
        <v>1</v>
      </c>
      <c r="G329" s="46" t="str">
        <f>IF(C329&lt;&gt;"",VLOOKUP(C329,part_details,4,FALSE)*'Multi-level BOM'!D329,"")</f>
        <v/>
      </c>
      <c r="H329" s="4">
        <f t="shared" ref="H329:Q329" si="251">IF($A329="",H328,
    IF(H$2=$A329,$D329,
       IF(H$2&lt;$A329,H328,
           1
)))</f>
        <v>1</v>
      </c>
      <c r="I329" s="4">
        <f t="shared" si="251"/>
        <v>1</v>
      </c>
      <c r="J329" s="4">
        <f t="shared" si="251"/>
        <v>1</v>
      </c>
      <c r="K329" s="4">
        <f t="shared" si="251"/>
        <v>1</v>
      </c>
      <c r="L329" s="4">
        <f t="shared" si="251"/>
        <v>1</v>
      </c>
      <c r="M329" s="4">
        <f t="shared" si="251"/>
        <v>1</v>
      </c>
      <c r="N329" s="4">
        <f t="shared" si="251"/>
        <v>1</v>
      </c>
      <c r="O329" s="4">
        <f t="shared" si="251"/>
        <v>1</v>
      </c>
      <c r="P329" s="4">
        <f t="shared" si="251"/>
        <v>1</v>
      </c>
      <c r="Q329" s="4">
        <f t="shared" si="251"/>
        <v>1</v>
      </c>
    </row>
    <row r="330" spans="2:17" x14ac:dyDescent="0.25">
      <c r="B330" s="8"/>
      <c r="E330" s="1" t="str">
        <f>IF(C330="","",VLOOKUP(C330,Table1[#All],2,FALSE))</f>
        <v/>
      </c>
      <c r="F330" s="2">
        <f t="shared" si="223"/>
        <v>1</v>
      </c>
      <c r="G330" s="46" t="str">
        <f>IF(C330&lt;&gt;"",VLOOKUP(C330,part_details,4,FALSE)*'Multi-level BOM'!D330,"")</f>
        <v/>
      </c>
      <c r="H330" s="4">
        <f t="shared" ref="H330:Q330" si="252">IF($A330="",H329,
    IF(H$2=$A330,$D330,
       IF(H$2&lt;$A330,H329,
           1
)))</f>
        <v>1</v>
      </c>
      <c r="I330" s="4">
        <f t="shared" si="252"/>
        <v>1</v>
      </c>
      <c r="J330" s="4">
        <f t="shared" si="252"/>
        <v>1</v>
      </c>
      <c r="K330" s="4">
        <f t="shared" si="252"/>
        <v>1</v>
      </c>
      <c r="L330" s="4">
        <f t="shared" si="252"/>
        <v>1</v>
      </c>
      <c r="M330" s="4">
        <f t="shared" si="252"/>
        <v>1</v>
      </c>
      <c r="N330" s="4">
        <f t="shared" si="252"/>
        <v>1</v>
      </c>
      <c r="O330" s="4">
        <f t="shared" si="252"/>
        <v>1</v>
      </c>
      <c r="P330" s="4">
        <f t="shared" si="252"/>
        <v>1</v>
      </c>
      <c r="Q330" s="4">
        <f t="shared" si="252"/>
        <v>1</v>
      </c>
    </row>
    <row r="331" spans="2:17" x14ac:dyDescent="0.25">
      <c r="B331" s="8"/>
      <c r="E331" s="1" t="str">
        <f>IF(C331="","",VLOOKUP(C331,Table1[#All],2,FALSE))</f>
        <v/>
      </c>
      <c r="F331" s="2">
        <f t="shared" si="223"/>
        <v>1</v>
      </c>
      <c r="G331" s="46" t="str">
        <f>IF(C331&lt;&gt;"",VLOOKUP(C331,part_details,4,FALSE)*'Multi-level BOM'!D331,"")</f>
        <v/>
      </c>
      <c r="H331" s="4">
        <f t="shared" ref="H331:Q331" si="253">IF($A331="",H330,
    IF(H$2=$A331,$D331,
       IF(H$2&lt;$A331,H330,
           1
)))</f>
        <v>1</v>
      </c>
      <c r="I331" s="4">
        <f t="shared" si="253"/>
        <v>1</v>
      </c>
      <c r="J331" s="4">
        <f t="shared" si="253"/>
        <v>1</v>
      </c>
      <c r="K331" s="4">
        <f t="shared" si="253"/>
        <v>1</v>
      </c>
      <c r="L331" s="4">
        <f t="shared" si="253"/>
        <v>1</v>
      </c>
      <c r="M331" s="4">
        <f t="shared" si="253"/>
        <v>1</v>
      </c>
      <c r="N331" s="4">
        <f t="shared" si="253"/>
        <v>1</v>
      </c>
      <c r="O331" s="4">
        <f t="shared" si="253"/>
        <v>1</v>
      </c>
      <c r="P331" s="4">
        <f t="shared" si="253"/>
        <v>1</v>
      </c>
      <c r="Q331" s="4">
        <f t="shared" si="253"/>
        <v>1</v>
      </c>
    </row>
    <row r="332" spans="2:17" x14ac:dyDescent="0.25">
      <c r="B332" s="8"/>
      <c r="E332" s="1" t="str">
        <f>IF(C332="","",VLOOKUP(C332,Table1[#All],2,FALSE))</f>
        <v/>
      </c>
      <c r="F332" s="2">
        <f t="shared" si="223"/>
        <v>1</v>
      </c>
      <c r="G332" s="46" t="str">
        <f>IF(C332&lt;&gt;"",VLOOKUP(C332,part_details,4,FALSE)*'Multi-level BOM'!D332,"")</f>
        <v/>
      </c>
      <c r="H332" s="4">
        <f t="shared" ref="H332:Q332" si="254">IF($A332="",H331,
    IF(H$2=$A332,$D332,
       IF(H$2&lt;$A332,H331,
           1
)))</f>
        <v>1</v>
      </c>
      <c r="I332" s="4">
        <f t="shared" si="254"/>
        <v>1</v>
      </c>
      <c r="J332" s="4">
        <f t="shared" si="254"/>
        <v>1</v>
      </c>
      <c r="K332" s="4">
        <f t="shared" si="254"/>
        <v>1</v>
      </c>
      <c r="L332" s="4">
        <f t="shared" si="254"/>
        <v>1</v>
      </c>
      <c r="M332" s="4">
        <f t="shared" si="254"/>
        <v>1</v>
      </c>
      <c r="N332" s="4">
        <f t="shared" si="254"/>
        <v>1</v>
      </c>
      <c r="O332" s="4">
        <f t="shared" si="254"/>
        <v>1</v>
      </c>
      <c r="P332" s="4">
        <f t="shared" si="254"/>
        <v>1</v>
      </c>
      <c r="Q332" s="4">
        <f t="shared" si="254"/>
        <v>1</v>
      </c>
    </row>
    <row r="333" spans="2:17" x14ac:dyDescent="0.25">
      <c r="B333" s="8"/>
      <c r="E333" s="1" t="str">
        <f>IF(C333="","",VLOOKUP(C333,Table1[#All],2,FALSE))</f>
        <v/>
      </c>
      <c r="F333" s="2">
        <f t="shared" si="223"/>
        <v>1</v>
      </c>
      <c r="G333" s="46" t="str">
        <f>IF(C333&lt;&gt;"",VLOOKUP(C333,part_details,4,FALSE)*'Multi-level BOM'!D333,"")</f>
        <v/>
      </c>
      <c r="H333" s="4">
        <f t="shared" ref="H333:Q333" si="255">IF($A333="",H332,
    IF(H$2=$A333,$D333,
       IF(H$2&lt;$A333,H332,
           1
)))</f>
        <v>1</v>
      </c>
      <c r="I333" s="4">
        <f t="shared" si="255"/>
        <v>1</v>
      </c>
      <c r="J333" s="4">
        <f t="shared" si="255"/>
        <v>1</v>
      </c>
      <c r="K333" s="4">
        <f t="shared" si="255"/>
        <v>1</v>
      </c>
      <c r="L333" s="4">
        <f t="shared" si="255"/>
        <v>1</v>
      </c>
      <c r="M333" s="4">
        <f t="shared" si="255"/>
        <v>1</v>
      </c>
      <c r="N333" s="4">
        <f t="shared" si="255"/>
        <v>1</v>
      </c>
      <c r="O333" s="4">
        <f t="shared" si="255"/>
        <v>1</v>
      </c>
      <c r="P333" s="4">
        <f t="shared" si="255"/>
        <v>1</v>
      </c>
      <c r="Q333" s="4">
        <f t="shared" si="255"/>
        <v>1</v>
      </c>
    </row>
    <row r="334" spans="2:17" x14ac:dyDescent="0.25">
      <c r="B334" s="8"/>
      <c r="E334" s="1" t="str">
        <f>IF(C334="","",VLOOKUP(C334,Table1[#All],2,FALSE))</f>
        <v/>
      </c>
      <c r="F334" s="2">
        <f t="shared" si="223"/>
        <v>1</v>
      </c>
      <c r="G334" s="46" t="str">
        <f>IF(C334&lt;&gt;"",VLOOKUP(C334,part_details,4,FALSE)*'Multi-level BOM'!D334,"")</f>
        <v/>
      </c>
      <c r="H334" s="4">
        <f t="shared" ref="H334:Q334" si="256">IF($A334="",H333,
    IF(H$2=$A334,$D334,
       IF(H$2&lt;$A334,H333,
           1
)))</f>
        <v>1</v>
      </c>
      <c r="I334" s="4">
        <f t="shared" si="256"/>
        <v>1</v>
      </c>
      <c r="J334" s="4">
        <f t="shared" si="256"/>
        <v>1</v>
      </c>
      <c r="K334" s="4">
        <f t="shared" si="256"/>
        <v>1</v>
      </c>
      <c r="L334" s="4">
        <f t="shared" si="256"/>
        <v>1</v>
      </c>
      <c r="M334" s="4">
        <f t="shared" si="256"/>
        <v>1</v>
      </c>
      <c r="N334" s="4">
        <f t="shared" si="256"/>
        <v>1</v>
      </c>
      <c r="O334" s="4">
        <f t="shared" si="256"/>
        <v>1</v>
      </c>
      <c r="P334" s="4">
        <f t="shared" si="256"/>
        <v>1</v>
      </c>
      <c r="Q334" s="4">
        <f t="shared" si="256"/>
        <v>1</v>
      </c>
    </row>
    <row r="335" spans="2:17" x14ac:dyDescent="0.25">
      <c r="B335" s="8"/>
      <c r="E335" s="1" t="str">
        <f>IF(C335="","",VLOOKUP(C335,Table1[#All],2,FALSE))</f>
        <v/>
      </c>
      <c r="F335" s="2">
        <f t="shared" si="223"/>
        <v>1</v>
      </c>
      <c r="G335" s="46" t="str">
        <f>IF(C335&lt;&gt;"",VLOOKUP(C335,part_details,4,FALSE)*'Multi-level BOM'!D335,"")</f>
        <v/>
      </c>
      <c r="H335" s="4">
        <f t="shared" ref="H335:Q335" si="257">IF($A335="",H334,
    IF(H$2=$A335,$D335,
       IF(H$2&lt;$A335,H334,
           1
)))</f>
        <v>1</v>
      </c>
      <c r="I335" s="4">
        <f t="shared" si="257"/>
        <v>1</v>
      </c>
      <c r="J335" s="4">
        <f t="shared" si="257"/>
        <v>1</v>
      </c>
      <c r="K335" s="4">
        <f t="shared" si="257"/>
        <v>1</v>
      </c>
      <c r="L335" s="4">
        <f t="shared" si="257"/>
        <v>1</v>
      </c>
      <c r="M335" s="4">
        <f t="shared" si="257"/>
        <v>1</v>
      </c>
      <c r="N335" s="4">
        <f t="shared" si="257"/>
        <v>1</v>
      </c>
      <c r="O335" s="4">
        <f t="shared" si="257"/>
        <v>1</v>
      </c>
      <c r="P335" s="4">
        <f t="shared" si="257"/>
        <v>1</v>
      </c>
      <c r="Q335" s="4">
        <f t="shared" si="257"/>
        <v>1</v>
      </c>
    </row>
    <row r="336" spans="2:17" x14ac:dyDescent="0.25">
      <c r="B336" s="8"/>
      <c r="E336" s="1" t="str">
        <f>IF(C336="","",VLOOKUP(C336,Table1[#All],2,FALSE))</f>
        <v/>
      </c>
      <c r="F336" s="2">
        <f t="shared" si="223"/>
        <v>1</v>
      </c>
      <c r="G336" s="46" t="str">
        <f>IF(C336&lt;&gt;"",VLOOKUP(C336,part_details,4,FALSE)*'Multi-level BOM'!D336,"")</f>
        <v/>
      </c>
      <c r="H336" s="4">
        <f t="shared" ref="H336:Q336" si="258">IF($A336="",H335,
    IF(H$2=$A336,$D336,
       IF(H$2&lt;$A336,H335,
           1
)))</f>
        <v>1</v>
      </c>
      <c r="I336" s="4">
        <f t="shared" si="258"/>
        <v>1</v>
      </c>
      <c r="J336" s="4">
        <f t="shared" si="258"/>
        <v>1</v>
      </c>
      <c r="K336" s="4">
        <f t="shared" si="258"/>
        <v>1</v>
      </c>
      <c r="L336" s="4">
        <f t="shared" si="258"/>
        <v>1</v>
      </c>
      <c r="M336" s="4">
        <f t="shared" si="258"/>
        <v>1</v>
      </c>
      <c r="N336" s="4">
        <f t="shared" si="258"/>
        <v>1</v>
      </c>
      <c r="O336" s="4">
        <f t="shared" si="258"/>
        <v>1</v>
      </c>
      <c r="P336" s="4">
        <f t="shared" si="258"/>
        <v>1</v>
      </c>
      <c r="Q336" s="4">
        <f t="shared" si="258"/>
        <v>1</v>
      </c>
    </row>
    <row r="337" spans="2:17" x14ac:dyDescent="0.25">
      <c r="B337" s="8"/>
      <c r="E337" s="1" t="str">
        <f>IF(C337="","",VLOOKUP(C337,Table1[#All],2,FALSE))</f>
        <v/>
      </c>
      <c r="F337" s="2">
        <f t="shared" si="223"/>
        <v>1</v>
      </c>
      <c r="G337" s="46" t="str">
        <f>IF(C337&lt;&gt;"",VLOOKUP(C337,part_details,4,FALSE)*'Multi-level BOM'!D337,"")</f>
        <v/>
      </c>
      <c r="H337" s="4">
        <f t="shared" ref="H337:Q337" si="259">IF($A337="",H336,
    IF(H$2=$A337,$D337,
       IF(H$2&lt;$A337,H336,
           1
)))</f>
        <v>1</v>
      </c>
      <c r="I337" s="4">
        <f t="shared" si="259"/>
        <v>1</v>
      </c>
      <c r="J337" s="4">
        <f t="shared" si="259"/>
        <v>1</v>
      </c>
      <c r="K337" s="4">
        <f t="shared" si="259"/>
        <v>1</v>
      </c>
      <c r="L337" s="4">
        <f t="shared" si="259"/>
        <v>1</v>
      </c>
      <c r="M337" s="4">
        <f t="shared" si="259"/>
        <v>1</v>
      </c>
      <c r="N337" s="4">
        <f t="shared" si="259"/>
        <v>1</v>
      </c>
      <c r="O337" s="4">
        <f t="shared" si="259"/>
        <v>1</v>
      </c>
      <c r="P337" s="4">
        <f t="shared" si="259"/>
        <v>1</v>
      </c>
      <c r="Q337" s="4">
        <f t="shared" si="259"/>
        <v>1</v>
      </c>
    </row>
    <row r="338" spans="2:17" x14ac:dyDescent="0.25">
      <c r="B338" s="8"/>
      <c r="E338" s="1" t="str">
        <f>IF(C338="","",VLOOKUP(C338,Table1[#All],2,FALSE))</f>
        <v/>
      </c>
      <c r="F338" s="2">
        <f t="shared" si="223"/>
        <v>1</v>
      </c>
      <c r="G338" s="46" t="str">
        <f>IF(C338&lt;&gt;"",VLOOKUP(C338,part_details,4,FALSE)*'Multi-level BOM'!D338,"")</f>
        <v/>
      </c>
      <c r="H338" s="4">
        <f t="shared" ref="H338:Q338" si="260">IF($A338="",H337,
    IF(H$2=$A338,$D338,
       IF(H$2&lt;$A338,H337,
           1
)))</f>
        <v>1</v>
      </c>
      <c r="I338" s="4">
        <f t="shared" si="260"/>
        <v>1</v>
      </c>
      <c r="J338" s="4">
        <f t="shared" si="260"/>
        <v>1</v>
      </c>
      <c r="K338" s="4">
        <f t="shared" si="260"/>
        <v>1</v>
      </c>
      <c r="L338" s="4">
        <f t="shared" si="260"/>
        <v>1</v>
      </c>
      <c r="M338" s="4">
        <f t="shared" si="260"/>
        <v>1</v>
      </c>
      <c r="N338" s="4">
        <f t="shared" si="260"/>
        <v>1</v>
      </c>
      <c r="O338" s="4">
        <f t="shared" si="260"/>
        <v>1</v>
      </c>
      <c r="P338" s="4">
        <f t="shared" si="260"/>
        <v>1</v>
      </c>
      <c r="Q338" s="4">
        <f t="shared" si="260"/>
        <v>1</v>
      </c>
    </row>
    <row r="339" spans="2:17" x14ac:dyDescent="0.25">
      <c r="B339" s="8"/>
      <c r="E339" s="1" t="str">
        <f>IF(C339="","",VLOOKUP(C339,Table1[#All],2,FALSE))</f>
        <v/>
      </c>
      <c r="F339" s="2">
        <f t="shared" si="223"/>
        <v>1</v>
      </c>
      <c r="G339" s="46" t="str">
        <f>IF(C339&lt;&gt;"",VLOOKUP(C339,part_details,4,FALSE)*'Multi-level BOM'!D339,"")</f>
        <v/>
      </c>
      <c r="H339" s="4">
        <f t="shared" ref="H339:Q339" si="261">IF($A339="",H338,
    IF(H$2=$A339,$D339,
       IF(H$2&lt;$A339,H338,
           1
)))</f>
        <v>1</v>
      </c>
      <c r="I339" s="4">
        <f t="shared" si="261"/>
        <v>1</v>
      </c>
      <c r="J339" s="4">
        <f t="shared" si="261"/>
        <v>1</v>
      </c>
      <c r="K339" s="4">
        <f t="shared" si="261"/>
        <v>1</v>
      </c>
      <c r="L339" s="4">
        <f t="shared" si="261"/>
        <v>1</v>
      </c>
      <c r="M339" s="4">
        <f t="shared" si="261"/>
        <v>1</v>
      </c>
      <c r="N339" s="4">
        <f t="shared" si="261"/>
        <v>1</v>
      </c>
      <c r="O339" s="4">
        <f t="shared" si="261"/>
        <v>1</v>
      </c>
      <c r="P339" s="4">
        <f t="shared" si="261"/>
        <v>1</v>
      </c>
      <c r="Q339" s="4">
        <f t="shared" si="261"/>
        <v>1</v>
      </c>
    </row>
    <row r="340" spans="2:17" x14ac:dyDescent="0.25">
      <c r="B340" s="8"/>
      <c r="E340" s="1" t="str">
        <f>IF(C340="","",VLOOKUP(C340,Table1[#All],2,FALSE))</f>
        <v/>
      </c>
      <c r="F340" s="2">
        <f t="shared" si="223"/>
        <v>1</v>
      </c>
      <c r="G340" s="46" t="str">
        <f>IF(C340&lt;&gt;"",VLOOKUP(C340,part_details,4,FALSE)*'Multi-level BOM'!D340,"")</f>
        <v/>
      </c>
      <c r="H340" s="4">
        <f t="shared" ref="H340:Q340" si="262">IF($A340="",H339,
    IF(H$2=$A340,$D340,
       IF(H$2&lt;$A340,H339,
           1
)))</f>
        <v>1</v>
      </c>
      <c r="I340" s="4">
        <f t="shared" si="262"/>
        <v>1</v>
      </c>
      <c r="J340" s="4">
        <f t="shared" si="262"/>
        <v>1</v>
      </c>
      <c r="K340" s="4">
        <f t="shared" si="262"/>
        <v>1</v>
      </c>
      <c r="L340" s="4">
        <f t="shared" si="262"/>
        <v>1</v>
      </c>
      <c r="M340" s="4">
        <f t="shared" si="262"/>
        <v>1</v>
      </c>
      <c r="N340" s="4">
        <f t="shared" si="262"/>
        <v>1</v>
      </c>
      <c r="O340" s="4">
        <f t="shared" si="262"/>
        <v>1</v>
      </c>
      <c r="P340" s="4">
        <f t="shared" si="262"/>
        <v>1</v>
      </c>
      <c r="Q340" s="4">
        <f t="shared" si="262"/>
        <v>1</v>
      </c>
    </row>
    <row r="341" spans="2:17" x14ac:dyDescent="0.25">
      <c r="B341" s="8"/>
      <c r="E341" s="1" t="str">
        <f>IF(C341="","",VLOOKUP(C341,Table1[#All],2,FALSE))</f>
        <v/>
      </c>
      <c r="F341" s="2">
        <f t="shared" si="223"/>
        <v>1</v>
      </c>
      <c r="G341" s="46" t="str">
        <f>IF(C341&lt;&gt;"",VLOOKUP(C341,part_details,4,FALSE)*'Multi-level BOM'!D341,"")</f>
        <v/>
      </c>
      <c r="H341" s="4">
        <f t="shared" ref="H341:Q341" si="263">IF($A341="",H340,
    IF(H$2=$A341,$D341,
       IF(H$2&lt;$A341,H340,
           1
)))</f>
        <v>1</v>
      </c>
      <c r="I341" s="4">
        <f t="shared" si="263"/>
        <v>1</v>
      </c>
      <c r="J341" s="4">
        <f t="shared" si="263"/>
        <v>1</v>
      </c>
      <c r="K341" s="4">
        <f t="shared" si="263"/>
        <v>1</v>
      </c>
      <c r="L341" s="4">
        <f t="shared" si="263"/>
        <v>1</v>
      </c>
      <c r="M341" s="4">
        <f t="shared" si="263"/>
        <v>1</v>
      </c>
      <c r="N341" s="4">
        <f t="shared" si="263"/>
        <v>1</v>
      </c>
      <c r="O341" s="4">
        <f t="shared" si="263"/>
        <v>1</v>
      </c>
      <c r="P341" s="4">
        <f t="shared" si="263"/>
        <v>1</v>
      </c>
      <c r="Q341" s="4">
        <f t="shared" si="263"/>
        <v>1</v>
      </c>
    </row>
    <row r="342" spans="2:17" x14ac:dyDescent="0.25">
      <c r="B342" s="8"/>
      <c r="E342" s="1" t="str">
        <f>IF(C342="","",VLOOKUP(C342,Table1[#All],2,FALSE))</f>
        <v/>
      </c>
      <c r="F342" s="2">
        <f t="shared" si="223"/>
        <v>1</v>
      </c>
      <c r="G342" s="46" t="str">
        <f>IF(C342&lt;&gt;"",VLOOKUP(C342,part_details,4,FALSE)*'Multi-level BOM'!D342,"")</f>
        <v/>
      </c>
      <c r="H342" s="4">
        <f t="shared" ref="H342:Q342" si="264">IF($A342="",H341,
    IF(H$2=$A342,$D342,
       IF(H$2&lt;$A342,H341,
           1
)))</f>
        <v>1</v>
      </c>
      <c r="I342" s="4">
        <f t="shared" si="264"/>
        <v>1</v>
      </c>
      <c r="J342" s="4">
        <f t="shared" si="264"/>
        <v>1</v>
      </c>
      <c r="K342" s="4">
        <f t="shared" si="264"/>
        <v>1</v>
      </c>
      <c r="L342" s="4">
        <f t="shared" si="264"/>
        <v>1</v>
      </c>
      <c r="M342" s="4">
        <f t="shared" si="264"/>
        <v>1</v>
      </c>
      <c r="N342" s="4">
        <f t="shared" si="264"/>
        <v>1</v>
      </c>
      <c r="O342" s="4">
        <f t="shared" si="264"/>
        <v>1</v>
      </c>
      <c r="P342" s="4">
        <f t="shared" si="264"/>
        <v>1</v>
      </c>
      <c r="Q342" s="4">
        <f t="shared" si="264"/>
        <v>1</v>
      </c>
    </row>
    <row r="343" spans="2:17" x14ac:dyDescent="0.25">
      <c r="B343" s="8"/>
      <c r="E343" s="1" t="str">
        <f>IF(C343="","",VLOOKUP(C343,Table1[#All],2,FALSE))</f>
        <v/>
      </c>
      <c r="F343" s="2">
        <f t="shared" si="223"/>
        <v>1</v>
      </c>
      <c r="G343" s="46" t="str">
        <f>IF(C343&lt;&gt;"",VLOOKUP(C343,part_details,4,FALSE)*'Multi-level BOM'!D343,"")</f>
        <v/>
      </c>
      <c r="H343" s="4">
        <f t="shared" ref="H343:Q343" si="265">IF($A343="",H342,
    IF(H$2=$A343,$D343,
       IF(H$2&lt;$A343,H342,
           1
)))</f>
        <v>1</v>
      </c>
      <c r="I343" s="4">
        <f t="shared" si="265"/>
        <v>1</v>
      </c>
      <c r="J343" s="4">
        <f t="shared" si="265"/>
        <v>1</v>
      </c>
      <c r="K343" s="4">
        <f t="shared" si="265"/>
        <v>1</v>
      </c>
      <c r="L343" s="4">
        <f t="shared" si="265"/>
        <v>1</v>
      </c>
      <c r="M343" s="4">
        <f t="shared" si="265"/>
        <v>1</v>
      </c>
      <c r="N343" s="4">
        <f t="shared" si="265"/>
        <v>1</v>
      </c>
      <c r="O343" s="4">
        <f t="shared" si="265"/>
        <v>1</v>
      </c>
      <c r="P343" s="4">
        <f t="shared" si="265"/>
        <v>1</v>
      </c>
      <c r="Q343" s="4">
        <f t="shared" si="265"/>
        <v>1</v>
      </c>
    </row>
    <row r="344" spans="2:17" x14ac:dyDescent="0.25">
      <c r="B344" s="8"/>
      <c r="E344" s="1" t="str">
        <f>IF(C344="","",VLOOKUP(C344,Table1[#All],2,FALSE))</f>
        <v/>
      </c>
      <c r="F344" s="2">
        <f t="shared" si="223"/>
        <v>1</v>
      </c>
      <c r="G344" s="46" t="str">
        <f>IF(C344&lt;&gt;"",VLOOKUP(C344,part_details,4,FALSE)*'Multi-level BOM'!D344,"")</f>
        <v/>
      </c>
      <c r="H344" s="4">
        <f t="shared" ref="H344:Q344" si="266">IF($A344="",H343,
    IF(H$2=$A344,$D344,
       IF(H$2&lt;$A344,H343,
           1
)))</f>
        <v>1</v>
      </c>
      <c r="I344" s="4">
        <f t="shared" si="266"/>
        <v>1</v>
      </c>
      <c r="J344" s="4">
        <f t="shared" si="266"/>
        <v>1</v>
      </c>
      <c r="K344" s="4">
        <f t="shared" si="266"/>
        <v>1</v>
      </c>
      <c r="L344" s="4">
        <f t="shared" si="266"/>
        <v>1</v>
      </c>
      <c r="M344" s="4">
        <f t="shared" si="266"/>
        <v>1</v>
      </c>
      <c r="N344" s="4">
        <f t="shared" si="266"/>
        <v>1</v>
      </c>
      <c r="O344" s="4">
        <f t="shared" si="266"/>
        <v>1</v>
      </c>
      <c r="P344" s="4">
        <f t="shared" si="266"/>
        <v>1</v>
      </c>
      <c r="Q344" s="4">
        <f t="shared" si="266"/>
        <v>1</v>
      </c>
    </row>
    <row r="345" spans="2:17" x14ac:dyDescent="0.25">
      <c r="B345" s="8"/>
      <c r="E345" s="1" t="str">
        <f>IF(C345="","",VLOOKUP(C345,Table1[#All],2,FALSE))</f>
        <v/>
      </c>
      <c r="F345" s="2">
        <f t="shared" si="223"/>
        <v>1</v>
      </c>
      <c r="G345" s="46" t="str">
        <f>IF(C345&lt;&gt;"",VLOOKUP(C345,part_details,4,FALSE)*'Multi-level BOM'!D345,"")</f>
        <v/>
      </c>
      <c r="H345" s="4">
        <f t="shared" ref="H345:Q345" si="267">IF($A345="",H344,
    IF(H$2=$A345,$D345,
       IF(H$2&lt;$A345,H344,
           1
)))</f>
        <v>1</v>
      </c>
      <c r="I345" s="4">
        <f t="shared" si="267"/>
        <v>1</v>
      </c>
      <c r="J345" s="4">
        <f t="shared" si="267"/>
        <v>1</v>
      </c>
      <c r="K345" s="4">
        <f t="shared" si="267"/>
        <v>1</v>
      </c>
      <c r="L345" s="4">
        <f t="shared" si="267"/>
        <v>1</v>
      </c>
      <c r="M345" s="4">
        <f t="shared" si="267"/>
        <v>1</v>
      </c>
      <c r="N345" s="4">
        <f t="shared" si="267"/>
        <v>1</v>
      </c>
      <c r="O345" s="4">
        <f t="shared" si="267"/>
        <v>1</v>
      </c>
      <c r="P345" s="4">
        <f t="shared" si="267"/>
        <v>1</v>
      </c>
      <c r="Q345" s="4">
        <f t="shared" si="267"/>
        <v>1</v>
      </c>
    </row>
    <row r="346" spans="2:17" x14ac:dyDescent="0.25">
      <c r="B346" s="8"/>
      <c r="E346" s="1" t="str">
        <f>IF(C346="","",VLOOKUP(C346,Table1[#All],2,FALSE))</f>
        <v/>
      </c>
      <c r="F346" s="2">
        <f t="shared" si="223"/>
        <v>1</v>
      </c>
      <c r="G346" s="46" t="str">
        <f>IF(C346&lt;&gt;"",VLOOKUP(C346,part_details,4,FALSE)*'Multi-level BOM'!D346,"")</f>
        <v/>
      </c>
      <c r="H346" s="4">
        <f t="shared" ref="H346:Q346" si="268">IF($A346="",H345,
    IF(H$2=$A346,$D346,
       IF(H$2&lt;$A346,H345,
           1
)))</f>
        <v>1</v>
      </c>
      <c r="I346" s="4">
        <f t="shared" si="268"/>
        <v>1</v>
      </c>
      <c r="J346" s="4">
        <f t="shared" si="268"/>
        <v>1</v>
      </c>
      <c r="K346" s="4">
        <f t="shared" si="268"/>
        <v>1</v>
      </c>
      <c r="L346" s="4">
        <f t="shared" si="268"/>
        <v>1</v>
      </c>
      <c r="M346" s="4">
        <f t="shared" si="268"/>
        <v>1</v>
      </c>
      <c r="N346" s="4">
        <f t="shared" si="268"/>
        <v>1</v>
      </c>
      <c r="O346" s="4">
        <f t="shared" si="268"/>
        <v>1</v>
      </c>
      <c r="P346" s="4">
        <f t="shared" si="268"/>
        <v>1</v>
      </c>
      <c r="Q346" s="4">
        <f t="shared" si="268"/>
        <v>1</v>
      </c>
    </row>
    <row r="347" spans="2:17" x14ac:dyDescent="0.25">
      <c r="B347" s="8"/>
      <c r="E347" s="1" t="str">
        <f>IF(C347="","",VLOOKUP(C347,Table1[#All],2,FALSE))</f>
        <v/>
      </c>
      <c r="F347" s="2">
        <f t="shared" si="223"/>
        <v>1</v>
      </c>
      <c r="G347" s="46" t="str">
        <f>IF(C347&lt;&gt;"",VLOOKUP(C347,part_details,4,FALSE)*'Multi-level BOM'!D347,"")</f>
        <v/>
      </c>
      <c r="H347" s="4">
        <f t="shared" ref="H347:Q347" si="269">IF($A347="",H346,
    IF(H$2=$A347,$D347,
       IF(H$2&lt;$A347,H346,
           1
)))</f>
        <v>1</v>
      </c>
      <c r="I347" s="4">
        <f t="shared" si="269"/>
        <v>1</v>
      </c>
      <c r="J347" s="4">
        <f t="shared" si="269"/>
        <v>1</v>
      </c>
      <c r="K347" s="4">
        <f t="shared" si="269"/>
        <v>1</v>
      </c>
      <c r="L347" s="4">
        <f t="shared" si="269"/>
        <v>1</v>
      </c>
      <c r="M347" s="4">
        <f t="shared" si="269"/>
        <v>1</v>
      </c>
      <c r="N347" s="4">
        <f t="shared" si="269"/>
        <v>1</v>
      </c>
      <c r="O347" s="4">
        <f t="shared" si="269"/>
        <v>1</v>
      </c>
      <c r="P347" s="4">
        <f t="shared" si="269"/>
        <v>1</v>
      </c>
      <c r="Q347" s="4">
        <f t="shared" si="269"/>
        <v>1</v>
      </c>
    </row>
    <row r="348" spans="2:17" x14ac:dyDescent="0.25">
      <c r="B348" s="8"/>
      <c r="E348" s="1" t="str">
        <f>IF(C348="","",VLOOKUP(C348,Table1[#All],2,FALSE))</f>
        <v/>
      </c>
      <c r="F348" s="2">
        <f t="shared" si="223"/>
        <v>1</v>
      </c>
      <c r="G348" s="46" t="str">
        <f>IF(C348&lt;&gt;"",VLOOKUP(C348,part_details,4,FALSE)*'Multi-level BOM'!D348,"")</f>
        <v/>
      </c>
      <c r="H348" s="4">
        <f t="shared" ref="H348:Q348" si="270">IF($A348="",H347,
    IF(H$2=$A348,$D348,
       IF(H$2&lt;$A348,H347,
           1
)))</f>
        <v>1</v>
      </c>
      <c r="I348" s="4">
        <f t="shared" si="270"/>
        <v>1</v>
      </c>
      <c r="J348" s="4">
        <f t="shared" si="270"/>
        <v>1</v>
      </c>
      <c r="K348" s="4">
        <f t="shared" si="270"/>
        <v>1</v>
      </c>
      <c r="L348" s="4">
        <f t="shared" si="270"/>
        <v>1</v>
      </c>
      <c r="M348" s="4">
        <f t="shared" si="270"/>
        <v>1</v>
      </c>
      <c r="N348" s="4">
        <f t="shared" si="270"/>
        <v>1</v>
      </c>
      <c r="O348" s="4">
        <f t="shared" si="270"/>
        <v>1</v>
      </c>
      <c r="P348" s="4">
        <f t="shared" si="270"/>
        <v>1</v>
      </c>
      <c r="Q348" s="4">
        <f t="shared" si="270"/>
        <v>1</v>
      </c>
    </row>
    <row r="349" spans="2:17" x14ac:dyDescent="0.25">
      <c r="B349" s="8"/>
      <c r="E349" s="1" t="str">
        <f>IF(C349="","",VLOOKUP(C349,Table1[#All],2,FALSE))</f>
        <v/>
      </c>
      <c r="F349" s="2">
        <f t="shared" si="223"/>
        <v>1</v>
      </c>
      <c r="G349" s="46" t="str">
        <f>IF(C349&lt;&gt;"",VLOOKUP(C349,part_details,4,FALSE)*'Multi-level BOM'!D349,"")</f>
        <v/>
      </c>
      <c r="H349" s="4">
        <f t="shared" ref="H349:Q349" si="271">IF($A349="",H348,
    IF(H$2=$A349,$D349,
       IF(H$2&lt;$A349,H348,
           1
)))</f>
        <v>1</v>
      </c>
      <c r="I349" s="4">
        <f t="shared" si="271"/>
        <v>1</v>
      </c>
      <c r="J349" s="4">
        <f t="shared" si="271"/>
        <v>1</v>
      </c>
      <c r="K349" s="4">
        <f t="shared" si="271"/>
        <v>1</v>
      </c>
      <c r="L349" s="4">
        <f t="shared" si="271"/>
        <v>1</v>
      </c>
      <c r="M349" s="4">
        <f t="shared" si="271"/>
        <v>1</v>
      </c>
      <c r="N349" s="4">
        <f t="shared" si="271"/>
        <v>1</v>
      </c>
      <c r="O349" s="4">
        <f t="shared" si="271"/>
        <v>1</v>
      </c>
      <c r="P349" s="4">
        <f t="shared" si="271"/>
        <v>1</v>
      </c>
      <c r="Q349" s="4">
        <f t="shared" si="271"/>
        <v>1</v>
      </c>
    </row>
    <row r="350" spans="2:17" x14ac:dyDescent="0.25">
      <c r="B350" s="8"/>
      <c r="E350" s="1" t="str">
        <f>IF(C350="","",VLOOKUP(C350,Table1[#All],2,FALSE))</f>
        <v/>
      </c>
      <c r="F350" s="2">
        <f t="shared" si="223"/>
        <v>1</v>
      </c>
      <c r="G350" s="46" t="str">
        <f>IF(C350&lt;&gt;"",VLOOKUP(C350,part_details,4,FALSE)*'Multi-level BOM'!D350,"")</f>
        <v/>
      </c>
      <c r="H350" s="4">
        <f t="shared" ref="H350:Q350" si="272">IF($A350="",H349,
    IF(H$2=$A350,$D350,
       IF(H$2&lt;$A350,H349,
           1
)))</f>
        <v>1</v>
      </c>
      <c r="I350" s="4">
        <f t="shared" si="272"/>
        <v>1</v>
      </c>
      <c r="J350" s="4">
        <f t="shared" si="272"/>
        <v>1</v>
      </c>
      <c r="K350" s="4">
        <f t="shared" si="272"/>
        <v>1</v>
      </c>
      <c r="L350" s="4">
        <f t="shared" si="272"/>
        <v>1</v>
      </c>
      <c r="M350" s="4">
        <f t="shared" si="272"/>
        <v>1</v>
      </c>
      <c r="N350" s="4">
        <f t="shared" si="272"/>
        <v>1</v>
      </c>
      <c r="O350" s="4">
        <f t="shared" si="272"/>
        <v>1</v>
      </c>
      <c r="P350" s="4">
        <f t="shared" si="272"/>
        <v>1</v>
      </c>
      <c r="Q350" s="4">
        <f t="shared" si="272"/>
        <v>1</v>
      </c>
    </row>
    <row r="351" spans="2:17" x14ac:dyDescent="0.25">
      <c r="B351" s="8"/>
      <c r="F351" s="2">
        <f t="shared" ref="F351:F374" si="273">PRODUCT(H351:Q351)</f>
        <v>1</v>
      </c>
      <c r="G351" s="46" t="str">
        <f>IF(C351&lt;&gt;"",VLOOKUP(C351,part_details,4,FALSE)*'Multi-level BOM'!D351,"")</f>
        <v/>
      </c>
      <c r="H351" s="4">
        <f t="shared" ref="H351:Q355" si="274">IF($A351="",H350,
    IF(H$2=$A351,$D351,
       IF(H$2&lt;$A351,H350,
           1
)))</f>
        <v>1</v>
      </c>
      <c r="I351" s="4">
        <f t="shared" si="274"/>
        <v>1</v>
      </c>
      <c r="J351" s="4">
        <f t="shared" si="274"/>
        <v>1</v>
      </c>
      <c r="K351" s="4">
        <f t="shared" si="274"/>
        <v>1</v>
      </c>
      <c r="L351" s="4">
        <f t="shared" si="274"/>
        <v>1</v>
      </c>
      <c r="M351" s="4">
        <f t="shared" si="274"/>
        <v>1</v>
      </c>
      <c r="N351" s="4">
        <f t="shared" si="274"/>
        <v>1</v>
      </c>
      <c r="O351" s="4">
        <f t="shared" si="274"/>
        <v>1</v>
      </c>
      <c r="P351" s="4">
        <f t="shared" si="274"/>
        <v>1</v>
      </c>
      <c r="Q351" s="4">
        <f t="shared" si="274"/>
        <v>1</v>
      </c>
    </row>
    <row r="352" spans="2:17" x14ac:dyDescent="0.25">
      <c r="B352" s="8"/>
      <c r="F352" s="2">
        <f t="shared" si="273"/>
        <v>1</v>
      </c>
      <c r="G352" s="46" t="str">
        <f>IF(C352&lt;&gt;"",VLOOKUP(C352,part_details,4,FALSE)*'Multi-level BOM'!D352,"")</f>
        <v/>
      </c>
      <c r="H352" s="4">
        <f t="shared" si="274"/>
        <v>1</v>
      </c>
      <c r="I352" s="4">
        <f t="shared" si="274"/>
        <v>1</v>
      </c>
      <c r="J352" s="4">
        <f t="shared" si="274"/>
        <v>1</v>
      </c>
      <c r="K352" s="4">
        <f t="shared" si="274"/>
        <v>1</v>
      </c>
      <c r="L352" s="4">
        <f t="shared" si="274"/>
        <v>1</v>
      </c>
      <c r="M352" s="4">
        <f t="shared" si="274"/>
        <v>1</v>
      </c>
      <c r="N352" s="4">
        <f t="shared" si="274"/>
        <v>1</v>
      </c>
      <c r="O352" s="4">
        <f t="shared" si="274"/>
        <v>1</v>
      </c>
      <c r="P352" s="4">
        <f t="shared" si="274"/>
        <v>1</v>
      </c>
      <c r="Q352" s="4">
        <f t="shared" si="274"/>
        <v>1</v>
      </c>
    </row>
    <row r="353" spans="2:17" x14ac:dyDescent="0.25">
      <c r="B353" s="8"/>
      <c r="F353" s="2">
        <f t="shared" si="273"/>
        <v>1</v>
      </c>
      <c r="G353" s="46" t="str">
        <f>IF(C353&lt;&gt;"",VLOOKUP(C353,part_details,4,FALSE)*'Multi-level BOM'!D353,"")</f>
        <v/>
      </c>
      <c r="H353" s="4">
        <f t="shared" si="274"/>
        <v>1</v>
      </c>
      <c r="I353" s="4">
        <f t="shared" si="274"/>
        <v>1</v>
      </c>
      <c r="J353" s="4">
        <f t="shared" si="274"/>
        <v>1</v>
      </c>
      <c r="K353" s="4">
        <f t="shared" si="274"/>
        <v>1</v>
      </c>
      <c r="L353" s="4">
        <f t="shared" si="274"/>
        <v>1</v>
      </c>
      <c r="M353" s="4">
        <f t="shared" si="274"/>
        <v>1</v>
      </c>
      <c r="N353" s="4">
        <f t="shared" si="274"/>
        <v>1</v>
      </c>
      <c r="O353" s="4">
        <f t="shared" si="274"/>
        <v>1</v>
      </c>
      <c r="P353" s="4">
        <f t="shared" si="274"/>
        <v>1</v>
      </c>
      <c r="Q353" s="4">
        <f t="shared" si="274"/>
        <v>1</v>
      </c>
    </row>
    <row r="354" spans="2:17" x14ac:dyDescent="0.25">
      <c r="B354" s="8"/>
      <c r="F354" s="2">
        <f t="shared" si="273"/>
        <v>1</v>
      </c>
      <c r="G354" s="46" t="str">
        <f>IF(C354&lt;&gt;"",VLOOKUP(C354,part_details,4,FALSE)*'Multi-level BOM'!D354,"")</f>
        <v/>
      </c>
      <c r="H354" s="4">
        <f t="shared" si="274"/>
        <v>1</v>
      </c>
      <c r="I354" s="4">
        <f t="shared" si="274"/>
        <v>1</v>
      </c>
      <c r="J354" s="4">
        <f t="shared" si="274"/>
        <v>1</v>
      </c>
      <c r="K354" s="4">
        <f t="shared" si="274"/>
        <v>1</v>
      </c>
      <c r="L354" s="4">
        <f t="shared" si="274"/>
        <v>1</v>
      </c>
      <c r="M354" s="4">
        <f t="shared" si="274"/>
        <v>1</v>
      </c>
      <c r="N354" s="4">
        <f t="shared" si="274"/>
        <v>1</v>
      </c>
      <c r="O354" s="4">
        <f t="shared" si="274"/>
        <v>1</v>
      </c>
      <c r="P354" s="4">
        <f t="shared" si="274"/>
        <v>1</v>
      </c>
      <c r="Q354" s="4">
        <f t="shared" si="274"/>
        <v>1</v>
      </c>
    </row>
    <row r="355" spans="2:17" x14ac:dyDescent="0.25">
      <c r="B355" s="8"/>
      <c r="F355" s="2">
        <f t="shared" si="273"/>
        <v>1</v>
      </c>
      <c r="G355" s="46" t="str">
        <f>IF(C355&lt;&gt;"",VLOOKUP(C355,part_details,4,FALSE)*'Multi-level BOM'!D355,"")</f>
        <v/>
      </c>
      <c r="H355" s="4">
        <f t="shared" si="274"/>
        <v>1</v>
      </c>
      <c r="I355" s="4">
        <f t="shared" si="274"/>
        <v>1</v>
      </c>
      <c r="J355" s="4">
        <f t="shared" si="274"/>
        <v>1</v>
      </c>
      <c r="K355" s="4">
        <f t="shared" si="274"/>
        <v>1</v>
      </c>
      <c r="L355" s="4">
        <f t="shared" si="274"/>
        <v>1</v>
      </c>
      <c r="M355" s="4">
        <f t="shared" si="274"/>
        <v>1</v>
      </c>
      <c r="N355" s="4">
        <f t="shared" si="274"/>
        <v>1</v>
      </c>
      <c r="O355" s="4">
        <f t="shared" si="274"/>
        <v>1</v>
      </c>
      <c r="P355" s="4">
        <f t="shared" si="274"/>
        <v>1</v>
      </c>
      <c r="Q355" s="4">
        <f t="shared" si="274"/>
        <v>1</v>
      </c>
    </row>
    <row r="356" spans="2:17" x14ac:dyDescent="0.25">
      <c r="B356" s="8"/>
      <c r="F356" s="2">
        <f t="shared" si="273"/>
        <v>1</v>
      </c>
      <c r="G356" s="46" t="str">
        <f>IF(C356&lt;&gt;"",VLOOKUP(C356,part_details,4,FALSE)*'Multi-level BOM'!D356,"")</f>
        <v/>
      </c>
      <c r="H356" s="4">
        <f t="shared" ref="H356:Q371" si="275">IF($A356="",H355,
    IF(H$2=$A356,$D356,
       IF(H$2&lt;$A356,H355,
           1
)))</f>
        <v>1</v>
      </c>
      <c r="I356" s="4">
        <f t="shared" si="275"/>
        <v>1</v>
      </c>
      <c r="J356" s="4">
        <f t="shared" si="275"/>
        <v>1</v>
      </c>
      <c r="K356" s="4">
        <f t="shared" si="275"/>
        <v>1</v>
      </c>
      <c r="L356" s="4">
        <f t="shared" si="275"/>
        <v>1</v>
      </c>
      <c r="M356" s="4">
        <f t="shared" si="275"/>
        <v>1</v>
      </c>
      <c r="N356" s="4">
        <f t="shared" si="275"/>
        <v>1</v>
      </c>
      <c r="O356" s="4">
        <f t="shared" si="275"/>
        <v>1</v>
      </c>
      <c r="P356" s="4">
        <f t="shared" si="275"/>
        <v>1</v>
      </c>
      <c r="Q356" s="4">
        <f t="shared" si="275"/>
        <v>1</v>
      </c>
    </row>
    <row r="357" spans="2:17" x14ac:dyDescent="0.25">
      <c r="B357" s="8"/>
      <c r="F357" s="2">
        <f t="shared" si="273"/>
        <v>1</v>
      </c>
      <c r="G357" s="46" t="str">
        <f>IF(C357&lt;&gt;"",VLOOKUP(C357,part_details,4,FALSE)*'Multi-level BOM'!D357,"")</f>
        <v/>
      </c>
      <c r="H357" s="4">
        <f t="shared" si="275"/>
        <v>1</v>
      </c>
      <c r="I357" s="4">
        <f t="shared" si="275"/>
        <v>1</v>
      </c>
      <c r="J357" s="4">
        <f t="shared" si="275"/>
        <v>1</v>
      </c>
      <c r="K357" s="4">
        <f t="shared" si="275"/>
        <v>1</v>
      </c>
      <c r="L357" s="4">
        <f t="shared" si="275"/>
        <v>1</v>
      </c>
      <c r="M357" s="4">
        <f t="shared" si="275"/>
        <v>1</v>
      </c>
      <c r="N357" s="4">
        <f t="shared" si="275"/>
        <v>1</v>
      </c>
      <c r="O357" s="4">
        <f t="shared" si="275"/>
        <v>1</v>
      </c>
      <c r="P357" s="4">
        <f t="shared" si="275"/>
        <v>1</v>
      </c>
      <c r="Q357" s="4">
        <f t="shared" si="275"/>
        <v>1</v>
      </c>
    </row>
    <row r="358" spans="2:17" x14ac:dyDescent="0.25">
      <c r="B358" s="8"/>
      <c r="F358" s="2">
        <f t="shared" si="273"/>
        <v>1</v>
      </c>
      <c r="G358" s="46" t="str">
        <f>IF(C358&lt;&gt;"",VLOOKUP(C358,part_details,4,FALSE)*'Multi-level BOM'!D358,"")</f>
        <v/>
      </c>
      <c r="H358" s="4">
        <f t="shared" si="275"/>
        <v>1</v>
      </c>
      <c r="I358" s="4">
        <f t="shared" si="275"/>
        <v>1</v>
      </c>
      <c r="J358" s="4">
        <f t="shared" si="275"/>
        <v>1</v>
      </c>
      <c r="K358" s="4">
        <f t="shared" si="275"/>
        <v>1</v>
      </c>
      <c r="L358" s="4">
        <f t="shared" si="275"/>
        <v>1</v>
      </c>
      <c r="M358" s="4">
        <f t="shared" si="275"/>
        <v>1</v>
      </c>
      <c r="N358" s="4">
        <f t="shared" si="275"/>
        <v>1</v>
      </c>
      <c r="O358" s="4">
        <f t="shared" si="275"/>
        <v>1</v>
      </c>
      <c r="P358" s="4">
        <f t="shared" si="275"/>
        <v>1</v>
      </c>
      <c r="Q358" s="4">
        <f t="shared" si="275"/>
        <v>1</v>
      </c>
    </row>
    <row r="359" spans="2:17" x14ac:dyDescent="0.25">
      <c r="B359" s="8"/>
      <c r="F359" s="2">
        <f t="shared" si="273"/>
        <v>1</v>
      </c>
      <c r="G359" s="46" t="str">
        <f>IF(C359&lt;&gt;"",VLOOKUP(C359,part_details,4,FALSE)*'Multi-level BOM'!D359,"")</f>
        <v/>
      </c>
      <c r="H359" s="4">
        <f t="shared" si="275"/>
        <v>1</v>
      </c>
      <c r="I359" s="4">
        <f t="shared" si="275"/>
        <v>1</v>
      </c>
      <c r="J359" s="4">
        <f t="shared" si="275"/>
        <v>1</v>
      </c>
      <c r="K359" s="4">
        <f t="shared" si="275"/>
        <v>1</v>
      </c>
      <c r="L359" s="4">
        <f t="shared" si="275"/>
        <v>1</v>
      </c>
      <c r="M359" s="4">
        <f t="shared" si="275"/>
        <v>1</v>
      </c>
      <c r="N359" s="4">
        <f t="shared" si="275"/>
        <v>1</v>
      </c>
      <c r="O359" s="4">
        <f t="shared" si="275"/>
        <v>1</v>
      </c>
      <c r="P359" s="4">
        <f t="shared" si="275"/>
        <v>1</v>
      </c>
      <c r="Q359" s="4">
        <f t="shared" si="275"/>
        <v>1</v>
      </c>
    </row>
    <row r="360" spans="2:17" x14ac:dyDescent="0.25">
      <c r="B360" s="8"/>
      <c r="F360" s="2">
        <f t="shared" si="273"/>
        <v>1</v>
      </c>
      <c r="G360" s="46" t="str">
        <f>IF(C360&lt;&gt;"",VLOOKUP(C360,part_details,4,FALSE)*'Multi-level BOM'!D360,"")</f>
        <v/>
      </c>
      <c r="H360" s="4">
        <f t="shared" si="275"/>
        <v>1</v>
      </c>
      <c r="I360" s="4">
        <f t="shared" si="275"/>
        <v>1</v>
      </c>
      <c r="J360" s="4">
        <f t="shared" si="275"/>
        <v>1</v>
      </c>
      <c r="K360" s="4">
        <f t="shared" si="275"/>
        <v>1</v>
      </c>
      <c r="L360" s="4">
        <f t="shared" si="275"/>
        <v>1</v>
      </c>
      <c r="M360" s="4">
        <f t="shared" si="275"/>
        <v>1</v>
      </c>
      <c r="N360" s="4">
        <f t="shared" si="275"/>
        <v>1</v>
      </c>
      <c r="O360" s="4">
        <f t="shared" si="275"/>
        <v>1</v>
      </c>
      <c r="P360" s="4">
        <f t="shared" si="275"/>
        <v>1</v>
      </c>
      <c r="Q360" s="4">
        <f t="shared" si="275"/>
        <v>1</v>
      </c>
    </row>
    <row r="361" spans="2:17" x14ac:dyDescent="0.25">
      <c r="B361" s="8"/>
      <c r="F361" s="2">
        <f t="shared" si="273"/>
        <v>1</v>
      </c>
      <c r="G361" s="46" t="str">
        <f>IF(C361&lt;&gt;"",VLOOKUP(C361,part_details,4,FALSE)*'Multi-level BOM'!D361,"")</f>
        <v/>
      </c>
      <c r="H361" s="4">
        <f t="shared" si="275"/>
        <v>1</v>
      </c>
      <c r="I361" s="4">
        <f t="shared" si="275"/>
        <v>1</v>
      </c>
      <c r="J361" s="4">
        <f t="shared" si="275"/>
        <v>1</v>
      </c>
      <c r="K361" s="4">
        <f t="shared" si="275"/>
        <v>1</v>
      </c>
      <c r="L361" s="4">
        <f t="shared" si="275"/>
        <v>1</v>
      </c>
      <c r="M361" s="4">
        <f t="shared" si="275"/>
        <v>1</v>
      </c>
      <c r="N361" s="4">
        <f t="shared" si="275"/>
        <v>1</v>
      </c>
      <c r="O361" s="4">
        <f t="shared" si="275"/>
        <v>1</v>
      </c>
      <c r="P361" s="4">
        <f t="shared" si="275"/>
        <v>1</v>
      </c>
      <c r="Q361" s="4">
        <f t="shared" si="275"/>
        <v>1</v>
      </c>
    </row>
    <row r="362" spans="2:17" x14ac:dyDescent="0.25">
      <c r="B362" s="8"/>
      <c r="F362" s="2">
        <f t="shared" si="273"/>
        <v>1</v>
      </c>
      <c r="G362" s="46" t="str">
        <f>IF(C362&lt;&gt;"",VLOOKUP(C362,part_details,4,FALSE)*'Multi-level BOM'!D362,"")</f>
        <v/>
      </c>
      <c r="H362" s="4">
        <f t="shared" si="275"/>
        <v>1</v>
      </c>
      <c r="I362" s="4">
        <f t="shared" si="275"/>
        <v>1</v>
      </c>
      <c r="J362" s="4">
        <f t="shared" si="275"/>
        <v>1</v>
      </c>
      <c r="K362" s="4">
        <f t="shared" si="275"/>
        <v>1</v>
      </c>
      <c r="L362" s="4">
        <f t="shared" si="275"/>
        <v>1</v>
      </c>
      <c r="M362" s="4">
        <f t="shared" si="275"/>
        <v>1</v>
      </c>
      <c r="N362" s="4">
        <f t="shared" si="275"/>
        <v>1</v>
      </c>
      <c r="O362" s="4">
        <f t="shared" si="275"/>
        <v>1</v>
      </c>
      <c r="P362" s="4">
        <f t="shared" si="275"/>
        <v>1</v>
      </c>
      <c r="Q362" s="4">
        <f t="shared" si="275"/>
        <v>1</v>
      </c>
    </row>
    <row r="363" spans="2:17" x14ac:dyDescent="0.25">
      <c r="B363" s="8"/>
      <c r="F363" s="2">
        <f t="shared" si="273"/>
        <v>1</v>
      </c>
      <c r="G363" s="46" t="str">
        <f>IF(C363&lt;&gt;"",VLOOKUP(C363,part_details,4,FALSE)*'Multi-level BOM'!D363,"")</f>
        <v/>
      </c>
      <c r="H363" s="4">
        <f t="shared" si="275"/>
        <v>1</v>
      </c>
      <c r="I363" s="4">
        <f t="shared" si="275"/>
        <v>1</v>
      </c>
      <c r="J363" s="4">
        <f t="shared" si="275"/>
        <v>1</v>
      </c>
      <c r="K363" s="4">
        <f t="shared" si="275"/>
        <v>1</v>
      </c>
      <c r="L363" s="4">
        <f t="shared" si="275"/>
        <v>1</v>
      </c>
      <c r="M363" s="4">
        <f t="shared" si="275"/>
        <v>1</v>
      </c>
      <c r="N363" s="4">
        <f t="shared" si="275"/>
        <v>1</v>
      </c>
      <c r="O363" s="4">
        <f t="shared" si="275"/>
        <v>1</v>
      </c>
      <c r="P363" s="4">
        <f t="shared" si="275"/>
        <v>1</v>
      </c>
      <c r="Q363" s="4">
        <f t="shared" si="275"/>
        <v>1</v>
      </c>
    </row>
    <row r="364" spans="2:17" x14ac:dyDescent="0.25">
      <c r="B364" s="8"/>
      <c r="F364" s="2">
        <f t="shared" si="273"/>
        <v>1</v>
      </c>
      <c r="G364" s="46" t="str">
        <f>IF(C364&lt;&gt;"",VLOOKUP(C364,part_details,4,FALSE)*'Multi-level BOM'!D364,"")</f>
        <v/>
      </c>
      <c r="H364" s="4">
        <f t="shared" si="275"/>
        <v>1</v>
      </c>
      <c r="I364" s="4">
        <f t="shared" si="275"/>
        <v>1</v>
      </c>
      <c r="J364" s="4">
        <f t="shared" si="275"/>
        <v>1</v>
      </c>
      <c r="K364" s="4">
        <f t="shared" si="275"/>
        <v>1</v>
      </c>
      <c r="L364" s="4">
        <f t="shared" si="275"/>
        <v>1</v>
      </c>
      <c r="M364" s="4">
        <f t="shared" si="275"/>
        <v>1</v>
      </c>
      <c r="N364" s="4">
        <f t="shared" si="275"/>
        <v>1</v>
      </c>
      <c r="O364" s="4">
        <f t="shared" si="275"/>
        <v>1</v>
      </c>
      <c r="P364" s="4">
        <f t="shared" si="275"/>
        <v>1</v>
      </c>
      <c r="Q364" s="4">
        <f t="shared" si="275"/>
        <v>1</v>
      </c>
    </row>
    <row r="365" spans="2:17" x14ac:dyDescent="0.25">
      <c r="B365" s="8"/>
      <c r="F365" s="2">
        <f t="shared" si="273"/>
        <v>1</v>
      </c>
      <c r="G365" s="46" t="str">
        <f>IF(C365&lt;&gt;"",VLOOKUP(C365,part_details,4,FALSE)*'Multi-level BOM'!D365,"")</f>
        <v/>
      </c>
      <c r="H365" s="4">
        <f t="shared" si="275"/>
        <v>1</v>
      </c>
      <c r="I365" s="4">
        <f t="shared" si="275"/>
        <v>1</v>
      </c>
      <c r="J365" s="4">
        <f t="shared" si="275"/>
        <v>1</v>
      </c>
      <c r="K365" s="4">
        <f t="shared" si="275"/>
        <v>1</v>
      </c>
      <c r="L365" s="4">
        <f t="shared" si="275"/>
        <v>1</v>
      </c>
      <c r="M365" s="4">
        <f t="shared" si="275"/>
        <v>1</v>
      </c>
      <c r="N365" s="4">
        <f t="shared" si="275"/>
        <v>1</v>
      </c>
      <c r="O365" s="4">
        <f t="shared" si="275"/>
        <v>1</v>
      </c>
      <c r="P365" s="4">
        <f t="shared" si="275"/>
        <v>1</v>
      </c>
      <c r="Q365" s="4">
        <f t="shared" si="275"/>
        <v>1</v>
      </c>
    </row>
    <row r="366" spans="2:17" x14ac:dyDescent="0.25">
      <c r="B366" s="8"/>
      <c r="F366" s="2">
        <f t="shared" si="273"/>
        <v>1</v>
      </c>
      <c r="G366" s="46" t="str">
        <f>IF(C366&lt;&gt;"",VLOOKUP(C366,part_details,4,FALSE)*'Multi-level BOM'!D366,"")</f>
        <v/>
      </c>
      <c r="H366" s="4">
        <f t="shared" si="275"/>
        <v>1</v>
      </c>
      <c r="I366" s="4">
        <f t="shared" si="275"/>
        <v>1</v>
      </c>
      <c r="J366" s="4">
        <f t="shared" si="275"/>
        <v>1</v>
      </c>
      <c r="K366" s="4">
        <f t="shared" si="275"/>
        <v>1</v>
      </c>
      <c r="L366" s="4">
        <f t="shared" si="275"/>
        <v>1</v>
      </c>
      <c r="M366" s="4">
        <f t="shared" si="275"/>
        <v>1</v>
      </c>
      <c r="N366" s="4">
        <f t="shared" si="275"/>
        <v>1</v>
      </c>
      <c r="O366" s="4">
        <f t="shared" si="275"/>
        <v>1</v>
      </c>
      <c r="P366" s="4">
        <f t="shared" si="275"/>
        <v>1</v>
      </c>
      <c r="Q366" s="4">
        <f t="shared" si="275"/>
        <v>1</v>
      </c>
    </row>
    <row r="367" spans="2:17" x14ac:dyDescent="0.25">
      <c r="B367" s="8"/>
      <c r="F367" s="2">
        <f t="shared" si="273"/>
        <v>1</v>
      </c>
      <c r="G367" s="46" t="str">
        <f>IF(C367&lt;&gt;"",VLOOKUP(C367,part_details,4,FALSE)*'Multi-level BOM'!D367,"")</f>
        <v/>
      </c>
      <c r="H367" s="4">
        <f t="shared" si="275"/>
        <v>1</v>
      </c>
      <c r="I367" s="4">
        <f t="shared" si="275"/>
        <v>1</v>
      </c>
      <c r="J367" s="4">
        <f t="shared" si="275"/>
        <v>1</v>
      </c>
      <c r="K367" s="4">
        <f t="shared" si="275"/>
        <v>1</v>
      </c>
      <c r="L367" s="4">
        <f t="shared" si="275"/>
        <v>1</v>
      </c>
      <c r="M367" s="4">
        <f t="shared" si="275"/>
        <v>1</v>
      </c>
      <c r="N367" s="4">
        <f t="shared" si="275"/>
        <v>1</v>
      </c>
      <c r="O367" s="4">
        <f t="shared" si="275"/>
        <v>1</v>
      </c>
      <c r="P367" s="4">
        <f t="shared" si="275"/>
        <v>1</v>
      </c>
      <c r="Q367" s="4">
        <f t="shared" si="275"/>
        <v>1</v>
      </c>
    </row>
    <row r="368" spans="2:17" x14ac:dyDescent="0.25">
      <c r="B368" s="8"/>
      <c r="F368" s="2">
        <f t="shared" si="273"/>
        <v>1</v>
      </c>
      <c r="G368" s="46" t="str">
        <f>IF(C368&lt;&gt;"",VLOOKUP(C368,part_details,4,FALSE)*'Multi-level BOM'!D368,"")</f>
        <v/>
      </c>
      <c r="H368" s="4">
        <f t="shared" si="275"/>
        <v>1</v>
      </c>
      <c r="I368" s="4">
        <f t="shared" si="275"/>
        <v>1</v>
      </c>
      <c r="J368" s="4">
        <f t="shared" si="275"/>
        <v>1</v>
      </c>
      <c r="K368" s="4">
        <f t="shared" si="275"/>
        <v>1</v>
      </c>
      <c r="L368" s="4">
        <f t="shared" si="275"/>
        <v>1</v>
      </c>
      <c r="M368" s="4">
        <f t="shared" si="275"/>
        <v>1</v>
      </c>
      <c r="N368" s="4">
        <f t="shared" si="275"/>
        <v>1</v>
      </c>
      <c r="O368" s="4">
        <f t="shared" si="275"/>
        <v>1</v>
      </c>
      <c r="P368" s="4">
        <f t="shared" si="275"/>
        <v>1</v>
      </c>
      <c r="Q368" s="4">
        <f t="shared" si="275"/>
        <v>1</v>
      </c>
    </row>
    <row r="369" spans="2:17" x14ac:dyDescent="0.25">
      <c r="B369" s="8"/>
      <c r="F369" s="2">
        <f t="shared" si="273"/>
        <v>1</v>
      </c>
      <c r="G369" s="46" t="str">
        <f>IF(C369&lt;&gt;"",VLOOKUP(C369,part_details,4,FALSE)*'Multi-level BOM'!D369,"")</f>
        <v/>
      </c>
      <c r="H369" s="4">
        <f t="shared" si="275"/>
        <v>1</v>
      </c>
      <c r="I369" s="4">
        <f t="shared" si="275"/>
        <v>1</v>
      </c>
      <c r="J369" s="4">
        <f t="shared" si="275"/>
        <v>1</v>
      </c>
      <c r="K369" s="4">
        <f t="shared" si="275"/>
        <v>1</v>
      </c>
      <c r="L369" s="4">
        <f t="shared" si="275"/>
        <v>1</v>
      </c>
      <c r="M369" s="4">
        <f t="shared" si="275"/>
        <v>1</v>
      </c>
      <c r="N369" s="4">
        <f t="shared" si="275"/>
        <v>1</v>
      </c>
      <c r="O369" s="4">
        <f t="shared" si="275"/>
        <v>1</v>
      </c>
      <c r="P369" s="4">
        <f t="shared" si="275"/>
        <v>1</v>
      </c>
      <c r="Q369" s="4">
        <f t="shared" si="275"/>
        <v>1</v>
      </c>
    </row>
    <row r="370" spans="2:17" x14ac:dyDescent="0.25">
      <c r="B370" s="8"/>
      <c r="F370" s="2">
        <f t="shared" si="273"/>
        <v>1</v>
      </c>
      <c r="G370" s="46" t="str">
        <f>IF(C370&lt;&gt;"",VLOOKUP(C370,part_details,4,FALSE)*'Multi-level BOM'!D370,"")</f>
        <v/>
      </c>
      <c r="H370" s="4">
        <f t="shared" si="275"/>
        <v>1</v>
      </c>
      <c r="I370" s="4">
        <f t="shared" si="275"/>
        <v>1</v>
      </c>
      <c r="J370" s="4">
        <f t="shared" si="275"/>
        <v>1</v>
      </c>
      <c r="K370" s="4">
        <f t="shared" si="275"/>
        <v>1</v>
      </c>
      <c r="L370" s="4">
        <f t="shared" si="275"/>
        <v>1</v>
      </c>
      <c r="M370" s="4">
        <f t="shared" si="275"/>
        <v>1</v>
      </c>
      <c r="N370" s="4">
        <f t="shared" si="275"/>
        <v>1</v>
      </c>
      <c r="O370" s="4">
        <f t="shared" si="275"/>
        <v>1</v>
      </c>
      <c r="P370" s="4">
        <f t="shared" si="275"/>
        <v>1</v>
      </c>
      <c r="Q370" s="4">
        <f t="shared" si="275"/>
        <v>1</v>
      </c>
    </row>
    <row r="371" spans="2:17" x14ac:dyDescent="0.25">
      <c r="B371" s="8"/>
      <c r="F371" s="2">
        <f t="shared" si="273"/>
        <v>1</v>
      </c>
      <c r="G371" s="46" t="str">
        <f>IF(C371&lt;&gt;"",VLOOKUP(C371,part_details,4,FALSE)*'Multi-level BOM'!D371,"")</f>
        <v/>
      </c>
      <c r="H371" s="4">
        <f t="shared" si="275"/>
        <v>1</v>
      </c>
      <c r="I371" s="4">
        <f t="shared" si="275"/>
        <v>1</v>
      </c>
      <c r="J371" s="4">
        <f t="shared" si="275"/>
        <v>1</v>
      </c>
      <c r="K371" s="4">
        <f t="shared" si="275"/>
        <v>1</v>
      </c>
      <c r="L371" s="4">
        <f t="shared" si="275"/>
        <v>1</v>
      </c>
      <c r="M371" s="4">
        <f t="shared" si="275"/>
        <v>1</v>
      </c>
      <c r="N371" s="4">
        <f t="shared" si="275"/>
        <v>1</v>
      </c>
      <c r="O371" s="4">
        <f t="shared" si="275"/>
        <v>1</v>
      </c>
      <c r="P371" s="4">
        <f t="shared" si="275"/>
        <v>1</v>
      </c>
      <c r="Q371" s="4">
        <f t="shared" si="275"/>
        <v>1</v>
      </c>
    </row>
    <row r="372" spans="2:17" x14ac:dyDescent="0.25">
      <c r="B372" s="8"/>
      <c r="F372" s="2">
        <f t="shared" si="273"/>
        <v>1</v>
      </c>
      <c r="G372" s="46" t="str">
        <f>IF(C372&lt;&gt;"",VLOOKUP(C372,part_details,4,FALSE)*'Multi-level BOM'!D372,"")</f>
        <v/>
      </c>
      <c r="H372" s="4">
        <f t="shared" ref="H372:Q374" si="276">IF($A372="",H371,
    IF(H$2=$A372,$D372,
       IF(H$2&lt;$A372,H371,
           1
)))</f>
        <v>1</v>
      </c>
      <c r="I372" s="4">
        <f t="shared" si="276"/>
        <v>1</v>
      </c>
      <c r="J372" s="4">
        <f t="shared" si="276"/>
        <v>1</v>
      </c>
      <c r="K372" s="4">
        <f t="shared" si="276"/>
        <v>1</v>
      </c>
      <c r="L372" s="4">
        <f t="shared" si="276"/>
        <v>1</v>
      </c>
      <c r="M372" s="4">
        <f t="shared" si="276"/>
        <v>1</v>
      </c>
      <c r="N372" s="4">
        <f t="shared" si="276"/>
        <v>1</v>
      </c>
      <c r="O372" s="4">
        <f t="shared" si="276"/>
        <v>1</v>
      </c>
      <c r="P372" s="4">
        <f t="shared" si="276"/>
        <v>1</v>
      </c>
      <c r="Q372" s="4">
        <f t="shared" si="276"/>
        <v>1</v>
      </c>
    </row>
    <row r="373" spans="2:17" x14ac:dyDescent="0.25">
      <c r="B373" s="8"/>
      <c r="F373" s="2">
        <f t="shared" si="273"/>
        <v>1</v>
      </c>
      <c r="G373" s="46" t="str">
        <f>IF(C373&lt;&gt;"",VLOOKUP(C373,part_details,4,FALSE)*'Multi-level BOM'!D373,"")</f>
        <v/>
      </c>
      <c r="H373" s="4">
        <f t="shared" si="276"/>
        <v>1</v>
      </c>
      <c r="I373" s="4">
        <f t="shared" si="276"/>
        <v>1</v>
      </c>
      <c r="J373" s="4">
        <f t="shared" si="276"/>
        <v>1</v>
      </c>
      <c r="K373" s="4">
        <f t="shared" si="276"/>
        <v>1</v>
      </c>
      <c r="L373" s="4">
        <f t="shared" si="276"/>
        <v>1</v>
      </c>
      <c r="M373" s="4">
        <f t="shared" si="276"/>
        <v>1</v>
      </c>
      <c r="N373" s="4">
        <f t="shared" si="276"/>
        <v>1</v>
      </c>
      <c r="O373" s="4">
        <f t="shared" si="276"/>
        <v>1</v>
      </c>
      <c r="P373" s="4">
        <f t="shared" si="276"/>
        <v>1</v>
      </c>
      <c r="Q373" s="4">
        <f t="shared" si="276"/>
        <v>1</v>
      </c>
    </row>
    <row r="374" spans="2:17" x14ac:dyDescent="0.25">
      <c r="B374" s="8"/>
      <c r="F374" s="2">
        <f t="shared" si="273"/>
        <v>1</v>
      </c>
      <c r="G374" s="46" t="str">
        <f>IF(C374&lt;&gt;"",VLOOKUP(C374,part_details,4,FALSE)*'Multi-level BOM'!D374,"")</f>
        <v/>
      </c>
      <c r="H374" s="4">
        <f t="shared" si="276"/>
        <v>1</v>
      </c>
      <c r="I374" s="4">
        <f t="shared" si="276"/>
        <v>1</v>
      </c>
      <c r="J374" s="4">
        <f t="shared" si="276"/>
        <v>1</v>
      </c>
      <c r="K374" s="4">
        <f t="shared" si="276"/>
        <v>1</v>
      </c>
      <c r="L374" s="4">
        <f t="shared" si="276"/>
        <v>1</v>
      </c>
      <c r="M374" s="4">
        <f t="shared" si="276"/>
        <v>1</v>
      </c>
      <c r="N374" s="4">
        <f t="shared" si="276"/>
        <v>1</v>
      </c>
      <c r="O374" s="4">
        <f t="shared" si="276"/>
        <v>1</v>
      </c>
      <c r="P374" s="4">
        <f t="shared" si="276"/>
        <v>1</v>
      </c>
      <c r="Q374" s="4">
        <f t="shared" si="276"/>
        <v>1</v>
      </c>
    </row>
    <row r="375" spans="2:17" x14ac:dyDescent="0.25">
      <c r="B375" s="8"/>
    </row>
    <row r="376" spans="2:17" x14ac:dyDescent="0.25">
      <c r="B376" s="8"/>
    </row>
    <row r="377" spans="2:17" x14ac:dyDescent="0.25">
      <c r="B377" s="8"/>
    </row>
    <row r="378" spans="2:17" x14ac:dyDescent="0.25">
      <c r="B378" s="8"/>
    </row>
    <row r="379" spans="2:17" x14ac:dyDescent="0.25">
      <c r="B379" s="8"/>
    </row>
    <row r="380" spans="2:17" x14ac:dyDescent="0.25">
      <c r="B380" s="8"/>
    </row>
    <row r="381" spans="2:17" x14ac:dyDescent="0.25">
      <c r="B381" s="8"/>
    </row>
    <row r="382" spans="2:17" x14ac:dyDescent="0.25">
      <c r="B382" s="8"/>
    </row>
    <row r="383" spans="2:17" x14ac:dyDescent="0.25">
      <c r="B383" s="8"/>
    </row>
    <row r="384" spans="2:17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52" spans="6:6" ht="15.75" x14ac:dyDescent="0.25">
      <c r="F452" s="49"/>
    </row>
  </sheetData>
  <autoFilter ref="A1:C446"/>
  <mergeCells count="6">
    <mergeCell ref="H1:Q1"/>
    <mergeCell ref="B1:B2"/>
    <mergeCell ref="C1:C2"/>
    <mergeCell ref="D1:D2"/>
    <mergeCell ref="E1:E2"/>
    <mergeCell ref="F1:F2"/>
  </mergeCells>
  <conditionalFormatting sqref="B4:B13 B23 B15:B21 B59:B62 B51:B56 B76:B82 B84:B88 B155 B235:B444 B195:B202 B204:B224 B44:B48 B137:B149 B170 B190 B64:B74 B90:B103 B129:B135">
    <cfRule type="expression" dxfId="140" priority="163">
      <formula>IF(A4=3,TRUE,FALSE)</formula>
    </cfRule>
    <cfRule type="expression" dxfId="139" priority="164">
      <formula>IF(A4=2,TRUE,FALSE)</formula>
    </cfRule>
    <cfRule type="expression" dxfId="138" priority="165">
      <formula>IF(A4=1,TRUE,FALSE)</formula>
    </cfRule>
  </conditionalFormatting>
  <conditionalFormatting sqref="B136">
    <cfRule type="expression" dxfId="137" priority="157">
      <formula>IF(A136=3,TRUE,FALSE)</formula>
    </cfRule>
    <cfRule type="expression" dxfId="136" priority="158">
      <formula>IF(A136=2,TRUE,FALSE)</formula>
    </cfRule>
    <cfRule type="expression" dxfId="135" priority="159">
      <formula>IF(A136=1,TRUE,FALSE)</formula>
    </cfRule>
  </conditionalFormatting>
  <conditionalFormatting sqref="B156:B157 B159:B160 B165:B166 B175 B168">
    <cfRule type="expression" dxfId="134" priority="154">
      <formula>IF(A156=3,TRUE,FALSE)</formula>
    </cfRule>
    <cfRule type="expression" dxfId="133" priority="155">
      <formula>IF(A156=2,TRUE,FALSE)</formula>
    </cfRule>
    <cfRule type="expression" dxfId="132" priority="156">
      <formula>IF(A156=1,TRUE,FALSE)</formula>
    </cfRule>
  </conditionalFormatting>
  <conditionalFormatting sqref="B158">
    <cfRule type="expression" dxfId="131" priority="151">
      <formula>IF(A158=3,TRUE,FALSE)</formula>
    </cfRule>
    <cfRule type="expression" dxfId="130" priority="152">
      <formula>IF(A158=2,TRUE,FALSE)</formula>
    </cfRule>
    <cfRule type="expression" dxfId="129" priority="153">
      <formula>IF(A158=1,TRUE,FALSE)</formula>
    </cfRule>
  </conditionalFormatting>
  <conditionalFormatting sqref="B176:B177 B179:B180 B185:B186 B188">
    <cfRule type="expression" dxfId="128" priority="145">
      <formula>IF(A176=3,TRUE,FALSE)</formula>
    </cfRule>
    <cfRule type="expression" dxfId="127" priority="146">
      <formula>IF(A176=2,TRUE,FALSE)</formula>
    </cfRule>
    <cfRule type="expression" dxfId="126" priority="147">
      <formula>IF(A176=1,TRUE,FALSE)</formula>
    </cfRule>
  </conditionalFormatting>
  <conditionalFormatting sqref="B178">
    <cfRule type="expression" dxfId="125" priority="142">
      <formula>IF(A178=3,TRUE,FALSE)</formula>
    </cfRule>
    <cfRule type="expression" dxfId="124" priority="143">
      <formula>IF(A178=2,TRUE,FALSE)</formula>
    </cfRule>
    <cfRule type="expression" dxfId="123" priority="144">
      <formula>IF(A178=1,TRUE,FALSE)</formula>
    </cfRule>
  </conditionalFormatting>
  <conditionalFormatting sqref="B183">
    <cfRule type="expression" dxfId="122" priority="139">
      <formula>IF(A183=3,TRUE,FALSE)</formula>
    </cfRule>
    <cfRule type="expression" dxfId="121" priority="140">
      <formula>IF(A183=2,TRUE,FALSE)</formula>
    </cfRule>
    <cfRule type="expression" dxfId="120" priority="141">
      <formula>IF(A183=1,TRUE,FALSE)</formula>
    </cfRule>
  </conditionalFormatting>
  <conditionalFormatting sqref="B14">
    <cfRule type="expression" dxfId="119" priority="136">
      <formula>IF(A14=3,TRUE,FALSE)</formula>
    </cfRule>
    <cfRule type="expression" dxfId="118" priority="137">
      <formula>IF(A14=2,TRUE,FALSE)</formula>
    </cfRule>
    <cfRule type="expression" dxfId="117" priority="138">
      <formula>IF(A14=1,TRUE,FALSE)</formula>
    </cfRule>
  </conditionalFormatting>
  <conditionalFormatting sqref="B22">
    <cfRule type="expression" dxfId="116" priority="133">
      <formula>IF(A22=3,TRUE,FALSE)</formula>
    </cfRule>
    <cfRule type="expression" dxfId="115" priority="134">
      <formula>IF(A22=2,TRUE,FALSE)</formula>
    </cfRule>
    <cfRule type="expression" dxfId="114" priority="135">
      <formula>IF(A22=1,TRUE,FALSE)</formula>
    </cfRule>
  </conditionalFormatting>
  <conditionalFormatting sqref="B49">
    <cfRule type="expression" dxfId="113" priority="130">
      <formula>IF(A49=3,TRUE,FALSE)</formula>
    </cfRule>
    <cfRule type="expression" dxfId="112" priority="131">
      <formula>IF(A49=2,TRUE,FALSE)</formula>
    </cfRule>
    <cfRule type="expression" dxfId="111" priority="132">
      <formula>IF(A49=1,TRUE,FALSE)</formula>
    </cfRule>
  </conditionalFormatting>
  <conditionalFormatting sqref="B50">
    <cfRule type="expression" dxfId="110" priority="127">
      <formula>IF(A50=3,TRUE,FALSE)</formula>
    </cfRule>
    <cfRule type="expression" dxfId="109" priority="128">
      <formula>IF(A50=2,TRUE,FALSE)</formula>
    </cfRule>
    <cfRule type="expression" dxfId="108" priority="129">
      <formula>IF(A50=1,TRUE,FALSE)</formula>
    </cfRule>
  </conditionalFormatting>
  <conditionalFormatting sqref="B57">
    <cfRule type="expression" dxfId="107" priority="124">
      <formula>IF(A57=3,TRUE,FALSE)</formula>
    </cfRule>
    <cfRule type="expression" dxfId="106" priority="125">
      <formula>IF(A57=2,TRUE,FALSE)</formula>
    </cfRule>
    <cfRule type="expression" dxfId="105" priority="126">
      <formula>IF(A57=1,TRUE,FALSE)</formula>
    </cfRule>
  </conditionalFormatting>
  <conditionalFormatting sqref="B58">
    <cfRule type="expression" dxfId="104" priority="121">
      <formula>IF(A58=3,TRUE,FALSE)</formula>
    </cfRule>
    <cfRule type="expression" dxfId="103" priority="122">
      <formula>IF(A58=2,TRUE,FALSE)</formula>
    </cfRule>
    <cfRule type="expression" dxfId="102" priority="123">
      <formula>IF(A58=1,TRUE,FALSE)</formula>
    </cfRule>
  </conditionalFormatting>
  <conditionalFormatting sqref="B75">
    <cfRule type="expression" dxfId="101" priority="118">
      <formula>IF(A75=3,TRUE,FALSE)</formula>
    </cfRule>
    <cfRule type="expression" dxfId="100" priority="119">
      <formula>IF(A75=2,TRUE,FALSE)</formula>
    </cfRule>
    <cfRule type="expression" dxfId="99" priority="120">
      <formula>IF(A75=1,TRUE,FALSE)</formula>
    </cfRule>
  </conditionalFormatting>
  <conditionalFormatting sqref="B83">
    <cfRule type="expression" dxfId="98" priority="115">
      <formula>IF(A83=3,TRUE,FALSE)</formula>
    </cfRule>
    <cfRule type="expression" dxfId="97" priority="116">
      <formula>IF(A83=2,TRUE,FALSE)</formula>
    </cfRule>
    <cfRule type="expression" dxfId="96" priority="117">
      <formula>IF(A83=1,TRUE,FALSE)</formula>
    </cfRule>
  </conditionalFormatting>
  <conditionalFormatting sqref="B63">
    <cfRule type="expression" dxfId="95" priority="112">
      <formula>IF(A63=3,TRUE,FALSE)</formula>
    </cfRule>
    <cfRule type="expression" dxfId="94" priority="113">
      <formula>IF(A63=2,TRUE,FALSE)</formula>
    </cfRule>
    <cfRule type="expression" dxfId="93" priority="114">
      <formula>IF(A63=1,TRUE,FALSE)</formula>
    </cfRule>
  </conditionalFormatting>
  <conditionalFormatting sqref="B89">
    <cfRule type="expression" dxfId="92" priority="106">
      <formula>IF(A89=3,TRUE,FALSE)</formula>
    </cfRule>
    <cfRule type="expression" dxfId="91" priority="107">
      <formula>IF(A89=2,TRUE,FALSE)</formula>
    </cfRule>
    <cfRule type="expression" dxfId="90" priority="108">
      <formula>IF(A89=1,TRUE,FALSE)</formula>
    </cfRule>
  </conditionalFormatting>
  <conditionalFormatting sqref="B150:B154">
    <cfRule type="expression" dxfId="89" priority="103">
      <formula>IF(A150=3,TRUE,FALSE)</formula>
    </cfRule>
    <cfRule type="expression" dxfId="88" priority="104">
      <formula>IF(A150=2,TRUE,FALSE)</formula>
    </cfRule>
    <cfRule type="expression" dxfId="87" priority="105">
      <formula>IF(A150=1,TRUE,FALSE)</formula>
    </cfRule>
  </conditionalFormatting>
  <conditionalFormatting sqref="B171 B174">
    <cfRule type="expression" dxfId="86" priority="100">
      <formula>IF(A171=3,TRUE,FALSE)</formula>
    </cfRule>
    <cfRule type="expression" dxfId="85" priority="101">
      <formula>IF(A171=2,TRUE,FALSE)</formula>
    </cfRule>
    <cfRule type="expression" dxfId="84" priority="102">
      <formula>IF(A171=1,TRUE,FALSE)</formula>
    </cfRule>
  </conditionalFormatting>
  <conditionalFormatting sqref="B194">
    <cfRule type="expression" dxfId="83" priority="97">
      <formula>IF(A194=3,TRUE,FALSE)</formula>
    </cfRule>
    <cfRule type="expression" dxfId="82" priority="98">
      <formula>IF(A194=2,TRUE,FALSE)</formula>
    </cfRule>
    <cfRule type="expression" dxfId="81" priority="99">
      <formula>IF(A194=1,TRUE,FALSE)</formula>
    </cfRule>
  </conditionalFormatting>
  <conditionalFormatting sqref="B191">
    <cfRule type="expression" dxfId="80" priority="94">
      <formula>IF(A191=3,TRUE,FALSE)</formula>
    </cfRule>
    <cfRule type="expression" dxfId="79" priority="95">
      <formula>IF(A191=2,TRUE,FALSE)</formula>
    </cfRule>
    <cfRule type="expression" dxfId="78" priority="96">
      <formula>IF(A191=1,TRUE,FALSE)</formula>
    </cfRule>
  </conditionalFormatting>
  <conditionalFormatting sqref="B172:B173">
    <cfRule type="expression" dxfId="77" priority="88">
      <formula>IF(A172=3,TRUE,FALSE)</formula>
    </cfRule>
    <cfRule type="expression" dxfId="76" priority="89">
      <formula>IF(A172=2,TRUE,FALSE)</formula>
    </cfRule>
    <cfRule type="expression" dxfId="75" priority="90">
      <formula>IF(A172=1,TRUE,FALSE)</formula>
    </cfRule>
  </conditionalFormatting>
  <conditionalFormatting sqref="B192:B193">
    <cfRule type="expression" dxfId="74" priority="85">
      <formula>IF(A192=3,TRUE,FALSE)</formula>
    </cfRule>
    <cfRule type="expression" dxfId="73" priority="86">
      <formula>IF(A192=2,TRUE,FALSE)</formula>
    </cfRule>
    <cfRule type="expression" dxfId="72" priority="87">
      <formula>IF(A192=1,TRUE,FALSE)</formula>
    </cfRule>
  </conditionalFormatting>
  <conditionalFormatting sqref="B225:B234">
    <cfRule type="expression" dxfId="71" priority="79">
      <formula>IF(A225=3,TRUE,FALSE)</formula>
    </cfRule>
    <cfRule type="expression" dxfId="70" priority="80">
      <formula>IF(A225=2,TRUE,FALSE)</formula>
    </cfRule>
    <cfRule type="expression" dxfId="69" priority="81">
      <formula>IF(A225=1,TRUE,FALSE)</formula>
    </cfRule>
  </conditionalFormatting>
  <conditionalFormatting sqref="B203">
    <cfRule type="expression" dxfId="68" priority="76">
      <formula>IF(A203=3,TRUE,FALSE)</formula>
    </cfRule>
    <cfRule type="expression" dxfId="67" priority="77">
      <formula>IF(A203=2,TRUE,FALSE)</formula>
    </cfRule>
    <cfRule type="expression" dxfId="66" priority="78">
      <formula>IF(A203=1,TRUE,FALSE)</formula>
    </cfRule>
  </conditionalFormatting>
  <conditionalFormatting sqref="B167">
    <cfRule type="expression" dxfId="65" priority="70">
      <formula>IF(A167=3,TRUE,FALSE)</formula>
    </cfRule>
    <cfRule type="expression" dxfId="64" priority="71">
      <formula>IF(A167=2,TRUE,FALSE)</formula>
    </cfRule>
    <cfRule type="expression" dxfId="63" priority="72">
      <formula>IF(A167=1,TRUE,FALSE)</formula>
    </cfRule>
  </conditionalFormatting>
  <conditionalFormatting sqref="B161:B162">
    <cfRule type="expression" dxfId="62" priority="64">
      <formula>IF(A161=3,TRUE,FALSE)</formula>
    </cfRule>
    <cfRule type="expression" dxfId="61" priority="65">
      <formula>IF(A161=2,TRUE,FALSE)</formula>
    </cfRule>
    <cfRule type="expression" dxfId="60" priority="66">
      <formula>IF(A161=1,TRUE,FALSE)</formula>
    </cfRule>
  </conditionalFormatting>
  <conditionalFormatting sqref="B163">
    <cfRule type="expression" dxfId="59" priority="58">
      <formula>IF(A163=3,TRUE,FALSE)</formula>
    </cfRule>
    <cfRule type="expression" dxfId="58" priority="59">
      <formula>IF(A163=2,TRUE,FALSE)</formula>
    </cfRule>
    <cfRule type="expression" dxfId="57" priority="60">
      <formula>IF(A163=1,TRUE,FALSE)</formula>
    </cfRule>
  </conditionalFormatting>
  <conditionalFormatting sqref="B181:B182">
    <cfRule type="expression" dxfId="56" priority="61">
      <formula>IF(A181=3,TRUE,FALSE)</formula>
    </cfRule>
    <cfRule type="expression" dxfId="55" priority="62">
      <formula>IF(A181=2,TRUE,FALSE)</formula>
    </cfRule>
    <cfRule type="expression" dxfId="54" priority="63">
      <formula>IF(A181=1,TRUE,FALSE)</formula>
    </cfRule>
  </conditionalFormatting>
  <conditionalFormatting sqref="B164">
    <cfRule type="expression" dxfId="53" priority="55">
      <formula>IF(A164=3,TRUE,FALSE)</formula>
    </cfRule>
    <cfRule type="expression" dxfId="52" priority="56">
      <formula>IF(A164=2,TRUE,FALSE)</formula>
    </cfRule>
    <cfRule type="expression" dxfId="51" priority="57">
      <formula>IF(A164=1,TRUE,FALSE)</formula>
    </cfRule>
  </conditionalFormatting>
  <conditionalFormatting sqref="B184">
    <cfRule type="expression" dxfId="50" priority="52">
      <formula>IF(A184=3,TRUE,FALSE)</formula>
    </cfRule>
    <cfRule type="expression" dxfId="49" priority="53">
      <formula>IF(A184=2,TRUE,FALSE)</formula>
    </cfRule>
    <cfRule type="expression" dxfId="48" priority="54">
      <formula>IF(A184=1,TRUE,FALSE)</formula>
    </cfRule>
  </conditionalFormatting>
  <conditionalFormatting sqref="B187">
    <cfRule type="expression" dxfId="47" priority="49">
      <formula>IF(A187=3,TRUE,FALSE)</formula>
    </cfRule>
    <cfRule type="expression" dxfId="46" priority="50">
      <formula>IF(A187=2,TRUE,FALSE)</formula>
    </cfRule>
    <cfRule type="expression" dxfId="45" priority="51">
      <formula>IF(A187=1,TRUE,FALSE)</formula>
    </cfRule>
  </conditionalFormatting>
  <conditionalFormatting sqref="B169">
    <cfRule type="expression" dxfId="44" priority="46">
      <formula>IF(A169=3,TRUE,FALSE)</formula>
    </cfRule>
    <cfRule type="expression" dxfId="43" priority="47">
      <formula>IF(A169=2,TRUE,FALSE)</formula>
    </cfRule>
    <cfRule type="expression" dxfId="42" priority="48">
      <formula>IF(A169=1,TRUE,FALSE)</formula>
    </cfRule>
  </conditionalFormatting>
  <conditionalFormatting sqref="B189">
    <cfRule type="expression" dxfId="41" priority="43">
      <formula>IF(A189=3,TRUE,FALSE)</formula>
    </cfRule>
    <cfRule type="expression" dxfId="40" priority="44">
      <formula>IF(A189=2,TRUE,FALSE)</formula>
    </cfRule>
    <cfRule type="expression" dxfId="39" priority="45">
      <formula>IF(A189=1,TRUE,FALSE)</formula>
    </cfRule>
  </conditionalFormatting>
  <conditionalFormatting sqref="B33 B24:B29">
    <cfRule type="expression" dxfId="38" priority="40">
      <formula>IF(A24=3,TRUE,FALSE)</formula>
    </cfRule>
    <cfRule type="expression" dxfId="37" priority="41">
      <formula>IF(A24=2,TRUE,FALSE)</formula>
    </cfRule>
    <cfRule type="expression" dxfId="36" priority="42">
      <formula>IF(A24=1,TRUE,FALSE)</formula>
    </cfRule>
  </conditionalFormatting>
  <conditionalFormatting sqref="B30:B32">
    <cfRule type="expression" dxfId="35" priority="37">
      <formula>IF(A30=3,TRUE,FALSE)</formula>
    </cfRule>
    <cfRule type="expression" dxfId="34" priority="38">
      <formula>IF(A30=2,TRUE,FALSE)</formula>
    </cfRule>
    <cfRule type="expression" dxfId="33" priority="39">
      <formula>IF(A30=1,TRUE,FALSE)</formula>
    </cfRule>
  </conditionalFormatting>
  <conditionalFormatting sqref="B43 B34:B39">
    <cfRule type="expression" dxfId="32" priority="34">
      <formula>IF(A34=3,TRUE,FALSE)</formula>
    </cfRule>
    <cfRule type="expression" dxfId="31" priority="35">
      <formula>IF(A34=2,TRUE,FALSE)</formula>
    </cfRule>
    <cfRule type="expression" dxfId="30" priority="36">
      <formula>IF(A34=1,TRUE,FALSE)</formula>
    </cfRule>
  </conditionalFormatting>
  <conditionalFormatting sqref="B40:B42">
    <cfRule type="expression" dxfId="29" priority="31">
      <formula>IF(A40=3,TRUE,FALSE)</formula>
    </cfRule>
    <cfRule type="expression" dxfId="28" priority="32">
      <formula>IF(A40=2,TRUE,FALSE)</formula>
    </cfRule>
    <cfRule type="expression" dxfId="27" priority="33">
      <formula>IF(A40=1,TRUE,FALSE)</formula>
    </cfRule>
  </conditionalFormatting>
  <conditionalFormatting sqref="B104:B105">
    <cfRule type="expression" dxfId="26" priority="28">
      <formula>IF(A104=3,TRUE,FALSE)</formula>
    </cfRule>
    <cfRule type="expression" dxfId="25" priority="29">
      <formula>IF(A104=2,TRUE,FALSE)</formula>
    </cfRule>
    <cfRule type="expression" dxfId="24" priority="30">
      <formula>IF(A104=1,TRUE,FALSE)</formula>
    </cfRule>
  </conditionalFormatting>
  <conditionalFormatting sqref="B109:B110">
    <cfRule type="expression" dxfId="23" priority="25">
      <formula>IF(A109=3,TRUE,FALSE)</formula>
    </cfRule>
    <cfRule type="expression" dxfId="22" priority="26">
      <formula>IF(A109=2,TRUE,FALSE)</formula>
    </cfRule>
    <cfRule type="expression" dxfId="21" priority="27">
      <formula>IF(A109=1,TRUE,FALSE)</formula>
    </cfRule>
  </conditionalFormatting>
  <conditionalFormatting sqref="B106:B108">
    <cfRule type="expression" dxfId="20" priority="19">
      <formula>IF(A106=3,TRUE,FALSE)</formula>
    </cfRule>
    <cfRule type="expression" dxfId="19" priority="20">
      <formula>IF(A106=2,TRUE,FALSE)</formula>
    </cfRule>
    <cfRule type="expression" dxfId="18" priority="21">
      <formula>IF(A106=1,TRUE,FALSE)</formula>
    </cfRule>
  </conditionalFormatting>
  <conditionalFormatting sqref="B111:B113">
    <cfRule type="expression" dxfId="17" priority="16">
      <formula>IF(A111=3,TRUE,FALSE)</formula>
    </cfRule>
    <cfRule type="expression" dxfId="16" priority="17">
      <formula>IF(A111=2,TRUE,FALSE)</formula>
    </cfRule>
    <cfRule type="expression" dxfId="15" priority="18">
      <formula>IF(A111=1,TRUE,FALSE)</formula>
    </cfRule>
  </conditionalFormatting>
  <conditionalFormatting sqref="B114:B118">
    <cfRule type="expression" dxfId="14" priority="13">
      <formula>IF(A114=3,TRUE,FALSE)</formula>
    </cfRule>
    <cfRule type="expression" dxfId="13" priority="14">
      <formula>IF(A114=2,TRUE,FALSE)</formula>
    </cfRule>
    <cfRule type="expression" dxfId="12" priority="15">
      <formula>IF(A114=1,TRUE,FALSE)</formula>
    </cfRule>
  </conditionalFormatting>
  <conditionalFormatting sqref="B119:B120">
    <cfRule type="expression" dxfId="11" priority="10">
      <formula>IF(A119=3,TRUE,FALSE)</formula>
    </cfRule>
    <cfRule type="expression" dxfId="10" priority="11">
      <formula>IF(A119=2,TRUE,FALSE)</formula>
    </cfRule>
    <cfRule type="expression" dxfId="9" priority="12">
      <formula>IF(A119=1,TRUE,FALSE)</formula>
    </cfRule>
  </conditionalFormatting>
  <conditionalFormatting sqref="B124:B125">
    <cfRule type="expression" dxfId="8" priority="7">
      <formula>IF(A124=3,TRUE,FALSE)</formula>
    </cfRule>
    <cfRule type="expression" dxfId="7" priority="8">
      <formula>IF(A124=2,TRUE,FALSE)</formula>
    </cfRule>
    <cfRule type="expression" dxfId="6" priority="9">
      <formula>IF(A124=1,TRUE,FALSE)</formula>
    </cfRule>
  </conditionalFormatting>
  <conditionalFormatting sqref="B121:B123">
    <cfRule type="expression" dxfId="5" priority="4">
      <formula>IF(A121=3,TRUE,FALSE)</formula>
    </cfRule>
    <cfRule type="expression" dxfId="4" priority="5">
      <formula>IF(A121=2,TRUE,FALSE)</formula>
    </cfRule>
    <cfRule type="expression" dxfId="3" priority="6">
      <formula>IF(A121=1,TRUE,FALSE)</formula>
    </cfRule>
  </conditionalFormatting>
  <conditionalFormatting sqref="B126:B128">
    <cfRule type="expression" dxfId="2" priority="1">
      <formula>IF(A126=3,TRUE,FALSE)</formula>
    </cfRule>
    <cfRule type="expression" dxfId="1" priority="2">
      <formula>IF(A126=2,TRUE,FALSE)</formula>
    </cfRule>
    <cfRule type="expression" dxfId="0" priority="3">
      <formula>IF(A126=1,TRUE,FALSE)</formula>
    </cfRule>
  </conditionalFormatting>
  <dataValidations disablePrompts="1" count="1">
    <dataValidation type="list" allowBlank="1" showInputMessage="1" showErrorMessage="1" sqref="C3:C744">
      <formula1>Part_number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7"/>
  <sheetViews>
    <sheetView zoomScaleNormal="100" workbookViewId="0">
      <pane ySplit="3" topLeftCell="A4" activePane="bottomLeft" state="frozen"/>
      <selection pane="bottomLeft" activeCell="Q69" sqref="Q69"/>
    </sheetView>
  </sheetViews>
  <sheetFormatPr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12" customWidth="1"/>
    <col min="11" max="11" width="10.28515625" style="12" customWidth="1"/>
    <col min="12" max="12" width="6.85546875" style="12" customWidth="1"/>
    <col min="13" max="13" width="9.7109375" style="40" customWidth="1"/>
    <col min="14" max="14" width="11.42578125" style="40" customWidth="1"/>
    <col min="15" max="15" width="10" style="40" customWidth="1"/>
    <col min="16" max="16" width="13.85546875" style="1" customWidth="1"/>
    <col min="17" max="17" width="14" style="1" customWidth="1"/>
    <col min="18" max="18" width="36.42578125" style="1" customWidth="1"/>
    <col min="19" max="19" width="18.28515625" style="1" customWidth="1"/>
    <col min="20" max="16384" width="9.140625" style="1"/>
  </cols>
  <sheetData>
    <row r="1" spans="1:18" x14ac:dyDescent="0.25">
      <c r="K1" s="12" t="s">
        <v>806</v>
      </c>
      <c r="P1" s="1" t="s">
        <v>807</v>
      </c>
    </row>
    <row r="2" spans="1:18" x14ac:dyDescent="0.25">
      <c r="K2" s="3">
        <f>SUM(Table1[Ideal cost])</f>
        <v>1985.5948063082421</v>
      </c>
      <c r="L2" s="3"/>
      <c r="P2" s="3">
        <f>SUM(Table1[Remaining Extended cost])</f>
        <v>1861.3825015384618</v>
      </c>
      <c r="Q2" s="3">
        <f>SUM(Table1[Cost of excess material])</f>
        <v>243.15464523021976</v>
      </c>
      <c r="R2" s="1" t="s">
        <v>6</v>
      </c>
    </row>
    <row r="3" spans="1:18" s="14" customFormat="1" ht="60" customHeight="1" x14ac:dyDescent="0.25">
      <c r="A3" s="14" t="s">
        <v>1</v>
      </c>
      <c r="B3" s="14" t="s">
        <v>2</v>
      </c>
      <c r="C3" s="14" t="s">
        <v>3</v>
      </c>
      <c r="D3" s="15" t="s">
        <v>5</v>
      </c>
      <c r="E3" s="15" t="s">
        <v>652</v>
      </c>
      <c r="F3" s="15" t="s">
        <v>653</v>
      </c>
      <c r="G3" s="14" t="s">
        <v>4</v>
      </c>
      <c r="H3" s="16" t="s">
        <v>964</v>
      </c>
      <c r="I3" s="14" t="s">
        <v>6</v>
      </c>
      <c r="J3" s="17" t="s">
        <v>705</v>
      </c>
      <c r="K3" s="17" t="s">
        <v>805</v>
      </c>
      <c r="L3" s="17" t="s">
        <v>808</v>
      </c>
      <c r="M3" s="41" t="s">
        <v>925</v>
      </c>
      <c r="N3" s="52" t="s">
        <v>707</v>
      </c>
      <c r="O3" s="52" t="s">
        <v>706</v>
      </c>
      <c r="P3" s="15" t="s">
        <v>965</v>
      </c>
      <c r="Q3" s="39" t="s">
        <v>967</v>
      </c>
      <c r="R3" s="39" t="s">
        <v>926</v>
      </c>
    </row>
    <row r="4" spans="1:18" x14ac:dyDescent="0.25">
      <c r="A4" s="1" t="s">
        <v>7</v>
      </c>
      <c r="B4" s="4" t="s">
        <v>745</v>
      </c>
      <c r="C4" s="1" t="s">
        <v>648</v>
      </c>
      <c r="D4" s="3">
        <v>106.51</v>
      </c>
      <c r="E4" s="3">
        <f>61.85/2</f>
        <v>30.925000000000001</v>
      </c>
      <c r="F4" s="3">
        <v>0</v>
      </c>
      <c r="G4" s="5" t="s">
        <v>649</v>
      </c>
      <c r="H4" s="2">
        <v>1</v>
      </c>
      <c r="I4" s="1" t="s">
        <v>744</v>
      </c>
      <c r="J4" s="11">
        <f>SUMIF('Multi-level BOM'!C$3:C$464,Table1[[#This Row],[Part Number]],'Multi-level BOM'!F$3:F$464)</f>
        <v>1</v>
      </c>
      <c r="K4" s="11">
        <f>Table1[[#This Row],[extended quantity]]*(Table1[[#This Row],[Cost ]]+Table1[[#This Row],[shipping]]+Table1[[#This Row],[Tax]])</f>
        <v>137.435</v>
      </c>
      <c r="L4" s="11"/>
      <c r="M4" s="42"/>
      <c r="N4" s="53">
        <f>CEILING((Table1[[#This Row],[extended quantity]]-Table1[[#This Row],[quantity on-hand]])/Table1[[#This Row],[Minimum order quantity]],1)*Table1[[#This Row],[Minimum order quantity]]</f>
        <v>1</v>
      </c>
      <c r="O4" s="53">
        <f>Table1[[#This Row],[Order quantity]]+Table1[[#This Row],[quantity on-hand]]-Table1[[#This Row],[extended quantity]]</f>
        <v>0</v>
      </c>
      <c r="P4" s="11">
        <f>IFERROR(Table1[[#This Row],[Order quantity]]*(Table1[[#This Row],[Cost ]]+Table1[[#This Row],[shipping]]+Table1[[#This Row],[Tax]]),0)</f>
        <v>137.435</v>
      </c>
      <c r="Q4" s="38">
        <f>IFERROR(Table1[[#This Row],[leftover material]]*(Table1[[#This Row],[Cost ]]+Table1[[#This Row],[shipping]]+Table1[[#This Row],[Tax]]),0)</f>
        <v>0</v>
      </c>
      <c r="R4" s="38"/>
    </row>
    <row r="5" spans="1:18" x14ac:dyDescent="0.25">
      <c r="A5" s="1" t="s">
        <v>8</v>
      </c>
      <c r="B5" s="4" t="s">
        <v>746</v>
      </c>
      <c r="C5" s="1" t="s">
        <v>648</v>
      </c>
      <c r="D5" s="3">
        <v>65.510000000000005</v>
      </c>
      <c r="E5" s="3">
        <f>61.85/2</f>
        <v>30.925000000000001</v>
      </c>
      <c r="F5" s="3">
        <v>0</v>
      </c>
      <c r="G5" s="5" t="s">
        <v>649</v>
      </c>
      <c r="H5" s="2">
        <v>1</v>
      </c>
      <c r="J5" s="11">
        <f>SUMIF('Multi-level BOM'!C$3:C$464,Table1[[#This Row],[Part Number]],'Multi-level BOM'!F$3:F$464)</f>
        <v>1</v>
      </c>
      <c r="K5" s="11">
        <f>Table1[[#This Row],[extended quantity]]*(Table1[[#This Row],[Cost ]]+Table1[[#This Row],[shipping]]+Table1[[#This Row],[Tax]])</f>
        <v>96.435000000000002</v>
      </c>
      <c r="L5" s="11"/>
      <c r="M5" s="42"/>
      <c r="N5" s="53">
        <f>CEILING((Table1[[#This Row],[extended quantity]]-Table1[[#This Row],[quantity on-hand]])/Table1[[#This Row],[Minimum order quantity]],1)*Table1[[#This Row],[Minimum order quantity]]</f>
        <v>1</v>
      </c>
      <c r="O5" s="53">
        <f>Table1[[#This Row],[Order quantity]]+Table1[[#This Row],[quantity on-hand]]-Table1[[#This Row],[extended quantity]]</f>
        <v>0</v>
      </c>
      <c r="P5" s="11">
        <f>IFERROR(Table1[[#This Row],[Order quantity]]*(Table1[[#This Row],[Cost ]]+Table1[[#This Row],[shipping]]+Table1[[#This Row],[Tax]]),0)</f>
        <v>96.435000000000002</v>
      </c>
      <c r="Q5" s="38">
        <f>IFERROR(Table1[[#This Row],[leftover material]]*(Table1[[#This Row],[Cost ]]+Table1[[#This Row],[shipping]]+Table1[[#This Row],[Tax]]),0)</f>
        <v>0</v>
      </c>
      <c r="R5" s="38"/>
    </row>
    <row r="6" spans="1:18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11">
        <f>SUMIF('Multi-level BOM'!C$3:C$464,Table1[[#This Row],[Part Number]],'Multi-level BOM'!F$3:F$464)</f>
        <v>24</v>
      </c>
      <c r="K6" s="11">
        <f>Table1[[#This Row],[extended quantity]]*(Table1[[#This Row],[Cost ]]+Table1[[#This Row],[shipping]]+Table1[[#This Row],[Tax]])</f>
        <v>35.289839999999998</v>
      </c>
      <c r="L6" s="11"/>
      <c r="M6" s="42">
        <v>20</v>
      </c>
      <c r="N6" s="53">
        <f>CEILING((Table1[[#This Row],[extended quantity]]-Table1[[#This Row],[quantity on-hand]])/Table1[[#This Row],[Minimum order quantity]],1)*Table1[[#This Row],[Minimum order quantity]]</f>
        <v>10</v>
      </c>
      <c r="O6" s="53">
        <f>Table1[[#This Row],[Order quantity]]+Table1[[#This Row],[quantity on-hand]]-Table1[[#This Row],[extended quantity]]</f>
        <v>6</v>
      </c>
      <c r="P6" s="11">
        <f>IFERROR(Table1[[#This Row],[Order quantity]]*(Table1[[#This Row],[Cost ]]+Table1[[#This Row],[shipping]]+Table1[[#This Row],[Tax]]),0)</f>
        <v>14.7041</v>
      </c>
      <c r="Q6" s="38">
        <f>IFERROR(Table1[[#This Row],[leftover material]]*(Table1[[#This Row],[Cost ]]+Table1[[#This Row],[shipping]]+Table1[[#This Row],[Tax]]),0)</f>
        <v>8.8224599999999995</v>
      </c>
      <c r="R6" s="38" t="s">
        <v>927</v>
      </c>
    </row>
    <row r="7" spans="1:18" ht="45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11">
        <f>SUMIF('Multi-level BOM'!C$3:C$464,Table1[[#This Row],[Part Number]],'Multi-level BOM'!F$3:F$464)</f>
        <v>246.3</v>
      </c>
      <c r="K7" s="11">
        <f>Table1[[#This Row],[extended quantity]]*(Table1[[#This Row],[Cost ]]+Table1[[#This Row],[shipping]]+Table1[[#This Row],[Tax]])</f>
        <v>4.5594645499999995</v>
      </c>
      <c r="L7" s="11"/>
      <c r="M7" s="42">
        <v>300</v>
      </c>
      <c r="N7" s="53">
        <f>CEILING((Table1[[#This Row],[extended quantity]]-Table1[[#This Row],[quantity on-hand]])/Table1[[#This Row],[Minimum order quantity]],1)*Table1[[#This Row],[Minimum order quantity]]</f>
        <v>0</v>
      </c>
      <c r="O7" s="53">
        <f>Table1[[#This Row],[Order quantity]]+Table1[[#This Row],[quantity on-hand]]-Table1[[#This Row],[extended quantity]]</f>
        <v>53.699999999999989</v>
      </c>
      <c r="P7" s="11">
        <f>IFERROR(Table1[[#This Row],[Order quantity]]*(Table1[[#This Row],[Cost ]]+Table1[[#This Row],[shipping]]+Table1[[#This Row],[Tax]]),0)</f>
        <v>0</v>
      </c>
      <c r="Q7" s="38">
        <f>IFERROR(Table1[[#This Row],[leftover material]]*(Table1[[#This Row],[Cost ]]+Table1[[#This Row],[shipping]]+Table1[[#This Row],[Tax]]),0)</f>
        <v>0.9940854499999997</v>
      </c>
      <c r="R7" s="38" t="s">
        <v>927</v>
      </c>
    </row>
    <row r="8" spans="1:18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11">
        <f>SUMIF('Multi-level BOM'!C$3:C$464,Table1[[#This Row],[Part Number]],'Multi-level BOM'!F$3:F$464)</f>
        <v>12</v>
      </c>
      <c r="K8" s="11">
        <f>Table1[[#This Row],[extended quantity]]*(Table1[[#This Row],[Cost ]]+Table1[[#This Row],[shipping]]+Table1[[#This Row],[Tax]])</f>
        <v>2.8710599999999995</v>
      </c>
      <c r="L8" s="11"/>
      <c r="M8" s="42"/>
      <c r="N8" s="53">
        <f>CEILING((Table1[[#This Row],[extended quantity]]-Table1[[#This Row],[quantity on-hand]])/Table1[[#This Row],[Minimum order quantity]],1)*Table1[[#This Row],[Minimum order quantity]]</f>
        <v>40</v>
      </c>
      <c r="O8" s="53">
        <f>Table1[[#This Row],[Order quantity]]+Table1[[#This Row],[quantity on-hand]]-Table1[[#This Row],[extended quantity]]</f>
        <v>28</v>
      </c>
      <c r="P8" s="11">
        <f>IFERROR(Table1[[#This Row],[Order quantity]]*(Table1[[#This Row],[Cost ]]+Table1[[#This Row],[shipping]]+Table1[[#This Row],[Tax]]),0)</f>
        <v>9.570199999999998</v>
      </c>
      <c r="Q8" s="38">
        <f>IFERROR(Table1[[#This Row],[leftover material]]*(Table1[[#This Row],[Cost ]]+Table1[[#This Row],[shipping]]+Table1[[#This Row],[Tax]]),0)</f>
        <v>6.699139999999999</v>
      </c>
      <c r="R8" s="38"/>
    </row>
    <row r="9" spans="1:18" ht="30" x14ac:dyDescent="0.25">
      <c r="A9" s="1" t="s">
        <v>12</v>
      </c>
      <c r="B9" s="4" t="s">
        <v>756</v>
      </c>
      <c r="C9" s="1" t="s">
        <v>656</v>
      </c>
      <c r="D9" s="3">
        <f>12.99/15</f>
        <v>0.86599999999999999</v>
      </c>
      <c r="E9" s="3">
        <v>0</v>
      </c>
      <c r="F9" s="3">
        <f>9%*Table1[[#This Row],[Cost ]]</f>
        <v>7.7939999999999995E-2</v>
      </c>
      <c r="G9" s="5" t="s">
        <v>666</v>
      </c>
      <c r="H9" s="2">
        <v>15</v>
      </c>
      <c r="J9" s="11">
        <f>SUMIF('Multi-level BOM'!C$3:C$464,Table1[[#This Row],[Part Number]],'Multi-level BOM'!F$3:F$464)</f>
        <v>3</v>
      </c>
      <c r="K9" s="11">
        <f>Table1[[#This Row],[extended quantity]]*(Table1[[#This Row],[Cost ]]+Table1[[#This Row],[shipping]]+Table1[[#This Row],[Tax]])</f>
        <v>2.83182</v>
      </c>
      <c r="L9" s="11"/>
      <c r="M9" s="42"/>
      <c r="N9" s="53">
        <f>CEILING((Table1[[#This Row],[extended quantity]]-Table1[[#This Row],[quantity on-hand]])/Table1[[#This Row],[Minimum order quantity]],1)*Table1[[#This Row],[Minimum order quantity]]</f>
        <v>15</v>
      </c>
      <c r="O9" s="53">
        <f>Table1[[#This Row],[Order quantity]]+Table1[[#This Row],[quantity on-hand]]-Table1[[#This Row],[extended quantity]]</f>
        <v>12</v>
      </c>
      <c r="P9" s="11">
        <f>IFERROR(Table1[[#This Row],[Order quantity]]*(Table1[[#This Row],[Cost ]]+Table1[[#This Row],[shipping]]+Table1[[#This Row],[Tax]]),0)</f>
        <v>14.1591</v>
      </c>
      <c r="Q9" s="38">
        <f>IFERROR(Table1[[#This Row],[leftover material]]*(Table1[[#This Row],[Cost ]]+Table1[[#This Row],[shipping]]+Table1[[#This Row],[Tax]]),0)</f>
        <v>11.32728</v>
      </c>
      <c r="R9" s="38"/>
    </row>
    <row r="10" spans="1:18" x14ac:dyDescent="0.25">
      <c r="A10" s="1" t="s">
        <v>13</v>
      </c>
      <c r="B10" s="4" t="s">
        <v>670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671</v>
      </c>
      <c r="H10" s="2">
        <v>200</v>
      </c>
      <c r="J10" s="11">
        <f>SUMIF('Multi-level BOM'!C$3:C$464,Table1[[#This Row],[Part Number]],'Multi-level BOM'!F$3:F$464)</f>
        <v>32</v>
      </c>
      <c r="K10" s="11">
        <f>Table1[[#This Row],[extended quantity]]*(Table1[[#This Row],[Cost ]]+Table1[[#This Row],[shipping]]+Table1[[#This Row],[Tax]])</f>
        <v>1.4108959999999999</v>
      </c>
      <c r="L10" s="11"/>
      <c r="M10" s="42"/>
      <c r="N10" s="53">
        <f>CEILING((Table1[[#This Row],[extended quantity]]-Table1[[#This Row],[quantity on-hand]])/Table1[[#This Row],[Minimum order quantity]],1)*Table1[[#This Row],[Minimum order quantity]]</f>
        <v>200</v>
      </c>
      <c r="O10" s="53">
        <f>Table1[[#This Row],[Order quantity]]+Table1[[#This Row],[quantity on-hand]]-Table1[[#This Row],[extended quantity]]</f>
        <v>168</v>
      </c>
      <c r="P10" s="11">
        <f>IFERROR(Table1[[#This Row],[Order quantity]]*(Table1[[#This Row],[Cost ]]+Table1[[#This Row],[shipping]]+Table1[[#This Row],[Tax]]),0)</f>
        <v>8.8180999999999994</v>
      </c>
      <c r="Q10" s="38">
        <f>IFERROR(Table1[[#This Row],[leftover material]]*(Table1[[#This Row],[Cost ]]+Table1[[#This Row],[shipping]]+Table1[[#This Row],[Tax]]),0)</f>
        <v>7.4072039999999992</v>
      </c>
      <c r="R10" s="38"/>
    </row>
    <row r="11" spans="1:18" ht="30" x14ac:dyDescent="0.25">
      <c r="A11" s="1" t="s">
        <v>14</v>
      </c>
      <c r="B11" s="4" t="s">
        <v>692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1" t="s">
        <v>682</v>
      </c>
      <c r="H11" s="2">
        <v>1</v>
      </c>
      <c r="J11" s="11">
        <f>SUMIF('Multi-level BOM'!C$3:C$464,Table1[[#This Row],[Part Number]],'Multi-level BOM'!F$3:F$464)</f>
        <v>2</v>
      </c>
      <c r="K11" s="11">
        <f>Table1[[#This Row],[extended quantity]]*(Table1[[#This Row],[Cost ]]+Table1[[#This Row],[shipping]]+Table1[[#This Row],[Tax]])</f>
        <v>76.692399999999992</v>
      </c>
      <c r="L11" s="11"/>
      <c r="M11" s="42"/>
      <c r="N11" s="53">
        <f>CEILING((Table1[[#This Row],[extended quantity]]-Table1[[#This Row],[quantity on-hand]])/Table1[[#This Row],[Minimum order quantity]],1)*Table1[[#This Row],[Minimum order quantity]]</f>
        <v>2</v>
      </c>
      <c r="O11" s="53">
        <f>Table1[[#This Row],[Order quantity]]+Table1[[#This Row],[quantity on-hand]]-Table1[[#This Row],[extended quantity]]</f>
        <v>0</v>
      </c>
      <c r="P11" s="11">
        <f>IFERROR(Table1[[#This Row],[Order quantity]]*(Table1[[#This Row],[Cost ]]+Table1[[#This Row],[shipping]]+Table1[[#This Row],[Tax]]),0)</f>
        <v>76.692399999999992</v>
      </c>
      <c r="Q11" s="38">
        <f>IFERROR(Table1[[#This Row],[leftover material]]*(Table1[[#This Row],[Cost ]]+Table1[[#This Row],[shipping]]+Table1[[#This Row],[Tax]]),0)</f>
        <v>0</v>
      </c>
      <c r="R11" s="38"/>
    </row>
    <row r="12" spans="1:18" ht="45" x14ac:dyDescent="0.25">
      <c r="A12" s="1" t="s">
        <v>15</v>
      </c>
      <c r="B12" s="18" t="s">
        <v>783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684</v>
      </c>
      <c r="H12" s="2">
        <v>300</v>
      </c>
      <c r="I12" s="1" t="s">
        <v>660</v>
      </c>
      <c r="J12" s="11">
        <f>SUMIF('Multi-level BOM'!C$3:C$464,Table1[[#This Row],[Part Number]],'Multi-level BOM'!F$3:F$464)</f>
        <v>353</v>
      </c>
      <c r="K12" s="11">
        <f>Table1[[#This Row],[extended quantity]]*(Table1[[#This Row],[Cost ]]+Table1[[#This Row],[shipping]]+Table1[[#This Row],[Tax]])</f>
        <v>12.941097666666668</v>
      </c>
      <c r="L12" s="11"/>
      <c r="M12" s="42">
        <v>600</v>
      </c>
      <c r="N12" s="53">
        <f>CEILING((Table1[[#This Row],[extended quantity]]-Table1[[#This Row],[quantity on-hand]])/Table1[[#This Row],[Minimum order quantity]],1)*Table1[[#This Row],[Minimum order quantity]]</f>
        <v>0</v>
      </c>
      <c r="O12" s="53">
        <f>Table1[[#This Row],[Order quantity]]+Table1[[#This Row],[quantity on-hand]]-Table1[[#This Row],[extended quantity]]</f>
        <v>247</v>
      </c>
      <c r="P12" s="11">
        <f>IFERROR(Table1[[#This Row],[Order quantity]]*(Table1[[#This Row],[Cost ]]+Table1[[#This Row],[shipping]]+Table1[[#This Row],[Tax]]),0)</f>
        <v>0</v>
      </c>
      <c r="Q12" s="38">
        <f>IFERROR(Table1[[#This Row],[leftover material]]*(Table1[[#This Row],[Cost ]]+Table1[[#This Row],[shipping]]+Table1[[#This Row],[Tax]]),0)</f>
        <v>9.055102333333334</v>
      </c>
      <c r="R12" s="38" t="s">
        <v>927</v>
      </c>
    </row>
    <row r="13" spans="1:18" ht="30" x14ac:dyDescent="0.25">
      <c r="A13" s="1" t="s">
        <v>16</v>
      </c>
      <c r="B13" s="4" t="s">
        <v>770</v>
      </c>
      <c r="C13" s="1" t="s">
        <v>656</v>
      </c>
      <c r="D13" s="3">
        <f>10.82/20</f>
        <v>0.54100000000000004</v>
      </c>
      <c r="E13" s="3">
        <v>0</v>
      </c>
      <c r="F13" s="3">
        <f>9%*Table1[[#This Row],[Cost ]]</f>
        <v>4.8690000000000004E-2</v>
      </c>
      <c r="G13" s="1" t="s">
        <v>685</v>
      </c>
      <c r="H13" s="2">
        <v>20</v>
      </c>
      <c r="J13" s="11">
        <f>SUMIF('Multi-level BOM'!C$3:C$464,Table1[[#This Row],[Part Number]],'Multi-level BOM'!F$3:F$464)</f>
        <v>4</v>
      </c>
      <c r="K13" s="11">
        <f>Table1[[#This Row],[extended quantity]]*(Table1[[#This Row],[Cost ]]+Table1[[#This Row],[shipping]]+Table1[[#This Row],[Tax]])</f>
        <v>2.3587600000000002</v>
      </c>
      <c r="L13" s="11"/>
      <c r="M13" s="42"/>
      <c r="N13" s="53">
        <f>CEILING((Table1[[#This Row],[extended quantity]]-Table1[[#This Row],[quantity on-hand]])/Table1[[#This Row],[Minimum order quantity]],1)*Table1[[#This Row],[Minimum order quantity]]</f>
        <v>20</v>
      </c>
      <c r="O13" s="53">
        <f>Table1[[#This Row],[Order quantity]]+Table1[[#This Row],[quantity on-hand]]-Table1[[#This Row],[extended quantity]]</f>
        <v>16</v>
      </c>
      <c r="P13" s="11">
        <f>IFERROR(Table1[[#This Row],[Order quantity]]*(Table1[[#This Row],[Cost ]]+Table1[[#This Row],[shipping]]+Table1[[#This Row],[Tax]]),0)</f>
        <v>11.793800000000001</v>
      </c>
      <c r="Q13" s="38">
        <f>IFERROR(Table1[[#This Row],[leftover material]]*(Table1[[#This Row],[Cost ]]+Table1[[#This Row],[shipping]]+Table1[[#This Row],[Tax]]),0)</f>
        <v>9.4350400000000008</v>
      </c>
      <c r="R13" s="38"/>
    </row>
    <row r="14" spans="1:18" ht="45" x14ac:dyDescent="0.25">
      <c r="A14" s="1" t="s">
        <v>17</v>
      </c>
      <c r="B14" s="4" t="s">
        <v>689</v>
      </c>
      <c r="C14" s="1" t="s">
        <v>711</v>
      </c>
      <c r="D14" s="3">
        <v>25.91</v>
      </c>
      <c r="E14" s="3">
        <f>15.8/2</f>
        <v>7.9</v>
      </c>
      <c r="F14" s="3">
        <v>0</v>
      </c>
      <c r="G14" s="1" t="s">
        <v>690</v>
      </c>
      <c r="H14" s="2">
        <v>1</v>
      </c>
      <c r="J14" s="11">
        <f>SUMIF('Multi-level BOM'!C$3:C$464,Table1[[#This Row],[Part Number]],'Multi-level BOM'!F$3:F$464)</f>
        <v>5</v>
      </c>
      <c r="K14" s="11">
        <f>Table1[[#This Row],[extended quantity]]*(Table1[[#This Row],[Cost ]]+Table1[[#This Row],[shipping]]+Table1[[#This Row],[Tax]])</f>
        <v>169.05</v>
      </c>
      <c r="L14" s="11"/>
      <c r="M14" s="42">
        <v>3</v>
      </c>
      <c r="N14" s="53">
        <f>CEILING((Table1[[#This Row],[extended quantity]]-Table1[[#This Row],[quantity on-hand]])/Table1[[#This Row],[Minimum order quantity]],1)*Table1[[#This Row],[Minimum order quantity]]</f>
        <v>2</v>
      </c>
      <c r="O14" s="53">
        <f>Table1[[#This Row],[Order quantity]]+Table1[[#This Row],[quantity on-hand]]-Table1[[#This Row],[extended quantity]]</f>
        <v>0</v>
      </c>
      <c r="P14" s="11">
        <f>IFERROR(Table1[[#This Row],[Order quantity]]*(Table1[[#This Row],[Cost ]]+Table1[[#This Row],[shipping]]+Table1[[#This Row],[Tax]]),0)</f>
        <v>67.62</v>
      </c>
      <c r="Q14" s="38">
        <f>IFERROR(Table1[[#This Row],[leftover material]]*(Table1[[#This Row],[Cost ]]+Table1[[#This Row],[shipping]]+Table1[[#This Row],[Tax]]),0)</f>
        <v>0</v>
      </c>
      <c r="R14" s="38" t="s">
        <v>966</v>
      </c>
    </row>
    <row r="15" spans="1:18" ht="45" x14ac:dyDescent="0.25">
      <c r="A15" s="1" t="s">
        <v>18</v>
      </c>
      <c r="B15" s="4" t="s">
        <v>795</v>
      </c>
      <c r="C15" s="1" t="s">
        <v>656</v>
      </c>
      <c r="D15" s="3">
        <f>8.99/100</f>
        <v>8.9900000000000008E-2</v>
      </c>
      <c r="F15" s="3">
        <f>9%*Table1[[#This Row],[Cost ]]</f>
        <v>8.091000000000001E-3</v>
      </c>
      <c r="G15" s="5" t="s">
        <v>796</v>
      </c>
      <c r="H15" s="2">
        <v>100</v>
      </c>
      <c r="J15" s="11">
        <f>SUMIF('Multi-level BOM'!C$3:C$464,Table1[[#This Row],[Part Number]],'Multi-level BOM'!F$3:F$464)</f>
        <v>65</v>
      </c>
      <c r="K15" s="11">
        <f>Table1[[#This Row],[extended quantity]]*(Table1[[#This Row],[Cost ]]+Table1[[#This Row],[shipping]]+Table1[[#This Row],[Tax]])</f>
        <v>6.3694150000000009</v>
      </c>
      <c r="L15" s="11"/>
      <c r="M15" s="42"/>
      <c r="N15" s="53">
        <f>CEILING((Table1[[#This Row],[extended quantity]]-Table1[[#This Row],[quantity on-hand]])/Table1[[#This Row],[Minimum order quantity]],1)*Table1[[#This Row],[Minimum order quantity]]</f>
        <v>100</v>
      </c>
      <c r="O15" s="53">
        <f>Table1[[#This Row],[Order quantity]]+Table1[[#This Row],[quantity on-hand]]-Table1[[#This Row],[extended quantity]]</f>
        <v>35</v>
      </c>
      <c r="P15" s="11">
        <f>IFERROR(Table1[[#This Row],[Order quantity]]*(Table1[[#This Row],[Cost ]]+Table1[[#This Row],[shipping]]+Table1[[#This Row],[Tax]]),0)</f>
        <v>9.799100000000001</v>
      </c>
      <c r="Q15" s="38">
        <f>IFERROR(Table1[[#This Row],[leftover material]]*(Table1[[#This Row],[Cost ]]+Table1[[#This Row],[shipping]]+Table1[[#This Row],[Tax]]),0)</f>
        <v>3.4296850000000001</v>
      </c>
      <c r="R15" s="38"/>
    </row>
    <row r="16" spans="1:18" ht="45" x14ac:dyDescent="0.25">
      <c r="A16" s="1" t="s">
        <v>19</v>
      </c>
      <c r="B16" s="4" t="s">
        <v>693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1" t="s">
        <v>694</v>
      </c>
      <c r="H16" s="2">
        <v>4</v>
      </c>
      <c r="J16" s="11">
        <f>SUMIF('Multi-level BOM'!C$3:C$464,Table1[[#This Row],[Part Number]],'Multi-level BOM'!F$3:F$464)</f>
        <v>2</v>
      </c>
      <c r="K16" s="11">
        <f>Table1[[#This Row],[extended quantity]]*(Table1[[#This Row],[Cost ]]+Table1[[#This Row],[shipping]]+Table1[[#This Row],[Tax]])</f>
        <v>6.2675000000000001</v>
      </c>
      <c r="L16" s="11"/>
      <c r="M16" s="42"/>
      <c r="N16" s="53">
        <f>CEILING((Table1[[#This Row],[extended quantity]]-Table1[[#This Row],[quantity on-hand]])/Table1[[#This Row],[Minimum order quantity]],1)*Table1[[#This Row],[Minimum order quantity]]</f>
        <v>4</v>
      </c>
      <c r="O16" s="53">
        <f>Table1[[#This Row],[Order quantity]]+Table1[[#This Row],[quantity on-hand]]-Table1[[#This Row],[extended quantity]]</f>
        <v>2</v>
      </c>
      <c r="P16" s="11">
        <f>IFERROR(Table1[[#This Row],[Order quantity]]*(Table1[[#This Row],[Cost ]]+Table1[[#This Row],[shipping]]+Table1[[#This Row],[Tax]]),0)</f>
        <v>12.535</v>
      </c>
      <c r="Q16" s="38">
        <f>IFERROR(Table1[[#This Row],[leftover material]]*(Table1[[#This Row],[Cost ]]+Table1[[#This Row],[shipping]]+Table1[[#This Row],[Tax]]),0)</f>
        <v>6.2675000000000001</v>
      </c>
      <c r="R16" s="38"/>
    </row>
    <row r="17" spans="1:18" x14ac:dyDescent="0.25">
      <c r="A17" s="1" t="s">
        <v>20</v>
      </c>
      <c r="B17" s="4" t="s">
        <v>698</v>
      </c>
      <c r="C17" s="1" t="s">
        <v>699</v>
      </c>
      <c r="D17" s="3">
        <v>22.68</v>
      </c>
      <c r="E17" s="3">
        <f>19.24/3</f>
        <v>6.4133333333333331</v>
      </c>
      <c r="F17" s="3">
        <f>9%*Table1[[#This Row],[Cost ]]</f>
        <v>2.0411999999999999</v>
      </c>
      <c r="G17" s="1" t="s">
        <v>700</v>
      </c>
      <c r="H17" s="2">
        <v>1</v>
      </c>
      <c r="J17" s="11">
        <f>SUMIF('Multi-level BOM'!C$3:C$464,Table1[[#This Row],[Part Number]],'Multi-level BOM'!F$3:F$464)</f>
        <v>3</v>
      </c>
      <c r="K17" s="11">
        <f>Table1[[#This Row],[extended quantity]]*(Table1[[#This Row],[Cost ]]+Table1[[#This Row],[shipping]]+Table1[[#This Row],[Tax]])</f>
        <v>93.403599999999997</v>
      </c>
      <c r="L17" s="11"/>
      <c r="M17" s="42"/>
      <c r="N17" s="53">
        <f>CEILING((Table1[[#This Row],[extended quantity]]-Table1[[#This Row],[quantity on-hand]])/Table1[[#This Row],[Minimum order quantity]],1)*Table1[[#This Row],[Minimum order quantity]]</f>
        <v>3</v>
      </c>
      <c r="O17" s="53">
        <f>Table1[[#This Row],[Order quantity]]+Table1[[#This Row],[quantity on-hand]]-Table1[[#This Row],[extended quantity]]</f>
        <v>0</v>
      </c>
      <c r="P17" s="11">
        <f>IFERROR(Table1[[#This Row],[Order quantity]]*(Table1[[#This Row],[Cost ]]+Table1[[#This Row],[shipping]]+Table1[[#This Row],[Tax]]),0)</f>
        <v>93.403599999999997</v>
      </c>
      <c r="Q17" s="38">
        <f>IFERROR(Table1[[#This Row],[leftover material]]*(Table1[[#This Row],[Cost ]]+Table1[[#This Row],[shipping]]+Table1[[#This Row],[Tax]]),0)</f>
        <v>0</v>
      </c>
      <c r="R17" s="38"/>
    </row>
    <row r="18" spans="1:18" x14ac:dyDescent="0.25">
      <c r="A18" s="1" t="s">
        <v>21</v>
      </c>
      <c r="B18" s="4" t="s">
        <v>701</v>
      </c>
      <c r="C18" s="1" t="s">
        <v>702</v>
      </c>
      <c r="D18" s="3">
        <f>8.03/10</f>
        <v>0.80299999999999994</v>
      </c>
      <c r="E18" s="3">
        <f>10/10</f>
        <v>1</v>
      </c>
      <c r="F18" s="3">
        <f>9%*Table1[[#This Row],[Cost ]]</f>
        <v>7.2269999999999987E-2</v>
      </c>
      <c r="G18" s="1" t="s">
        <v>703</v>
      </c>
      <c r="H18" s="2">
        <v>10</v>
      </c>
      <c r="I18" s="1" t="s">
        <v>704</v>
      </c>
      <c r="J18" s="11">
        <f>SUMIF('Multi-level BOM'!C$3:C$464,Table1[[#This Row],[Part Number]],'Multi-level BOM'!F$3:F$464)</f>
        <v>12</v>
      </c>
      <c r="K18" s="11">
        <f>Table1[[#This Row],[extended quantity]]*(Table1[[#This Row],[Cost ]]+Table1[[#This Row],[shipping]]+Table1[[#This Row],[Tax]])</f>
        <v>22.503239999999998</v>
      </c>
      <c r="L18" s="11"/>
      <c r="M18" s="42"/>
      <c r="N18" s="53">
        <f>CEILING((Table1[[#This Row],[extended quantity]]-Table1[[#This Row],[quantity on-hand]])/Table1[[#This Row],[Minimum order quantity]],1)*Table1[[#This Row],[Minimum order quantity]]</f>
        <v>20</v>
      </c>
      <c r="O18" s="53">
        <f>Table1[[#This Row],[Order quantity]]+Table1[[#This Row],[quantity on-hand]]-Table1[[#This Row],[extended quantity]]</f>
        <v>8</v>
      </c>
      <c r="P18" s="11">
        <f>IFERROR(Table1[[#This Row],[Order quantity]]*(Table1[[#This Row],[Cost ]]+Table1[[#This Row],[shipping]]+Table1[[#This Row],[Tax]]),0)</f>
        <v>37.505400000000002</v>
      </c>
      <c r="Q18" s="38">
        <f>IFERROR(Table1[[#This Row],[leftover material]]*(Table1[[#This Row],[Cost ]]+Table1[[#This Row],[shipping]]+Table1[[#This Row],[Tax]]),0)</f>
        <v>15.00216</v>
      </c>
      <c r="R18" s="38"/>
    </row>
    <row r="19" spans="1:18" ht="30" x14ac:dyDescent="0.25">
      <c r="A19" s="1" t="s">
        <v>22</v>
      </c>
      <c r="B19" s="4" t="s">
        <v>710</v>
      </c>
      <c r="C19" s="1" t="s">
        <v>711</v>
      </c>
      <c r="D19" s="3">
        <v>16.989999999999998</v>
      </c>
      <c r="E19" s="3">
        <v>2.99</v>
      </c>
      <c r="F19" s="3">
        <v>0</v>
      </c>
      <c r="G19" s="5" t="s">
        <v>712</v>
      </c>
      <c r="H19" s="2">
        <v>1</v>
      </c>
      <c r="J19" s="11">
        <f>SUMIF('Multi-level BOM'!C$3:C$464,Table1[[#This Row],[Part Number]],'Multi-level BOM'!F$3:F$464)</f>
        <v>1</v>
      </c>
      <c r="K19" s="11">
        <f>Table1[[#This Row],[extended quantity]]*(Table1[[#This Row],[Cost ]]+Table1[[#This Row],[shipping]]+Table1[[#This Row],[Tax]])</f>
        <v>19.979999999999997</v>
      </c>
      <c r="L19" s="11"/>
      <c r="M19" s="42"/>
      <c r="N19" s="53">
        <f>CEILING((Table1[[#This Row],[extended quantity]]-Table1[[#This Row],[quantity on-hand]])/Table1[[#This Row],[Minimum order quantity]],1)*Table1[[#This Row],[Minimum order quantity]]</f>
        <v>1</v>
      </c>
      <c r="O19" s="53">
        <f>Table1[[#This Row],[Order quantity]]+Table1[[#This Row],[quantity on-hand]]-Table1[[#This Row],[extended quantity]]</f>
        <v>0</v>
      </c>
      <c r="P19" s="11">
        <f>IFERROR(Table1[[#This Row],[Order quantity]]*(Table1[[#This Row],[Cost ]]+Table1[[#This Row],[shipping]]+Table1[[#This Row],[Tax]]),0)</f>
        <v>19.979999999999997</v>
      </c>
      <c r="Q19" s="38">
        <f>IFERROR(Table1[[#This Row],[leftover material]]*(Table1[[#This Row],[Cost ]]+Table1[[#This Row],[shipping]]+Table1[[#This Row],[Tax]]),0)</f>
        <v>0</v>
      </c>
      <c r="R19" s="38"/>
    </row>
    <row r="20" spans="1:18" x14ac:dyDescent="0.25">
      <c r="A20" s="1" t="s">
        <v>23</v>
      </c>
      <c r="B20" s="4" t="s">
        <v>782</v>
      </c>
      <c r="C20" s="1" t="s">
        <v>648</v>
      </c>
      <c r="D20" s="3">
        <v>18.38</v>
      </c>
      <c r="E20" s="3">
        <v>2</v>
      </c>
      <c r="F20" s="3">
        <v>0</v>
      </c>
      <c r="G20" s="5" t="s">
        <v>649</v>
      </c>
      <c r="H20" s="2">
        <v>1</v>
      </c>
      <c r="J20" s="11">
        <f>SUMIF('Multi-level BOM'!C$3:C$464,Table1[[#This Row],[Part Number]],'Multi-level BOM'!F$3:F$464)</f>
        <v>1</v>
      </c>
      <c r="K20" s="11">
        <f>Table1[[#This Row],[extended quantity]]*(Table1[[#This Row],[Cost ]]+Table1[[#This Row],[shipping]]+Table1[[#This Row],[Tax]])</f>
        <v>20.38</v>
      </c>
      <c r="L20" s="11"/>
      <c r="M20" s="42"/>
      <c r="N20" s="53">
        <f>CEILING((Table1[[#This Row],[extended quantity]]-Table1[[#This Row],[quantity on-hand]])/Table1[[#This Row],[Minimum order quantity]],1)*Table1[[#This Row],[Minimum order quantity]]</f>
        <v>1</v>
      </c>
      <c r="O20" s="53">
        <f>Table1[[#This Row],[Order quantity]]+Table1[[#This Row],[quantity on-hand]]-Table1[[#This Row],[extended quantity]]</f>
        <v>0</v>
      </c>
      <c r="P20" s="11">
        <f>IFERROR(Table1[[#This Row],[Order quantity]]*(Table1[[#This Row],[Cost ]]+Table1[[#This Row],[shipping]]+Table1[[#This Row],[Tax]]),0)</f>
        <v>20.38</v>
      </c>
      <c r="Q20" s="38">
        <f>IFERROR(Table1[[#This Row],[leftover material]]*(Table1[[#This Row],[Cost ]]+Table1[[#This Row],[shipping]]+Table1[[#This Row],[Tax]]),0)</f>
        <v>0</v>
      </c>
      <c r="R20" s="38"/>
    </row>
    <row r="21" spans="1:18" x14ac:dyDescent="0.25">
      <c r="A21" s="1" t="s">
        <v>24</v>
      </c>
      <c r="B21" s="4" t="s">
        <v>716</v>
      </c>
      <c r="C21" s="1" t="s">
        <v>715</v>
      </c>
      <c r="D21" s="3">
        <v>3.74</v>
      </c>
      <c r="E21" s="3">
        <v>2</v>
      </c>
      <c r="F21" s="3">
        <f>9%*Table1[[#This Row],[Cost ]]</f>
        <v>0.33660000000000001</v>
      </c>
      <c r="G21" s="1" t="s">
        <v>718</v>
      </c>
      <c r="H21" s="2">
        <v>1</v>
      </c>
      <c r="I21" s="1" t="s">
        <v>717</v>
      </c>
      <c r="J21" s="11">
        <f>SUMIF('Multi-level BOM'!C$3:C$464,Table1[[#This Row],[Part Number]],'Multi-level BOM'!F$3:F$464)</f>
        <v>3</v>
      </c>
      <c r="K21" s="11">
        <f>Table1[[#This Row],[extended quantity]]*(Table1[[#This Row],[Cost ]]+Table1[[#This Row],[shipping]]+Table1[[#This Row],[Tax]])</f>
        <v>18.229800000000001</v>
      </c>
      <c r="L21" s="11"/>
      <c r="M21" s="42"/>
      <c r="N21" s="53">
        <f>CEILING((Table1[[#This Row],[extended quantity]]-Table1[[#This Row],[quantity on-hand]])/Table1[[#This Row],[Minimum order quantity]],1)*Table1[[#This Row],[Minimum order quantity]]</f>
        <v>3</v>
      </c>
      <c r="O21" s="53">
        <f>Table1[[#This Row],[Order quantity]]+Table1[[#This Row],[quantity on-hand]]-Table1[[#This Row],[extended quantity]]</f>
        <v>0</v>
      </c>
      <c r="P21" s="11">
        <f>IFERROR(Table1[[#This Row],[Order quantity]]*(Table1[[#This Row],[Cost ]]+Table1[[#This Row],[shipping]]+Table1[[#This Row],[Tax]]),0)</f>
        <v>18.229800000000001</v>
      </c>
      <c r="Q21" s="38">
        <f>IFERROR(Table1[[#This Row],[leftover material]]*(Table1[[#This Row],[Cost ]]+Table1[[#This Row],[shipping]]+Table1[[#This Row],[Tax]]),0)</f>
        <v>0</v>
      </c>
      <c r="R21" s="38"/>
    </row>
    <row r="22" spans="1:18" ht="30" x14ac:dyDescent="0.25">
      <c r="A22" s="1" t="s">
        <v>25</v>
      </c>
      <c r="B22" s="4" t="s">
        <v>722</v>
      </c>
      <c r="C22" s="1" t="s">
        <v>656</v>
      </c>
      <c r="D22" s="3">
        <v>21.55</v>
      </c>
      <c r="E22" s="3">
        <v>0</v>
      </c>
      <c r="F22" s="3">
        <f>9%*Table1[[#This Row],[Cost ]]</f>
        <v>1.9395</v>
      </c>
      <c r="G22" s="5" t="s">
        <v>721</v>
      </c>
      <c r="H22" s="2">
        <v>1</v>
      </c>
      <c r="J22" s="11">
        <f>SUMIF('Multi-level BOM'!C$3:C$464,Table1[[#This Row],[Part Number]],'Multi-level BOM'!F$3:F$464)</f>
        <v>3</v>
      </c>
      <c r="K22" s="11">
        <f>Table1[[#This Row],[extended quantity]]*(Table1[[#This Row],[Cost ]]+Table1[[#This Row],[shipping]]+Table1[[#This Row],[Tax]])</f>
        <v>70.468500000000006</v>
      </c>
      <c r="L22" s="11"/>
      <c r="M22" s="42">
        <v>2</v>
      </c>
      <c r="N22" s="53">
        <f>CEILING((Table1[[#This Row],[extended quantity]]-Table1[[#This Row],[quantity on-hand]])/Table1[[#This Row],[Minimum order quantity]],1)*Table1[[#This Row],[Minimum order quantity]]</f>
        <v>1</v>
      </c>
      <c r="O22" s="53">
        <f>Table1[[#This Row],[Order quantity]]+Table1[[#This Row],[quantity on-hand]]-Table1[[#This Row],[extended quantity]]</f>
        <v>0</v>
      </c>
      <c r="P22" s="11">
        <f>IFERROR(Table1[[#This Row],[Order quantity]]*(Table1[[#This Row],[Cost ]]+Table1[[#This Row],[shipping]]+Table1[[#This Row],[Tax]]),0)</f>
        <v>23.4895</v>
      </c>
      <c r="Q22" s="38">
        <f>IFERROR(Table1[[#This Row],[leftover material]]*(Table1[[#This Row],[Cost ]]+Table1[[#This Row],[shipping]]+Table1[[#This Row],[Tax]]),0)</f>
        <v>0</v>
      </c>
      <c r="R22" s="38" t="s">
        <v>966</v>
      </c>
    </row>
    <row r="23" spans="1:18" ht="45" x14ac:dyDescent="0.25">
      <c r="A23" s="1" t="s">
        <v>26</v>
      </c>
      <c r="B23" s="4" t="s">
        <v>735</v>
      </c>
      <c r="C23" s="1" t="s">
        <v>656</v>
      </c>
      <c r="D23" s="3">
        <v>19.98</v>
      </c>
      <c r="F23" s="3">
        <f>9%*Table1[[#This Row],[Cost ]]</f>
        <v>1.7982</v>
      </c>
      <c r="G23" s="5" t="s">
        <v>736</v>
      </c>
      <c r="H23" s="2">
        <v>1</v>
      </c>
      <c r="J23" s="11">
        <f>SUMIF('Multi-level BOM'!C$3:C$464,Table1[[#This Row],[Part Number]],'Multi-level BOM'!F$3:F$464)</f>
        <v>3</v>
      </c>
      <c r="K23" s="11">
        <f>Table1[[#This Row],[extended quantity]]*(Table1[[#This Row],[Cost ]]+Table1[[#This Row],[shipping]]+Table1[[#This Row],[Tax]])</f>
        <v>65.334600000000009</v>
      </c>
      <c r="L23" s="11"/>
      <c r="M23" s="42"/>
      <c r="N23" s="53">
        <f>CEILING((Table1[[#This Row],[extended quantity]]-Table1[[#This Row],[quantity on-hand]])/Table1[[#This Row],[Minimum order quantity]],1)*Table1[[#This Row],[Minimum order quantity]]</f>
        <v>3</v>
      </c>
      <c r="O23" s="53">
        <f>Table1[[#This Row],[Order quantity]]+Table1[[#This Row],[quantity on-hand]]-Table1[[#This Row],[extended quantity]]</f>
        <v>0</v>
      </c>
      <c r="P23" s="11">
        <f>IFERROR(Table1[[#This Row],[Order quantity]]*(Table1[[#This Row],[Cost ]]+Table1[[#This Row],[shipping]]+Table1[[#This Row],[Tax]]),0)</f>
        <v>65.334600000000009</v>
      </c>
      <c r="Q23" s="38">
        <f>IFERROR(Table1[[#This Row],[leftover material]]*(Table1[[#This Row],[Cost ]]+Table1[[#This Row],[shipping]]+Table1[[#This Row],[Tax]]),0)</f>
        <v>0</v>
      </c>
      <c r="R23" s="38"/>
    </row>
    <row r="24" spans="1:18" ht="30" x14ac:dyDescent="0.25">
      <c r="A24" s="1" t="s">
        <v>27</v>
      </c>
      <c r="B24" s="18" t="s">
        <v>750</v>
      </c>
      <c r="C24" s="1" t="s">
        <v>711</v>
      </c>
      <c r="D24" s="3">
        <v>8.5500000000000007</v>
      </c>
      <c r="E24" s="3">
        <v>2</v>
      </c>
      <c r="F24" s="3">
        <f>9%*Table1[[#This Row],[Cost ]]</f>
        <v>0.76950000000000007</v>
      </c>
      <c r="G24" s="1" t="s">
        <v>751</v>
      </c>
      <c r="H24" s="2">
        <v>1</v>
      </c>
      <c r="I24" s="1" t="s">
        <v>717</v>
      </c>
      <c r="J24" s="11">
        <f>SUMIF('Multi-level BOM'!C$3:C$464,Table1[[#This Row],[Part Number]],'Multi-level BOM'!F$3:F$464)</f>
        <v>1</v>
      </c>
      <c r="K24" s="11">
        <f>Table1[[#This Row],[extended quantity]]*(Table1[[#This Row],[Cost ]]+Table1[[#This Row],[shipping]]+Table1[[#This Row],[Tax]])</f>
        <v>11.319500000000001</v>
      </c>
      <c r="L24" s="11"/>
      <c r="M24" s="42"/>
      <c r="N24" s="53">
        <f>CEILING((Table1[[#This Row],[extended quantity]]-Table1[[#This Row],[quantity on-hand]])/Table1[[#This Row],[Minimum order quantity]],1)*Table1[[#This Row],[Minimum order quantity]]</f>
        <v>1</v>
      </c>
      <c r="O24" s="53">
        <f>Table1[[#This Row],[Order quantity]]+Table1[[#This Row],[quantity on-hand]]-Table1[[#This Row],[extended quantity]]</f>
        <v>0</v>
      </c>
      <c r="P24" s="11">
        <f>IFERROR(Table1[[#This Row],[Order quantity]]*(Table1[[#This Row],[Cost ]]+Table1[[#This Row],[shipping]]+Table1[[#This Row],[Tax]]),0)</f>
        <v>11.319500000000001</v>
      </c>
      <c r="Q24" s="38">
        <f>IFERROR(Table1[[#This Row],[leftover material]]*(Table1[[#This Row],[Cost ]]+Table1[[#This Row],[shipping]]+Table1[[#This Row],[Tax]]),0)</f>
        <v>0</v>
      </c>
      <c r="R24" s="38"/>
    </row>
    <row r="25" spans="1:18" ht="30" x14ac:dyDescent="0.25">
      <c r="A25" s="1" t="s">
        <v>28</v>
      </c>
      <c r="B25" s="19" t="s">
        <v>753</v>
      </c>
      <c r="C25" s="1" t="s">
        <v>731</v>
      </c>
      <c r="D25" s="3">
        <f>6.18/35</f>
        <v>0.17657142857142857</v>
      </c>
      <c r="F25" s="3">
        <f>9%*Table1[[#This Row],[Cost ]]</f>
        <v>1.589142857142857E-2</v>
      </c>
      <c r="G25" s="1" t="s">
        <v>754</v>
      </c>
      <c r="H25" s="2">
        <v>35</v>
      </c>
      <c r="I25" s="1" t="s">
        <v>755</v>
      </c>
      <c r="J25" s="11">
        <f>SUMIF('Multi-level BOM'!C$3:C$464,Table1[[#This Row],[Part Number]],'Multi-level BOM'!F$3:F$464)</f>
        <v>20</v>
      </c>
      <c r="K25" s="11">
        <f>Table1[[#This Row],[extended quantity]]*(Table1[[#This Row],[Cost ]]+Table1[[#This Row],[shipping]]+Table1[[#This Row],[Tax]])</f>
        <v>3.8492571428571432</v>
      </c>
      <c r="L25" s="11"/>
      <c r="M25" s="42"/>
      <c r="N25" s="53">
        <f>CEILING((Table1[[#This Row],[extended quantity]]-Table1[[#This Row],[quantity on-hand]])/Table1[[#This Row],[Minimum order quantity]],1)*Table1[[#This Row],[Minimum order quantity]]</f>
        <v>35</v>
      </c>
      <c r="O25" s="53">
        <f>Table1[[#This Row],[Order quantity]]+Table1[[#This Row],[quantity on-hand]]-Table1[[#This Row],[extended quantity]]</f>
        <v>15</v>
      </c>
      <c r="P25" s="11">
        <f>IFERROR(Table1[[#This Row],[Order quantity]]*(Table1[[#This Row],[Cost ]]+Table1[[#This Row],[shipping]]+Table1[[#This Row],[Tax]]),0)</f>
        <v>6.7362000000000002</v>
      </c>
      <c r="Q25" s="38">
        <f>IFERROR(Table1[[#This Row],[leftover material]]*(Table1[[#This Row],[Cost ]]+Table1[[#This Row],[shipping]]+Table1[[#This Row],[Tax]]),0)</f>
        <v>2.8869428571428575</v>
      </c>
      <c r="R25" s="38"/>
    </row>
    <row r="26" spans="1:18" x14ac:dyDescent="0.25">
      <c r="A26" s="44" t="s">
        <v>29</v>
      </c>
      <c r="B26" s="4" t="s">
        <v>725</v>
      </c>
      <c r="C26" s="1" t="s">
        <v>723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724</v>
      </c>
      <c r="J26" s="11">
        <f>SUMIF('Multi-level BOM'!C$3:C$464,Table1[[#This Row],[Part Number]],'Multi-level BOM'!F$3:F$464)</f>
        <v>4</v>
      </c>
      <c r="K26" s="11">
        <f>Table1[[#This Row],[extended quantity]]*(Table1[[#This Row],[Cost ]]+Table1[[#This Row],[shipping]]+Table1[[#This Row],[Tax]])</f>
        <v>19.077500000000001</v>
      </c>
      <c r="L26" s="11"/>
      <c r="M26" s="42"/>
      <c r="N26" s="53">
        <f>CEILING((Table1[[#This Row],[extended quantity]]-Table1[[#This Row],[quantity on-hand]])/Table1[[#This Row],[Minimum order quantity]],1)*Table1[[#This Row],[Minimum order quantity]]</f>
        <v>4</v>
      </c>
      <c r="O26" s="53">
        <f>Table1[[#This Row],[Order quantity]]+Table1[[#This Row],[quantity on-hand]]-Table1[[#This Row],[extended quantity]]</f>
        <v>0</v>
      </c>
      <c r="P26" s="11">
        <f>IFERROR(Table1[[#This Row],[Order quantity]]*(Table1[[#This Row],[Cost ]]+Table1[[#This Row],[shipping]]+Table1[[#This Row],[Tax]]),0)</f>
        <v>19.077500000000001</v>
      </c>
      <c r="Q26" s="38">
        <f>IFERROR(Table1[[#This Row],[leftover material]]*(Table1[[#This Row],[Cost ]]+Table1[[#This Row],[shipping]]+Table1[[#This Row],[Tax]]),0)</f>
        <v>0</v>
      </c>
      <c r="R26" s="38"/>
    </row>
    <row r="27" spans="1:18" x14ac:dyDescent="0.25">
      <c r="A27" s="1" t="s">
        <v>30</v>
      </c>
      <c r="B27" s="18" t="s">
        <v>931</v>
      </c>
      <c r="C27" s="1" t="s">
        <v>723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717</v>
      </c>
      <c r="J27" s="11">
        <f>SUMIF('Multi-level BOM'!C$3:C$464,Table1[[#This Row],[Part Number]],'Multi-level BOM'!F$3:F$464)</f>
        <v>5</v>
      </c>
      <c r="K27" s="11">
        <f>Table1[[#This Row],[extended quantity]]*(Table1[[#This Row],[Cost ]]+Table1[[#This Row],[shipping]]+Table1[[#This Row],[Tax]])</f>
        <v>4.6607916666666664</v>
      </c>
      <c r="L27" s="11"/>
      <c r="M27" s="42"/>
      <c r="N27" s="53">
        <f>CEILING((Table1[[#This Row],[extended quantity]]-Table1[[#This Row],[quantity on-hand]])/Table1[[#This Row],[Minimum order quantity]],1)*Table1[[#This Row],[Minimum order quantity]]</f>
        <v>12</v>
      </c>
      <c r="O27" s="53">
        <f>Table1[[#This Row],[Order quantity]]+Table1[[#This Row],[quantity on-hand]]-Table1[[#This Row],[extended quantity]]</f>
        <v>7</v>
      </c>
      <c r="P27" s="11">
        <f>IFERROR(Table1[[#This Row],[Order quantity]]*(Table1[[#This Row],[Cost ]]+Table1[[#This Row],[shipping]]+Table1[[#This Row],[Tax]]),0)</f>
        <v>11.1859</v>
      </c>
      <c r="Q27" s="38">
        <f>IFERROR(Table1[[#This Row],[leftover material]]*(Table1[[#This Row],[Cost ]]+Table1[[#This Row],[shipping]]+Table1[[#This Row],[Tax]]),0)</f>
        <v>6.5251083333333328</v>
      </c>
      <c r="R27" s="38"/>
    </row>
    <row r="28" spans="1:18" ht="30" x14ac:dyDescent="0.25">
      <c r="A28" s="1" t="s">
        <v>31</v>
      </c>
      <c r="B28" s="4" t="s">
        <v>961</v>
      </c>
      <c r="C28" s="1" t="s">
        <v>723</v>
      </c>
      <c r="D28" s="3">
        <f>5.1/2</f>
        <v>2.5499999999999998</v>
      </c>
      <c r="E28" s="3">
        <v>1</v>
      </c>
      <c r="F28" s="3">
        <f>9%*Table1[[#This Row],[Cost ]]</f>
        <v>0.22949999999999998</v>
      </c>
      <c r="G28" s="1" t="s">
        <v>741</v>
      </c>
      <c r="H28" s="2">
        <v>2</v>
      </c>
      <c r="I28" s="1" t="s">
        <v>740</v>
      </c>
      <c r="J28" s="11">
        <f>SUMIF('Multi-level BOM'!C$3:C$464,Table1[[#This Row],[Part Number]],'Multi-level BOM'!F$3:F$464)</f>
        <v>5</v>
      </c>
      <c r="K28" s="11">
        <f>Table1[[#This Row],[extended quantity]]*(Table1[[#This Row],[Cost ]]+Table1[[#This Row],[shipping]]+Table1[[#This Row],[Tax]])</f>
        <v>18.897499999999997</v>
      </c>
      <c r="L28" s="11"/>
      <c r="M28" s="42"/>
      <c r="N28" s="53">
        <f>CEILING((Table1[[#This Row],[extended quantity]]-Table1[[#This Row],[quantity on-hand]])/Table1[[#This Row],[Minimum order quantity]],1)*Table1[[#This Row],[Minimum order quantity]]</f>
        <v>6</v>
      </c>
      <c r="O28" s="53">
        <f>Table1[[#This Row],[Order quantity]]+Table1[[#This Row],[quantity on-hand]]-Table1[[#This Row],[extended quantity]]</f>
        <v>1</v>
      </c>
      <c r="P28" s="11">
        <f>IFERROR(Table1[[#This Row],[Order quantity]]*(Table1[[#This Row],[Cost ]]+Table1[[#This Row],[shipping]]+Table1[[#This Row],[Tax]]),0)</f>
        <v>22.677</v>
      </c>
      <c r="Q28" s="38">
        <f>IFERROR(Table1[[#This Row],[leftover material]]*(Table1[[#This Row],[Cost ]]+Table1[[#This Row],[shipping]]+Table1[[#This Row],[Tax]]),0)</f>
        <v>3.7794999999999996</v>
      </c>
      <c r="R28" s="38"/>
    </row>
    <row r="29" spans="1:18" ht="30" x14ac:dyDescent="0.25">
      <c r="A29" s="1" t="s">
        <v>32</v>
      </c>
      <c r="B29" s="4" t="s">
        <v>730</v>
      </c>
      <c r="C29" s="1" t="s">
        <v>731</v>
      </c>
      <c r="D29" s="3">
        <f>8.99/50</f>
        <v>0.17980000000000002</v>
      </c>
      <c r="F29" s="3">
        <f>9%*Table1[[#This Row],[Cost ]]</f>
        <v>1.6182000000000002E-2</v>
      </c>
      <c r="G29" s="1" t="s">
        <v>732</v>
      </c>
      <c r="H29" s="2">
        <v>50</v>
      </c>
      <c r="J29" s="11">
        <f>SUMIF('Multi-level BOM'!C$3:C$464,Table1[[#This Row],[Part Number]],'Multi-level BOM'!F$3:F$464)</f>
        <v>35</v>
      </c>
      <c r="K29" s="11">
        <f>Table1[[#This Row],[extended quantity]]*(Table1[[#This Row],[Cost ]]+Table1[[#This Row],[shipping]]+Table1[[#This Row],[Tax]])</f>
        <v>6.8593700000000002</v>
      </c>
      <c r="L29" s="11"/>
      <c r="M29" s="42"/>
      <c r="N29" s="53">
        <f>CEILING((Table1[[#This Row],[extended quantity]]-Table1[[#This Row],[quantity on-hand]])/Table1[[#This Row],[Minimum order quantity]],1)*Table1[[#This Row],[Minimum order quantity]]</f>
        <v>50</v>
      </c>
      <c r="O29" s="53">
        <f>Table1[[#This Row],[Order quantity]]+Table1[[#This Row],[quantity on-hand]]-Table1[[#This Row],[extended quantity]]</f>
        <v>15</v>
      </c>
      <c r="P29" s="11">
        <f>IFERROR(Table1[[#This Row],[Order quantity]]*(Table1[[#This Row],[Cost ]]+Table1[[#This Row],[shipping]]+Table1[[#This Row],[Tax]]),0)</f>
        <v>9.799100000000001</v>
      </c>
      <c r="Q29" s="38">
        <f>IFERROR(Table1[[#This Row],[leftover material]]*(Table1[[#This Row],[Cost ]]+Table1[[#This Row],[shipping]]+Table1[[#This Row],[Tax]]),0)</f>
        <v>2.9397300000000004</v>
      </c>
      <c r="R29" s="38"/>
    </row>
    <row r="30" spans="1:18" ht="30" x14ac:dyDescent="0.25">
      <c r="A30" s="1" t="s">
        <v>33</v>
      </c>
      <c r="B30" s="4" t="s">
        <v>728</v>
      </c>
      <c r="C30" s="1" t="s">
        <v>656</v>
      </c>
      <c r="D30" s="3">
        <f>8.09/26</f>
        <v>0.31115384615384617</v>
      </c>
      <c r="F30" s="3">
        <f>9%*Table1[[#This Row],[Cost ]]</f>
        <v>2.8003846153846153E-2</v>
      </c>
      <c r="G30" s="1" t="s">
        <v>729</v>
      </c>
      <c r="H30" s="2">
        <v>26</v>
      </c>
      <c r="J30" s="11">
        <f>SUMIF('Multi-level BOM'!C$3:C$464,Table1[[#This Row],[Part Number]],'Multi-level BOM'!F$3:F$464)</f>
        <v>36</v>
      </c>
      <c r="K30" s="11">
        <f>Table1[[#This Row],[extended quantity]]*(Table1[[#This Row],[Cost ]]+Table1[[#This Row],[shipping]]+Table1[[#This Row],[Tax]])</f>
        <v>12.209676923076923</v>
      </c>
      <c r="L30" s="11"/>
      <c r="M30" s="42"/>
      <c r="N30" s="53">
        <f>CEILING((Table1[[#This Row],[extended quantity]]-Table1[[#This Row],[quantity on-hand]])/Table1[[#This Row],[Minimum order quantity]],1)*Table1[[#This Row],[Minimum order quantity]]</f>
        <v>52</v>
      </c>
      <c r="O30" s="53">
        <f>Table1[[#This Row],[Order quantity]]+Table1[[#This Row],[quantity on-hand]]-Table1[[#This Row],[extended quantity]]</f>
        <v>16</v>
      </c>
      <c r="P30" s="11">
        <f>IFERROR(Table1[[#This Row],[Order quantity]]*(Table1[[#This Row],[Cost ]]+Table1[[#This Row],[shipping]]+Table1[[#This Row],[Tax]]),0)</f>
        <v>17.636200000000002</v>
      </c>
      <c r="Q30" s="38">
        <f>IFERROR(Table1[[#This Row],[leftover material]]*(Table1[[#This Row],[Cost ]]+Table1[[#This Row],[shipping]]+Table1[[#This Row],[Tax]]),0)</f>
        <v>5.4265230769230772</v>
      </c>
      <c r="R30" s="38"/>
    </row>
    <row r="31" spans="1:18" ht="30" x14ac:dyDescent="0.25">
      <c r="A31" s="1" t="s">
        <v>34</v>
      </c>
      <c r="B31" s="4" t="s">
        <v>814</v>
      </c>
      <c r="C31" s="1" t="s">
        <v>656</v>
      </c>
      <c r="D31" s="3">
        <f>8.89/100</f>
        <v>8.8900000000000007E-2</v>
      </c>
      <c r="F31" s="3">
        <f>9%*Table1[[#This Row],[Cost ]]</f>
        <v>8.0010000000000012E-3</v>
      </c>
      <c r="G31" s="1" t="s">
        <v>734</v>
      </c>
      <c r="H31" s="2">
        <v>100</v>
      </c>
      <c r="J31" s="11">
        <f>SUMIF('Multi-level BOM'!C$3:C$464,Table1[[#This Row],[Part Number]],'Multi-level BOM'!F$3:F$464)</f>
        <v>0</v>
      </c>
      <c r="K31" s="11">
        <f>Table1[[#This Row],[extended quantity]]*(Table1[[#This Row],[Cost ]]+Table1[[#This Row],[shipping]]+Table1[[#This Row],[Tax]])</f>
        <v>0</v>
      </c>
      <c r="L31" s="11"/>
      <c r="M31" s="42"/>
      <c r="N31" s="53">
        <f>CEILING((Table1[[#This Row],[extended quantity]]-Table1[[#This Row],[quantity on-hand]])/Table1[[#This Row],[Minimum order quantity]],1)*Table1[[#This Row],[Minimum order quantity]]</f>
        <v>0</v>
      </c>
      <c r="O31" s="53">
        <f>Table1[[#This Row],[Order quantity]]+Table1[[#This Row],[quantity on-hand]]-Table1[[#This Row],[extended quantity]]</f>
        <v>0</v>
      </c>
      <c r="P31" s="11">
        <f>IFERROR(Table1[[#This Row],[Order quantity]]*(Table1[[#This Row],[Cost ]]+Table1[[#This Row],[shipping]]+Table1[[#This Row],[Tax]]),0)</f>
        <v>0</v>
      </c>
      <c r="Q31" s="38">
        <f>IFERROR(Table1[[#This Row],[leftover material]]*(Table1[[#This Row],[Cost ]]+Table1[[#This Row],[shipping]]+Table1[[#This Row],[Tax]]),0)</f>
        <v>0</v>
      </c>
      <c r="R31" s="38"/>
    </row>
    <row r="32" spans="1:18" ht="30" x14ac:dyDescent="0.25">
      <c r="A32" s="1" t="s">
        <v>35</v>
      </c>
      <c r="B32" s="4" t="s">
        <v>758</v>
      </c>
      <c r="C32" s="1" t="s">
        <v>656</v>
      </c>
      <c r="D32" s="3">
        <f>9.49/10</f>
        <v>0.94900000000000007</v>
      </c>
      <c r="F32" s="3">
        <f>9%*Table1[[#This Row],[Cost ]]</f>
        <v>8.541E-2</v>
      </c>
      <c r="G32" s="1" t="s">
        <v>759</v>
      </c>
      <c r="H32" s="2">
        <v>10</v>
      </c>
      <c r="J32" s="11">
        <f>SUMIF('Multi-level BOM'!C$3:C$464,Table1[[#This Row],[Part Number]],'Multi-level BOM'!F$3:F$464)</f>
        <v>3</v>
      </c>
      <c r="K32" s="11">
        <f>Table1[[#This Row],[extended quantity]]*(Table1[[#This Row],[Cost ]]+Table1[[#This Row],[shipping]]+Table1[[#This Row],[Tax]])</f>
        <v>3.1032299999999999</v>
      </c>
      <c r="L32" s="11"/>
      <c r="M32" s="42"/>
      <c r="N32" s="53">
        <f>CEILING((Table1[[#This Row],[extended quantity]]-Table1[[#This Row],[quantity on-hand]])/Table1[[#This Row],[Minimum order quantity]],1)*Table1[[#This Row],[Minimum order quantity]]</f>
        <v>10</v>
      </c>
      <c r="O32" s="53">
        <f>Table1[[#This Row],[Order quantity]]+Table1[[#This Row],[quantity on-hand]]-Table1[[#This Row],[extended quantity]]</f>
        <v>7</v>
      </c>
      <c r="P32" s="11">
        <f>IFERROR(Table1[[#This Row],[Order quantity]]*(Table1[[#This Row],[Cost ]]+Table1[[#This Row],[shipping]]+Table1[[#This Row],[Tax]]),0)</f>
        <v>10.344100000000001</v>
      </c>
      <c r="Q32" s="38">
        <f>IFERROR(Table1[[#This Row],[leftover material]]*(Table1[[#This Row],[Cost ]]+Table1[[#This Row],[shipping]]+Table1[[#This Row],[Tax]]),0)</f>
        <v>7.2408700000000001</v>
      </c>
      <c r="R32" s="38"/>
    </row>
    <row r="33" spans="1:18" ht="45" x14ac:dyDescent="0.25">
      <c r="A33" s="1" t="s">
        <v>36</v>
      </c>
      <c r="B33" s="4" t="s">
        <v>772</v>
      </c>
      <c r="C33" s="1" t="s">
        <v>656</v>
      </c>
      <c r="D33" s="3">
        <f>5.59/5</f>
        <v>1.1179999999999999</v>
      </c>
      <c r="F33" s="3">
        <f>9%*Table1[[#This Row],[Cost ]]</f>
        <v>0.10061999999999999</v>
      </c>
      <c r="G33" s="1" t="s">
        <v>773</v>
      </c>
      <c r="H33" s="2">
        <v>5</v>
      </c>
      <c r="J33" s="11">
        <f>SUMIF('Multi-level BOM'!C$3:C$464,Table1[[#This Row],[Part Number]],'Multi-level BOM'!F$3:F$464)</f>
        <v>4</v>
      </c>
      <c r="K33" s="11">
        <f>Table1[[#This Row],[extended quantity]]*(Table1[[#This Row],[Cost ]]+Table1[[#This Row],[shipping]]+Table1[[#This Row],[Tax]])</f>
        <v>4.8744799999999993</v>
      </c>
      <c r="L33" s="11"/>
      <c r="M33" s="42"/>
      <c r="N33" s="53">
        <f>CEILING((Table1[[#This Row],[extended quantity]]-Table1[[#This Row],[quantity on-hand]])/Table1[[#This Row],[Minimum order quantity]],1)*Table1[[#This Row],[Minimum order quantity]]</f>
        <v>5</v>
      </c>
      <c r="O33" s="53">
        <f>Table1[[#This Row],[Order quantity]]+Table1[[#This Row],[quantity on-hand]]-Table1[[#This Row],[extended quantity]]</f>
        <v>1</v>
      </c>
      <c r="P33" s="11">
        <f>IFERROR(Table1[[#This Row],[Order quantity]]*(Table1[[#This Row],[Cost ]]+Table1[[#This Row],[shipping]]+Table1[[#This Row],[Tax]]),0)</f>
        <v>6.0930999999999989</v>
      </c>
      <c r="Q33" s="38">
        <f>IFERROR(Table1[[#This Row],[leftover material]]*(Table1[[#This Row],[Cost ]]+Table1[[#This Row],[shipping]]+Table1[[#This Row],[Tax]]),0)</f>
        <v>1.2186199999999998</v>
      </c>
      <c r="R33" s="38"/>
    </row>
    <row r="34" spans="1:18" ht="45" x14ac:dyDescent="0.25">
      <c r="A34" s="1" t="s">
        <v>37</v>
      </c>
      <c r="B34" s="4" t="s">
        <v>787</v>
      </c>
      <c r="C34" s="1" t="s">
        <v>656</v>
      </c>
      <c r="D34" s="3">
        <f>4.75/10</f>
        <v>0.47499999999999998</v>
      </c>
      <c r="F34" s="3">
        <f>9%*Table1[[#This Row],[Cost ]]</f>
        <v>4.2749999999999996E-2</v>
      </c>
      <c r="G34" s="1" t="s">
        <v>788</v>
      </c>
      <c r="H34" s="2">
        <v>10</v>
      </c>
      <c r="J34" s="11">
        <f>SUMIF('Multi-level BOM'!C$3:C$464,Table1[[#This Row],[Part Number]],'Multi-level BOM'!F$3:F$464)</f>
        <v>2</v>
      </c>
      <c r="K34" s="11">
        <f>Table1[[#This Row],[extended quantity]]*(Table1[[#This Row],[Cost ]]+Table1[[#This Row],[shipping]]+Table1[[#This Row],[Tax]])</f>
        <v>1.0354999999999999</v>
      </c>
      <c r="L34" s="11"/>
      <c r="M34" s="42"/>
      <c r="N34" s="53">
        <f>CEILING((Table1[[#This Row],[extended quantity]]-Table1[[#This Row],[quantity on-hand]])/Table1[[#This Row],[Minimum order quantity]],1)*Table1[[#This Row],[Minimum order quantity]]</f>
        <v>10</v>
      </c>
      <c r="O34" s="53">
        <f>Table1[[#This Row],[Order quantity]]+Table1[[#This Row],[quantity on-hand]]-Table1[[#This Row],[extended quantity]]</f>
        <v>8</v>
      </c>
      <c r="P34" s="11">
        <f>IFERROR(Table1[[#This Row],[Order quantity]]*(Table1[[#This Row],[Cost ]]+Table1[[#This Row],[shipping]]+Table1[[#This Row],[Tax]]),0)</f>
        <v>5.1774999999999993</v>
      </c>
      <c r="Q34" s="38">
        <f>IFERROR(Table1[[#This Row],[leftover material]]*(Table1[[#This Row],[Cost ]]+Table1[[#This Row],[shipping]]+Table1[[#This Row],[Tax]]),0)</f>
        <v>4.1419999999999995</v>
      </c>
      <c r="R34" s="38"/>
    </row>
    <row r="35" spans="1:18" ht="30" x14ac:dyDescent="0.25">
      <c r="A35" s="1" t="s">
        <v>38</v>
      </c>
      <c r="B35" s="4" t="s">
        <v>789</v>
      </c>
      <c r="C35" s="1" t="s">
        <v>656</v>
      </c>
      <c r="D35" s="3">
        <f>9.99/25</f>
        <v>0.39960000000000001</v>
      </c>
      <c r="F35" s="3">
        <f>9%*Table1[[#This Row],[Cost ]]</f>
        <v>3.5964000000000003E-2</v>
      </c>
      <c r="G35" s="1" t="s">
        <v>790</v>
      </c>
      <c r="H35" s="2">
        <v>25</v>
      </c>
      <c r="J35" s="11">
        <f>SUMIF('Multi-level BOM'!C$3:C$464,Table1[[#This Row],[Part Number]],'Multi-level BOM'!F$3:F$464)</f>
        <v>2</v>
      </c>
      <c r="K35" s="11">
        <f>Table1[[#This Row],[extended quantity]]*(Table1[[#This Row],[Cost ]]+Table1[[#This Row],[shipping]]+Table1[[#This Row],[Tax]])</f>
        <v>0.87112800000000001</v>
      </c>
      <c r="L35" s="11"/>
      <c r="M35" s="42"/>
      <c r="N35" s="53">
        <f>CEILING((Table1[[#This Row],[extended quantity]]-Table1[[#This Row],[quantity on-hand]])/Table1[[#This Row],[Minimum order quantity]],1)*Table1[[#This Row],[Minimum order quantity]]</f>
        <v>25</v>
      </c>
      <c r="O35" s="53">
        <f>Table1[[#This Row],[Order quantity]]+Table1[[#This Row],[quantity on-hand]]-Table1[[#This Row],[extended quantity]]</f>
        <v>23</v>
      </c>
      <c r="P35" s="11">
        <f>IFERROR(Table1[[#This Row],[Order quantity]]*(Table1[[#This Row],[Cost ]]+Table1[[#This Row],[shipping]]+Table1[[#This Row],[Tax]]),0)</f>
        <v>10.889100000000001</v>
      </c>
      <c r="Q35" s="38">
        <f>IFERROR(Table1[[#This Row],[leftover material]]*(Table1[[#This Row],[Cost ]]+Table1[[#This Row],[shipping]]+Table1[[#This Row],[Tax]]),0)</f>
        <v>10.017972</v>
      </c>
      <c r="R35" s="38"/>
    </row>
    <row r="36" spans="1:18" ht="45" x14ac:dyDescent="0.25">
      <c r="A36" s="1" t="s">
        <v>39</v>
      </c>
      <c r="B36" s="4" t="s">
        <v>797</v>
      </c>
      <c r="C36" s="1" t="s">
        <v>656</v>
      </c>
      <c r="D36" s="3">
        <f>8.49/100</f>
        <v>8.4900000000000003E-2</v>
      </c>
      <c r="F36" s="3">
        <f>9%*Table1[[#This Row],[Cost ]]</f>
        <v>7.6410000000000002E-3</v>
      </c>
      <c r="G36" s="1" t="s">
        <v>798</v>
      </c>
      <c r="H36" s="2">
        <v>100</v>
      </c>
      <c r="J36" s="11">
        <f>SUMIF('Multi-level BOM'!C$3:C$464,Table1[[#This Row],[Part Number]],'Multi-level BOM'!F$3:F$464)</f>
        <v>20</v>
      </c>
      <c r="K36" s="11">
        <f>Table1[[#This Row],[extended quantity]]*(Table1[[#This Row],[Cost ]]+Table1[[#This Row],[shipping]]+Table1[[#This Row],[Tax]])</f>
        <v>1.8508199999999999</v>
      </c>
      <c r="L36" s="11"/>
      <c r="M36" s="42"/>
      <c r="N36" s="53">
        <f>CEILING((Table1[[#This Row],[extended quantity]]-Table1[[#This Row],[quantity on-hand]])/Table1[[#This Row],[Minimum order quantity]],1)*Table1[[#This Row],[Minimum order quantity]]</f>
        <v>100</v>
      </c>
      <c r="O36" s="53">
        <f>Table1[[#This Row],[Order quantity]]+Table1[[#This Row],[quantity on-hand]]-Table1[[#This Row],[extended quantity]]</f>
        <v>80</v>
      </c>
      <c r="P36" s="11">
        <f>IFERROR(Table1[[#This Row],[Order quantity]]*(Table1[[#This Row],[Cost ]]+Table1[[#This Row],[shipping]]+Table1[[#This Row],[Tax]]),0)</f>
        <v>9.2540999999999993</v>
      </c>
      <c r="Q36" s="38">
        <f>IFERROR(Table1[[#This Row],[leftover material]]*(Table1[[#This Row],[Cost ]]+Table1[[#This Row],[shipping]]+Table1[[#This Row],[Tax]]),0)</f>
        <v>7.4032799999999996</v>
      </c>
      <c r="R36" s="38"/>
    </row>
    <row r="37" spans="1:18" ht="30" x14ac:dyDescent="0.25">
      <c r="A37" s="1" t="s">
        <v>40</v>
      </c>
      <c r="B37" s="4" t="s">
        <v>799</v>
      </c>
      <c r="C37" s="1" t="s">
        <v>656</v>
      </c>
      <c r="D37" s="3">
        <f>7.99/100</f>
        <v>7.9899999999999999E-2</v>
      </c>
      <c r="F37" s="3">
        <f>9%*Table1[[#This Row],[Cost ]]</f>
        <v>7.1909999999999995E-3</v>
      </c>
      <c r="G37" s="5" t="s">
        <v>800</v>
      </c>
      <c r="H37" s="2">
        <v>100</v>
      </c>
      <c r="J37" s="11">
        <f>SUMIF('Multi-level BOM'!C$3:C$464,Table1[[#This Row],[Part Number]],'Multi-level BOM'!F$3:F$464)</f>
        <v>46</v>
      </c>
      <c r="K37" s="11">
        <f>Table1[[#This Row],[extended quantity]]*(Table1[[#This Row],[Cost ]]+Table1[[#This Row],[shipping]]+Table1[[#This Row],[Tax]])</f>
        <v>4.0061860000000005</v>
      </c>
      <c r="L37" s="11"/>
      <c r="M37" s="42"/>
      <c r="N37" s="53">
        <f>CEILING((Table1[[#This Row],[extended quantity]]-Table1[[#This Row],[quantity on-hand]])/Table1[[#This Row],[Minimum order quantity]],1)*Table1[[#This Row],[Minimum order quantity]]</f>
        <v>100</v>
      </c>
      <c r="O37" s="53">
        <f>Table1[[#This Row],[Order quantity]]+Table1[[#This Row],[quantity on-hand]]-Table1[[#This Row],[extended quantity]]</f>
        <v>54</v>
      </c>
      <c r="P37" s="11">
        <f>IFERROR(Table1[[#This Row],[Order quantity]]*(Table1[[#This Row],[Cost ]]+Table1[[#This Row],[shipping]]+Table1[[#This Row],[Tax]]),0)</f>
        <v>8.7090999999999994</v>
      </c>
      <c r="Q37" s="38">
        <f>IFERROR(Table1[[#This Row],[leftover material]]*(Table1[[#This Row],[Cost ]]+Table1[[#This Row],[shipping]]+Table1[[#This Row],[Tax]]),0)</f>
        <v>4.7029139999999998</v>
      </c>
      <c r="R37" s="38"/>
    </row>
    <row r="38" spans="1:18" x14ac:dyDescent="0.25">
      <c r="A38" s="1" t="s">
        <v>41</v>
      </c>
      <c r="B38" s="4" t="s">
        <v>801</v>
      </c>
      <c r="C38" s="1" t="s">
        <v>656</v>
      </c>
      <c r="D38" s="3">
        <f>4.99/100</f>
        <v>4.99E-2</v>
      </c>
      <c r="F38" s="3">
        <f>9%*Table1[[#This Row],[Cost ]]</f>
        <v>4.4910000000000002E-3</v>
      </c>
      <c r="G38" s="1" t="s">
        <v>802</v>
      </c>
      <c r="H38" s="2">
        <v>100</v>
      </c>
      <c r="J38" s="11">
        <f>SUMIF('Multi-level BOM'!C$3:C$464,Table1[[#This Row],[Part Number]],'Multi-level BOM'!F$3:F$464)</f>
        <v>46</v>
      </c>
      <c r="K38" s="11">
        <f>Table1[[#This Row],[extended quantity]]*(Table1[[#This Row],[Cost ]]+Table1[[#This Row],[shipping]]+Table1[[#This Row],[Tax]])</f>
        <v>2.501986</v>
      </c>
      <c r="L38" s="11"/>
      <c r="M38" s="42"/>
      <c r="N38" s="53">
        <f>CEILING((Table1[[#This Row],[extended quantity]]-Table1[[#This Row],[quantity on-hand]])/Table1[[#This Row],[Minimum order quantity]],1)*Table1[[#This Row],[Minimum order quantity]]</f>
        <v>100</v>
      </c>
      <c r="O38" s="53">
        <f>Table1[[#This Row],[Order quantity]]+Table1[[#This Row],[quantity on-hand]]-Table1[[#This Row],[extended quantity]]</f>
        <v>54</v>
      </c>
      <c r="P38" s="11">
        <f>IFERROR(Table1[[#This Row],[Order quantity]]*(Table1[[#This Row],[Cost ]]+Table1[[#This Row],[shipping]]+Table1[[#This Row],[Tax]]),0)</f>
        <v>5.4390999999999998</v>
      </c>
      <c r="Q38" s="38">
        <f>IFERROR(Table1[[#This Row],[leftover material]]*(Table1[[#This Row],[Cost ]]+Table1[[#This Row],[shipping]]+Table1[[#This Row],[Tax]]),0)</f>
        <v>2.9371140000000002</v>
      </c>
      <c r="R38" s="38"/>
    </row>
    <row r="39" spans="1:18" x14ac:dyDescent="0.25">
      <c r="A39" s="1" t="s">
        <v>42</v>
      </c>
      <c r="B39" s="4" t="s">
        <v>811</v>
      </c>
      <c r="C39" s="1" t="s">
        <v>812</v>
      </c>
      <c r="D39" s="3">
        <v>5.69</v>
      </c>
      <c r="E39" s="3">
        <v>1</v>
      </c>
      <c r="F39" s="3">
        <f>9%*Table1[[#This Row],[Cost ]]</f>
        <v>0.5121</v>
      </c>
      <c r="G39" s="1" t="s">
        <v>813</v>
      </c>
      <c r="H39" s="2">
        <v>1</v>
      </c>
      <c r="I39" s="1" t="s">
        <v>823</v>
      </c>
      <c r="J39" s="11">
        <f>SUMIF('Multi-level BOM'!C$3:C$464,Table1[[#This Row],[Part Number]],'Multi-level BOM'!F$3:F$464)</f>
        <v>3</v>
      </c>
      <c r="K39" s="11">
        <f>Table1[[#This Row],[extended quantity]]*(Table1[[#This Row],[Cost ]]+Table1[[#This Row],[shipping]]+Table1[[#This Row],[Tax]])</f>
        <v>21.606300000000001</v>
      </c>
      <c r="L39" s="11"/>
      <c r="M39" s="42"/>
      <c r="N39" s="53">
        <f>CEILING((Table1[[#This Row],[extended quantity]]-Table1[[#This Row],[quantity on-hand]])/Table1[[#This Row],[Minimum order quantity]],1)*Table1[[#This Row],[Minimum order quantity]]</f>
        <v>3</v>
      </c>
      <c r="O39" s="53">
        <f>Table1[[#This Row],[Order quantity]]+Table1[[#This Row],[quantity on-hand]]-Table1[[#This Row],[extended quantity]]</f>
        <v>0</v>
      </c>
      <c r="P39" s="11">
        <f>IFERROR(Table1[[#This Row],[Order quantity]]*(Table1[[#This Row],[Cost ]]+Table1[[#This Row],[shipping]]+Table1[[#This Row],[Tax]]),0)</f>
        <v>21.606300000000001</v>
      </c>
      <c r="Q39" s="38">
        <f>IFERROR(Table1[[#This Row],[leftover material]]*(Table1[[#This Row],[Cost ]]+Table1[[#This Row],[shipping]]+Table1[[#This Row],[Tax]]),0)</f>
        <v>0</v>
      </c>
      <c r="R39" s="38"/>
    </row>
    <row r="40" spans="1:18" x14ac:dyDescent="0.25">
      <c r="A40" s="1" t="s">
        <v>43</v>
      </c>
      <c r="B40" s="4" t="s">
        <v>821</v>
      </c>
      <c r="C40" s="1" t="s">
        <v>648</v>
      </c>
      <c r="D40" s="3">
        <v>55.8</v>
      </c>
      <c r="E40" s="3">
        <v>15</v>
      </c>
      <c r="F40" s="3">
        <v>0</v>
      </c>
      <c r="G40" s="5" t="s">
        <v>649</v>
      </c>
      <c r="H40" s="2">
        <v>1</v>
      </c>
      <c r="I40" s="1" t="s">
        <v>823</v>
      </c>
      <c r="J40" s="11">
        <f>SUMIF('Multi-level BOM'!C$3:C$464,Table1[[#This Row],[Part Number]],'Multi-level BOM'!F$3:F$464)</f>
        <v>1</v>
      </c>
      <c r="K40" s="11">
        <f>Table1[[#This Row],[extended quantity]]*(Table1[[#This Row],[Cost ]]+Table1[[#This Row],[shipping]]+Table1[[#This Row],[Tax]])</f>
        <v>70.8</v>
      </c>
      <c r="L40" s="11"/>
      <c r="M40" s="42"/>
      <c r="N40" s="53">
        <f>CEILING((Table1[[#This Row],[extended quantity]]-Table1[[#This Row],[quantity on-hand]])/Table1[[#This Row],[Minimum order quantity]],1)*Table1[[#This Row],[Minimum order quantity]]</f>
        <v>1</v>
      </c>
      <c r="O40" s="53">
        <f>Table1[[#This Row],[Order quantity]]+Table1[[#This Row],[quantity on-hand]]-Table1[[#This Row],[extended quantity]]</f>
        <v>0</v>
      </c>
      <c r="P40" s="11">
        <f>IFERROR(Table1[[#This Row],[Order quantity]]*(Table1[[#This Row],[Cost ]]+Table1[[#This Row],[shipping]]+Table1[[#This Row],[Tax]]),0)</f>
        <v>70.8</v>
      </c>
      <c r="Q40" s="38">
        <f>IFERROR(Table1[[#This Row],[leftover material]]*(Table1[[#This Row],[Cost ]]+Table1[[#This Row],[shipping]]+Table1[[#This Row],[Tax]]),0)</f>
        <v>0</v>
      </c>
      <c r="R40" s="38"/>
    </row>
    <row r="41" spans="1:18" x14ac:dyDescent="0.25">
      <c r="A41" s="1" t="s">
        <v>44</v>
      </c>
      <c r="B41" s="4" t="s">
        <v>826</v>
      </c>
      <c r="C41" s="1" t="s">
        <v>827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825</v>
      </c>
      <c r="H41" s="2">
        <v>1</v>
      </c>
      <c r="I41" s="1" t="s">
        <v>844</v>
      </c>
      <c r="J41" s="11">
        <f>SUMIF('Multi-level BOM'!C$3:C$464,Table1[[#This Row],[Part Number]],'Multi-level BOM'!F$3:F$464)</f>
        <v>5</v>
      </c>
      <c r="K41" s="11">
        <f>Table1[[#This Row],[extended quantity]]*(Table1[[#This Row],[Cost ]]+Table1[[#This Row],[shipping]]+Table1[[#This Row],[Tax]])</f>
        <v>36.290000000000006</v>
      </c>
      <c r="L41" s="11"/>
      <c r="M41" s="42"/>
      <c r="N41" s="53">
        <f>CEILING((Table1[[#This Row],[extended quantity]]-Table1[[#This Row],[quantity on-hand]])/Table1[[#This Row],[Minimum order quantity]],1)*Table1[[#This Row],[Minimum order quantity]]</f>
        <v>5</v>
      </c>
      <c r="O41" s="53">
        <f>Table1[[#This Row],[Order quantity]]+Table1[[#This Row],[quantity on-hand]]-Table1[[#This Row],[extended quantity]]</f>
        <v>0</v>
      </c>
      <c r="P41" s="11">
        <f>IFERROR(Table1[[#This Row],[Order quantity]]*(Table1[[#This Row],[Cost ]]+Table1[[#This Row],[shipping]]+Table1[[#This Row],[Tax]]),0)</f>
        <v>36.290000000000006</v>
      </c>
      <c r="Q41" s="38">
        <f>IFERROR(Table1[[#This Row],[leftover material]]*(Table1[[#This Row],[Cost ]]+Table1[[#This Row],[shipping]]+Table1[[#This Row],[Tax]]),0)</f>
        <v>0</v>
      </c>
      <c r="R41" s="38"/>
    </row>
    <row r="42" spans="1:18" x14ac:dyDescent="0.25">
      <c r="A42" s="1" t="s">
        <v>45</v>
      </c>
      <c r="B42" t="s">
        <v>847</v>
      </c>
      <c r="C42" s="1" t="s">
        <v>848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1" t="s">
        <v>849</v>
      </c>
      <c r="H42" s="2">
        <v>2</v>
      </c>
      <c r="I42" s="1" t="s">
        <v>854</v>
      </c>
      <c r="J42" s="11">
        <f>SUMIF('Multi-level BOM'!C$3:C$464,Table1[[#This Row],[Part Number]],'Multi-level BOM'!F$3:F$464)</f>
        <v>5</v>
      </c>
      <c r="K42" s="11">
        <f>Table1[[#This Row],[extended quantity]]*(Table1[[#This Row],[Cost ]]+Table1[[#This Row],[shipping]]+Table1[[#This Row],[Tax]])</f>
        <v>93.125</v>
      </c>
      <c r="L42" s="11"/>
      <c r="M42" s="42"/>
      <c r="N42" s="53">
        <f>CEILING((Table1[[#This Row],[extended quantity]]-Table1[[#This Row],[quantity on-hand]])/Table1[[#This Row],[Minimum order quantity]],1)*Table1[[#This Row],[Minimum order quantity]]</f>
        <v>6</v>
      </c>
      <c r="O42" s="53">
        <f>Table1[[#This Row],[Order quantity]]+Table1[[#This Row],[quantity on-hand]]-Table1[[#This Row],[extended quantity]]</f>
        <v>1</v>
      </c>
      <c r="P42" s="11">
        <f>IFERROR(Table1[[#This Row],[Order quantity]]*(Table1[[#This Row],[Cost ]]+Table1[[#This Row],[shipping]]+Table1[[#This Row],[Tax]]),0)</f>
        <v>111.75</v>
      </c>
      <c r="Q42" s="38">
        <f>IFERROR(Table1[[#This Row],[leftover material]]*(Table1[[#This Row],[Cost ]]+Table1[[#This Row],[shipping]]+Table1[[#This Row],[Tax]]),0)</f>
        <v>18.625</v>
      </c>
      <c r="R42" s="38"/>
    </row>
    <row r="43" spans="1:18" x14ac:dyDescent="0.25">
      <c r="A43" s="1" t="s">
        <v>46</v>
      </c>
      <c r="B43" s="4" t="s">
        <v>855</v>
      </c>
      <c r="C43" s="1" t="s">
        <v>656</v>
      </c>
      <c r="D43" s="3">
        <f>5.99/40</f>
        <v>0.14974999999999999</v>
      </c>
      <c r="F43" s="3">
        <f>9%*Table1[[#This Row],[Cost ]]</f>
        <v>1.3477499999999998E-2</v>
      </c>
      <c r="G43" s="1" t="s">
        <v>856</v>
      </c>
      <c r="H43" s="2">
        <v>40</v>
      </c>
      <c r="J43" s="11">
        <f>SUMIF('Multi-level BOM'!C$3:C$464,Table1[[#This Row],[Part Number]],'Multi-level BOM'!F$3:F$464)</f>
        <v>6</v>
      </c>
      <c r="K43" s="11">
        <f>Table1[[#This Row],[extended quantity]]*(Table1[[#This Row],[Cost ]]+Table1[[#This Row],[shipping]]+Table1[[#This Row],[Tax]])</f>
        <v>0.97936500000000004</v>
      </c>
      <c r="L43" s="11"/>
      <c r="M43" s="42"/>
      <c r="N43" s="53">
        <f>CEILING((Table1[[#This Row],[extended quantity]]-Table1[[#This Row],[quantity on-hand]])/Table1[[#This Row],[Minimum order quantity]],1)*Table1[[#This Row],[Minimum order quantity]]</f>
        <v>40</v>
      </c>
      <c r="O43" s="53">
        <f>Table1[[#This Row],[Order quantity]]+Table1[[#This Row],[quantity on-hand]]-Table1[[#This Row],[extended quantity]]</f>
        <v>34</v>
      </c>
      <c r="P43" s="11">
        <f>IFERROR(Table1[[#This Row],[Order quantity]]*(Table1[[#This Row],[Cost ]]+Table1[[#This Row],[shipping]]+Table1[[#This Row],[Tax]]),0)</f>
        <v>6.5290999999999997</v>
      </c>
      <c r="Q43" s="38">
        <f>IFERROR(Table1[[#This Row],[leftover material]]*(Table1[[#This Row],[Cost ]]+Table1[[#This Row],[shipping]]+Table1[[#This Row],[Tax]]),0)</f>
        <v>5.5497350000000001</v>
      </c>
      <c r="R43" s="38"/>
    </row>
    <row r="44" spans="1:18" x14ac:dyDescent="0.25">
      <c r="A44" s="1" t="s">
        <v>47</v>
      </c>
      <c r="B44" s="4" t="s">
        <v>857</v>
      </c>
      <c r="C44" s="1" t="s">
        <v>656</v>
      </c>
      <c r="D44" s="3">
        <f>5.99/100</f>
        <v>5.9900000000000002E-2</v>
      </c>
      <c r="F44" s="3">
        <f>9%*Table1[[#This Row],[Cost ]]</f>
        <v>5.391E-3</v>
      </c>
      <c r="G44" s="1" t="s">
        <v>858</v>
      </c>
      <c r="H44" s="2">
        <v>100</v>
      </c>
      <c r="J44" s="11">
        <f>SUMIF('Multi-level BOM'!C$3:C$464,Table1[[#This Row],[Part Number]],'Multi-level BOM'!F$3:F$464)</f>
        <v>30</v>
      </c>
      <c r="K44" s="11">
        <f>Table1[[#This Row],[extended quantity]]*(Table1[[#This Row],[Cost ]]+Table1[[#This Row],[shipping]]+Table1[[#This Row],[Tax]])</f>
        <v>1.9587300000000001</v>
      </c>
      <c r="L44" s="11"/>
      <c r="M44" s="42"/>
      <c r="N44" s="53">
        <f>CEILING((Table1[[#This Row],[extended quantity]]-Table1[[#This Row],[quantity on-hand]])/Table1[[#This Row],[Minimum order quantity]],1)*Table1[[#This Row],[Minimum order quantity]]</f>
        <v>100</v>
      </c>
      <c r="O44" s="53">
        <f>Table1[[#This Row],[Order quantity]]+Table1[[#This Row],[quantity on-hand]]-Table1[[#This Row],[extended quantity]]</f>
        <v>70</v>
      </c>
      <c r="P44" s="11">
        <f>IFERROR(Table1[[#This Row],[Order quantity]]*(Table1[[#This Row],[Cost ]]+Table1[[#This Row],[shipping]]+Table1[[#This Row],[Tax]]),0)</f>
        <v>6.5291000000000006</v>
      </c>
      <c r="Q44" s="38">
        <f>IFERROR(Table1[[#This Row],[leftover material]]*(Table1[[#This Row],[Cost ]]+Table1[[#This Row],[shipping]]+Table1[[#This Row],[Tax]]),0)</f>
        <v>4.5703700000000005</v>
      </c>
      <c r="R44" s="38"/>
    </row>
    <row r="45" spans="1:18" ht="30" x14ac:dyDescent="0.25">
      <c r="A45" s="1" t="s">
        <v>48</v>
      </c>
      <c r="B45" s="4" t="s">
        <v>866</v>
      </c>
      <c r="C45" s="1" t="s">
        <v>656</v>
      </c>
      <c r="D45" s="3">
        <f>10.99/4</f>
        <v>2.7475000000000001</v>
      </c>
      <c r="F45" s="3">
        <f>9%*Table1[[#This Row],[Cost ]]</f>
        <v>0.24727499999999999</v>
      </c>
      <c r="G45" s="1" t="s">
        <v>867</v>
      </c>
      <c r="H45" s="2">
        <v>4</v>
      </c>
      <c r="J45" s="11">
        <f>SUMIF('Multi-level BOM'!C$3:C$464,Table1[[#This Row],[Part Number]],'Multi-level BOM'!F$3:F$464)</f>
        <v>8</v>
      </c>
      <c r="K45" s="11">
        <f>Table1[[#This Row],[extended quantity]]*(Table1[[#This Row],[Cost ]]+Table1[[#This Row],[shipping]]+Table1[[#This Row],[Tax]])</f>
        <v>23.958200000000001</v>
      </c>
      <c r="L45" s="11"/>
      <c r="M45" s="42"/>
      <c r="N45" s="53">
        <f>CEILING((Table1[[#This Row],[extended quantity]]-Table1[[#This Row],[quantity on-hand]])/Table1[[#This Row],[Minimum order quantity]],1)*Table1[[#This Row],[Minimum order quantity]]</f>
        <v>8</v>
      </c>
      <c r="O45" s="53">
        <f>Table1[[#This Row],[Order quantity]]+Table1[[#This Row],[quantity on-hand]]-Table1[[#This Row],[extended quantity]]</f>
        <v>0</v>
      </c>
      <c r="P45" s="11">
        <f>IFERROR(Table1[[#This Row],[Order quantity]]*(Table1[[#This Row],[Cost ]]+Table1[[#This Row],[shipping]]+Table1[[#This Row],[Tax]]),0)</f>
        <v>23.958200000000001</v>
      </c>
      <c r="Q45" s="38">
        <f>IFERROR(Table1[[#This Row],[leftover material]]*(Table1[[#This Row],[Cost ]]+Table1[[#This Row],[shipping]]+Table1[[#This Row],[Tax]]),0)</f>
        <v>0</v>
      </c>
      <c r="R45" s="38"/>
    </row>
    <row r="46" spans="1:18" x14ac:dyDescent="0.25">
      <c r="A46" s="1" t="s">
        <v>49</v>
      </c>
      <c r="B46" s="4" t="s">
        <v>878</v>
      </c>
      <c r="C46" s="1" t="s">
        <v>699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876</v>
      </c>
      <c r="H46" s="2">
        <v>1</v>
      </c>
      <c r="I46" s="1" t="s">
        <v>823</v>
      </c>
      <c r="J46" s="11">
        <f>SUMIF('Multi-level BOM'!C$3:C$464,Table1[[#This Row],[Part Number]],'Multi-level BOM'!F$3:F$464)</f>
        <v>4</v>
      </c>
      <c r="K46" s="11">
        <f>Table1[[#This Row],[extended quantity]]*(Table1[[#This Row],[Cost ]]+Table1[[#This Row],[shipping]]+Table1[[#This Row],[Tax]])</f>
        <v>20.172800000000002</v>
      </c>
      <c r="L46" s="11"/>
      <c r="M46" s="42"/>
      <c r="N46" s="53">
        <f>CEILING((Table1[[#This Row],[extended quantity]]-Table1[[#This Row],[quantity on-hand]])/Table1[[#This Row],[Minimum order quantity]],1)*Table1[[#This Row],[Minimum order quantity]]</f>
        <v>4</v>
      </c>
      <c r="O46" s="53">
        <f>Table1[[#This Row],[Order quantity]]+Table1[[#This Row],[quantity on-hand]]-Table1[[#This Row],[extended quantity]]</f>
        <v>0</v>
      </c>
      <c r="P46" s="11">
        <f>IFERROR(Table1[[#This Row],[Order quantity]]*(Table1[[#This Row],[Cost ]]+Table1[[#This Row],[shipping]]+Table1[[#This Row],[Tax]]),0)</f>
        <v>20.172800000000002</v>
      </c>
      <c r="Q46" s="38">
        <f>IFERROR(Table1[[#This Row],[leftover material]]*(Table1[[#This Row],[Cost ]]+Table1[[#This Row],[shipping]]+Table1[[#This Row],[Tax]]),0)</f>
        <v>0</v>
      </c>
      <c r="R46" s="38"/>
    </row>
    <row r="47" spans="1:18" x14ac:dyDescent="0.25">
      <c r="A47" s="1" t="s">
        <v>50</v>
      </c>
      <c r="B47" s="4" t="s">
        <v>879</v>
      </c>
      <c r="C47" s="1" t="s">
        <v>699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876</v>
      </c>
      <c r="H47" s="2">
        <v>1</v>
      </c>
      <c r="I47" s="1" t="s">
        <v>823</v>
      </c>
      <c r="J47" s="11">
        <f>SUMIF('Multi-level BOM'!C$3:C$464,Table1[[#This Row],[Part Number]],'Multi-level BOM'!F$3:F$464)</f>
        <v>4</v>
      </c>
      <c r="K47" s="11">
        <f>Table1[[#This Row],[extended quantity]]*(Table1[[#This Row],[Cost ]]+Table1[[#This Row],[shipping]]+Table1[[#This Row],[Tax]])</f>
        <v>20.695999999999998</v>
      </c>
      <c r="L47" s="11"/>
      <c r="M47" s="42"/>
      <c r="N47" s="53">
        <f>CEILING((Table1[[#This Row],[extended quantity]]-Table1[[#This Row],[quantity on-hand]])/Table1[[#This Row],[Minimum order quantity]],1)*Table1[[#This Row],[Minimum order quantity]]</f>
        <v>4</v>
      </c>
      <c r="O47" s="53">
        <f>Table1[[#This Row],[Order quantity]]+Table1[[#This Row],[quantity on-hand]]-Table1[[#This Row],[extended quantity]]</f>
        <v>0</v>
      </c>
      <c r="P47" s="11">
        <f>IFERROR(Table1[[#This Row],[Order quantity]]*(Table1[[#This Row],[Cost ]]+Table1[[#This Row],[shipping]]+Table1[[#This Row],[Tax]]),0)</f>
        <v>20.695999999999998</v>
      </c>
      <c r="Q47" s="38">
        <f>IFERROR(Table1[[#This Row],[leftover material]]*(Table1[[#This Row],[Cost ]]+Table1[[#This Row],[shipping]]+Table1[[#This Row],[Tax]]),0)</f>
        <v>0</v>
      </c>
      <c r="R47" s="38"/>
    </row>
    <row r="48" spans="1:18" x14ac:dyDescent="0.25">
      <c r="A48" s="1" t="s">
        <v>51</v>
      </c>
      <c r="B48" s="13"/>
      <c r="C48" s="1" t="s">
        <v>699</v>
      </c>
      <c r="F48" s="3">
        <f>9%*Table1[[#This Row],[Cost ]]</f>
        <v>0</v>
      </c>
      <c r="J48" s="11">
        <f>SUMIF('Multi-level BOM'!C$3:C$464,Table1[[#This Row],[Part Number]],'Multi-level BOM'!F$3:F$464)</f>
        <v>0</v>
      </c>
      <c r="K48" s="11">
        <f>Table1[[#This Row],[extended quantity]]*(Table1[[#This Row],[Cost ]]+Table1[[#This Row],[shipping]]+Table1[[#This Row],[Tax]])</f>
        <v>0</v>
      </c>
      <c r="L48" s="11"/>
      <c r="M48" s="42"/>
      <c r="N48" s="53" t="e">
        <f>CEILING((Table1[[#This Row],[extended quantity]]-Table1[[#This Row],[quantity on-hand]])/Table1[[#This Row],[Minimum order quantity]],1)*Table1[[#This Row],[Minimum order quantity]]</f>
        <v>#DIV/0!</v>
      </c>
      <c r="O48" s="53" t="e">
        <f>Table1[[#This Row],[Order quantity]]+Table1[[#This Row],[quantity on-hand]]-Table1[[#This Row],[extended quantity]]</f>
        <v>#DIV/0!</v>
      </c>
      <c r="P48" s="11">
        <f>IFERROR(Table1[[#This Row],[Order quantity]]*(Table1[[#This Row],[Cost ]]+Table1[[#This Row],[shipping]]+Table1[[#This Row],[Tax]]),0)</f>
        <v>0</v>
      </c>
      <c r="Q48" s="38">
        <f>IFERROR(Table1[[#This Row],[leftover material]]*(Table1[[#This Row],[Cost ]]+Table1[[#This Row],[shipping]]+Table1[[#This Row],[Tax]]),0)</f>
        <v>0</v>
      </c>
      <c r="R48" s="38"/>
    </row>
    <row r="49" spans="1:18" x14ac:dyDescent="0.25">
      <c r="A49" s="1" t="s">
        <v>52</v>
      </c>
      <c r="B49" s="4" t="s">
        <v>877</v>
      </c>
      <c r="C49" s="1" t="s">
        <v>699</v>
      </c>
      <c r="D49" s="3">
        <v>3.03</v>
      </c>
      <c r="E49" s="3">
        <f>15/12</f>
        <v>1.25</v>
      </c>
      <c r="F49" s="3">
        <f>9%*Table1[[#This Row],[Cost ]]</f>
        <v>0.2727</v>
      </c>
      <c r="G49" s="1" t="s">
        <v>876</v>
      </c>
      <c r="H49" s="2">
        <v>1</v>
      </c>
      <c r="I49" s="1" t="s">
        <v>823</v>
      </c>
      <c r="J49" s="11">
        <f>SUMIF('Multi-level BOM'!C$3:C$464,Table1[[#This Row],[Part Number]],'Multi-level BOM'!F$3:F$464)</f>
        <v>4</v>
      </c>
      <c r="K49" s="11">
        <f>Table1[[#This Row],[extended quantity]]*(Table1[[#This Row],[Cost ]]+Table1[[#This Row],[shipping]]+Table1[[#This Row],[Tax]])</f>
        <v>18.210799999999999</v>
      </c>
      <c r="L49" s="11"/>
      <c r="M49" s="42"/>
      <c r="N49" s="53">
        <f>CEILING((Table1[[#This Row],[extended quantity]]-Table1[[#This Row],[quantity on-hand]])/Table1[[#This Row],[Minimum order quantity]],1)*Table1[[#This Row],[Minimum order quantity]]</f>
        <v>4</v>
      </c>
      <c r="O49" s="53">
        <f>Table1[[#This Row],[Order quantity]]+Table1[[#This Row],[quantity on-hand]]-Table1[[#This Row],[extended quantity]]</f>
        <v>0</v>
      </c>
      <c r="P49" s="11">
        <f>IFERROR(Table1[[#This Row],[Order quantity]]*(Table1[[#This Row],[Cost ]]+Table1[[#This Row],[shipping]]+Table1[[#This Row],[Tax]]),0)</f>
        <v>18.210799999999999</v>
      </c>
      <c r="Q49" s="38">
        <f>IFERROR(Table1[[#This Row],[leftover material]]*(Table1[[#This Row],[Cost ]]+Table1[[#This Row],[shipping]]+Table1[[#This Row],[Tax]]),0)</f>
        <v>0</v>
      </c>
      <c r="R49" s="38"/>
    </row>
    <row r="50" spans="1:18" x14ac:dyDescent="0.25">
      <c r="A50" s="1" t="s">
        <v>53</v>
      </c>
      <c r="B50" t="s">
        <v>880</v>
      </c>
      <c r="C50" s="1" t="s">
        <v>656</v>
      </c>
      <c r="D50" s="3">
        <v>34.1</v>
      </c>
      <c r="F50" s="3">
        <f>9%*Table1[[#This Row],[Cost ]]</f>
        <v>3.069</v>
      </c>
      <c r="G50" s="1" t="s">
        <v>881</v>
      </c>
      <c r="H50" s="2">
        <v>2</v>
      </c>
      <c r="J50" s="11">
        <f>SUMIF('Multi-level BOM'!C$3:C$464,Table1[[#This Row],[Part Number]],'Multi-level BOM'!F$3:F$464)</f>
        <v>1</v>
      </c>
      <c r="K50" s="11">
        <f>Table1[[#This Row],[extended quantity]]*(Table1[[#This Row],[Cost ]]+Table1[[#This Row],[shipping]]+Table1[[#This Row],[Tax]])</f>
        <v>37.169000000000004</v>
      </c>
      <c r="L50" s="11"/>
      <c r="M50" s="42"/>
      <c r="N50" s="53">
        <f>CEILING((Table1[[#This Row],[extended quantity]]-Table1[[#This Row],[quantity on-hand]])/Table1[[#This Row],[Minimum order quantity]],1)*Table1[[#This Row],[Minimum order quantity]]</f>
        <v>2</v>
      </c>
      <c r="O50" s="53">
        <f>Table1[[#This Row],[Order quantity]]+Table1[[#This Row],[quantity on-hand]]-Table1[[#This Row],[extended quantity]]</f>
        <v>1</v>
      </c>
      <c r="P50" s="11">
        <f>IFERROR(Table1[[#This Row],[Order quantity]]*(Table1[[#This Row],[Cost ]]+Table1[[#This Row],[shipping]]+Table1[[#This Row],[Tax]]),0)</f>
        <v>74.338000000000008</v>
      </c>
      <c r="Q50" s="38">
        <f>IFERROR(Table1[[#This Row],[leftover material]]*(Table1[[#This Row],[Cost ]]+Table1[[#This Row],[shipping]]+Table1[[#This Row],[Tax]]),0)</f>
        <v>37.169000000000004</v>
      </c>
      <c r="R50" s="38"/>
    </row>
    <row r="51" spans="1:18" x14ac:dyDescent="0.25">
      <c r="A51" s="1" t="s">
        <v>54</v>
      </c>
      <c r="B51" t="s">
        <v>880</v>
      </c>
      <c r="C51" s="1" t="s">
        <v>656</v>
      </c>
      <c r="D51" s="3">
        <f>34.1/2</f>
        <v>17.05</v>
      </c>
      <c r="F51" s="3">
        <f>9%*Table1[[#This Row],[Cost ]]</f>
        <v>1.5345</v>
      </c>
      <c r="G51" s="1" t="s">
        <v>881</v>
      </c>
      <c r="H51" s="2">
        <v>2</v>
      </c>
      <c r="J51" s="11">
        <f>SUMIF('Multi-level BOM'!C$3:C$464,Table1[[#This Row],[Part Number]],'Multi-level BOM'!F$3:F$464)</f>
        <v>4</v>
      </c>
      <c r="K51" s="11">
        <f>Table1[[#This Row],[extended quantity]]*(Table1[[#This Row],[Cost ]]+Table1[[#This Row],[shipping]]+Table1[[#This Row],[Tax]])</f>
        <v>74.338000000000008</v>
      </c>
      <c r="L51" s="11"/>
      <c r="M51" s="42"/>
      <c r="N51" s="53">
        <f>CEILING((Table1[[#This Row],[extended quantity]]-Table1[[#This Row],[quantity on-hand]])/Table1[[#This Row],[Minimum order quantity]],1)*Table1[[#This Row],[Minimum order quantity]]</f>
        <v>4</v>
      </c>
      <c r="O51" s="53">
        <f>Table1[[#This Row],[Order quantity]]+Table1[[#This Row],[quantity on-hand]]-Table1[[#This Row],[extended quantity]]</f>
        <v>0</v>
      </c>
      <c r="P51" s="11">
        <f>IFERROR(Table1[[#This Row],[Order quantity]]*(Table1[[#This Row],[Cost ]]+Table1[[#This Row],[shipping]]+Table1[[#This Row],[Tax]]),0)</f>
        <v>74.338000000000008</v>
      </c>
      <c r="Q51" s="38">
        <f>IFERROR(Table1[[#This Row],[leftover material]]*(Table1[[#This Row],[Cost ]]+Table1[[#This Row],[shipping]]+Table1[[#This Row],[Tax]]),0)</f>
        <v>0</v>
      </c>
      <c r="R51" s="38"/>
    </row>
    <row r="52" spans="1:18" ht="45" x14ac:dyDescent="0.25">
      <c r="A52" s="1" t="s">
        <v>55</v>
      </c>
      <c r="B52" s="4" t="s">
        <v>882</v>
      </c>
      <c r="C52" s="1" t="s">
        <v>656</v>
      </c>
      <c r="D52" s="3">
        <v>39.99</v>
      </c>
      <c r="F52" s="3">
        <f>9%*Table1[[#This Row],[Cost ]]</f>
        <v>3.5991</v>
      </c>
      <c r="G52" s="1" t="s">
        <v>883</v>
      </c>
      <c r="H52" s="2">
        <v>1</v>
      </c>
      <c r="J52" s="11">
        <f>SUMIF('Multi-level BOM'!C$3:C$464,Table1[[#This Row],[Part Number]],'Multi-level BOM'!F$3:F$464)</f>
        <v>1</v>
      </c>
      <c r="K52" s="11">
        <f>Table1[[#This Row],[extended quantity]]*(Table1[[#This Row],[Cost ]]+Table1[[#This Row],[shipping]]+Table1[[#This Row],[Tax]])</f>
        <v>43.589100000000002</v>
      </c>
      <c r="L52" s="11"/>
      <c r="M52" s="42"/>
      <c r="N52" s="53">
        <f>CEILING((Table1[[#This Row],[extended quantity]]-Table1[[#This Row],[quantity on-hand]])/Table1[[#This Row],[Minimum order quantity]],1)*Table1[[#This Row],[Minimum order quantity]]</f>
        <v>1</v>
      </c>
      <c r="O52" s="53">
        <f>Table1[[#This Row],[Order quantity]]+Table1[[#This Row],[quantity on-hand]]-Table1[[#This Row],[extended quantity]]</f>
        <v>0</v>
      </c>
      <c r="P52" s="11">
        <f>IFERROR(Table1[[#This Row],[Order quantity]]*(Table1[[#This Row],[Cost ]]+Table1[[#This Row],[shipping]]+Table1[[#This Row],[Tax]]),0)</f>
        <v>43.589100000000002</v>
      </c>
      <c r="Q52" s="38">
        <f>IFERROR(Table1[[#This Row],[leftover material]]*(Table1[[#This Row],[Cost ]]+Table1[[#This Row],[shipping]]+Table1[[#This Row],[Tax]]),0)</f>
        <v>0</v>
      </c>
      <c r="R52" s="38"/>
    </row>
    <row r="53" spans="1:18" ht="45" x14ac:dyDescent="0.25">
      <c r="A53" s="1" t="s">
        <v>56</v>
      </c>
      <c r="B53" s="4" t="s">
        <v>885</v>
      </c>
      <c r="C53" s="1" t="s">
        <v>656</v>
      </c>
      <c r="D53" s="3">
        <v>10.99</v>
      </c>
      <c r="F53" s="3">
        <f>9%*Table1[[#This Row],[Cost ]]</f>
        <v>0.98909999999999998</v>
      </c>
      <c r="G53" s="1" t="s">
        <v>889</v>
      </c>
      <c r="H53" s="2">
        <v>2</v>
      </c>
      <c r="J53" s="11">
        <f>SUMIF('Multi-level BOM'!C$3:C$464,Table1[[#This Row],[Part Number]],'Multi-level BOM'!F$3:F$464)</f>
        <v>1</v>
      </c>
      <c r="K53" s="11">
        <f>Table1[[#This Row],[extended quantity]]*(Table1[[#This Row],[Cost ]]+Table1[[#This Row],[shipping]]+Table1[[#This Row],[Tax]])</f>
        <v>11.979100000000001</v>
      </c>
      <c r="L53" s="11"/>
      <c r="M53" s="42"/>
      <c r="N53" s="53">
        <f>CEILING((Table1[[#This Row],[extended quantity]]-Table1[[#This Row],[quantity on-hand]])/Table1[[#This Row],[Minimum order quantity]],1)*Table1[[#This Row],[Minimum order quantity]]</f>
        <v>2</v>
      </c>
      <c r="O53" s="53">
        <f>Table1[[#This Row],[Order quantity]]+Table1[[#This Row],[quantity on-hand]]-Table1[[#This Row],[extended quantity]]</f>
        <v>1</v>
      </c>
      <c r="P53" s="11">
        <f>IFERROR(Table1[[#This Row],[Order quantity]]*(Table1[[#This Row],[Cost ]]+Table1[[#This Row],[shipping]]+Table1[[#This Row],[Tax]]),0)</f>
        <v>23.958200000000001</v>
      </c>
      <c r="Q53" s="38">
        <f>IFERROR(Table1[[#This Row],[leftover material]]*(Table1[[#This Row],[Cost ]]+Table1[[#This Row],[shipping]]+Table1[[#This Row],[Tax]]),0)</f>
        <v>11.979100000000001</v>
      </c>
      <c r="R53" s="38"/>
    </row>
    <row r="54" spans="1:18" x14ac:dyDescent="0.25">
      <c r="A54" s="1" t="s">
        <v>57</v>
      </c>
      <c r="B54" s="18" t="s">
        <v>959</v>
      </c>
      <c r="C54" s="1" t="s">
        <v>896</v>
      </c>
      <c r="D54" s="3">
        <v>46.71</v>
      </c>
      <c r="E54" s="3">
        <v>6</v>
      </c>
      <c r="F54" s="3">
        <f>9%*Table1[[#This Row],[Cost ]]</f>
        <v>4.2039</v>
      </c>
      <c r="G54" s="1" t="s">
        <v>960</v>
      </c>
      <c r="H54" s="2">
        <v>1</v>
      </c>
      <c r="I54" s="1" t="s">
        <v>898</v>
      </c>
      <c r="J54" s="11">
        <f>SUMIF('Multi-level BOM'!C$3:C$464,Table1[[#This Row],[Part Number]],'Multi-level BOM'!F$3:F$464)</f>
        <v>1</v>
      </c>
      <c r="K54" s="11">
        <f>Table1[[#This Row],[extended quantity]]*(Table1[[#This Row],[Cost ]]+Table1[[#This Row],[shipping]]+Table1[[#This Row],[Tax]])</f>
        <v>56.913899999999998</v>
      </c>
      <c r="L54" s="11"/>
      <c r="M54" s="42"/>
      <c r="N54" s="53">
        <f>CEILING((Table1[[#This Row],[extended quantity]]-Table1[[#This Row],[quantity on-hand]])/Table1[[#This Row],[Minimum order quantity]],1)*Table1[[#This Row],[Minimum order quantity]]</f>
        <v>1</v>
      </c>
      <c r="O54" s="53">
        <f>Table1[[#This Row],[Order quantity]]+Table1[[#This Row],[quantity on-hand]]-Table1[[#This Row],[extended quantity]]</f>
        <v>0</v>
      </c>
      <c r="P54" s="11">
        <f>IFERROR(Table1[[#This Row],[Order quantity]]*(Table1[[#This Row],[Cost ]]+Table1[[#This Row],[shipping]]+Table1[[#This Row],[Tax]]),0)</f>
        <v>56.913899999999998</v>
      </c>
      <c r="Q54" s="38">
        <f>IFERROR(Table1[[#This Row],[leftover material]]*(Table1[[#This Row],[Cost ]]+Table1[[#This Row],[shipping]]+Table1[[#This Row],[Tax]]),0)</f>
        <v>0</v>
      </c>
      <c r="R54" s="38"/>
    </row>
    <row r="55" spans="1:18" ht="30" x14ac:dyDescent="0.25">
      <c r="A55" s="1" t="s">
        <v>58</v>
      </c>
      <c r="B55" s="4" t="s">
        <v>887</v>
      </c>
      <c r="C55" s="1" t="s">
        <v>656</v>
      </c>
      <c r="D55" s="3">
        <v>22.99</v>
      </c>
      <c r="F55" s="3">
        <f>9%*Table1[[#This Row],[Cost ]]</f>
        <v>2.0690999999999997</v>
      </c>
      <c r="G55" s="1" t="s">
        <v>888</v>
      </c>
      <c r="H55" s="2">
        <v>1</v>
      </c>
      <c r="J55" s="11">
        <f>SUMIF('Multi-level BOM'!C$3:C$464,Table1[[#This Row],[Part Number]],'Multi-level BOM'!F$3:F$464)</f>
        <v>1</v>
      </c>
      <c r="K55" s="11">
        <f>Table1[[#This Row],[extended quantity]]*(Table1[[#This Row],[Cost ]]+Table1[[#This Row],[shipping]]+Table1[[#This Row],[Tax]])</f>
        <v>25.059099999999997</v>
      </c>
      <c r="L55" s="11"/>
      <c r="M55" s="42"/>
      <c r="N55" s="53">
        <f>CEILING((Table1[[#This Row],[extended quantity]]-Table1[[#This Row],[quantity on-hand]])/Table1[[#This Row],[Minimum order quantity]],1)*Table1[[#This Row],[Minimum order quantity]]</f>
        <v>1</v>
      </c>
      <c r="O55" s="53">
        <f>Table1[[#This Row],[Order quantity]]+Table1[[#This Row],[quantity on-hand]]-Table1[[#This Row],[extended quantity]]</f>
        <v>0</v>
      </c>
      <c r="P55" s="11">
        <f>IFERROR(Table1[[#This Row],[Order quantity]]*(Table1[[#This Row],[Cost ]]+Table1[[#This Row],[shipping]]+Table1[[#This Row],[Tax]]),0)</f>
        <v>25.059099999999997</v>
      </c>
      <c r="Q55" s="38">
        <f>IFERROR(Table1[[#This Row],[leftover material]]*(Table1[[#This Row],[Cost ]]+Table1[[#This Row],[shipping]]+Table1[[#This Row],[Tax]]),0)</f>
        <v>0</v>
      </c>
      <c r="R55" s="38"/>
    </row>
    <row r="56" spans="1:18" ht="30" x14ac:dyDescent="0.25">
      <c r="A56" s="1" t="s">
        <v>59</v>
      </c>
      <c r="B56" s="4" t="s">
        <v>890</v>
      </c>
      <c r="C56" s="1" t="s">
        <v>656</v>
      </c>
      <c r="D56" s="3">
        <v>8.85</v>
      </c>
      <c r="F56" s="3">
        <f>9%*Table1[[#This Row],[Cost ]]</f>
        <v>0.79649999999999999</v>
      </c>
      <c r="G56" s="5" t="s">
        <v>891</v>
      </c>
      <c r="H56" s="2">
        <v>1</v>
      </c>
      <c r="J56" s="11">
        <f>SUMIF('Multi-level BOM'!C$3:C$464,Table1[[#This Row],[Part Number]],'Multi-level BOM'!F$3:F$464)</f>
        <v>1</v>
      </c>
      <c r="K56" s="11">
        <f>Table1[[#This Row],[extended quantity]]*(Table1[[#This Row],[Cost ]]+Table1[[#This Row],[shipping]]+Table1[[#This Row],[Tax]])</f>
        <v>9.6464999999999996</v>
      </c>
      <c r="L56" s="11"/>
      <c r="M56" s="42"/>
      <c r="N56" s="53">
        <f>CEILING((Table1[[#This Row],[extended quantity]]-Table1[[#This Row],[quantity on-hand]])/Table1[[#This Row],[Minimum order quantity]],1)*Table1[[#This Row],[Minimum order quantity]]</f>
        <v>1</v>
      </c>
      <c r="O56" s="53">
        <f>Table1[[#This Row],[Order quantity]]+Table1[[#This Row],[quantity on-hand]]-Table1[[#This Row],[extended quantity]]</f>
        <v>0</v>
      </c>
      <c r="P56" s="11">
        <f>IFERROR(Table1[[#This Row],[Order quantity]]*(Table1[[#This Row],[Cost ]]+Table1[[#This Row],[shipping]]+Table1[[#This Row],[Tax]]),0)</f>
        <v>9.6464999999999996</v>
      </c>
      <c r="Q56" s="38">
        <f>IFERROR(Table1[[#This Row],[leftover material]]*(Table1[[#This Row],[Cost ]]+Table1[[#This Row],[shipping]]+Table1[[#This Row],[Tax]]),0)</f>
        <v>0</v>
      </c>
      <c r="R56" s="38"/>
    </row>
    <row r="57" spans="1:18" ht="45" x14ac:dyDescent="0.25">
      <c r="A57" s="1" t="s">
        <v>60</v>
      </c>
      <c r="B57" s="4" t="s">
        <v>895</v>
      </c>
      <c r="C57" s="1" t="s">
        <v>896</v>
      </c>
      <c r="D57" s="3">
        <v>48.96</v>
      </c>
      <c r="E57" s="3">
        <v>10</v>
      </c>
      <c r="F57" s="3">
        <v>0</v>
      </c>
      <c r="G57" s="1" t="s">
        <v>897</v>
      </c>
      <c r="H57" s="2">
        <v>1</v>
      </c>
      <c r="I57" s="1" t="s">
        <v>898</v>
      </c>
      <c r="J57" s="11">
        <f>SUMIF('Multi-level BOM'!C$3:C$464,Table1[[#This Row],[Part Number]],'Multi-level BOM'!F$3:F$464)</f>
        <v>1</v>
      </c>
      <c r="K57" s="11">
        <f>Table1[[#This Row],[extended quantity]]*(Table1[[#This Row],[Cost ]]+Table1[[#This Row],[shipping]]+Table1[[#This Row],[Tax]])</f>
        <v>58.96</v>
      </c>
      <c r="L57" s="11"/>
      <c r="M57" s="42"/>
      <c r="N57" s="53">
        <f>CEILING((Table1[[#This Row],[extended quantity]]-Table1[[#This Row],[quantity on-hand]])/Table1[[#This Row],[Minimum order quantity]],1)*Table1[[#This Row],[Minimum order quantity]]</f>
        <v>1</v>
      </c>
      <c r="O57" s="53">
        <f>Table1[[#This Row],[Order quantity]]+Table1[[#This Row],[quantity on-hand]]-Table1[[#This Row],[extended quantity]]</f>
        <v>0</v>
      </c>
      <c r="P57" s="11">
        <f>IFERROR(Table1[[#This Row],[Order quantity]]*(Table1[[#This Row],[Cost ]]+Table1[[#This Row],[shipping]]+Table1[[#This Row],[Tax]]),0)</f>
        <v>58.96</v>
      </c>
      <c r="Q57" s="38">
        <f>IFERROR(Table1[[#This Row],[leftover material]]*(Table1[[#This Row],[Cost ]]+Table1[[#This Row],[shipping]]+Table1[[#This Row],[Tax]]),0)</f>
        <v>0</v>
      </c>
      <c r="R57" s="38"/>
    </row>
    <row r="58" spans="1:18" ht="45" x14ac:dyDescent="0.25">
      <c r="A58" s="1" t="s">
        <v>61</v>
      </c>
      <c r="B58" s="4" t="s">
        <v>902</v>
      </c>
      <c r="C58" s="1" t="s">
        <v>896</v>
      </c>
      <c r="D58" s="3">
        <v>147</v>
      </c>
      <c r="E58" s="3">
        <v>15</v>
      </c>
      <c r="F58" s="3">
        <v>0</v>
      </c>
      <c r="G58" s="1" t="s">
        <v>901</v>
      </c>
      <c r="H58" s="2">
        <v>1</v>
      </c>
      <c r="I58" s="1" t="s">
        <v>823</v>
      </c>
      <c r="J58" s="11">
        <f>SUMIF('Multi-level BOM'!C$3:C$464,Table1[[#This Row],[Part Number]],'Multi-level BOM'!F$3:F$464)</f>
        <v>1</v>
      </c>
      <c r="K58" s="11">
        <f>Table1[[#This Row],[extended quantity]]*(Table1[[#This Row],[Cost ]]+Table1[[#This Row],[shipping]]+Table1[[#This Row],[Tax]])</f>
        <v>162</v>
      </c>
      <c r="L58" s="11"/>
      <c r="M58" s="42">
        <v>1</v>
      </c>
      <c r="N58" s="53">
        <f>CEILING((Table1[[#This Row],[extended quantity]]-Table1[[#This Row],[quantity on-hand]])/Table1[[#This Row],[Minimum order quantity]],1)*Table1[[#This Row],[Minimum order quantity]]</f>
        <v>0</v>
      </c>
      <c r="O58" s="53">
        <f>Table1[[#This Row],[Order quantity]]+Table1[[#This Row],[quantity on-hand]]-Table1[[#This Row],[extended quantity]]</f>
        <v>0</v>
      </c>
      <c r="P58" s="11">
        <f>IFERROR(Table1[[#This Row],[Order quantity]]*(Table1[[#This Row],[Cost ]]+Table1[[#This Row],[shipping]]+Table1[[#This Row],[Tax]]),0)</f>
        <v>0</v>
      </c>
      <c r="Q58" s="38">
        <f>IFERROR(Table1[[#This Row],[leftover material]]*(Table1[[#This Row],[Cost ]]+Table1[[#This Row],[shipping]]+Table1[[#This Row],[Tax]]),0)</f>
        <v>0</v>
      </c>
      <c r="R58" s="38" t="s">
        <v>928</v>
      </c>
    </row>
    <row r="59" spans="1:18" ht="45" x14ac:dyDescent="0.25">
      <c r="A59" s="1" t="s">
        <v>62</v>
      </c>
      <c r="B59" s="4" t="s">
        <v>903</v>
      </c>
      <c r="C59" s="1" t="s">
        <v>896</v>
      </c>
      <c r="D59" s="3">
        <v>69.08</v>
      </c>
      <c r="E59" s="3">
        <v>10</v>
      </c>
      <c r="F59" s="3">
        <v>0</v>
      </c>
      <c r="G59" s="1" t="s">
        <v>899</v>
      </c>
      <c r="H59" s="2">
        <v>1</v>
      </c>
      <c r="I59" s="1" t="s">
        <v>823</v>
      </c>
      <c r="J59" s="11">
        <f>SUMIF('Multi-level BOM'!C$3:C$464,Table1[[#This Row],[Part Number]],'Multi-level BOM'!F$3:F$464)</f>
        <v>1</v>
      </c>
      <c r="K59" s="11">
        <f>Table1[[#This Row],[extended quantity]]*(Table1[[#This Row],[Cost ]]+Table1[[#This Row],[shipping]]+Table1[[#This Row],[Tax]])</f>
        <v>79.08</v>
      </c>
      <c r="L59" s="11"/>
      <c r="M59" s="42"/>
      <c r="N59" s="53">
        <f>CEILING((Table1[[#This Row],[extended quantity]]-Table1[[#This Row],[quantity on-hand]])/Table1[[#This Row],[Minimum order quantity]],1)*Table1[[#This Row],[Minimum order quantity]]</f>
        <v>1</v>
      </c>
      <c r="O59" s="53">
        <f>Table1[[#This Row],[Order quantity]]+Table1[[#This Row],[quantity on-hand]]-Table1[[#This Row],[extended quantity]]</f>
        <v>0</v>
      </c>
      <c r="P59" s="11">
        <f>IFERROR(Table1[[#This Row],[Order quantity]]*(Table1[[#This Row],[Cost ]]+Table1[[#This Row],[shipping]]+Table1[[#This Row],[Tax]]),0)</f>
        <v>79.08</v>
      </c>
      <c r="Q59" s="38">
        <f>IFERROR(Table1[[#This Row],[leftover material]]*(Table1[[#This Row],[Cost ]]+Table1[[#This Row],[shipping]]+Table1[[#This Row],[Tax]]),0)</f>
        <v>0</v>
      </c>
      <c r="R59" s="38"/>
    </row>
    <row r="60" spans="1:18" ht="30" x14ac:dyDescent="0.25">
      <c r="A60" s="1" t="s">
        <v>63</v>
      </c>
      <c r="B60" s="4" t="s">
        <v>906</v>
      </c>
      <c r="C60" s="1" t="s">
        <v>656</v>
      </c>
      <c r="D60" s="3">
        <v>24.68</v>
      </c>
      <c r="F60" s="3">
        <f>9%*Table1[[#This Row],[Cost ]]</f>
        <v>2.2212000000000001</v>
      </c>
      <c r="G60" s="1" t="s">
        <v>907</v>
      </c>
      <c r="H60" s="2">
        <v>1</v>
      </c>
      <c r="J60" s="11">
        <f>SUMIF('Multi-level BOM'!C$3:C$464,Table1[[#This Row],[Part Number]],'Multi-level BOM'!F$3:F$464)</f>
        <v>1</v>
      </c>
      <c r="K60" s="11">
        <f>Table1[[#This Row],[extended quantity]]*(Table1[[#This Row],[Cost ]]+Table1[[#This Row],[shipping]]+Table1[[#This Row],[Tax]])</f>
        <v>26.901199999999999</v>
      </c>
      <c r="L60" s="11"/>
      <c r="M60" s="42"/>
      <c r="N60" s="53">
        <f>CEILING((Table1[[#This Row],[extended quantity]]-Table1[[#This Row],[quantity on-hand]])/Table1[[#This Row],[Minimum order quantity]],1)*Table1[[#This Row],[Minimum order quantity]]</f>
        <v>1</v>
      </c>
      <c r="O60" s="53">
        <f>Table1[[#This Row],[Order quantity]]+Table1[[#This Row],[quantity on-hand]]-Table1[[#This Row],[extended quantity]]</f>
        <v>0</v>
      </c>
      <c r="P60" s="11">
        <f>IFERROR(Table1[[#This Row],[Order quantity]]*(Table1[[#This Row],[Cost ]]+Table1[[#This Row],[shipping]]+Table1[[#This Row],[Tax]]),0)</f>
        <v>26.901199999999999</v>
      </c>
      <c r="Q60" s="38">
        <f>IFERROR(Table1[[#This Row],[leftover material]]*(Table1[[#This Row],[Cost ]]+Table1[[#This Row],[shipping]]+Table1[[#This Row],[Tax]]),0)</f>
        <v>0</v>
      </c>
      <c r="R60" s="38"/>
    </row>
    <row r="61" spans="1:18" ht="30" x14ac:dyDescent="0.25">
      <c r="A61" s="1" t="s">
        <v>64</v>
      </c>
      <c r="B61" s="4" t="s">
        <v>909</v>
      </c>
      <c r="C61" s="1" t="s">
        <v>656</v>
      </c>
      <c r="D61" s="3">
        <v>9.99</v>
      </c>
      <c r="F61" s="3">
        <f>9%*Table1[[#This Row],[Cost ]]</f>
        <v>0.89910000000000001</v>
      </c>
      <c r="G61" s="1" t="s">
        <v>910</v>
      </c>
      <c r="H61" s="2">
        <v>1</v>
      </c>
      <c r="J61" s="11">
        <f>SUMIF('Multi-level BOM'!C$3:C$464,Table1[[#This Row],[Part Number]],'Multi-level BOM'!F$3:F$464)</f>
        <v>1</v>
      </c>
      <c r="K61" s="11">
        <f>Table1[[#This Row],[extended quantity]]*(Table1[[#This Row],[Cost ]]+Table1[[#This Row],[shipping]]+Table1[[#This Row],[Tax]])</f>
        <v>10.889100000000001</v>
      </c>
      <c r="L61" s="11"/>
      <c r="M61" s="42"/>
      <c r="N61" s="53">
        <f>CEILING((Table1[[#This Row],[extended quantity]]-Table1[[#This Row],[quantity on-hand]])/Table1[[#This Row],[Minimum order quantity]],1)*Table1[[#This Row],[Minimum order quantity]]</f>
        <v>1</v>
      </c>
      <c r="O61" s="53">
        <f>Table1[[#This Row],[Order quantity]]+Table1[[#This Row],[quantity on-hand]]-Table1[[#This Row],[extended quantity]]</f>
        <v>0</v>
      </c>
      <c r="P61" s="11">
        <f>IFERROR(Table1[[#This Row],[Order quantity]]*(Table1[[#This Row],[Cost ]]+Table1[[#This Row],[shipping]]+Table1[[#This Row],[Tax]]),0)</f>
        <v>10.889100000000001</v>
      </c>
      <c r="Q61" s="38">
        <f>IFERROR(Table1[[#This Row],[leftover material]]*(Table1[[#This Row],[Cost ]]+Table1[[#This Row],[shipping]]+Table1[[#This Row],[Tax]]),0)</f>
        <v>0</v>
      </c>
      <c r="R61" s="38"/>
    </row>
    <row r="62" spans="1:18" ht="30" x14ac:dyDescent="0.25">
      <c r="A62" s="1" t="s">
        <v>65</v>
      </c>
      <c r="B62" s="4" t="s">
        <v>912</v>
      </c>
      <c r="C62" s="1" t="s">
        <v>656</v>
      </c>
      <c r="D62" s="3">
        <v>20.99</v>
      </c>
      <c r="F62" s="3">
        <f>9%*Table1[[#This Row],[Cost ]]</f>
        <v>1.8890999999999998</v>
      </c>
      <c r="G62" s="1" t="s">
        <v>911</v>
      </c>
      <c r="H62" s="2">
        <v>1</v>
      </c>
      <c r="J62" s="11">
        <f>SUMIF('Multi-level BOM'!C$3:C$464,Table1[[#This Row],[Part Number]],'Multi-level BOM'!F$3:F$464)</f>
        <v>0</v>
      </c>
      <c r="K62" s="11">
        <f>Table1[[#This Row],[extended quantity]]*(Table1[[#This Row],[Cost ]]+Table1[[#This Row],[shipping]]+Table1[[#This Row],[Tax]])</f>
        <v>0</v>
      </c>
      <c r="L62" s="11"/>
      <c r="M62" s="42"/>
      <c r="N62" s="53">
        <f>CEILING((Table1[[#This Row],[extended quantity]]-Table1[[#This Row],[quantity on-hand]])/Table1[[#This Row],[Minimum order quantity]],1)*Table1[[#This Row],[Minimum order quantity]]</f>
        <v>0</v>
      </c>
      <c r="O62" s="53">
        <f>Table1[[#This Row],[Order quantity]]+Table1[[#This Row],[quantity on-hand]]-Table1[[#This Row],[extended quantity]]</f>
        <v>0</v>
      </c>
      <c r="P62" s="11">
        <f>IFERROR(Table1[[#This Row],[Order quantity]]*(Table1[[#This Row],[Cost ]]+Table1[[#This Row],[shipping]]+Table1[[#This Row],[Tax]]),0)</f>
        <v>0</v>
      </c>
      <c r="Q62" s="38">
        <f>IFERROR(Table1[[#This Row],[leftover material]]*(Table1[[#This Row],[Cost ]]+Table1[[#This Row],[shipping]]+Table1[[#This Row],[Tax]]),0)</f>
        <v>0</v>
      </c>
      <c r="R62" s="38"/>
    </row>
    <row r="63" spans="1:18" ht="30" x14ac:dyDescent="0.25">
      <c r="A63" s="1" t="s">
        <v>66</v>
      </c>
      <c r="B63" s="4" t="s">
        <v>913</v>
      </c>
      <c r="C63" s="1" t="s">
        <v>656</v>
      </c>
      <c r="D63" s="3">
        <f>9.99/5</f>
        <v>1.998</v>
      </c>
      <c r="F63" s="3">
        <f>9%*Table1[[#This Row],[Cost ]]</f>
        <v>0.17981999999999998</v>
      </c>
      <c r="G63" s="1" t="s">
        <v>914</v>
      </c>
      <c r="H63" s="2">
        <v>5</v>
      </c>
      <c r="J63" s="11">
        <f>SUMIF('Multi-level BOM'!C$3:C$464,Table1[[#This Row],[Part Number]],'Multi-level BOM'!F$3:F$464)</f>
        <v>3</v>
      </c>
      <c r="K63" s="11">
        <f>Table1[[#This Row],[extended quantity]]*(Table1[[#This Row],[Cost ]]+Table1[[#This Row],[shipping]]+Table1[[#This Row],[Tax]])</f>
        <v>6.5334599999999998</v>
      </c>
      <c r="L63" s="11"/>
      <c r="M63" s="42"/>
      <c r="N63" s="53">
        <f>CEILING((Table1[[#This Row],[extended quantity]]-Table1[[#This Row],[quantity on-hand]])/Table1[[#This Row],[Minimum order quantity]],1)*Table1[[#This Row],[Minimum order quantity]]</f>
        <v>5</v>
      </c>
      <c r="O63" s="53">
        <f>Table1[[#This Row],[Order quantity]]+Table1[[#This Row],[quantity on-hand]]-Table1[[#This Row],[extended quantity]]</f>
        <v>2</v>
      </c>
      <c r="P63" s="11">
        <f>IFERROR(Table1[[#This Row],[Order quantity]]*(Table1[[#This Row],[Cost ]]+Table1[[#This Row],[shipping]]+Table1[[#This Row],[Tax]]),0)</f>
        <v>10.889100000000001</v>
      </c>
      <c r="Q63" s="38">
        <f>IFERROR(Table1[[#This Row],[leftover material]]*(Table1[[#This Row],[Cost ]]+Table1[[#This Row],[shipping]]+Table1[[#This Row],[Tax]]),0)</f>
        <v>4.3556400000000002</v>
      </c>
      <c r="R63" s="38"/>
    </row>
    <row r="64" spans="1:18" ht="30" x14ac:dyDescent="0.25">
      <c r="A64" s="1" t="s">
        <v>67</v>
      </c>
      <c r="B64" s="4" t="s">
        <v>919</v>
      </c>
      <c r="C64" s="1" t="s">
        <v>656</v>
      </c>
      <c r="D64" s="3">
        <f>9.99/100</f>
        <v>9.9900000000000003E-2</v>
      </c>
      <c r="F64" s="3">
        <f>9%*Table1[[#This Row],[Cost ]]</f>
        <v>8.9910000000000007E-3</v>
      </c>
      <c r="G64" s="1" t="s">
        <v>920</v>
      </c>
      <c r="H64" s="2">
        <v>100</v>
      </c>
      <c r="J64" s="11">
        <f>SUMIF('Multi-level BOM'!C$3:C$464,Table1[[#This Row],[Part Number]],'Multi-level BOM'!F$3:F$464)</f>
        <v>12</v>
      </c>
      <c r="K64" s="11">
        <f>Table1[[#This Row],[extended quantity]]*(Table1[[#This Row],[Cost ]]+Table1[[#This Row],[shipping]]+Table1[[#This Row],[Tax]])</f>
        <v>1.306692</v>
      </c>
      <c r="L64" s="11"/>
      <c r="M64" s="42"/>
      <c r="N64" s="53">
        <f>CEILING((Table1[[#This Row],[extended quantity]]-Table1[[#This Row],[quantity on-hand]])/Table1[[#This Row],[Minimum order quantity]],1)*Table1[[#This Row],[Minimum order quantity]]</f>
        <v>100</v>
      </c>
      <c r="O64" s="53">
        <f>Table1[[#This Row],[Order quantity]]+Table1[[#This Row],[quantity on-hand]]-Table1[[#This Row],[extended quantity]]</f>
        <v>88</v>
      </c>
      <c r="P64" s="11">
        <f>IFERROR(Table1[[#This Row],[Order quantity]]*(Table1[[#This Row],[Cost ]]+Table1[[#This Row],[shipping]]+Table1[[#This Row],[Tax]]),0)</f>
        <v>10.889100000000001</v>
      </c>
      <c r="Q64" s="38">
        <f>IFERROR(Table1[[#This Row],[leftover material]]*(Table1[[#This Row],[Cost ]]+Table1[[#This Row],[shipping]]+Table1[[#This Row],[Tax]]),0)</f>
        <v>9.5824080000000009</v>
      </c>
      <c r="R64" s="38"/>
    </row>
    <row r="65" spans="1:18" ht="30" x14ac:dyDescent="0.25">
      <c r="A65" s="1" t="s">
        <v>68</v>
      </c>
      <c r="B65" s="4" t="s">
        <v>923</v>
      </c>
      <c r="C65" s="1" t="s">
        <v>656</v>
      </c>
      <c r="D65" s="3">
        <f>8.99/100</f>
        <v>8.9900000000000008E-2</v>
      </c>
      <c r="F65" s="3">
        <f>9%*Table1[[#This Row],[Cost ]]</f>
        <v>8.091000000000001E-3</v>
      </c>
      <c r="G65" s="1" t="s">
        <v>924</v>
      </c>
      <c r="H65" s="2">
        <v>100</v>
      </c>
      <c r="J65" s="11">
        <f>SUMIF('Multi-level BOM'!C$3:C$464,Table1[[#This Row],[Part Number]],'Multi-level BOM'!F$3:F$464)</f>
        <v>36</v>
      </c>
      <c r="K65" s="11">
        <f>Table1[[#This Row],[extended quantity]]*(Table1[[#This Row],[Cost ]]+Table1[[#This Row],[shipping]]+Table1[[#This Row],[Tax]])</f>
        <v>3.5276760000000005</v>
      </c>
      <c r="L65" s="11"/>
      <c r="M65" s="42"/>
      <c r="N65" s="53">
        <f>CEILING((Table1[[#This Row],[extended quantity]]-Table1[[#This Row],[quantity on-hand]])/Table1[[#This Row],[Minimum order quantity]],1)*Table1[[#This Row],[Minimum order quantity]]</f>
        <v>100</v>
      </c>
      <c r="O65" s="53">
        <f>Table1[[#This Row],[Order quantity]]+Table1[[#This Row],[quantity on-hand]]-Table1[[#This Row],[extended quantity]]</f>
        <v>64</v>
      </c>
      <c r="P65" s="11">
        <f>IFERROR(Table1[[#This Row],[Order quantity]]*(Table1[[#This Row],[Cost ]]+Table1[[#This Row],[shipping]]+Table1[[#This Row],[Tax]]),0)</f>
        <v>9.799100000000001</v>
      </c>
      <c r="Q65" s="38">
        <f>IFERROR(Table1[[#This Row],[leftover material]]*(Table1[[#This Row],[Cost ]]+Table1[[#This Row],[shipping]]+Table1[[#This Row],[Tax]]),0)</f>
        <v>6.2714240000000006</v>
      </c>
      <c r="R65" s="38"/>
    </row>
    <row r="66" spans="1:18" x14ac:dyDescent="0.25">
      <c r="A66" s="1" t="s">
        <v>69</v>
      </c>
      <c r="B66" s="4" t="s">
        <v>935</v>
      </c>
      <c r="C66" s="1" t="s">
        <v>656</v>
      </c>
      <c r="D66" s="3">
        <f>8.59/30</f>
        <v>0.28633333333333333</v>
      </c>
      <c r="F66" s="3">
        <f>9%*Table1[[#This Row],[Cost ]]</f>
        <v>2.5769999999999998E-2</v>
      </c>
      <c r="G66" s="1" t="s">
        <v>936</v>
      </c>
      <c r="H66" s="2">
        <v>12</v>
      </c>
      <c r="J66" s="11">
        <f>SUMIF('Multi-level BOM'!C$3:C$464,Table1[[#This Row],[Part Number]],'Multi-level BOM'!F$3:F$464)</f>
        <v>8</v>
      </c>
      <c r="K66" s="11">
        <f>Table1[[#This Row],[extended quantity]]*(Table1[[#This Row],[Cost ]]+Table1[[#This Row],[shipping]]+Table1[[#This Row],[Tax]])</f>
        <v>2.4968266666666667</v>
      </c>
      <c r="L66" s="11"/>
      <c r="M66" s="42"/>
      <c r="N66" s="53">
        <f>CEILING((Table1[[#This Row],[extended quantity]]-Table1[[#This Row],[quantity on-hand]])/Table1[[#This Row],[Minimum order quantity]],1)*Table1[[#This Row],[Minimum order quantity]]</f>
        <v>12</v>
      </c>
      <c r="O66" s="53">
        <f>Table1[[#This Row],[Order quantity]]+Table1[[#This Row],[quantity on-hand]]-Table1[[#This Row],[extended quantity]]</f>
        <v>4</v>
      </c>
      <c r="P66" s="11">
        <f>IFERROR(Table1[[#This Row],[Order quantity]]*(Table1[[#This Row],[Cost ]]+Table1[[#This Row],[shipping]]+Table1[[#This Row],[Tax]]),0)</f>
        <v>3.7452399999999999</v>
      </c>
      <c r="Q66" s="38">
        <f>IFERROR(Table1[[#This Row],[leftover material]]*(Table1[[#This Row],[Cost ]]+Table1[[#This Row],[shipping]]+Table1[[#This Row],[Tax]]),0)</f>
        <v>1.2484133333333334</v>
      </c>
      <c r="R66" s="38"/>
    </row>
    <row r="67" spans="1:18" x14ac:dyDescent="0.25">
      <c r="A67" s="1" t="s">
        <v>70</v>
      </c>
      <c r="B67" s="18" t="s">
        <v>939</v>
      </c>
      <c r="C67" s="1" t="s">
        <v>715</v>
      </c>
      <c r="D67" s="3">
        <f>4.69/13</f>
        <v>0.36076923076923079</v>
      </c>
      <c r="F67" s="3">
        <f>9%*Table1[[#This Row],[Cost ]]</f>
        <v>3.2469230769230771E-2</v>
      </c>
      <c r="G67" s="1" t="s">
        <v>956</v>
      </c>
      <c r="H67" s="2">
        <v>12</v>
      </c>
      <c r="I67" s="1" t="s">
        <v>957</v>
      </c>
      <c r="J67" s="11">
        <f>SUMIF('Multi-level BOM'!C$3:C$464,Table1[[#This Row],[Part Number]],'Multi-level BOM'!F$3:F$464)</f>
        <v>8</v>
      </c>
      <c r="K67" s="11">
        <f>Table1[[#This Row],[extended quantity]]*(Table1[[#This Row],[Cost ]]+Table1[[#This Row],[shipping]]+Table1[[#This Row],[Tax]])</f>
        <v>3.1459076923076923</v>
      </c>
      <c r="L67" s="11"/>
      <c r="M67" s="42"/>
      <c r="N67" s="53">
        <f>CEILING((Table1[[#This Row],[extended quantity]]-Table1[[#This Row],[quantity on-hand]])/Table1[[#This Row],[Minimum order quantity]],1)*Table1[[#This Row],[Minimum order quantity]]</f>
        <v>12</v>
      </c>
      <c r="O67" s="53">
        <f>Table1[[#This Row],[Order quantity]]+Table1[[#This Row],[quantity on-hand]]-Table1[[#This Row],[extended quantity]]</f>
        <v>4</v>
      </c>
      <c r="P67" s="11">
        <f>IFERROR(Table1[[#This Row],[Order quantity]]*(Table1[[#This Row],[Cost ]]+Table1[[#This Row],[shipping]]+Table1[[#This Row],[Tax]]),0)</f>
        <v>4.7188615384615389</v>
      </c>
      <c r="Q67" s="38">
        <f>IFERROR(Table1[[#This Row],[leftover material]]*(Table1[[#This Row],[Cost ]]+Table1[[#This Row],[shipping]]+Table1[[#This Row],[Tax]]),0)</f>
        <v>1.5729538461538461</v>
      </c>
      <c r="R67" s="38"/>
    </row>
    <row r="68" spans="1:18" x14ac:dyDescent="0.25">
      <c r="A68" s="1" t="s">
        <v>71</v>
      </c>
      <c r="B68" s="4" t="s">
        <v>958</v>
      </c>
      <c r="C68" s="1" t="s">
        <v>715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823</v>
      </c>
      <c r="J68" s="11">
        <f>SUMIF('Multi-level BOM'!C$3:C$464,Table1[[#This Row],[Part Number]],'Multi-level BOM'!F$3:F$464)</f>
        <v>3</v>
      </c>
      <c r="K68" s="11">
        <f>Table1[[#This Row],[extended quantity]]*(Table1[[#This Row],[Cost ]]+Table1[[#This Row],[shipping]]+Table1[[#This Row],[Tax]])</f>
        <v>57.330600000000004</v>
      </c>
      <c r="L68" s="11"/>
      <c r="M68" s="42"/>
      <c r="N68" s="53">
        <f>CEILING((Table1[[#This Row],[extended quantity]]-Table1[[#This Row],[quantity on-hand]])/Table1[[#This Row],[Minimum order quantity]],1)*Table1[[#This Row],[Minimum order quantity]]</f>
        <v>3</v>
      </c>
      <c r="O68" s="53">
        <f>Table1[[#This Row],[Order quantity]]+Table1[[#This Row],[quantity on-hand]]-Table1[[#This Row],[extended quantity]]</f>
        <v>0</v>
      </c>
      <c r="P68" s="11">
        <f>IFERROR(Table1[[#This Row],[Order quantity]]*(Table1[[#This Row],[Cost ]]+Table1[[#This Row],[shipping]]+Table1[[#This Row],[Tax]]),0)</f>
        <v>57.330600000000004</v>
      </c>
      <c r="Q68" s="38">
        <f>IFERROR(Table1[[#This Row],[leftover material]]*(Table1[[#This Row],[Cost ]]+Table1[[#This Row],[shipping]]+Table1[[#This Row],[Tax]]),0)</f>
        <v>0</v>
      </c>
      <c r="R68" s="38"/>
    </row>
    <row r="69" spans="1:18" ht="30" x14ac:dyDescent="0.25">
      <c r="A69" s="1" t="s">
        <v>72</v>
      </c>
      <c r="B69" s="4" t="s">
        <v>944</v>
      </c>
      <c r="C69" s="1" t="s">
        <v>656</v>
      </c>
      <c r="D69" s="3">
        <f>5.99/50</f>
        <v>0.1198</v>
      </c>
      <c r="F69" s="3">
        <f>9%*Table1[[#This Row],[Cost ]]</f>
        <v>1.0782E-2</v>
      </c>
      <c r="G69" s="1" t="s">
        <v>945</v>
      </c>
      <c r="H69" s="2">
        <v>50</v>
      </c>
      <c r="J69" s="11">
        <f>SUMIF('Multi-level BOM'!C$3:C$464,Table1[[#This Row],[Part Number]],'Multi-level BOM'!F$3:F$464)</f>
        <v>15</v>
      </c>
      <c r="K69" s="11">
        <f>Table1[[#This Row],[extended quantity]]*(Table1[[#This Row],[Cost ]]+Table1[[#This Row],[shipping]]+Table1[[#This Row],[Tax]])</f>
        <v>1.9587300000000001</v>
      </c>
      <c r="L69" s="11"/>
      <c r="M69" s="42"/>
      <c r="N69" s="53">
        <f>CEILING((Table1[[#This Row],[extended quantity]]-Table1[[#This Row],[quantity on-hand]])/Table1[[#This Row],[Minimum order quantity]],1)*Table1[[#This Row],[Minimum order quantity]]</f>
        <v>50</v>
      </c>
      <c r="O69" s="53">
        <f>Table1[[#This Row],[Order quantity]]+Table1[[#This Row],[quantity on-hand]]-Table1[[#This Row],[extended quantity]]</f>
        <v>35</v>
      </c>
      <c r="P69" s="11">
        <f>IFERROR(Table1[[#This Row],[Order quantity]]*(Table1[[#This Row],[Cost ]]+Table1[[#This Row],[shipping]]+Table1[[#This Row],[Tax]]),0)</f>
        <v>6.5291000000000006</v>
      </c>
      <c r="Q69" s="38">
        <f>IFERROR(Table1[[#This Row],[leftover material]]*(Table1[[#This Row],[Cost ]]+Table1[[#This Row],[shipping]]+Table1[[#This Row],[Tax]]),0)</f>
        <v>4.5703700000000005</v>
      </c>
      <c r="R69" s="38"/>
    </row>
    <row r="70" spans="1:18" x14ac:dyDescent="0.25">
      <c r="A70" s="1" t="s">
        <v>73</v>
      </c>
      <c r="B70" s="18" t="s">
        <v>955</v>
      </c>
      <c r="C70" s="1" t="s">
        <v>715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823</v>
      </c>
      <c r="J70" s="11">
        <f>SUMIF('Multi-level BOM'!C$3:C$464,Table1[[#This Row],[Part Number]],'Multi-level BOM'!F$3:F$464)</f>
        <v>3</v>
      </c>
      <c r="K70" s="11">
        <f>Table1[[#This Row],[extended quantity]]*(Table1[[#This Row],[Cost ]]+Table1[[#This Row],[shipping]]+Table1[[#This Row],[Tax]])</f>
        <v>45.043799999999997</v>
      </c>
      <c r="L70" s="11"/>
      <c r="M70" s="42"/>
      <c r="N70" s="53">
        <f>CEILING((Table1[[#This Row],[extended quantity]]-Table1[[#This Row],[quantity on-hand]])/Table1[[#This Row],[Minimum order quantity]],1)*Table1[[#This Row],[Minimum order quantity]]</f>
        <v>3</v>
      </c>
      <c r="O70" s="53">
        <f>Table1[[#This Row],[Order quantity]]+Table1[[#This Row],[quantity on-hand]]-Table1[[#This Row],[extended quantity]]</f>
        <v>0</v>
      </c>
      <c r="P70" s="11">
        <f>IFERROR(Table1[[#This Row],[Order quantity]]*(Table1[[#This Row],[Cost ]]+Table1[[#This Row],[shipping]]+Table1[[#This Row],[Tax]]),0)</f>
        <v>45.043799999999997</v>
      </c>
      <c r="Q70" s="38">
        <f>IFERROR(Table1[[#This Row],[leftover material]]*(Table1[[#This Row],[Cost ]]+Table1[[#This Row],[shipping]]+Table1[[#This Row],[Tax]]),0)</f>
        <v>0</v>
      </c>
      <c r="R70" s="38"/>
    </row>
    <row r="71" spans="1:18" x14ac:dyDescent="0.25">
      <c r="A71" s="1" t="s">
        <v>74</v>
      </c>
      <c r="B71" s="4"/>
      <c r="F71" s="3">
        <f>9%*Table1[[#This Row],[Cost ]]</f>
        <v>0</v>
      </c>
      <c r="J71" s="11">
        <f>SUMIF('Multi-level BOM'!C$3:C$464,Table1[[#This Row],[Part Number]],'Multi-level BOM'!F$3:F$464)</f>
        <v>0</v>
      </c>
      <c r="K71" s="11">
        <f>Table1[[#This Row],[extended quantity]]*(Table1[[#This Row],[Cost ]]+Table1[[#This Row],[shipping]]+Table1[[#This Row],[Tax]])</f>
        <v>0</v>
      </c>
      <c r="L71" s="11"/>
      <c r="M71" s="42"/>
      <c r="N71" s="53" t="e">
        <f>CEILING((Table1[[#This Row],[extended quantity]]-Table1[[#This Row],[quantity on-hand]])/Table1[[#This Row],[Minimum order quantity]],1)*Table1[[#This Row],[Minimum order quantity]]</f>
        <v>#DIV/0!</v>
      </c>
      <c r="O71" s="53" t="e">
        <f>Table1[[#This Row],[Order quantity]]+Table1[[#This Row],[quantity on-hand]]-Table1[[#This Row],[extended quantity]]</f>
        <v>#DIV/0!</v>
      </c>
      <c r="P71" s="11">
        <f>IFERROR(Table1[[#This Row],[Order quantity]]*(Table1[[#This Row],[Cost ]]+Table1[[#This Row],[shipping]]+Table1[[#This Row],[Tax]]),0)</f>
        <v>0</v>
      </c>
      <c r="Q71" s="38">
        <f>IFERROR(Table1[[#This Row],[leftover material]]*(Table1[[#This Row],[Cost ]]+Table1[[#This Row],[shipping]]+Table1[[#This Row],[Tax]]),0)</f>
        <v>0</v>
      </c>
      <c r="R71" s="38"/>
    </row>
    <row r="72" spans="1:18" x14ac:dyDescent="0.25">
      <c r="A72" s="1" t="s">
        <v>75</v>
      </c>
      <c r="B72" s="4"/>
      <c r="F72" s="3">
        <f>9%*Table1[[#This Row],[Cost ]]</f>
        <v>0</v>
      </c>
      <c r="J72" s="11">
        <f>SUMIF('Multi-level BOM'!C$3:C$464,Table1[[#This Row],[Part Number]],'Multi-level BOM'!F$3:F$464)</f>
        <v>0</v>
      </c>
      <c r="K72" s="11">
        <f>Table1[[#This Row],[extended quantity]]*(Table1[[#This Row],[Cost ]]+Table1[[#This Row],[shipping]]+Table1[[#This Row],[Tax]])</f>
        <v>0</v>
      </c>
      <c r="L72" s="11"/>
      <c r="M72" s="42"/>
      <c r="N72" s="53" t="e">
        <f>CEILING((Table1[[#This Row],[extended quantity]]-Table1[[#This Row],[quantity on-hand]])/Table1[[#This Row],[Minimum order quantity]],1)*Table1[[#This Row],[Minimum order quantity]]</f>
        <v>#DIV/0!</v>
      </c>
      <c r="O72" s="53" t="e">
        <f>Table1[[#This Row],[Order quantity]]+Table1[[#This Row],[quantity on-hand]]-Table1[[#This Row],[extended quantity]]</f>
        <v>#DIV/0!</v>
      </c>
      <c r="P72" s="11">
        <f>IFERROR(Table1[[#This Row],[Order quantity]]*(Table1[[#This Row],[Cost ]]+Table1[[#This Row],[shipping]]+Table1[[#This Row],[Tax]]),0)</f>
        <v>0</v>
      </c>
      <c r="Q72" s="38">
        <f>IFERROR(Table1[[#This Row],[leftover material]]*(Table1[[#This Row],[Cost ]]+Table1[[#This Row],[shipping]]+Table1[[#This Row],[Tax]]),0)</f>
        <v>0</v>
      </c>
      <c r="R72" s="38"/>
    </row>
    <row r="73" spans="1:18" x14ac:dyDescent="0.25">
      <c r="A73" s="1" t="s">
        <v>76</v>
      </c>
      <c r="B73" s="4"/>
      <c r="F73" s="3">
        <f>9%*Table1[[#This Row],[Cost ]]</f>
        <v>0</v>
      </c>
      <c r="J73" s="11">
        <f>SUMIF('Multi-level BOM'!C$3:C$464,Table1[[#This Row],[Part Number]],'Multi-level BOM'!F$3:F$464)</f>
        <v>0</v>
      </c>
      <c r="K73" s="11">
        <f>Table1[[#This Row],[extended quantity]]*(Table1[[#This Row],[Cost ]]+Table1[[#This Row],[shipping]]+Table1[[#This Row],[Tax]])</f>
        <v>0</v>
      </c>
      <c r="L73" s="11"/>
      <c r="M73" s="42"/>
      <c r="N73" s="53" t="e">
        <f>CEILING((Table1[[#This Row],[extended quantity]]-Table1[[#This Row],[quantity on-hand]])/Table1[[#This Row],[Minimum order quantity]],1)*Table1[[#This Row],[Minimum order quantity]]</f>
        <v>#DIV/0!</v>
      </c>
      <c r="O73" s="53" t="e">
        <f>Table1[[#This Row],[Order quantity]]+Table1[[#This Row],[quantity on-hand]]-Table1[[#This Row],[extended quantity]]</f>
        <v>#DIV/0!</v>
      </c>
      <c r="P73" s="11">
        <f>IFERROR(Table1[[#This Row],[Order quantity]]*(Table1[[#This Row],[Cost ]]+Table1[[#This Row],[shipping]]+Table1[[#This Row],[Tax]]),0)</f>
        <v>0</v>
      </c>
      <c r="Q73" s="38">
        <f>IFERROR(Table1[[#This Row],[leftover material]]*(Table1[[#This Row],[Cost ]]+Table1[[#This Row],[shipping]]+Table1[[#This Row],[Tax]]),0)</f>
        <v>0</v>
      </c>
      <c r="R73" s="38"/>
    </row>
    <row r="74" spans="1:18" x14ac:dyDescent="0.25">
      <c r="A74" s="1" t="s">
        <v>77</v>
      </c>
      <c r="B74" s="4"/>
      <c r="F74" s="3">
        <f>9%*Table1[[#This Row],[Cost ]]</f>
        <v>0</v>
      </c>
      <c r="J74" s="11">
        <f>SUMIF('Multi-level BOM'!C$3:C$464,Table1[[#This Row],[Part Number]],'Multi-level BOM'!F$3:F$464)</f>
        <v>0</v>
      </c>
      <c r="K74" s="11">
        <f>Table1[[#This Row],[extended quantity]]*(Table1[[#This Row],[Cost ]]+Table1[[#This Row],[shipping]]+Table1[[#This Row],[Tax]])</f>
        <v>0</v>
      </c>
      <c r="L74" s="11"/>
      <c r="M74" s="42"/>
      <c r="N74" s="53" t="e">
        <f>CEILING((Table1[[#This Row],[extended quantity]]-Table1[[#This Row],[quantity on-hand]])/Table1[[#This Row],[Minimum order quantity]],1)*Table1[[#This Row],[Minimum order quantity]]</f>
        <v>#DIV/0!</v>
      </c>
      <c r="O74" s="53" t="e">
        <f>Table1[[#This Row],[Order quantity]]+Table1[[#This Row],[quantity on-hand]]-Table1[[#This Row],[extended quantity]]</f>
        <v>#DIV/0!</v>
      </c>
      <c r="P74" s="11">
        <f>IFERROR(Table1[[#This Row],[Order quantity]]*(Table1[[#This Row],[Cost ]]+Table1[[#This Row],[shipping]]+Table1[[#This Row],[Tax]]),0)</f>
        <v>0</v>
      </c>
      <c r="Q74" s="38">
        <f>IFERROR(Table1[[#This Row],[leftover material]]*(Table1[[#This Row],[Cost ]]+Table1[[#This Row],[shipping]]+Table1[[#This Row],[Tax]]),0)</f>
        <v>0</v>
      </c>
      <c r="R74" s="38"/>
    </row>
    <row r="75" spans="1:18" x14ac:dyDescent="0.25">
      <c r="A75" s="1" t="s">
        <v>78</v>
      </c>
      <c r="B75" s="4"/>
      <c r="F75" s="3">
        <f>9%*Table1[[#This Row],[Cost ]]</f>
        <v>0</v>
      </c>
      <c r="J75" s="11">
        <f>SUMIF('Multi-level BOM'!C$3:C$464,Table1[[#This Row],[Part Number]],'Multi-level BOM'!F$3:F$464)</f>
        <v>0</v>
      </c>
      <c r="K75" s="11">
        <f>Table1[[#This Row],[extended quantity]]*(Table1[[#This Row],[Cost ]]+Table1[[#This Row],[shipping]]+Table1[[#This Row],[Tax]])</f>
        <v>0</v>
      </c>
      <c r="L75" s="11"/>
      <c r="M75" s="42"/>
      <c r="N75" s="53" t="e">
        <f>CEILING((Table1[[#This Row],[extended quantity]]-Table1[[#This Row],[quantity on-hand]])/Table1[[#This Row],[Minimum order quantity]],1)*Table1[[#This Row],[Minimum order quantity]]</f>
        <v>#DIV/0!</v>
      </c>
      <c r="O75" s="53" t="e">
        <f>Table1[[#This Row],[Order quantity]]+Table1[[#This Row],[quantity on-hand]]-Table1[[#This Row],[extended quantity]]</f>
        <v>#DIV/0!</v>
      </c>
      <c r="P75" s="11">
        <f>IFERROR(Table1[[#This Row],[Order quantity]]*(Table1[[#This Row],[Cost ]]+Table1[[#This Row],[shipping]]+Table1[[#This Row],[Tax]]),0)</f>
        <v>0</v>
      </c>
      <c r="Q75" s="38">
        <f>IFERROR(Table1[[#This Row],[leftover material]]*(Table1[[#This Row],[Cost ]]+Table1[[#This Row],[shipping]]+Table1[[#This Row],[Tax]]),0)</f>
        <v>0</v>
      </c>
      <c r="R75" s="38"/>
    </row>
    <row r="76" spans="1:18" x14ac:dyDescent="0.25">
      <c r="A76" s="1" t="s">
        <v>79</v>
      </c>
      <c r="B76" s="4"/>
      <c r="F76" s="3">
        <f>9%*Table1[[#This Row],[Cost ]]</f>
        <v>0</v>
      </c>
      <c r="J76" s="11">
        <f>SUMIF('Multi-level BOM'!C$3:C$464,Table1[[#This Row],[Part Number]],'Multi-level BOM'!F$3:F$464)</f>
        <v>0</v>
      </c>
      <c r="K76" s="11">
        <f>Table1[[#This Row],[extended quantity]]*(Table1[[#This Row],[Cost ]]+Table1[[#This Row],[shipping]]+Table1[[#This Row],[Tax]])</f>
        <v>0</v>
      </c>
      <c r="L76" s="11"/>
      <c r="M76" s="42"/>
      <c r="N76" s="53" t="e">
        <f>CEILING((Table1[[#This Row],[extended quantity]]-Table1[[#This Row],[quantity on-hand]])/Table1[[#This Row],[Minimum order quantity]],1)*Table1[[#This Row],[Minimum order quantity]]</f>
        <v>#DIV/0!</v>
      </c>
      <c r="O76" s="53" t="e">
        <f>Table1[[#This Row],[Order quantity]]+Table1[[#This Row],[quantity on-hand]]-Table1[[#This Row],[extended quantity]]</f>
        <v>#DIV/0!</v>
      </c>
      <c r="P76" s="11">
        <f>IFERROR(Table1[[#This Row],[Order quantity]]*(Table1[[#This Row],[Cost ]]+Table1[[#This Row],[shipping]]+Table1[[#This Row],[Tax]]),0)</f>
        <v>0</v>
      </c>
      <c r="Q76" s="38">
        <f>IFERROR(Table1[[#This Row],[leftover material]]*(Table1[[#This Row],[Cost ]]+Table1[[#This Row],[shipping]]+Table1[[#This Row],[Tax]]),0)</f>
        <v>0</v>
      </c>
      <c r="R76" s="38"/>
    </row>
    <row r="77" spans="1:18" x14ac:dyDescent="0.25">
      <c r="A77" s="1" t="s">
        <v>80</v>
      </c>
      <c r="B77" s="4"/>
      <c r="F77" s="3">
        <f>9%*Table1[[#This Row],[Cost ]]</f>
        <v>0</v>
      </c>
      <c r="J77" s="11">
        <f>SUMIF('Multi-level BOM'!C$3:C$464,Table1[[#This Row],[Part Number]],'Multi-level BOM'!F$3:F$464)</f>
        <v>0</v>
      </c>
      <c r="K77" s="11">
        <f>Table1[[#This Row],[extended quantity]]*(Table1[[#This Row],[Cost ]]+Table1[[#This Row],[shipping]]+Table1[[#This Row],[Tax]])</f>
        <v>0</v>
      </c>
      <c r="L77" s="11"/>
      <c r="M77" s="42"/>
      <c r="N77" s="53" t="e">
        <f>CEILING((Table1[[#This Row],[extended quantity]]-Table1[[#This Row],[quantity on-hand]])/Table1[[#This Row],[Minimum order quantity]],1)*Table1[[#This Row],[Minimum order quantity]]</f>
        <v>#DIV/0!</v>
      </c>
      <c r="O77" s="53" t="e">
        <f>Table1[[#This Row],[Order quantity]]+Table1[[#This Row],[quantity on-hand]]-Table1[[#This Row],[extended quantity]]</f>
        <v>#DIV/0!</v>
      </c>
      <c r="P77" s="11">
        <f>IFERROR(Table1[[#This Row],[Order quantity]]*(Table1[[#This Row],[Cost ]]+Table1[[#This Row],[shipping]]+Table1[[#This Row],[Tax]]),0)</f>
        <v>0</v>
      </c>
      <c r="Q77" s="38">
        <f>IFERROR(Table1[[#This Row],[leftover material]]*(Table1[[#This Row],[Cost ]]+Table1[[#This Row],[shipping]]+Table1[[#This Row],[Tax]]),0)</f>
        <v>0</v>
      </c>
      <c r="R77" s="38"/>
    </row>
    <row r="78" spans="1:18" x14ac:dyDescent="0.25">
      <c r="A78" s="1" t="s">
        <v>81</v>
      </c>
      <c r="B78" s="4"/>
      <c r="F78" s="3">
        <f>9%*Table1[[#This Row],[Cost ]]</f>
        <v>0</v>
      </c>
      <c r="J78" s="11">
        <f>SUMIF('Multi-level BOM'!C$3:C$464,Table1[[#This Row],[Part Number]],'Multi-level BOM'!F$3:F$464)</f>
        <v>0</v>
      </c>
      <c r="K78" s="11">
        <f>Table1[[#This Row],[extended quantity]]*(Table1[[#This Row],[Cost ]]+Table1[[#This Row],[shipping]]+Table1[[#This Row],[Tax]])</f>
        <v>0</v>
      </c>
      <c r="L78" s="11"/>
      <c r="M78" s="42"/>
      <c r="N78" s="53" t="e">
        <f>CEILING((Table1[[#This Row],[extended quantity]]-Table1[[#This Row],[quantity on-hand]])/Table1[[#This Row],[Minimum order quantity]],1)*Table1[[#This Row],[Minimum order quantity]]</f>
        <v>#DIV/0!</v>
      </c>
      <c r="O78" s="53" t="e">
        <f>Table1[[#This Row],[Order quantity]]+Table1[[#This Row],[quantity on-hand]]-Table1[[#This Row],[extended quantity]]</f>
        <v>#DIV/0!</v>
      </c>
      <c r="P78" s="11">
        <f>IFERROR(Table1[[#This Row],[Order quantity]]*(Table1[[#This Row],[Cost ]]+Table1[[#This Row],[shipping]]+Table1[[#This Row],[Tax]]),0)</f>
        <v>0</v>
      </c>
      <c r="Q78" s="38">
        <f>IFERROR(Table1[[#This Row],[leftover material]]*(Table1[[#This Row],[Cost ]]+Table1[[#This Row],[shipping]]+Table1[[#This Row],[Tax]]),0)</f>
        <v>0</v>
      </c>
      <c r="R78" s="38"/>
    </row>
    <row r="79" spans="1:18" x14ac:dyDescent="0.25">
      <c r="A79" s="1" t="s">
        <v>82</v>
      </c>
      <c r="B79" s="4"/>
      <c r="F79" s="3">
        <f>9%*Table1[[#This Row],[Cost ]]</f>
        <v>0</v>
      </c>
      <c r="J79" s="11">
        <f>SUMIF('Multi-level BOM'!C$3:C$464,Table1[[#This Row],[Part Number]],'Multi-level BOM'!F$3:F$464)</f>
        <v>0</v>
      </c>
      <c r="K79" s="11">
        <f>Table1[[#This Row],[extended quantity]]*(Table1[[#This Row],[Cost ]]+Table1[[#This Row],[shipping]]+Table1[[#This Row],[Tax]])</f>
        <v>0</v>
      </c>
      <c r="L79" s="11"/>
      <c r="M79" s="42"/>
      <c r="N79" s="53" t="e">
        <f>CEILING((Table1[[#This Row],[extended quantity]]-Table1[[#This Row],[quantity on-hand]])/Table1[[#This Row],[Minimum order quantity]],1)*Table1[[#This Row],[Minimum order quantity]]</f>
        <v>#DIV/0!</v>
      </c>
      <c r="O79" s="53" t="e">
        <f>Table1[[#This Row],[Order quantity]]+Table1[[#This Row],[quantity on-hand]]-Table1[[#This Row],[extended quantity]]</f>
        <v>#DIV/0!</v>
      </c>
      <c r="P79" s="11">
        <f>IFERROR(Table1[[#This Row],[Order quantity]]*(Table1[[#This Row],[Cost ]]+Table1[[#This Row],[shipping]]+Table1[[#This Row],[Tax]]),0)</f>
        <v>0</v>
      </c>
      <c r="Q79" s="38">
        <f>IFERROR(Table1[[#This Row],[leftover material]]*(Table1[[#This Row],[Cost ]]+Table1[[#This Row],[shipping]]+Table1[[#This Row],[Tax]]),0)</f>
        <v>0</v>
      </c>
      <c r="R79" s="38"/>
    </row>
    <row r="80" spans="1:18" x14ac:dyDescent="0.25">
      <c r="A80" s="1" t="s">
        <v>83</v>
      </c>
      <c r="B80" s="4"/>
      <c r="F80" s="3">
        <f>9%*Table1[[#This Row],[Cost ]]</f>
        <v>0</v>
      </c>
      <c r="J80" s="11">
        <f>SUMIF('Multi-level BOM'!C$3:C$464,Table1[[#This Row],[Part Number]],'Multi-level BOM'!F$3:F$464)</f>
        <v>0</v>
      </c>
      <c r="K80" s="11">
        <f>Table1[[#This Row],[extended quantity]]*(Table1[[#This Row],[Cost ]]+Table1[[#This Row],[shipping]]+Table1[[#This Row],[Tax]])</f>
        <v>0</v>
      </c>
      <c r="L80" s="11"/>
      <c r="M80" s="42"/>
      <c r="N80" s="53" t="e">
        <f>CEILING((Table1[[#This Row],[extended quantity]]-Table1[[#This Row],[quantity on-hand]])/Table1[[#This Row],[Minimum order quantity]],1)*Table1[[#This Row],[Minimum order quantity]]</f>
        <v>#DIV/0!</v>
      </c>
      <c r="O80" s="53" t="e">
        <f>Table1[[#This Row],[Order quantity]]+Table1[[#This Row],[quantity on-hand]]-Table1[[#This Row],[extended quantity]]</f>
        <v>#DIV/0!</v>
      </c>
      <c r="P80" s="11">
        <f>IFERROR(Table1[[#This Row],[Order quantity]]*(Table1[[#This Row],[Cost ]]+Table1[[#This Row],[shipping]]+Table1[[#This Row],[Tax]]),0)</f>
        <v>0</v>
      </c>
      <c r="Q80" s="38">
        <f>IFERROR(Table1[[#This Row],[leftover material]]*(Table1[[#This Row],[Cost ]]+Table1[[#This Row],[shipping]]+Table1[[#This Row],[Tax]]),0)</f>
        <v>0</v>
      </c>
      <c r="R80" s="38"/>
    </row>
    <row r="81" spans="1:18" x14ac:dyDescent="0.25">
      <c r="A81" s="1" t="s">
        <v>84</v>
      </c>
      <c r="B81" s="4"/>
      <c r="F81" s="3">
        <f>9%*Table1[[#This Row],[Cost ]]</f>
        <v>0</v>
      </c>
      <c r="J81" s="11">
        <f>SUMIF('Multi-level BOM'!C$3:C$464,Table1[[#This Row],[Part Number]],'Multi-level BOM'!F$3:F$464)</f>
        <v>0</v>
      </c>
      <c r="K81" s="11">
        <f>Table1[[#This Row],[extended quantity]]*(Table1[[#This Row],[Cost ]]+Table1[[#This Row],[shipping]]+Table1[[#This Row],[Tax]])</f>
        <v>0</v>
      </c>
      <c r="L81" s="11"/>
      <c r="M81" s="42"/>
      <c r="N81" s="53" t="e">
        <f>CEILING((Table1[[#This Row],[extended quantity]]-Table1[[#This Row],[quantity on-hand]])/Table1[[#This Row],[Minimum order quantity]],1)*Table1[[#This Row],[Minimum order quantity]]</f>
        <v>#DIV/0!</v>
      </c>
      <c r="O81" s="53" t="e">
        <f>Table1[[#This Row],[Order quantity]]+Table1[[#This Row],[quantity on-hand]]-Table1[[#This Row],[extended quantity]]</f>
        <v>#DIV/0!</v>
      </c>
      <c r="P81" s="11">
        <f>IFERROR(Table1[[#This Row],[Order quantity]]*(Table1[[#This Row],[Cost ]]+Table1[[#This Row],[shipping]]+Table1[[#This Row],[Tax]]),0)</f>
        <v>0</v>
      </c>
      <c r="Q81" s="38">
        <f>IFERROR(Table1[[#This Row],[leftover material]]*(Table1[[#This Row],[Cost ]]+Table1[[#This Row],[shipping]]+Table1[[#This Row],[Tax]]),0)</f>
        <v>0</v>
      </c>
      <c r="R81" s="38"/>
    </row>
    <row r="82" spans="1:18" x14ac:dyDescent="0.25">
      <c r="A82" s="1" t="s">
        <v>85</v>
      </c>
      <c r="B82" s="4"/>
      <c r="F82" s="3">
        <f>9%*Table1[[#This Row],[Cost ]]</f>
        <v>0</v>
      </c>
      <c r="J82" s="11">
        <f>SUMIF('Multi-level BOM'!C$3:C$464,Table1[[#This Row],[Part Number]],'Multi-level BOM'!F$3:F$464)</f>
        <v>0</v>
      </c>
      <c r="K82" s="11">
        <f>Table1[[#This Row],[extended quantity]]*(Table1[[#This Row],[Cost ]]+Table1[[#This Row],[shipping]]+Table1[[#This Row],[Tax]])</f>
        <v>0</v>
      </c>
      <c r="L82" s="11"/>
      <c r="M82" s="42"/>
      <c r="N82" s="53" t="e">
        <f>CEILING((Table1[[#This Row],[extended quantity]]-Table1[[#This Row],[quantity on-hand]])/Table1[[#This Row],[Minimum order quantity]],1)*Table1[[#This Row],[Minimum order quantity]]</f>
        <v>#DIV/0!</v>
      </c>
      <c r="O82" s="53" t="e">
        <f>Table1[[#This Row],[Order quantity]]+Table1[[#This Row],[quantity on-hand]]-Table1[[#This Row],[extended quantity]]</f>
        <v>#DIV/0!</v>
      </c>
      <c r="P82" s="11">
        <f>IFERROR(Table1[[#This Row],[Order quantity]]*(Table1[[#This Row],[Cost ]]+Table1[[#This Row],[shipping]]+Table1[[#This Row],[Tax]]),0)</f>
        <v>0</v>
      </c>
      <c r="Q82" s="38">
        <f>IFERROR(Table1[[#This Row],[leftover material]]*(Table1[[#This Row],[Cost ]]+Table1[[#This Row],[shipping]]+Table1[[#This Row],[Tax]]),0)</f>
        <v>0</v>
      </c>
      <c r="R82" s="38"/>
    </row>
    <row r="83" spans="1:18" x14ac:dyDescent="0.25">
      <c r="A83" s="1" t="s">
        <v>86</v>
      </c>
      <c r="B83" s="4"/>
      <c r="F83" s="3">
        <f>9%*Table1[[#This Row],[Cost ]]</f>
        <v>0</v>
      </c>
      <c r="J83" s="11">
        <f>SUMIF('Multi-level BOM'!C$3:C$464,Table1[[#This Row],[Part Number]],'Multi-level BOM'!F$3:F$464)</f>
        <v>0</v>
      </c>
      <c r="K83" s="11">
        <f>Table1[[#This Row],[extended quantity]]*(Table1[[#This Row],[Cost ]]+Table1[[#This Row],[shipping]]+Table1[[#This Row],[Tax]])</f>
        <v>0</v>
      </c>
      <c r="L83" s="11"/>
      <c r="M83" s="42"/>
      <c r="N83" s="53" t="e">
        <f>CEILING((Table1[[#This Row],[extended quantity]]-Table1[[#This Row],[quantity on-hand]])/Table1[[#This Row],[Minimum order quantity]],1)*Table1[[#This Row],[Minimum order quantity]]</f>
        <v>#DIV/0!</v>
      </c>
      <c r="O83" s="53" t="e">
        <f>Table1[[#This Row],[Order quantity]]+Table1[[#This Row],[quantity on-hand]]-Table1[[#This Row],[extended quantity]]</f>
        <v>#DIV/0!</v>
      </c>
      <c r="P83" s="11">
        <f>IFERROR(Table1[[#This Row],[Order quantity]]*(Table1[[#This Row],[Cost ]]+Table1[[#This Row],[shipping]]+Table1[[#This Row],[Tax]]),0)</f>
        <v>0</v>
      </c>
      <c r="Q83" s="38">
        <f>IFERROR(Table1[[#This Row],[leftover material]]*(Table1[[#This Row],[Cost ]]+Table1[[#This Row],[shipping]]+Table1[[#This Row],[Tax]]),0)</f>
        <v>0</v>
      </c>
      <c r="R83" s="38"/>
    </row>
    <row r="84" spans="1:18" x14ac:dyDescent="0.25">
      <c r="A84" s="1" t="s">
        <v>87</v>
      </c>
      <c r="B84" s="4"/>
      <c r="F84" s="3">
        <f>9%*Table1[[#This Row],[Cost ]]</f>
        <v>0</v>
      </c>
      <c r="J84" s="11">
        <f>SUMIF('Multi-level BOM'!C$3:C$464,Table1[[#This Row],[Part Number]],'Multi-level BOM'!F$3:F$464)</f>
        <v>0</v>
      </c>
      <c r="K84" s="11">
        <f>Table1[[#This Row],[extended quantity]]*(Table1[[#This Row],[Cost ]]+Table1[[#This Row],[shipping]]+Table1[[#This Row],[Tax]])</f>
        <v>0</v>
      </c>
      <c r="L84" s="11"/>
      <c r="M84" s="42"/>
      <c r="N84" s="53" t="e">
        <f>CEILING((Table1[[#This Row],[extended quantity]]-Table1[[#This Row],[quantity on-hand]])/Table1[[#This Row],[Minimum order quantity]],1)*Table1[[#This Row],[Minimum order quantity]]</f>
        <v>#DIV/0!</v>
      </c>
      <c r="O84" s="53" t="e">
        <f>Table1[[#This Row],[Order quantity]]+Table1[[#This Row],[quantity on-hand]]-Table1[[#This Row],[extended quantity]]</f>
        <v>#DIV/0!</v>
      </c>
      <c r="P84" s="11">
        <f>IFERROR(Table1[[#This Row],[Order quantity]]*(Table1[[#This Row],[Cost ]]+Table1[[#This Row],[shipping]]+Table1[[#This Row],[Tax]]),0)</f>
        <v>0</v>
      </c>
      <c r="Q84" s="38">
        <f>IFERROR(Table1[[#This Row],[leftover material]]*(Table1[[#This Row],[Cost ]]+Table1[[#This Row],[shipping]]+Table1[[#This Row],[Tax]]),0)</f>
        <v>0</v>
      </c>
      <c r="R84" s="38"/>
    </row>
    <row r="85" spans="1:18" x14ac:dyDescent="0.25">
      <c r="A85" s="1" t="s">
        <v>88</v>
      </c>
      <c r="B85" s="4"/>
      <c r="F85" s="3">
        <f>9%*Table1[[#This Row],[Cost ]]</f>
        <v>0</v>
      </c>
      <c r="J85" s="11">
        <f>SUMIF('Multi-level BOM'!C$3:C$464,Table1[[#This Row],[Part Number]],'Multi-level BOM'!F$3:F$464)</f>
        <v>0</v>
      </c>
      <c r="K85" s="11">
        <f>Table1[[#This Row],[extended quantity]]*(Table1[[#This Row],[Cost ]]+Table1[[#This Row],[shipping]]+Table1[[#This Row],[Tax]])</f>
        <v>0</v>
      </c>
      <c r="L85" s="11"/>
      <c r="M85" s="42"/>
      <c r="N85" s="53" t="e">
        <f>CEILING((Table1[[#This Row],[extended quantity]]-Table1[[#This Row],[quantity on-hand]])/Table1[[#This Row],[Minimum order quantity]],1)*Table1[[#This Row],[Minimum order quantity]]</f>
        <v>#DIV/0!</v>
      </c>
      <c r="O85" s="53" t="e">
        <f>Table1[[#This Row],[Order quantity]]+Table1[[#This Row],[quantity on-hand]]-Table1[[#This Row],[extended quantity]]</f>
        <v>#DIV/0!</v>
      </c>
      <c r="P85" s="11">
        <f>IFERROR(Table1[[#This Row],[Order quantity]]*(Table1[[#This Row],[Cost ]]+Table1[[#This Row],[shipping]]+Table1[[#This Row],[Tax]]),0)</f>
        <v>0</v>
      </c>
      <c r="Q85" s="38">
        <f>IFERROR(Table1[[#This Row],[leftover material]]*(Table1[[#This Row],[Cost ]]+Table1[[#This Row],[shipping]]+Table1[[#This Row],[Tax]]),0)</f>
        <v>0</v>
      </c>
      <c r="R85" s="38"/>
    </row>
    <row r="86" spans="1:18" x14ac:dyDescent="0.25">
      <c r="A86" s="1" t="s">
        <v>89</v>
      </c>
      <c r="B86" s="4"/>
      <c r="F86" s="3">
        <f>9%*Table1[[#This Row],[Cost ]]</f>
        <v>0</v>
      </c>
      <c r="J86" s="11">
        <f>SUMIF('Multi-level BOM'!C$3:C$464,Table1[[#This Row],[Part Number]],'Multi-level BOM'!F$3:F$464)</f>
        <v>0</v>
      </c>
      <c r="K86" s="11">
        <f>Table1[[#This Row],[extended quantity]]*(Table1[[#This Row],[Cost ]]+Table1[[#This Row],[shipping]]+Table1[[#This Row],[Tax]])</f>
        <v>0</v>
      </c>
      <c r="L86" s="11"/>
      <c r="M86" s="42"/>
      <c r="N86" s="53" t="e">
        <f>CEILING((Table1[[#This Row],[extended quantity]]-Table1[[#This Row],[quantity on-hand]])/Table1[[#This Row],[Minimum order quantity]],1)*Table1[[#This Row],[Minimum order quantity]]</f>
        <v>#DIV/0!</v>
      </c>
      <c r="O86" s="53" t="e">
        <f>Table1[[#This Row],[Order quantity]]+Table1[[#This Row],[quantity on-hand]]-Table1[[#This Row],[extended quantity]]</f>
        <v>#DIV/0!</v>
      </c>
      <c r="P86" s="11">
        <f>IFERROR(Table1[[#This Row],[Order quantity]]*(Table1[[#This Row],[Cost ]]+Table1[[#This Row],[shipping]]+Table1[[#This Row],[Tax]]),0)</f>
        <v>0</v>
      </c>
      <c r="Q86" s="38">
        <f>IFERROR(Table1[[#This Row],[leftover material]]*(Table1[[#This Row],[Cost ]]+Table1[[#This Row],[shipping]]+Table1[[#This Row],[Tax]]),0)</f>
        <v>0</v>
      </c>
      <c r="R86" s="38"/>
    </row>
    <row r="87" spans="1:18" x14ac:dyDescent="0.25">
      <c r="A87" s="1" t="s">
        <v>90</v>
      </c>
      <c r="B87" s="4"/>
      <c r="F87" s="3">
        <f>9%*Table1[[#This Row],[Cost ]]</f>
        <v>0</v>
      </c>
      <c r="J87" s="11">
        <f>SUMIF('Multi-level BOM'!C$3:C$464,Table1[[#This Row],[Part Number]],'Multi-level BOM'!F$3:F$464)</f>
        <v>0</v>
      </c>
      <c r="K87" s="11">
        <f>Table1[[#This Row],[extended quantity]]*(Table1[[#This Row],[Cost ]]+Table1[[#This Row],[shipping]]+Table1[[#This Row],[Tax]])</f>
        <v>0</v>
      </c>
      <c r="L87" s="11"/>
      <c r="M87" s="42"/>
      <c r="N87" s="53" t="e">
        <f>CEILING((Table1[[#This Row],[extended quantity]]-Table1[[#This Row],[quantity on-hand]])/Table1[[#This Row],[Minimum order quantity]],1)*Table1[[#This Row],[Minimum order quantity]]</f>
        <v>#DIV/0!</v>
      </c>
      <c r="O87" s="53" t="e">
        <f>Table1[[#This Row],[Order quantity]]+Table1[[#This Row],[quantity on-hand]]-Table1[[#This Row],[extended quantity]]</f>
        <v>#DIV/0!</v>
      </c>
      <c r="P87" s="11">
        <f>IFERROR(Table1[[#This Row],[Order quantity]]*(Table1[[#This Row],[Cost ]]+Table1[[#This Row],[shipping]]+Table1[[#This Row],[Tax]]),0)</f>
        <v>0</v>
      </c>
      <c r="Q87" s="38">
        <f>IFERROR(Table1[[#This Row],[leftover material]]*(Table1[[#This Row],[Cost ]]+Table1[[#This Row],[shipping]]+Table1[[#This Row],[Tax]]),0)</f>
        <v>0</v>
      </c>
      <c r="R87" s="38"/>
    </row>
    <row r="88" spans="1:18" x14ac:dyDescent="0.25">
      <c r="A88" s="1" t="s">
        <v>91</v>
      </c>
      <c r="B88" s="4"/>
      <c r="F88" s="3">
        <f>9%*Table1[[#This Row],[Cost ]]</f>
        <v>0</v>
      </c>
      <c r="J88" s="11">
        <f>SUMIF('Multi-level BOM'!C$3:C$464,Table1[[#This Row],[Part Number]],'Multi-level BOM'!F$3:F$464)</f>
        <v>0</v>
      </c>
      <c r="K88" s="11">
        <f>Table1[[#This Row],[extended quantity]]*(Table1[[#This Row],[Cost ]]+Table1[[#This Row],[shipping]]+Table1[[#This Row],[Tax]])</f>
        <v>0</v>
      </c>
      <c r="L88" s="11"/>
      <c r="M88" s="42"/>
      <c r="N88" s="53" t="e">
        <f>CEILING((Table1[[#This Row],[extended quantity]]-Table1[[#This Row],[quantity on-hand]])/Table1[[#This Row],[Minimum order quantity]],1)*Table1[[#This Row],[Minimum order quantity]]</f>
        <v>#DIV/0!</v>
      </c>
      <c r="O88" s="53" t="e">
        <f>Table1[[#This Row],[Order quantity]]+Table1[[#This Row],[quantity on-hand]]-Table1[[#This Row],[extended quantity]]</f>
        <v>#DIV/0!</v>
      </c>
      <c r="P88" s="11">
        <f>IFERROR(Table1[[#This Row],[Order quantity]]*(Table1[[#This Row],[Cost ]]+Table1[[#This Row],[shipping]]+Table1[[#This Row],[Tax]]),0)</f>
        <v>0</v>
      </c>
      <c r="Q88" s="38">
        <f>IFERROR(Table1[[#This Row],[leftover material]]*(Table1[[#This Row],[Cost ]]+Table1[[#This Row],[shipping]]+Table1[[#This Row],[Tax]]),0)</f>
        <v>0</v>
      </c>
      <c r="R88" s="38"/>
    </row>
    <row r="89" spans="1:18" x14ac:dyDescent="0.25">
      <c r="A89" s="1" t="s">
        <v>92</v>
      </c>
      <c r="B89" s="4"/>
      <c r="F89" s="3">
        <f>9%*Table1[[#This Row],[Cost ]]</f>
        <v>0</v>
      </c>
      <c r="J89" s="11">
        <f>SUMIF('Multi-level BOM'!C$3:C$464,Table1[[#This Row],[Part Number]],'Multi-level BOM'!F$3:F$464)</f>
        <v>0</v>
      </c>
      <c r="K89" s="11">
        <f>Table1[[#This Row],[extended quantity]]*(Table1[[#This Row],[Cost ]]+Table1[[#This Row],[shipping]]+Table1[[#This Row],[Tax]])</f>
        <v>0</v>
      </c>
      <c r="L89" s="11"/>
      <c r="M89" s="42"/>
      <c r="N89" s="53" t="e">
        <f>CEILING((Table1[[#This Row],[extended quantity]]-Table1[[#This Row],[quantity on-hand]])/Table1[[#This Row],[Minimum order quantity]],1)*Table1[[#This Row],[Minimum order quantity]]</f>
        <v>#DIV/0!</v>
      </c>
      <c r="O89" s="53" t="e">
        <f>Table1[[#This Row],[Order quantity]]+Table1[[#This Row],[quantity on-hand]]-Table1[[#This Row],[extended quantity]]</f>
        <v>#DIV/0!</v>
      </c>
      <c r="P89" s="11">
        <f>IFERROR(Table1[[#This Row],[Order quantity]]*(Table1[[#This Row],[Cost ]]+Table1[[#This Row],[shipping]]+Table1[[#This Row],[Tax]]),0)</f>
        <v>0</v>
      </c>
      <c r="Q89" s="38">
        <f>IFERROR(Table1[[#This Row],[leftover material]]*(Table1[[#This Row],[Cost ]]+Table1[[#This Row],[shipping]]+Table1[[#This Row],[Tax]]),0)</f>
        <v>0</v>
      </c>
      <c r="R89" s="38"/>
    </row>
    <row r="90" spans="1:18" x14ac:dyDescent="0.25">
      <c r="A90" s="1" t="s">
        <v>93</v>
      </c>
      <c r="B90" s="4"/>
      <c r="F90" s="3">
        <f>9%*Table1[[#This Row],[Cost ]]</f>
        <v>0</v>
      </c>
      <c r="J90" s="11">
        <f>SUMIF('Multi-level BOM'!C$3:C$464,Table1[[#This Row],[Part Number]],'Multi-level BOM'!F$3:F$464)</f>
        <v>0</v>
      </c>
      <c r="K90" s="11">
        <f>Table1[[#This Row],[extended quantity]]*(Table1[[#This Row],[Cost ]]+Table1[[#This Row],[shipping]]+Table1[[#This Row],[Tax]])</f>
        <v>0</v>
      </c>
      <c r="L90" s="11"/>
      <c r="M90" s="42"/>
      <c r="N90" s="53" t="e">
        <f>CEILING((Table1[[#This Row],[extended quantity]]-Table1[[#This Row],[quantity on-hand]])/Table1[[#This Row],[Minimum order quantity]],1)*Table1[[#This Row],[Minimum order quantity]]</f>
        <v>#DIV/0!</v>
      </c>
      <c r="O90" s="53" t="e">
        <f>Table1[[#This Row],[Order quantity]]+Table1[[#This Row],[quantity on-hand]]-Table1[[#This Row],[extended quantity]]</f>
        <v>#DIV/0!</v>
      </c>
      <c r="P90" s="11">
        <f>IFERROR(Table1[[#This Row],[Order quantity]]*(Table1[[#This Row],[Cost ]]+Table1[[#This Row],[shipping]]+Table1[[#This Row],[Tax]]),0)</f>
        <v>0</v>
      </c>
      <c r="Q90" s="38">
        <f>IFERROR(Table1[[#This Row],[leftover material]]*(Table1[[#This Row],[Cost ]]+Table1[[#This Row],[shipping]]+Table1[[#This Row],[Tax]]),0)</f>
        <v>0</v>
      </c>
      <c r="R90" s="38"/>
    </row>
    <row r="91" spans="1:18" x14ac:dyDescent="0.25">
      <c r="A91" s="1" t="s">
        <v>94</v>
      </c>
      <c r="B91" s="4"/>
      <c r="F91" s="3">
        <f>9%*Table1[[#This Row],[Cost ]]</f>
        <v>0</v>
      </c>
      <c r="J91" s="11">
        <f>SUMIF('Multi-level BOM'!C$3:C$464,Table1[[#This Row],[Part Number]],'Multi-level BOM'!F$3:F$464)</f>
        <v>0</v>
      </c>
      <c r="K91" s="11">
        <f>Table1[[#This Row],[extended quantity]]*(Table1[[#This Row],[Cost ]]+Table1[[#This Row],[shipping]]+Table1[[#This Row],[Tax]])</f>
        <v>0</v>
      </c>
      <c r="L91" s="11"/>
      <c r="M91" s="42"/>
      <c r="N91" s="53" t="e">
        <f>CEILING((Table1[[#This Row],[extended quantity]]-Table1[[#This Row],[quantity on-hand]])/Table1[[#This Row],[Minimum order quantity]],1)*Table1[[#This Row],[Minimum order quantity]]</f>
        <v>#DIV/0!</v>
      </c>
      <c r="O91" s="53" t="e">
        <f>Table1[[#This Row],[Order quantity]]+Table1[[#This Row],[quantity on-hand]]-Table1[[#This Row],[extended quantity]]</f>
        <v>#DIV/0!</v>
      </c>
      <c r="P91" s="11">
        <f>IFERROR(Table1[[#This Row],[Order quantity]]*(Table1[[#This Row],[Cost ]]+Table1[[#This Row],[shipping]]+Table1[[#This Row],[Tax]]),0)</f>
        <v>0</v>
      </c>
      <c r="Q91" s="38">
        <f>IFERROR(Table1[[#This Row],[leftover material]]*(Table1[[#This Row],[Cost ]]+Table1[[#This Row],[shipping]]+Table1[[#This Row],[Tax]]),0)</f>
        <v>0</v>
      </c>
      <c r="R91" s="38"/>
    </row>
    <row r="92" spans="1:18" x14ac:dyDescent="0.25">
      <c r="A92" s="1" t="s">
        <v>95</v>
      </c>
      <c r="B92" s="4"/>
      <c r="F92" s="3">
        <f>9%*Table1[[#This Row],[Cost ]]</f>
        <v>0</v>
      </c>
      <c r="J92" s="11">
        <f>SUMIF('Multi-level BOM'!C$3:C$464,Table1[[#This Row],[Part Number]],'Multi-level BOM'!F$3:F$464)</f>
        <v>0</v>
      </c>
      <c r="K92" s="11">
        <f>Table1[[#This Row],[extended quantity]]*(Table1[[#This Row],[Cost ]]+Table1[[#This Row],[shipping]]+Table1[[#This Row],[Tax]])</f>
        <v>0</v>
      </c>
      <c r="L92" s="11"/>
      <c r="M92" s="42"/>
      <c r="N92" s="53" t="e">
        <f>CEILING((Table1[[#This Row],[extended quantity]]-Table1[[#This Row],[quantity on-hand]])/Table1[[#This Row],[Minimum order quantity]],1)*Table1[[#This Row],[Minimum order quantity]]</f>
        <v>#DIV/0!</v>
      </c>
      <c r="O92" s="53" t="e">
        <f>Table1[[#This Row],[Order quantity]]+Table1[[#This Row],[quantity on-hand]]-Table1[[#This Row],[extended quantity]]</f>
        <v>#DIV/0!</v>
      </c>
      <c r="P92" s="11">
        <f>IFERROR(Table1[[#This Row],[Order quantity]]*(Table1[[#This Row],[Cost ]]+Table1[[#This Row],[shipping]]+Table1[[#This Row],[Tax]]),0)</f>
        <v>0</v>
      </c>
      <c r="Q92" s="38">
        <f>IFERROR(Table1[[#This Row],[leftover material]]*(Table1[[#This Row],[Cost ]]+Table1[[#This Row],[shipping]]+Table1[[#This Row],[Tax]]),0)</f>
        <v>0</v>
      </c>
      <c r="R92" s="38"/>
    </row>
    <row r="93" spans="1:18" x14ac:dyDescent="0.25">
      <c r="A93" s="1" t="s">
        <v>96</v>
      </c>
      <c r="B93" s="4"/>
      <c r="F93" s="3">
        <f>9%*Table1[[#This Row],[Cost ]]</f>
        <v>0</v>
      </c>
      <c r="J93" s="11">
        <f>SUMIF('Multi-level BOM'!C$3:C$464,Table1[[#This Row],[Part Number]],'Multi-level BOM'!F$3:F$464)</f>
        <v>0</v>
      </c>
      <c r="K93" s="11">
        <f>Table1[[#This Row],[extended quantity]]*(Table1[[#This Row],[Cost ]]+Table1[[#This Row],[shipping]]+Table1[[#This Row],[Tax]])</f>
        <v>0</v>
      </c>
      <c r="L93" s="11"/>
      <c r="M93" s="42"/>
      <c r="N93" s="53" t="e">
        <f>CEILING((Table1[[#This Row],[extended quantity]]-Table1[[#This Row],[quantity on-hand]])/Table1[[#This Row],[Minimum order quantity]],1)*Table1[[#This Row],[Minimum order quantity]]</f>
        <v>#DIV/0!</v>
      </c>
      <c r="O93" s="53" t="e">
        <f>Table1[[#This Row],[Order quantity]]+Table1[[#This Row],[quantity on-hand]]-Table1[[#This Row],[extended quantity]]</f>
        <v>#DIV/0!</v>
      </c>
      <c r="P93" s="11">
        <f>IFERROR(Table1[[#This Row],[Order quantity]]*(Table1[[#This Row],[Cost ]]+Table1[[#This Row],[shipping]]+Table1[[#This Row],[Tax]]),0)</f>
        <v>0</v>
      </c>
      <c r="Q93" s="38">
        <f>IFERROR(Table1[[#This Row],[leftover material]]*(Table1[[#This Row],[Cost ]]+Table1[[#This Row],[shipping]]+Table1[[#This Row],[Tax]]),0)</f>
        <v>0</v>
      </c>
      <c r="R93" s="38"/>
    </row>
    <row r="94" spans="1:18" x14ac:dyDescent="0.25">
      <c r="A94" s="1" t="s">
        <v>97</v>
      </c>
      <c r="B94" s="4"/>
      <c r="F94" s="3">
        <f>9%*Table1[[#This Row],[Cost ]]</f>
        <v>0</v>
      </c>
      <c r="J94" s="11">
        <f>SUMIF('Multi-level BOM'!C$3:C$464,Table1[[#This Row],[Part Number]],'Multi-level BOM'!F$3:F$464)</f>
        <v>0</v>
      </c>
      <c r="K94" s="11">
        <f>Table1[[#This Row],[extended quantity]]*(Table1[[#This Row],[Cost ]]+Table1[[#This Row],[shipping]]+Table1[[#This Row],[Tax]])</f>
        <v>0</v>
      </c>
      <c r="L94" s="11"/>
      <c r="M94" s="42"/>
      <c r="N94" s="53" t="e">
        <f>CEILING((Table1[[#This Row],[extended quantity]]-Table1[[#This Row],[quantity on-hand]])/Table1[[#This Row],[Minimum order quantity]],1)*Table1[[#This Row],[Minimum order quantity]]</f>
        <v>#DIV/0!</v>
      </c>
      <c r="O94" s="53" t="e">
        <f>Table1[[#This Row],[Order quantity]]+Table1[[#This Row],[quantity on-hand]]-Table1[[#This Row],[extended quantity]]</f>
        <v>#DIV/0!</v>
      </c>
      <c r="P94" s="11">
        <f>IFERROR(Table1[[#This Row],[Order quantity]]*(Table1[[#This Row],[Cost ]]+Table1[[#This Row],[shipping]]+Table1[[#This Row],[Tax]]),0)</f>
        <v>0</v>
      </c>
      <c r="Q94" s="38">
        <f>IFERROR(Table1[[#This Row],[leftover material]]*(Table1[[#This Row],[Cost ]]+Table1[[#This Row],[shipping]]+Table1[[#This Row],[Tax]]),0)</f>
        <v>0</v>
      </c>
      <c r="R94" s="38"/>
    </row>
    <row r="95" spans="1:18" x14ac:dyDescent="0.25">
      <c r="A95" s="1" t="s">
        <v>98</v>
      </c>
      <c r="B95" s="4"/>
      <c r="F95" s="3">
        <f>9%*Table1[[#This Row],[Cost ]]</f>
        <v>0</v>
      </c>
      <c r="J95" s="11">
        <f>SUMIF('Multi-level BOM'!C$3:C$464,Table1[[#This Row],[Part Number]],'Multi-level BOM'!F$3:F$464)</f>
        <v>0</v>
      </c>
      <c r="K95" s="11">
        <f>Table1[[#This Row],[extended quantity]]*(Table1[[#This Row],[Cost ]]+Table1[[#This Row],[shipping]]+Table1[[#This Row],[Tax]])</f>
        <v>0</v>
      </c>
      <c r="L95" s="11"/>
      <c r="M95" s="42"/>
      <c r="N95" s="53" t="e">
        <f>CEILING((Table1[[#This Row],[extended quantity]]-Table1[[#This Row],[quantity on-hand]])/Table1[[#This Row],[Minimum order quantity]],1)*Table1[[#This Row],[Minimum order quantity]]</f>
        <v>#DIV/0!</v>
      </c>
      <c r="O95" s="53" t="e">
        <f>Table1[[#This Row],[Order quantity]]+Table1[[#This Row],[quantity on-hand]]-Table1[[#This Row],[extended quantity]]</f>
        <v>#DIV/0!</v>
      </c>
      <c r="P95" s="11">
        <f>IFERROR(Table1[[#This Row],[Order quantity]]*(Table1[[#This Row],[Cost ]]+Table1[[#This Row],[shipping]]+Table1[[#This Row],[Tax]]),0)</f>
        <v>0</v>
      </c>
      <c r="Q95" s="38">
        <f>IFERROR(Table1[[#This Row],[leftover material]]*(Table1[[#This Row],[Cost ]]+Table1[[#This Row],[shipping]]+Table1[[#This Row],[Tax]]),0)</f>
        <v>0</v>
      </c>
      <c r="R95" s="38"/>
    </row>
    <row r="96" spans="1:18" x14ac:dyDescent="0.25">
      <c r="A96" s="1" t="s">
        <v>99</v>
      </c>
      <c r="B96" s="4"/>
      <c r="F96" s="3">
        <f>9%*Table1[[#This Row],[Cost ]]</f>
        <v>0</v>
      </c>
      <c r="J96" s="11">
        <f>SUMIF('Multi-level BOM'!C$3:C$464,Table1[[#This Row],[Part Number]],'Multi-level BOM'!F$3:F$464)</f>
        <v>0</v>
      </c>
      <c r="K96" s="11">
        <f>Table1[[#This Row],[extended quantity]]*(Table1[[#This Row],[Cost ]]+Table1[[#This Row],[shipping]]+Table1[[#This Row],[Tax]])</f>
        <v>0</v>
      </c>
      <c r="L96" s="11"/>
      <c r="M96" s="42"/>
      <c r="N96" s="53" t="e">
        <f>CEILING((Table1[[#This Row],[extended quantity]]-Table1[[#This Row],[quantity on-hand]])/Table1[[#This Row],[Minimum order quantity]],1)*Table1[[#This Row],[Minimum order quantity]]</f>
        <v>#DIV/0!</v>
      </c>
      <c r="O96" s="53" t="e">
        <f>Table1[[#This Row],[Order quantity]]+Table1[[#This Row],[quantity on-hand]]-Table1[[#This Row],[extended quantity]]</f>
        <v>#DIV/0!</v>
      </c>
      <c r="P96" s="11">
        <f>IFERROR(Table1[[#This Row],[Order quantity]]*(Table1[[#This Row],[Cost ]]+Table1[[#This Row],[shipping]]+Table1[[#This Row],[Tax]]),0)</f>
        <v>0</v>
      </c>
      <c r="Q96" s="38">
        <f>IFERROR(Table1[[#This Row],[leftover material]]*(Table1[[#This Row],[Cost ]]+Table1[[#This Row],[shipping]]+Table1[[#This Row],[Tax]]),0)</f>
        <v>0</v>
      </c>
      <c r="R96" s="38"/>
    </row>
    <row r="97" spans="1:18" x14ac:dyDescent="0.25">
      <c r="A97" s="1" t="s">
        <v>100</v>
      </c>
      <c r="B97" s="4"/>
      <c r="F97" s="3">
        <f>9%*Table1[[#This Row],[Cost ]]</f>
        <v>0</v>
      </c>
      <c r="J97" s="11">
        <f>SUMIF('Multi-level BOM'!C$3:C$464,Table1[[#This Row],[Part Number]],'Multi-level BOM'!F$3:F$464)</f>
        <v>0</v>
      </c>
      <c r="K97" s="11">
        <f>Table1[[#This Row],[extended quantity]]*(Table1[[#This Row],[Cost ]]+Table1[[#This Row],[shipping]]+Table1[[#This Row],[Tax]])</f>
        <v>0</v>
      </c>
      <c r="L97" s="11"/>
      <c r="M97" s="42"/>
      <c r="N97" s="53" t="e">
        <f>CEILING((Table1[[#This Row],[extended quantity]]-Table1[[#This Row],[quantity on-hand]])/Table1[[#This Row],[Minimum order quantity]],1)*Table1[[#This Row],[Minimum order quantity]]</f>
        <v>#DIV/0!</v>
      </c>
      <c r="O97" s="53" t="e">
        <f>Table1[[#This Row],[Order quantity]]+Table1[[#This Row],[quantity on-hand]]-Table1[[#This Row],[extended quantity]]</f>
        <v>#DIV/0!</v>
      </c>
      <c r="P97" s="11">
        <f>IFERROR(Table1[[#This Row],[Order quantity]]*(Table1[[#This Row],[Cost ]]+Table1[[#This Row],[shipping]]+Table1[[#This Row],[Tax]]),0)</f>
        <v>0</v>
      </c>
      <c r="Q97" s="38">
        <f>IFERROR(Table1[[#This Row],[leftover material]]*(Table1[[#This Row],[Cost ]]+Table1[[#This Row],[shipping]]+Table1[[#This Row],[Tax]]),0)</f>
        <v>0</v>
      </c>
      <c r="R97" s="38"/>
    </row>
    <row r="98" spans="1:18" x14ac:dyDescent="0.25">
      <c r="A98" s="1" t="s">
        <v>101</v>
      </c>
      <c r="B98" s="4"/>
      <c r="F98" s="3">
        <f>9%*Table1[[#This Row],[Cost ]]</f>
        <v>0</v>
      </c>
      <c r="J98" s="11">
        <f>SUMIF('Multi-level BOM'!C$3:C$464,Table1[[#This Row],[Part Number]],'Multi-level BOM'!F$3:F$464)</f>
        <v>0</v>
      </c>
      <c r="K98" s="11">
        <f>Table1[[#This Row],[extended quantity]]*(Table1[[#This Row],[Cost ]]+Table1[[#This Row],[shipping]]+Table1[[#This Row],[Tax]])</f>
        <v>0</v>
      </c>
      <c r="L98" s="11"/>
      <c r="M98" s="42"/>
      <c r="N98" s="53" t="e">
        <f>CEILING((Table1[[#This Row],[extended quantity]]-Table1[[#This Row],[quantity on-hand]])/Table1[[#This Row],[Minimum order quantity]],1)*Table1[[#This Row],[Minimum order quantity]]</f>
        <v>#DIV/0!</v>
      </c>
      <c r="O98" s="53" t="e">
        <f>Table1[[#This Row],[Order quantity]]+Table1[[#This Row],[quantity on-hand]]-Table1[[#This Row],[extended quantity]]</f>
        <v>#DIV/0!</v>
      </c>
      <c r="P98" s="11">
        <f>IFERROR(Table1[[#This Row],[Order quantity]]*(Table1[[#This Row],[Cost ]]+Table1[[#This Row],[shipping]]+Table1[[#This Row],[Tax]]),0)</f>
        <v>0</v>
      </c>
      <c r="Q98" s="38">
        <f>IFERROR(Table1[[#This Row],[leftover material]]*(Table1[[#This Row],[Cost ]]+Table1[[#This Row],[shipping]]+Table1[[#This Row],[Tax]]),0)</f>
        <v>0</v>
      </c>
      <c r="R98" s="38"/>
    </row>
    <row r="99" spans="1:18" x14ac:dyDescent="0.25">
      <c r="A99" s="1" t="s">
        <v>102</v>
      </c>
      <c r="B99" s="4"/>
      <c r="F99" s="3">
        <f>9%*Table1[[#This Row],[Cost ]]</f>
        <v>0</v>
      </c>
      <c r="J99" s="11">
        <f>SUMIF('Multi-level BOM'!C$3:C$464,Table1[[#This Row],[Part Number]],'Multi-level BOM'!F$3:F$464)</f>
        <v>0</v>
      </c>
      <c r="K99" s="11">
        <f>Table1[[#This Row],[extended quantity]]*(Table1[[#This Row],[Cost ]]+Table1[[#This Row],[shipping]]+Table1[[#This Row],[Tax]])</f>
        <v>0</v>
      </c>
      <c r="L99" s="11"/>
      <c r="M99" s="42"/>
      <c r="N99" s="53" t="e">
        <f>CEILING((Table1[[#This Row],[extended quantity]]-Table1[[#This Row],[quantity on-hand]])/Table1[[#This Row],[Minimum order quantity]],1)*Table1[[#This Row],[Minimum order quantity]]</f>
        <v>#DIV/0!</v>
      </c>
      <c r="O99" s="53" t="e">
        <f>Table1[[#This Row],[Order quantity]]+Table1[[#This Row],[quantity on-hand]]-Table1[[#This Row],[extended quantity]]</f>
        <v>#DIV/0!</v>
      </c>
      <c r="P99" s="11">
        <f>IFERROR(Table1[[#This Row],[Order quantity]]*(Table1[[#This Row],[Cost ]]+Table1[[#This Row],[shipping]]+Table1[[#This Row],[Tax]]),0)</f>
        <v>0</v>
      </c>
      <c r="Q99" s="38">
        <f>IFERROR(Table1[[#This Row],[leftover material]]*(Table1[[#This Row],[Cost ]]+Table1[[#This Row],[shipping]]+Table1[[#This Row],[Tax]]),0)</f>
        <v>0</v>
      </c>
      <c r="R99" s="38"/>
    </row>
    <row r="100" spans="1:18" x14ac:dyDescent="0.25">
      <c r="A100" s="1" t="s">
        <v>103</v>
      </c>
      <c r="B100" s="4"/>
      <c r="F100" s="3">
        <f>9%*Table1[[#This Row],[Cost ]]</f>
        <v>0</v>
      </c>
      <c r="J100" s="11">
        <f>SUMIF('Multi-level BOM'!C$3:C$464,Table1[[#This Row],[Part Number]],'Multi-level BOM'!F$3:F$464)</f>
        <v>0</v>
      </c>
      <c r="K100" s="11">
        <f>Table1[[#This Row],[extended quantity]]*(Table1[[#This Row],[Cost ]]+Table1[[#This Row],[shipping]]+Table1[[#This Row],[Tax]])</f>
        <v>0</v>
      </c>
      <c r="L100" s="11"/>
      <c r="M100" s="42"/>
      <c r="N100" s="53" t="e">
        <f>CEILING((Table1[[#This Row],[extended quantity]]-Table1[[#This Row],[quantity on-hand]])/Table1[[#This Row],[Minimum order quantity]],1)*Table1[[#This Row],[Minimum order quantity]]</f>
        <v>#DIV/0!</v>
      </c>
      <c r="O100" s="53" t="e">
        <f>Table1[[#This Row],[Order quantity]]+Table1[[#This Row],[quantity on-hand]]-Table1[[#This Row],[extended quantity]]</f>
        <v>#DIV/0!</v>
      </c>
      <c r="P100" s="11">
        <f>IFERROR(Table1[[#This Row],[Order quantity]]*(Table1[[#This Row],[Cost ]]+Table1[[#This Row],[shipping]]+Table1[[#This Row],[Tax]]),0)</f>
        <v>0</v>
      </c>
      <c r="Q100" s="38">
        <f>IFERROR(Table1[[#This Row],[leftover material]]*(Table1[[#This Row],[Cost ]]+Table1[[#This Row],[shipping]]+Table1[[#This Row],[Tax]]),0)</f>
        <v>0</v>
      </c>
      <c r="R100" s="38"/>
    </row>
    <row r="101" spans="1:18" x14ac:dyDescent="0.25">
      <c r="A101" s="1" t="s">
        <v>104</v>
      </c>
      <c r="B101" s="4"/>
      <c r="F101" s="3">
        <f>9%*Table1[[#This Row],[Cost ]]</f>
        <v>0</v>
      </c>
      <c r="J101" s="11">
        <f>SUMIF('Multi-level BOM'!C$3:C$464,Table1[[#This Row],[Part Number]],'Multi-level BOM'!F$3:F$464)</f>
        <v>0</v>
      </c>
      <c r="K101" s="11">
        <f>Table1[[#This Row],[extended quantity]]*(Table1[[#This Row],[Cost ]]+Table1[[#This Row],[shipping]]+Table1[[#This Row],[Tax]])</f>
        <v>0</v>
      </c>
      <c r="L101" s="11"/>
      <c r="M101" s="42"/>
      <c r="N101" s="53" t="e">
        <f>CEILING((Table1[[#This Row],[extended quantity]]-Table1[[#This Row],[quantity on-hand]])/Table1[[#This Row],[Minimum order quantity]],1)*Table1[[#This Row],[Minimum order quantity]]</f>
        <v>#DIV/0!</v>
      </c>
      <c r="O101" s="53" t="e">
        <f>Table1[[#This Row],[Order quantity]]+Table1[[#This Row],[quantity on-hand]]-Table1[[#This Row],[extended quantity]]</f>
        <v>#DIV/0!</v>
      </c>
      <c r="P101" s="11">
        <f>IFERROR(Table1[[#This Row],[Order quantity]]*(Table1[[#This Row],[Cost ]]+Table1[[#This Row],[shipping]]+Table1[[#This Row],[Tax]]),0)</f>
        <v>0</v>
      </c>
      <c r="Q101" s="38">
        <f>IFERROR(Table1[[#This Row],[leftover material]]*(Table1[[#This Row],[Cost ]]+Table1[[#This Row],[shipping]]+Table1[[#This Row],[Tax]]),0)</f>
        <v>0</v>
      </c>
      <c r="R101" s="38"/>
    </row>
    <row r="102" spans="1:18" x14ac:dyDescent="0.25">
      <c r="A102" s="1" t="s">
        <v>105</v>
      </c>
      <c r="B102" s="4"/>
      <c r="F102" s="3">
        <f>9%*Table1[[#This Row],[Cost ]]</f>
        <v>0</v>
      </c>
      <c r="J102" s="11">
        <f>SUMIF('Multi-level BOM'!C$3:C$464,Table1[[#This Row],[Part Number]],'Multi-level BOM'!F$3:F$464)</f>
        <v>0</v>
      </c>
      <c r="K102" s="11">
        <f>Table1[[#This Row],[extended quantity]]*(Table1[[#This Row],[Cost ]]+Table1[[#This Row],[shipping]]+Table1[[#This Row],[Tax]])</f>
        <v>0</v>
      </c>
      <c r="L102" s="11"/>
      <c r="M102" s="42"/>
      <c r="N102" s="53" t="e">
        <f>CEILING((Table1[[#This Row],[extended quantity]]-Table1[[#This Row],[quantity on-hand]])/Table1[[#This Row],[Minimum order quantity]],1)*Table1[[#This Row],[Minimum order quantity]]</f>
        <v>#DIV/0!</v>
      </c>
      <c r="O102" s="53" t="e">
        <f>Table1[[#This Row],[Order quantity]]+Table1[[#This Row],[quantity on-hand]]-Table1[[#This Row],[extended quantity]]</f>
        <v>#DIV/0!</v>
      </c>
      <c r="P102" s="11">
        <f>IFERROR(Table1[[#This Row],[Order quantity]]*(Table1[[#This Row],[Cost ]]+Table1[[#This Row],[shipping]]+Table1[[#This Row],[Tax]]),0)</f>
        <v>0</v>
      </c>
      <c r="Q102" s="38">
        <f>IFERROR(Table1[[#This Row],[leftover material]]*(Table1[[#This Row],[Cost ]]+Table1[[#This Row],[shipping]]+Table1[[#This Row],[Tax]]),0)</f>
        <v>0</v>
      </c>
      <c r="R102" s="38"/>
    </row>
    <row r="103" spans="1:18" x14ac:dyDescent="0.25">
      <c r="A103" s="1" t="s">
        <v>106</v>
      </c>
      <c r="B103" s="4"/>
      <c r="F103" s="3">
        <f>9%*Table1[[#This Row],[Cost ]]</f>
        <v>0</v>
      </c>
      <c r="J103" s="11">
        <f>SUMIF('Multi-level BOM'!C$3:C$464,Table1[[#This Row],[Part Number]],'Multi-level BOM'!F$3:F$464)</f>
        <v>0</v>
      </c>
      <c r="K103" s="11">
        <f>Table1[[#This Row],[extended quantity]]*(Table1[[#This Row],[Cost ]]+Table1[[#This Row],[shipping]]+Table1[[#This Row],[Tax]])</f>
        <v>0</v>
      </c>
      <c r="L103" s="11"/>
      <c r="M103" s="42"/>
      <c r="N103" s="53" t="e">
        <f>CEILING((Table1[[#This Row],[extended quantity]]-Table1[[#This Row],[quantity on-hand]])/Table1[[#This Row],[Minimum order quantity]],1)*Table1[[#This Row],[Minimum order quantity]]</f>
        <v>#DIV/0!</v>
      </c>
      <c r="O103" s="53" t="e">
        <f>Table1[[#This Row],[Order quantity]]+Table1[[#This Row],[quantity on-hand]]-Table1[[#This Row],[extended quantity]]</f>
        <v>#DIV/0!</v>
      </c>
      <c r="P103" s="11">
        <f>IFERROR(Table1[[#This Row],[Order quantity]]*(Table1[[#This Row],[Cost ]]+Table1[[#This Row],[shipping]]+Table1[[#This Row],[Tax]]),0)</f>
        <v>0</v>
      </c>
      <c r="Q103" s="38">
        <f>IFERROR(Table1[[#This Row],[leftover material]]*(Table1[[#This Row],[Cost ]]+Table1[[#This Row],[shipping]]+Table1[[#This Row],[Tax]]),0)</f>
        <v>0</v>
      </c>
      <c r="R103" s="38"/>
    </row>
    <row r="104" spans="1:18" x14ac:dyDescent="0.25">
      <c r="A104" s="1" t="s">
        <v>107</v>
      </c>
      <c r="B104" s="4"/>
      <c r="F104" s="3">
        <f>9%*Table1[[#This Row],[Cost ]]</f>
        <v>0</v>
      </c>
      <c r="J104" s="11">
        <f>SUMIF('Multi-level BOM'!C$3:C$464,Table1[[#This Row],[Part Number]],'Multi-level BOM'!F$3:F$464)</f>
        <v>0</v>
      </c>
      <c r="K104" s="11">
        <f>Table1[[#This Row],[extended quantity]]*(Table1[[#This Row],[Cost ]]+Table1[[#This Row],[shipping]]+Table1[[#This Row],[Tax]])</f>
        <v>0</v>
      </c>
      <c r="L104" s="11"/>
      <c r="M104" s="42"/>
      <c r="N104" s="53" t="e">
        <f>CEILING((Table1[[#This Row],[extended quantity]]-Table1[[#This Row],[quantity on-hand]])/Table1[[#This Row],[Minimum order quantity]],1)*Table1[[#This Row],[Minimum order quantity]]</f>
        <v>#DIV/0!</v>
      </c>
      <c r="O104" s="53" t="e">
        <f>Table1[[#This Row],[Order quantity]]+Table1[[#This Row],[quantity on-hand]]-Table1[[#This Row],[extended quantity]]</f>
        <v>#DIV/0!</v>
      </c>
      <c r="P104" s="11">
        <f>IFERROR(Table1[[#This Row],[Order quantity]]*(Table1[[#This Row],[Cost ]]+Table1[[#This Row],[shipping]]+Table1[[#This Row],[Tax]]),0)</f>
        <v>0</v>
      </c>
      <c r="Q104" s="38">
        <f>IFERROR(Table1[[#This Row],[leftover material]]*(Table1[[#This Row],[Cost ]]+Table1[[#This Row],[shipping]]+Table1[[#This Row],[Tax]]),0)</f>
        <v>0</v>
      </c>
      <c r="R104" s="38"/>
    </row>
    <row r="105" spans="1:18" x14ac:dyDescent="0.25">
      <c r="A105" s="1" t="s">
        <v>108</v>
      </c>
      <c r="B105" s="4"/>
      <c r="F105" s="3">
        <f>9%*Table1[[#This Row],[Cost ]]</f>
        <v>0</v>
      </c>
      <c r="J105" s="11">
        <f>SUMIF('Multi-level BOM'!C$3:C$464,Table1[[#This Row],[Part Number]],'Multi-level BOM'!F$3:F$464)</f>
        <v>0</v>
      </c>
      <c r="K105" s="11">
        <f>Table1[[#This Row],[extended quantity]]*(Table1[[#This Row],[Cost ]]+Table1[[#This Row],[shipping]]+Table1[[#This Row],[Tax]])</f>
        <v>0</v>
      </c>
      <c r="L105" s="11"/>
      <c r="M105" s="42"/>
      <c r="N105" s="53" t="e">
        <f>CEILING((Table1[[#This Row],[extended quantity]]-Table1[[#This Row],[quantity on-hand]])/Table1[[#This Row],[Minimum order quantity]],1)*Table1[[#This Row],[Minimum order quantity]]</f>
        <v>#DIV/0!</v>
      </c>
      <c r="O105" s="53" t="e">
        <f>Table1[[#This Row],[Order quantity]]+Table1[[#This Row],[quantity on-hand]]-Table1[[#This Row],[extended quantity]]</f>
        <v>#DIV/0!</v>
      </c>
      <c r="P105" s="11">
        <f>IFERROR(Table1[[#This Row],[Order quantity]]*(Table1[[#This Row],[Cost ]]+Table1[[#This Row],[shipping]]+Table1[[#This Row],[Tax]]),0)</f>
        <v>0</v>
      </c>
      <c r="Q105" s="38">
        <f>IFERROR(Table1[[#This Row],[leftover material]]*(Table1[[#This Row],[Cost ]]+Table1[[#This Row],[shipping]]+Table1[[#This Row],[Tax]]),0)</f>
        <v>0</v>
      </c>
      <c r="R105" s="38"/>
    </row>
    <row r="106" spans="1:18" x14ac:dyDescent="0.25">
      <c r="A106" s="1" t="s">
        <v>109</v>
      </c>
      <c r="B106" s="4"/>
      <c r="F106" s="3">
        <f>9%*Table1[[#This Row],[Cost ]]</f>
        <v>0</v>
      </c>
      <c r="J106" s="11">
        <f>SUMIF('Multi-level BOM'!C$3:C$464,Table1[[#This Row],[Part Number]],'Multi-level BOM'!F$3:F$464)</f>
        <v>0</v>
      </c>
      <c r="K106" s="11">
        <f>Table1[[#This Row],[extended quantity]]*(Table1[[#This Row],[Cost ]]+Table1[[#This Row],[shipping]]+Table1[[#This Row],[Tax]])</f>
        <v>0</v>
      </c>
      <c r="L106" s="11"/>
      <c r="M106" s="42"/>
      <c r="N106" s="53" t="e">
        <f>CEILING((Table1[[#This Row],[extended quantity]]-Table1[[#This Row],[quantity on-hand]])/Table1[[#This Row],[Minimum order quantity]],1)*Table1[[#This Row],[Minimum order quantity]]</f>
        <v>#DIV/0!</v>
      </c>
      <c r="O106" s="53" t="e">
        <f>Table1[[#This Row],[Order quantity]]+Table1[[#This Row],[quantity on-hand]]-Table1[[#This Row],[extended quantity]]</f>
        <v>#DIV/0!</v>
      </c>
      <c r="P106" s="11">
        <f>IFERROR(Table1[[#This Row],[Order quantity]]*(Table1[[#This Row],[Cost ]]+Table1[[#This Row],[shipping]]+Table1[[#This Row],[Tax]]),0)</f>
        <v>0</v>
      </c>
      <c r="Q106" s="38">
        <f>IFERROR(Table1[[#This Row],[leftover material]]*(Table1[[#This Row],[Cost ]]+Table1[[#This Row],[shipping]]+Table1[[#This Row],[Tax]]),0)</f>
        <v>0</v>
      </c>
      <c r="R106" s="38"/>
    </row>
    <row r="107" spans="1:18" x14ac:dyDescent="0.25">
      <c r="A107" s="1" t="s">
        <v>110</v>
      </c>
      <c r="B107" s="4"/>
      <c r="F107" s="3">
        <f>9%*Table1[[#This Row],[Cost ]]</f>
        <v>0</v>
      </c>
      <c r="J107" s="11">
        <f>SUMIF('Multi-level BOM'!C$3:C$464,Table1[[#This Row],[Part Number]],'Multi-level BOM'!F$3:F$464)</f>
        <v>0</v>
      </c>
      <c r="K107" s="11">
        <f>Table1[[#This Row],[extended quantity]]*(Table1[[#This Row],[Cost ]]+Table1[[#This Row],[shipping]]+Table1[[#This Row],[Tax]])</f>
        <v>0</v>
      </c>
      <c r="L107" s="11"/>
      <c r="M107" s="42"/>
      <c r="N107" s="53" t="e">
        <f>CEILING((Table1[[#This Row],[extended quantity]]-Table1[[#This Row],[quantity on-hand]])/Table1[[#This Row],[Minimum order quantity]],1)*Table1[[#This Row],[Minimum order quantity]]</f>
        <v>#DIV/0!</v>
      </c>
      <c r="O107" s="53" t="e">
        <f>Table1[[#This Row],[Order quantity]]+Table1[[#This Row],[quantity on-hand]]-Table1[[#This Row],[extended quantity]]</f>
        <v>#DIV/0!</v>
      </c>
      <c r="P107" s="11">
        <f>IFERROR(Table1[[#This Row],[Order quantity]]*(Table1[[#This Row],[Cost ]]+Table1[[#This Row],[shipping]]+Table1[[#This Row],[Tax]]),0)</f>
        <v>0</v>
      </c>
      <c r="Q107" s="38">
        <f>IFERROR(Table1[[#This Row],[leftover material]]*(Table1[[#This Row],[Cost ]]+Table1[[#This Row],[shipping]]+Table1[[#This Row],[Tax]]),0)</f>
        <v>0</v>
      </c>
      <c r="R107" s="38"/>
    </row>
    <row r="108" spans="1:18" x14ac:dyDescent="0.25">
      <c r="A108" s="1" t="s">
        <v>111</v>
      </c>
      <c r="B108" s="4"/>
      <c r="F108" s="3">
        <f>9%*Table1[[#This Row],[Cost ]]</f>
        <v>0</v>
      </c>
      <c r="J108" s="11">
        <f>SUMIF('Multi-level BOM'!C$3:C$464,Table1[[#This Row],[Part Number]],'Multi-level BOM'!F$3:F$464)</f>
        <v>0</v>
      </c>
      <c r="K108" s="11">
        <f>Table1[[#This Row],[extended quantity]]*(Table1[[#This Row],[Cost ]]+Table1[[#This Row],[shipping]]+Table1[[#This Row],[Tax]])</f>
        <v>0</v>
      </c>
      <c r="L108" s="11"/>
      <c r="M108" s="42"/>
      <c r="N108" s="53" t="e">
        <f>CEILING((Table1[[#This Row],[extended quantity]]-Table1[[#This Row],[quantity on-hand]])/Table1[[#This Row],[Minimum order quantity]],1)*Table1[[#This Row],[Minimum order quantity]]</f>
        <v>#DIV/0!</v>
      </c>
      <c r="O108" s="53" t="e">
        <f>Table1[[#This Row],[Order quantity]]+Table1[[#This Row],[quantity on-hand]]-Table1[[#This Row],[extended quantity]]</f>
        <v>#DIV/0!</v>
      </c>
      <c r="P108" s="11">
        <f>IFERROR(Table1[[#This Row],[Order quantity]]*(Table1[[#This Row],[Cost ]]+Table1[[#This Row],[shipping]]+Table1[[#This Row],[Tax]]),0)</f>
        <v>0</v>
      </c>
      <c r="Q108" s="38">
        <f>IFERROR(Table1[[#This Row],[leftover material]]*(Table1[[#This Row],[Cost ]]+Table1[[#This Row],[shipping]]+Table1[[#This Row],[Tax]]),0)</f>
        <v>0</v>
      </c>
      <c r="R108" s="38"/>
    </row>
    <row r="109" spans="1:18" x14ac:dyDescent="0.25">
      <c r="A109" s="1" t="s">
        <v>112</v>
      </c>
      <c r="B109" s="4"/>
      <c r="F109" s="3">
        <f>9%*Table1[[#This Row],[Cost ]]</f>
        <v>0</v>
      </c>
      <c r="J109" s="11">
        <f>SUMIF('Multi-level BOM'!C$3:C$464,Table1[[#This Row],[Part Number]],'Multi-level BOM'!F$3:F$464)</f>
        <v>0</v>
      </c>
      <c r="K109" s="11">
        <f>Table1[[#This Row],[extended quantity]]*(Table1[[#This Row],[Cost ]]+Table1[[#This Row],[shipping]]+Table1[[#This Row],[Tax]])</f>
        <v>0</v>
      </c>
      <c r="L109" s="11"/>
      <c r="M109" s="42"/>
      <c r="N109" s="53" t="e">
        <f>CEILING((Table1[[#This Row],[extended quantity]]-Table1[[#This Row],[quantity on-hand]])/Table1[[#This Row],[Minimum order quantity]],1)*Table1[[#This Row],[Minimum order quantity]]</f>
        <v>#DIV/0!</v>
      </c>
      <c r="O109" s="53" t="e">
        <f>Table1[[#This Row],[Order quantity]]+Table1[[#This Row],[quantity on-hand]]-Table1[[#This Row],[extended quantity]]</f>
        <v>#DIV/0!</v>
      </c>
      <c r="P109" s="11">
        <f>IFERROR(Table1[[#This Row],[Order quantity]]*(Table1[[#This Row],[Cost ]]+Table1[[#This Row],[shipping]]+Table1[[#This Row],[Tax]]),0)</f>
        <v>0</v>
      </c>
      <c r="Q109" s="38">
        <f>IFERROR(Table1[[#This Row],[leftover material]]*(Table1[[#This Row],[Cost ]]+Table1[[#This Row],[shipping]]+Table1[[#This Row],[Tax]]),0)</f>
        <v>0</v>
      </c>
      <c r="R109" s="38"/>
    </row>
    <row r="110" spans="1:18" x14ac:dyDescent="0.25">
      <c r="A110" s="1" t="s">
        <v>113</v>
      </c>
      <c r="B110" s="4"/>
      <c r="F110" s="3">
        <f>9%*Table1[[#This Row],[Cost ]]</f>
        <v>0</v>
      </c>
      <c r="J110" s="11">
        <f>SUMIF('Multi-level BOM'!C$3:C$464,Table1[[#This Row],[Part Number]],'Multi-level BOM'!F$3:F$464)</f>
        <v>0</v>
      </c>
      <c r="K110" s="11">
        <f>Table1[[#This Row],[extended quantity]]*(Table1[[#This Row],[Cost ]]+Table1[[#This Row],[shipping]]+Table1[[#This Row],[Tax]])</f>
        <v>0</v>
      </c>
      <c r="L110" s="11"/>
      <c r="M110" s="42"/>
      <c r="N110" s="53" t="e">
        <f>CEILING((Table1[[#This Row],[extended quantity]]-Table1[[#This Row],[quantity on-hand]])/Table1[[#This Row],[Minimum order quantity]],1)*Table1[[#This Row],[Minimum order quantity]]</f>
        <v>#DIV/0!</v>
      </c>
      <c r="O110" s="53" t="e">
        <f>Table1[[#This Row],[Order quantity]]+Table1[[#This Row],[quantity on-hand]]-Table1[[#This Row],[extended quantity]]</f>
        <v>#DIV/0!</v>
      </c>
      <c r="P110" s="11">
        <f>IFERROR(Table1[[#This Row],[Order quantity]]*(Table1[[#This Row],[Cost ]]+Table1[[#This Row],[shipping]]+Table1[[#This Row],[Tax]]),0)</f>
        <v>0</v>
      </c>
      <c r="Q110" s="38">
        <f>IFERROR(Table1[[#This Row],[leftover material]]*(Table1[[#This Row],[Cost ]]+Table1[[#This Row],[shipping]]+Table1[[#This Row],[Tax]]),0)</f>
        <v>0</v>
      </c>
      <c r="R110" s="38"/>
    </row>
    <row r="111" spans="1:18" x14ac:dyDescent="0.25">
      <c r="A111" s="1" t="s">
        <v>114</v>
      </c>
      <c r="B111" s="4"/>
      <c r="F111" s="3">
        <f>9%*Table1[[#This Row],[Cost ]]</f>
        <v>0</v>
      </c>
      <c r="J111" s="11">
        <f>SUMIF('Multi-level BOM'!C$3:C$464,Table1[[#This Row],[Part Number]],'Multi-level BOM'!F$3:F$464)</f>
        <v>0</v>
      </c>
      <c r="K111" s="11">
        <f>Table1[[#This Row],[extended quantity]]*(Table1[[#This Row],[Cost ]]+Table1[[#This Row],[shipping]]+Table1[[#This Row],[Tax]])</f>
        <v>0</v>
      </c>
      <c r="L111" s="11"/>
      <c r="M111" s="42"/>
      <c r="N111" s="53" t="e">
        <f>CEILING((Table1[[#This Row],[extended quantity]]-Table1[[#This Row],[quantity on-hand]])/Table1[[#This Row],[Minimum order quantity]],1)*Table1[[#This Row],[Minimum order quantity]]</f>
        <v>#DIV/0!</v>
      </c>
      <c r="O111" s="53" t="e">
        <f>Table1[[#This Row],[Order quantity]]+Table1[[#This Row],[quantity on-hand]]-Table1[[#This Row],[extended quantity]]</f>
        <v>#DIV/0!</v>
      </c>
      <c r="P111" s="11">
        <f>IFERROR(Table1[[#This Row],[Order quantity]]*(Table1[[#This Row],[Cost ]]+Table1[[#This Row],[shipping]]+Table1[[#This Row],[Tax]]),0)</f>
        <v>0</v>
      </c>
      <c r="Q111" s="38">
        <f>IFERROR(Table1[[#This Row],[leftover material]]*(Table1[[#This Row],[Cost ]]+Table1[[#This Row],[shipping]]+Table1[[#This Row],[Tax]]),0)</f>
        <v>0</v>
      </c>
      <c r="R111" s="38"/>
    </row>
    <row r="112" spans="1:18" x14ac:dyDescent="0.25">
      <c r="A112" s="1" t="s">
        <v>115</v>
      </c>
      <c r="B112" s="4"/>
      <c r="F112" s="3">
        <f>9%*Table1[[#This Row],[Cost ]]</f>
        <v>0</v>
      </c>
      <c r="J112" s="11">
        <f>SUMIF('Multi-level BOM'!C$3:C$464,Table1[[#This Row],[Part Number]],'Multi-level BOM'!F$3:F$464)</f>
        <v>0</v>
      </c>
      <c r="K112" s="11">
        <f>Table1[[#This Row],[extended quantity]]*(Table1[[#This Row],[Cost ]]+Table1[[#This Row],[shipping]]+Table1[[#This Row],[Tax]])</f>
        <v>0</v>
      </c>
      <c r="L112" s="11"/>
      <c r="M112" s="42"/>
      <c r="N112" s="53" t="e">
        <f>CEILING((Table1[[#This Row],[extended quantity]]-Table1[[#This Row],[quantity on-hand]])/Table1[[#This Row],[Minimum order quantity]],1)*Table1[[#This Row],[Minimum order quantity]]</f>
        <v>#DIV/0!</v>
      </c>
      <c r="O112" s="53" t="e">
        <f>Table1[[#This Row],[Order quantity]]+Table1[[#This Row],[quantity on-hand]]-Table1[[#This Row],[extended quantity]]</f>
        <v>#DIV/0!</v>
      </c>
      <c r="P112" s="11">
        <f>IFERROR(Table1[[#This Row],[Order quantity]]*(Table1[[#This Row],[Cost ]]+Table1[[#This Row],[shipping]]+Table1[[#This Row],[Tax]]),0)</f>
        <v>0</v>
      </c>
      <c r="Q112" s="38">
        <f>IFERROR(Table1[[#This Row],[leftover material]]*(Table1[[#This Row],[Cost ]]+Table1[[#This Row],[shipping]]+Table1[[#This Row],[Tax]]),0)</f>
        <v>0</v>
      </c>
      <c r="R112" s="38"/>
    </row>
    <row r="113" spans="1:18" x14ac:dyDescent="0.25">
      <c r="A113" s="1" t="s">
        <v>116</v>
      </c>
      <c r="B113" s="4"/>
      <c r="F113" s="3">
        <f>9%*Table1[[#This Row],[Cost ]]</f>
        <v>0</v>
      </c>
      <c r="J113" s="11">
        <f>SUMIF('Multi-level BOM'!C$3:C$464,Table1[[#This Row],[Part Number]],'Multi-level BOM'!F$3:F$464)</f>
        <v>0</v>
      </c>
      <c r="K113" s="11">
        <f>Table1[[#This Row],[extended quantity]]*(Table1[[#This Row],[Cost ]]+Table1[[#This Row],[shipping]]+Table1[[#This Row],[Tax]])</f>
        <v>0</v>
      </c>
      <c r="L113" s="11"/>
      <c r="M113" s="42"/>
      <c r="N113" s="53" t="e">
        <f>CEILING((Table1[[#This Row],[extended quantity]]-Table1[[#This Row],[quantity on-hand]])/Table1[[#This Row],[Minimum order quantity]],1)*Table1[[#This Row],[Minimum order quantity]]</f>
        <v>#DIV/0!</v>
      </c>
      <c r="O113" s="53" t="e">
        <f>Table1[[#This Row],[Order quantity]]+Table1[[#This Row],[quantity on-hand]]-Table1[[#This Row],[extended quantity]]</f>
        <v>#DIV/0!</v>
      </c>
      <c r="P113" s="11">
        <f>IFERROR(Table1[[#This Row],[Order quantity]]*(Table1[[#This Row],[Cost ]]+Table1[[#This Row],[shipping]]+Table1[[#This Row],[Tax]]),0)</f>
        <v>0</v>
      </c>
      <c r="Q113" s="38">
        <f>IFERROR(Table1[[#This Row],[leftover material]]*(Table1[[#This Row],[Cost ]]+Table1[[#This Row],[shipping]]+Table1[[#This Row],[Tax]]),0)</f>
        <v>0</v>
      </c>
      <c r="R113" s="38"/>
    </row>
    <row r="114" spans="1:18" x14ac:dyDescent="0.25">
      <c r="A114" s="1" t="s">
        <v>117</v>
      </c>
      <c r="B114" s="4"/>
      <c r="F114" s="3">
        <f>9%*Table1[[#This Row],[Cost ]]</f>
        <v>0</v>
      </c>
      <c r="J114" s="11">
        <f>SUMIF('Multi-level BOM'!C$3:C$464,Table1[[#This Row],[Part Number]],'Multi-level BOM'!F$3:F$464)</f>
        <v>0</v>
      </c>
      <c r="K114" s="11">
        <f>Table1[[#This Row],[extended quantity]]*(Table1[[#This Row],[Cost ]]+Table1[[#This Row],[shipping]]+Table1[[#This Row],[Tax]])</f>
        <v>0</v>
      </c>
      <c r="L114" s="11"/>
      <c r="M114" s="42"/>
      <c r="N114" s="53" t="e">
        <f>CEILING((Table1[[#This Row],[extended quantity]]-Table1[[#This Row],[quantity on-hand]])/Table1[[#This Row],[Minimum order quantity]],1)*Table1[[#This Row],[Minimum order quantity]]</f>
        <v>#DIV/0!</v>
      </c>
      <c r="O114" s="53" t="e">
        <f>Table1[[#This Row],[Order quantity]]+Table1[[#This Row],[quantity on-hand]]-Table1[[#This Row],[extended quantity]]</f>
        <v>#DIV/0!</v>
      </c>
      <c r="P114" s="11">
        <f>IFERROR(Table1[[#This Row],[Order quantity]]*(Table1[[#This Row],[Cost ]]+Table1[[#This Row],[shipping]]+Table1[[#This Row],[Tax]]),0)</f>
        <v>0</v>
      </c>
      <c r="Q114" s="38">
        <f>IFERROR(Table1[[#This Row],[leftover material]]*(Table1[[#This Row],[Cost ]]+Table1[[#This Row],[shipping]]+Table1[[#This Row],[Tax]]),0)</f>
        <v>0</v>
      </c>
      <c r="R114" s="38"/>
    </row>
    <row r="115" spans="1:18" x14ac:dyDescent="0.25">
      <c r="A115" s="1" t="s">
        <v>118</v>
      </c>
      <c r="B115" s="4"/>
      <c r="F115" s="3">
        <f>9%*Table1[[#This Row],[Cost ]]</f>
        <v>0</v>
      </c>
      <c r="J115" s="11">
        <f>SUMIF('Multi-level BOM'!C$3:C$464,Table1[[#This Row],[Part Number]],'Multi-level BOM'!F$3:F$464)</f>
        <v>0</v>
      </c>
      <c r="K115" s="11">
        <f>Table1[[#This Row],[extended quantity]]*(Table1[[#This Row],[Cost ]]+Table1[[#This Row],[shipping]]+Table1[[#This Row],[Tax]])</f>
        <v>0</v>
      </c>
      <c r="L115" s="11"/>
      <c r="M115" s="42"/>
      <c r="N115" s="53" t="e">
        <f>CEILING((Table1[[#This Row],[extended quantity]]-Table1[[#This Row],[quantity on-hand]])/Table1[[#This Row],[Minimum order quantity]],1)*Table1[[#This Row],[Minimum order quantity]]</f>
        <v>#DIV/0!</v>
      </c>
      <c r="O115" s="53" t="e">
        <f>Table1[[#This Row],[Order quantity]]+Table1[[#This Row],[quantity on-hand]]-Table1[[#This Row],[extended quantity]]</f>
        <v>#DIV/0!</v>
      </c>
      <c r="P115" s="11">
        <f>IFERROR(Table1[[#This Row],[Order quantity]]*(Table1[[#This Row],[Cost ]]+Table1[[#This Row],[shipping]]+Table1[[#This Row],[Tax]]),0)</f>
        <v>0</v>
      </c>
      <c r="Q115" s="38">
        <f>IFERROR(Table1[[#This Row],[leftover material]]*(Table1[[#This Row],[Cost ]]+Table1[[#This Row],[shipping]]+Table1[[#This Row],[Tax]]),0)</f>
        <v>0</v>
      </c>
      <c r="R115" s="38"/>
    </row>
    <row r="116" spans="1:18" x14ac:dyDescent="0.25">
      <c r="A116" s="1" t="s">
        <v>119</v>
      </c>
      <c r="B116" s="4"/>
      <c r="F116" s="3">
        <f>9%*Table1[[#This Row],[Cost ]]</f>
        <v>0</v>
      </c>
      <c r="J116" s="11">
        <f>SUMIF('Multi-level BOM'!C$3:C$464,Table1[[#This Row],[Part Number]],'Multi-level BOM'!F$3:F$464)</f>
        <v>0</v>
      </c>
      <c r="K116" s="11">
        <f>Table1[[#This Row],[extended quantity]]*(Table1[[#This Row],[Cost ]]+Table1[[#This Row],[shipping]]+Table1[[#This Row],[Tax]])</f>
        <v>0</v>
      </c>
      <c r="L116" s="11"/>
      <c r="M116" s="42"/>
      <c r="N116" s="53" t="e">
        <f>CEILING((Table1[[#This Row],[extended quantity]]-Table1[[#This Row],[quantity on-hand]])/Table1[[#This Row],[Minimum order quantity]],1)*Table1[[#This Row],[Minimum order quantity]]</f>
        <v>#DIV/0!</v>
      </c>
      <c r="O116" s="53" t="e">
        <f>Table1[[#This Row],[Order quantity]]+Table1[[#This Row],[quantity on-hand]]-Table1[[#This Row],[extended quantity]]</f>
        <v>#DIV/0!</v>
      </c>
      <c r="P116" s="11">
        <f>IFERROR(Table1[[#This Row],[Order quantity]]*(Table1[[#This Row],[Cost ]]+Table1[[#This Row],[shipping]]+Table1[[#This Row],[Tax]]),0)</f>
        <v>0</v>
      </c>
      <c r="Q116" s="38">
        <f>IFERROR(Table1[[#This Row],[leftover material]]*(Table1[[#This Row],[Cost ]]+Table1[[#This Row],[shipping]]+Table1[[#This Row],[Tax]]),0)</f>
        <v>0</v>
      </c>
      <c r="R116" s="38"/>
    </row>
    <row r="117" spans="1:18" x14ac:dyDescent="0.25">
      <c r="A117" s="1" t="s">
        <v>120</v>
      </c>
      <c r="B117" s="4"/>
      <c r="F117" s="3">
        <f>9%*Table1[[#This Row],[Cost ]]</f>
        <v>0</v>
      </c>
      <c r="J117" s="11">
        <f>SUMIF('Multi-level BOM'!C$3:C$464,Table1[[#This Row],[Part Number]],'Multi-level BOM'!F$3:F$464)</f>
        <v>0</v>
      </c>
      <c r="K117" s="11">
        <f>Table1[[#This Row],[extended quantity]]*(Table1[[#This Row],[Cost ]]+Table1[[#This Row],[shipping]]+Table1[[#This Row],[Tax]])</f>
        <v>0</v>
      </c>
      <c r="L117" s="11"/>
      <c r="M117" s="42"/>
      <c r="N117" s="53" t="e">
        <f>CEILING((Table1[[#This Row],[extended quantity]]-Table1[[#This Row],[quantity on-hand]])/Table1[[#This Row],[Minimum order quantity]],1)*Table1[[#This Row],[Minimum order quantity]]</f>
        <v>#DIV/0!</v>
      </c>
      <c r="O117" s="53" t="e">
        <f>Table1[[#This Row],[Order quantity]]+Table1[[#This Row],[quantity on-hand]]-Table1[[#This Row],[extended quantity]]</f>
        <v>#DIV/0!</v>
      </c>
      <c r="P117" s="11">
        <f>IFERROR(Table1[[#This Row],[Order quantity]]*(Table1[[#This Row],[Cost ]]+Table1[[#This Row],[shipping]]+Table1[[#This Row],[Tax]]),0)</f>
        <v>0</v>
      </c>
      <c r="Q117" s="38">
        <f>IFERROR(Table1[[#This Row],[leftover material]]*(Table1[[#This Row],[Cost ]]+Table1[[#This Row],[shipping]]+Table1[[#This Row],[Tax]]),0)</f>
        <v>0</v>
      </c>
      <c r="R117" s="38"/>
    </row>
    <row r="118" spans="1:18" x14ac:dyDescent="0.25">
      <c r="A118" s="1" t="s">
        <v>121</v>
      </c>
      <c r="B118" s="4"/>
      <c r="F118" s="3">
        <f>9%*Table1[[#This Row],[Cost ]]</f>
        <v>0</v>
      </c>
      <c r="J118" s="11">
        <f>SUMIF('Multi-level BOM'!C$3:C$464,Table1[[#This Row],[Part Number]],'Multi-level BOM'!F$3:F$464)</f>
        <v>0</v>
      </c>
      <c r="K118" s="11">
        <f>Table1[[#This Row],[extended quantity]]*(Table1[[#This Row],[Cost ]]+Table1[[#This Row],[shipping]]+Table1[[#This Row],[Tax]])</f>
        <v>0</v>
      </c>
      <c r="L118" s="11"/>
      <c r="M118" s="42"/>
      <c r="N118" s="53" t="e">
        <f>CEILING((Table1[[#This Row],[extended quantity]]-Table1[[#This Row],[quantity on-hand]])/Table1[[#This Row],[Minimum order quantity]],1)*Table1[[#This Row],[Minimum order quantity]]</f>
        <v>#DIV/0!</v>
      </c>
      <c r="O118" s="53" t="e">
        <f>Table1[[#This Row],[Order quantity]]+Table1[[#This Row],[quantity on-hand]]-Table1[[#This Row],[extended quantity]]</f>
        <v>#DIV/0!</v>
      </c>
      <c r="P118" s="11">
        <f>IFERROR(Table1[[#This Row],[Order quantity]]*(Table1[[#This Row],[Cost ]]+Table1[[#This Row],[shipping]]+Table1[[#This Row],[Tax]]),0)</f>
        <v>0</v>
      </c>
      <c r="Q118" s="38">
        <f>IFERROR(Table1[[#This Row],[leftover material]]*(Table1[[#This Row],[Cost ]]+Table1[[#This Row],[shipping]]+Table1[[#This Row],[Tax]]),0)</f>
        <v>0</v>
      </c>
      <c r="R118" s="38"/>
    </row>
    <row r="119" spans="1:18" x14ac:dyDescent="0.25">
      <c r="A119" s="1" t="s">
        <v>122</v>
      </c>
      <c r="B119" s="4"/>
      <c r="F119" s="3">
        <f>9%*Table1[[#This Row],[Cost ]]</f>
        <v>0</v>
      </c>
      <c r="J119" s="11">
        <f>SUMIF('Multi-level BOM'!C$3:C$464,Table1[[#This Row],[Part Number]],'Multi-level BOM'!F$3:F$464)</f>
        <v>0</v>
      </c>
      <c r="K119" s="11">
        <f>Table1[[#This Row],[extended quantity]]*(Table1[[#This Row],[Cost ]]+Table1[[#This Row],[shipping]]+Table1[[#This Row],[Tax]])</f>
        <v>0</v>
      </c>
      <c r="L119" s="11"/>
      <c r="M119" s="42"/>
      <c r="N119" s="53" t="e">
        <f>CEILING((Table1[[#This Row],[extended quantity]]-Table1[[#This Row],[quantity on-hand]])/Table1[[#This Row],[Minimum order quantity]],1)*Table1[[#This Row],[Minimum order quantity]]</f>
        <v>#DIV/0!</v>
      </c>
      <c r="O119" s="53" t="e">
        <f>Table1[[#This Row],[Order quantity]]+Table1[[#This Row],[quantity on-hand]]-Table1[[#This Row],[extended quantity]]</f>
        <v>#DIV/0!</v>
      </c>
      <c r="P119" s="11">
        <f>IFERROR(Table1[[#This Row],[Order quantity]]*(Table1[[#This Row],[Cost ]]+Table1[[#This Row],[shipping]]+Table1[[#This Row],[Tax]]),0)</f>
        <v>0</v>
      </c>
      <c r="Q119" s="38">
        <f>IFERROR(Table1[[#This Row],[leftover material]]*(Table1[[#This Row],[Cost ]]+Table1[[#This Row],[shipping]]+Table1[[#This Row],[Tax]]),0)</f>
        <v>0</v>
      </c>
      <c r="R119" s="38"/>
    </row>
    <row r="120" spans="1:18" x14ac:dyDescent="0.25">
      <c r="A120" s="1" t="s">
        <v>123</v>
      </c>
      <c r="B120" s="4"/>
      <c r="F120" s="3">
        <f>9%*Table1[[#This Row],[Cost ]]</f>
        <v>0</v>
      </c>
      <c r="J120" s="11">
        <f>SUMIF('Multi-level BOM'!C$3:C$464,Table1[[#This Row],[Part Number]],'Multi-level BOM'!F$3:F$464)</f>
        <v>0</v>
      </c>
      <c r="K120" s="11">
        <f>Table1[[#This Row],[extended quantity]]*(Table1[[#This Row],[Cost ]]+Table1[[#This Row],[shipping]]+Table1[[#This Row],[Tax]])</f>
        <v>0</v>
      </c>
      <c r="L120" s="11"/>
      <c r="M120" s="42"/>
      <c r="N120" s="53" t="e">
        <f>CEILING((Table1[[#This Row],[extended quantity]]-Table1[[#This Row],[quantity on-hand]])/Table1[[#This Row],[Minimum order quantity]],1)*Table1[[#This Row],[Minimum order quantity]]</f>
        <v>#DIV/0!</v>
      </c>
      <c r="O120" s="53" t="e">
        <f>Table1[[#This Row],[Order quantity]]+Table1[[#This Row],[quantity on-hand]]-Table1[[#This Row],[extended quantity]]</f>
        <v>#DIV/0!</v>
      </c>
      <c r="P120" s="11">
        <f>IFERROR(Table1[[#This Row],[Order quantity]]*(Table1[[#This Row],[Cost ]]+Table1[[#This Row],[shipping]]+Table1[[#This Row],[Tax]]),0)</f>
        <v>0</v>
      </c>
      <c r="Q120" s="38">
        <f>IFERROR(Table1[[#This Row],[leftover material]]*(Table1[[#This Row],[Cost ]]+Table1[[#This Row],[shipping]]+Table1[[#This Row],[Tax]]),0)</f>
        <v>0</v>
      </c>
      <c r="R120" s="38"/>
    </row>
    <row r="121" spans="1:18" x14ac:dyDescent="0.25">
      <c r="A121" s="1" t="s">
        <v>124</v>
      </c>
      <c r="B121" s="4"/>
      <c r="F121" s="3">
        <f>9%*Table1[[#This Row],[Cost ]]</f>
        <v>0</v>
      </c>
      <c r="J121" s="11">
        <f>SUMIF('Multi-level BOM'!C$3:C$464,Table1[[#This Row],[Part Number]],'Multi-level BOM'!F$3:F$464)</f>
        <v>0</v>
      </c>
      <c r="K121" s="11">
        <f>Table1[[#This Row],[extended quantity]]*(Table1[[#This Row],[Cost ]]+Table1[[#This Row],[shipping]]+Table1[[#This Row],[Tax]])</f>
        <v>0</v>
      </c>
      <c r="L121" s="11"/>
      <c r="M121" s="42"/>
      <c r="N121" s="53" t="e">
        <f>CEILING((Table1[[#This Row],[extended quantity]]-Table1[[#This Row],[quantity on-hand]])/Table1[[#This Row],[Minimum order quantity]],1)*Table1[[#This Row],[Minimum order quantity]]</f>
        <v>#DIV/0!</v>
      </c>
      <c r="O121" s="53" t="e">
        <f>Table1[[#This Row],[Order quantity]]+Table1[[#This Row],[quantity on-hand]]-Table1[[#This Row],[extended quantity]]</f>
        <v>#DIV/0!</v>
      </c>
      <c r="P121" s="11">
        <f>IFERROR(Table1[[#This Row],[Order quantity]]*(Table1[[#This Row],[Cost ]]+Table1[[#This Row],[shipping]]+Table1[[#This Row],[Tax]]),0)</f>
        <v>0</v>
      </c>
      <c r="Q121" s="38">
        <f>IFERROR(Table1[[#This Row],[leftover material]]*(Table1[[#This Row],[Cost ]]+Table1[[#This Row],[shipping]]+Table1[[#This Row],[Tax]]),0)</f>
        <v>0</v>
      </c>
      <c r="R121" s="38"/>
    </row>
    <row r="122" spans="1:18" x14ac:dyDescent="0.25">
      <c r="A122" s="1" t="s">
        <v>125</v>
      </c>
      <c r="B122" s="4"/>
      <c r="F122" s="3">
        <f>9%*Table1[[#This Row],[Cost ]]</f>
        <v>0</v>
      </c>
      <c r="J122" s="11">
        <f>SUMIF('Multi-level BOM'!C$3:C$464,Table1[[#This Row],[Part Number]],'Multi-level BOM'!F$3:F$464)</f>
        <v>0</v>
      </c>
      <c r="K122" s="11">
        <f>Table1[[#This Row],[extended quantity]]*(Table1[[#This Row],[Cost ]]+Table1[[#This Row],[shipping]]+Table1[[#This Row],[Tax]])</f>
        <v>0</v>
      </c>
      <c r="L122" s="11"/>
      <c r="M122" s="42"/>
      <c r="N122" s="53" t="e">
        <f>CEILING((Table1[[#This Row],[extended quantity]]-Table1[[#This Row],[quantity on-hand]])/Table1[[#This Row],[Minimum order quantity]],1)*Table1[[#This Row],[Minimum order quantity]]</f>
        <v>#DIV/0!</v>
      </c>
      <c r="O122" s="53" t="e">
        <f>Table1[[#This Row],[Order quantity]]+Table1[[#This Row],[quantity on-hand]]-Table1[[#This Row],[extended quantity]]</f>
        <v>#DIV/0!</v>
      </c>
      <c r="P122" s="11">
        <f>IFERROR(Table1[[#This Row],[Order quantity]]*(Table1[[#This Row],[Cost ]]+Table1[[#This Row],[shipping]]+Table1[[#This Row],[Tax]]),0)</f>
        <v>0</v>
      </c>
      <c r="Q122" s="38">
        <f>IFERROR(Table1[[#This Row],[leftover material]]*(Table1[[#This Row],[Cost ]]+Table1[[#This Row],[shipping]]+Table1[[#This Row],[Tax]]),0)</f>
        <v>0</v>
      </c>
      <c r="R122" s="38"/>
    </row>
    <row r="123" spans="1:18" x14ac:dyDescent="0.25">
      <c r="A123" s="1" t="s">
        <v>126</v>
      </c>
      <c r="B123" s="4"/>
      <c r="F123" s="3">
        <f>9%*Table1[[#This Row],[Cost ]]</f>
        <v>0</v>
      </c>
      <c r="J123" s="11">
        <f>SUMIF('Multi-level BOM'!C$3:C$464,Table1[[#This Row],[Part Number]],'Multi-level BOM'!F$3:F$464)</f>
        <v>0</v>
      </c>
      <c r="K123" s="11">
        <f>Table1[[#This Row],[extended quantity]]*(Table1[[#This Row],[Cost ]]+Table1[[#This Row],[shipping]]+Table1[[#This Row],[Tax]])</f>
        <v>0</v>
      </c>
      <c r="L123" s="11"/>
      <c r="M123" s="42"/>
      <c r="N123" s="53" t="e">
        <f>CEILING((Table1[[#This Row],[extended quantity]]-Table1[[#This Row],[quantity on-hand]])/Table1[[#This Row],[Minimum order quantity]],1)*Table1[[#This Row],[Minimum order quantity]]</f>
        <v>#DIV/0!</v>
      </c>
      <c r="O123" s="53" t="e">
        <f>Table1[[#This Row],[Order quantity]]+Table1[[#This Row],[quantity on-hand]]-Table1[[#This Row],[extended quantity]]</f>
        <v>#DIV/0!</v>
      </c>
      <c r="P123" s="11">
        <f>IFERROR(Table1[[#This Row],[Order quantity]]*(Table1[[#This Row],[Cost ]]+Table1[[#This Row],[shipping]]+Table1[[#This Row],[Tax]]),0)</f>
        <v>0</v>
      </c>
      <c r="Q123" s="38">
        <f>IFERROR(Table1[[#This Row],[leftover material]]*(Table1[[#This Row],[Cost ]]+Table1[[#This Row],[shipping]]+Table1[[#This Row],[Tax]]),0)</f>
        <v>0</v>
      </c>
      <c r="R123" s="38"/>
    </row>
    <row r="124" spans="1:18" x14ac:dyDescent="0.25">
      <c r="A124" s="1" t="s">
        <v>127</v>
      </c>
      <c r="B124" s="4"/>
      <c r="F124" s="3">
        <f>9%*Table1[[#This Row],[Cost ]]</f>
        <v>0</v>
      </c>
      <c r="J124" s="11">
        <f>SUMIF('Multi-level BOM'!C$3:C$464,Table1[[#This Row],[Part Number]],'Multi-level BOM'!F$3:F$464)</f>
        <v>0</v>
      </c>
      <c r="K124" s="11">
        <f>Table1[[#This Row],[extended quantity]]*(Table1[[#This Row],[Cost ]]+Table1[[#This Row],[shipping]]+Table1[[#This Row],[Tax]])</f>
        <v>0</v>
      </c>
      <c r="L124" s="11"/>
      <c r="M124" s="42"/>
      <c r="N124" s="53" t="e">
        <f>CEILING((Table1[[#This Row],[extended quantity]]-Table1[[#This Row],[quantity on-hand]])/Table1[[#This Row],[Minimum order quantity]],1)*Table1[[#This Row],[Minimum order quantity]]</f>
        <v>#DIV/0!</v>
      </c>
      <c r="O124" s="53" t="e">
        <f>Table1[[#This Row],[Order quantity]]+Table1[[#This Row],[quantity on-hand]]-Table1[[#This Row],[extended quantity]]</f>
        <v>#DIV/0!</v>
      </c>
      <c r="P124" s="11">
        <f>IFERROR(Table1[[#This Row],[Order quantity]]*(Table1[[#This Row],[Cost ]]+Table1[[#This Row],[shipping]]+Table1[[#This Row],[Tax]]),0)</f>
        <v>0</v>
      </c>
      <c r="Q124" s="38">
        <f>IFERROR(Table1[[#This Row],[leftover material]]*(Table1[[#This Row],[Cost ]]+Table1[[#This Row],[shipping]]+Table1[[#This Row],[Tax]]),0)</f>
        <v>0</v>
      </c>
      <c r="R124" s="38"/>
    </row>
    <row r="125" spans="1:18" x14ac:dyDescent="0.25">
      <c r="A125" s="1" t="s">
        <v>128</v>
      </c>
      <c r="B125" s="4"/>
      <c r="F125" s="3">
        <f>9%*Table1[[#This Row],[Cost ]]</f>
        <v>0</v>
      </c>
      <c r="J125" s="11">
        <f>SUMIF('Multi-level BOM'!C$3:C$464,Table1[[#This Row],[Part Number]],'Multi-level BOM'!F$3:F$464)</f>
        <v>0</v>
      </c>
      <c r="K125" s="11">
        <f>Table1[[#This Row],[extended quantity]]*(Table1[[#This Row],[Cost ]]+Table1[[#This Row],[shipping]]+Table1[[#This Row],[Tax]])</f>
        <v>0</v>
      </c>
      <c r="L125" s="11"/>
      <c r="M125" s="42"/>
      <c r="N125" s="53" t="e">
        <f>CEILING((Table1[[#This Row],[extended quantity]]-Table1[[#This Row],[quantity on-hand]])/Table1[[#This Row],[Minimum order quantity]],1)*Table1[[#This Row],[Minimum order quantity]]</f>
        <v>#DIV/0!</v>
      </c>
      <c r="O125" s="53" t="e">
        <f>Table1[[#This Row],[Order quantity]]+Table1[[#This Row],[quantity on-hand]]-Table1[[#This Row],[extended quantity]]</f>
        <v>#DIV/0!</v>
      </c>
      <c r="P125" s="11">
        <f>IFERROR(Table1[[#This Row],[Order quantity]]*(Table1[[#This Row],[Cost ]]+Table1[[#This Row],[shipping]]+Table1[[#This Row],[Tax]]),0)</f>
        <v>0</v>
      </c>
      <c r="Q125" s="38">
        <f>IFERROR(Table1[[#This Row],[leftover material]]*(Table1[[#This Row],[Cost ]]+Table1[[#This Row],[shipping]]+Table1[[#This Row],[Tax]]),0)</f>
        <v>0</v>
      </c>
      <c r="R125" s="38"/>
    </row>
    <row r="126" spans="1:18" x14ac:dyDescent="0.25">
      <c r="A126" s="1" t="s">
        <v>129</v>
      </c>
      <c r="B126" s="4"/>
      <c r="F126" s="3">
        <f>9%*Table1[[#This Row],[Cost ]]</f>
        <v>0</v>
      </c>
      <c r="J126" s="11">
        <f>SUMIF('Multi-level BOM'!C$3:C$464,Table1[[#This Row],[Part Number]],'Multi-level BOM'!F$3:F$464)</f>
        <v>0</v>
      </c>
      <c r="K126" s="11">
        <f>Table1[[#This Row],[extended quantity]]*(Table1[[#This Row],[Cost ]]+Table1[[#This Row],[shipping]]+Table1[[#This Row],[Tax]])</f>
        <v>0</v>
      </c>
      <c r="L126" s="11"/>
      <c r="M126" s="42"/>
      <c r="N126" s="53" t="e">
        <f>CEILING((Table1[[#This Row],[extended quantity]]-Table1[[#This Row],[quantity on-hand]])/Table1[[#This Row],[Minimum order quantity]],1)*Table1[[#This Row],[Minimum order quantity]]</f>
        <v>#DIV/0!</v>
      </c>
      <c r="O126" s="53" t="e">
        <f>Table1[[#This Row],[Order quantity]]+Table1[[#This Row],[quantity on-hand]]-Table1[[#This Row],[extended quantity]]</f>
        <v>#DIV/0!</v>
      </c>
      <c r="P126" s="11">
        <f>IFERROR(Table1[[#This Row],[Order quantity]]*(Table1[[#This Row],[Cost ]]+Table1[[#This Row],[shipping]]+Table1[[#This Row],[Tax]]),0)</f>
        <v>0</v>
      </c>
      <c r="Q126" s="38">
        <f>IFERROR(Table1[[#This Row],[leftover material]]*(Table1[[#This Row],[Cost ]]+Table1[[#This Row],[shipping]]+Table1[[#This Row],[Tax]]),0)</f>
        <v>0</v>
      </c>
      <c r="R126" s="38"/>
    </row>
    <row r="127" spans="1:18" x14ac:dyDescent="0.25">
      <c r="A127" s="1" t="s">
        <v>130</v>
      </c>
      <c r="B127" s="4"/>
      <c r="F127" s="3">
        <f>9%*Table1[[#This Row],[Cost ]]</f>
        <v>0</v>
      </c>
      <c r="J127" s="11">
        <f>SUMIF('Multi-level BOM'!C$3:C$464,Table1[[#This Row],[Part Number]],'Multi-level BOM'!F$3:F$464)</f>
        <v>0</v>
      </c>
      <c r="K127" s="11">
        <f>Table1[[#This Row],[extended quantity]]*(Table1[[#This Row],[Cost ]]+Table1[[#This Row],[shipping]]+Table1[[#This Row],[Tax]])</f>
        <v>0</v>
      </c>
      <c r="L127" s="11"/>
      <c r="M127" s="42"/>
      <c r="N127" s="53" t="e">
        <f>CEILING((Table1[[#This Row],[extended quantity]]-Table1[[#This Row],[quantity on-hand]])/Table1[[#This Row],[Minimum order quantity]],1)*Table1[[#This Row],[Minimum order quantity]]</f>
        <v>#DIV/0!</v>
      </c>
      <c r="O127" s="53" t="e">
        <f>Table1[[#This Row],[Order quantity]]+Table1[[#This Row],[quantity on-hand]]-Table1[[#This Row],[extended quantity]]</f>
        <v>#DIV/0!</v>
      </c>
      <c r="P127" s="11">
        <f>IFERROR(Table1[[#This Row],[Order quantity]]*(Table1[[#This Row],[Cost ]]+Table1[[#This Row],[shipping]]+Table1[[#This Row],[Tax]]),0)</f>
        <v>0</v>
      </c>
      <c r="Q127" s="38">
        <f>IFERROR(Table1[[#This Row],[leftover material]]*(Table1[[#This Row],[Cost ]]+Table1[[#This Row],[shipping]]+Table1[[#This Row],[Tax]]),0)</f>
        <v>0</v>
      </c>
      <c r="R127" s="38"/>
    </row>
    <row r="128" spans="1:18" x14ac:dyDescent="0.25">
      <c r="A128" s="1" t="s">
        <v>131</v>
      </c>
      <c r="B128" s="4"/>
      <c r="F128" s="3">
        <f>9%*Table1[[#This Row],[Cost ]]</f>
        <v>0</v>
      </c>
      <c r="J128" s="11">
        <f>SUMIF('Multi-level BOM'!C$3:C$464,Table1[[#This Row],[Part Number]],'Multi-level BOM'!F$3:F$464)</f>
        <v>0</v>
      </c>
      <c r="K128" s="11">
        <f>Table1[[#This Row],[extended quantity]]*(Table1[[#This Row],[Cost ]]+Table1[[#This Row],[shipping]]+Table1[[#This Row],[Tax]])</f>
        <v>0</v>
      </c>
      <c r="L128" s="11"/>
      <c r="M128" s="42"/>
      <c r="N128" s="53" t="e">
        <f>CEILING((Table1[[#This Row],[extended quantity]]-Table1[[#This Row],[quantity on-hand]])/Table1[[#This Row],[Minimum order quantity]],1)*Table1[[#This Row],[Minimum order quantity]]</f>
        <v>#DIV/0!</v>
      </c>
      <c r="O128" s="53" t="e">
        <f>Table1[[#This Row],[Order quantity]]+Table1[[#This Row],[quantity on-hand]]-Table1[[#This Row],[extended quantity]]</f>
        <v>#DIV/0!</v>
      </c>
      <c r="P128" s="11">
        <f>IFERROR(Table1[[#This Row],[Order quantity]]*(Table1[[#This Row],[Cost ]]+Table1[[#This Row],[shipping]]+Table1[[#This Row],[Tax]]),0)</f>
        <v>0</v>
      </c>
      <c r="Q128" s="38">
        <f>IFERROR(Table1[[#This Row],[leftover material]]*(Table1[[#This Row],[Cost ]]+Table1[[#This Row],[shipping]]+Table1[[#This Row],[Tax]]),0)</f>
        <v>0</v>
      </c>
      <c r="R128" s="38"/>
    </row>
    <row r="129" spans="1:18" x14ac:dyDescent="0.25">
      <c r="A129" s="1" t="s">
        <v>132</v>
      </c>
      <c r="B129" s="4"/>
      <c r="F129" s="3">
        <f>9%*Table1[[#This Row],[Cost ]]</f>
        <v>0</v>
      </c>
      <c r="J129" s="11">
        <f>SUMIF('Multi-level BOM'!C$3:C$464,Table1[[#This Row],[Part Number]],'Multi-level BOM'!F$3:F$464)</f>
        <v>0</v>
      </c>
      <c r="K129" s="11">
        <f>Table1[[#This Row],[extended quantity]]*(Table1[[#This Row],[Cost ]]+Table1[[#This Row],[shipping]]+Table1[[#This Row],[Tax]])</f>
        <v>0</v>
      </c>
      <c r="L129" s="11"/>
      <c r="M129" s="42"/>
      <c r="N129" s="53" t="e">
        <f>CEILING((Table1[[#This Row],[extended quantity]]-Table1[[#This Row],[quantity on-hand]])/Table1[[#This Row],[Minimum order quantity]],1)*Table1[[#This Row],[Minimum order quantity]]</f>
        <v>#DIV/0!</v>
      </c>
      <c r="O129" s="53" t="e">
        <f>Table1[[#This Row],[Order quantity]]+Table1[[#This Row],[quantity on-hand]]-Table1[[#This Row],[extended quantity]]</f>
        <v>#DIV/0!</v>
      </c>
      <c r="P129" s="11">
        <f>IFERROR(Table1[[#This Row],[Order quantity]]*(Table1[[#This Row],[Cost ]]+Table1[[#This Row],[shipping]]+Table1[[#This Row],[Tax]]),0)</f>
        <v>0</v>
      </c>
      <c r="Q129" s="38">
        <f>IFERROR(Table1[[#This Row],[leftover material]]*(Table1[[#This Row],[Cost ]]+Table1[[#This Row],[shipping]]+Table1[[#This Row],[Tax]]),0)</f>
        <v>0</v>
      </c>
      <c r="R129" s="38"/>
    </row>
    <row r="130" spans="1:18" x14ac:dyDescent="0.25">
      <c r="A130" s="1" t="s">
        <v>133</v>
      </c>
      <c r="B130" s="4"/>
      <c r="F130" s="3">
        <f>9%*Table1[[#This Row],[Cost ]]</f>
        <v>0</v>
      </c>
      <c r="J130" s="11">
        <f>SUMIF('Multi-level BOM'!C$3:C$464,Table1[[#This Row],[Part Number]],'Multi-level BOM'!F$3:F$464)</f>
        <v>0</v>
      </c>
      <c r="K130" s="11">
        <f>Table1[[#This Row],[extended quantity]]*(Table1[[#This Row],[Cost ]]+Table1[[#This Row],[shipping]]+Table1[[#This Row],[Tax]])</f>
        <v>0</v>
      </c>
      <c r="L130" s="11"/>
      <c r="M130" s="42"/>
      <c r="N130" s="53" t="e">
        <f>CEILING((Table1[[#This Row],[extended quantity]]-Table1[[#This Row],[quantity on-hand]])/Table1[[#This Row],[Minimum order quantity]],1)*Table1[[#This Row],[Minimum order quantity]]</f>
        <v>#DIV/0!</v>
      </c>
      <c r="O130" s="53" t="e">
        <f>Table1[[#This Row],[Order quantity]]+Table1[[#This Row],[quantity on-hand]]-Table1[[#This Row],[extended quantity]]</f>
        <v>#DIV/0!</v>
      </c>
      <c r="P130" s="11">
        <f>IFERROR(Table1[[#This Row],[Order quantity]]*(Table1[[#This Row],[Cost ]]+Table1[[#This Row],[shipping]]+Table1[[#This Row],[Tax]]),0)</f>
        <v>0</v>
      </c>
      <c r="Q130" s="38">
        <f>IFERROR(Table1[[#This Row],[leftover material]]*(Table1[[#This Row],[Cost ]]+Table1[[#This Row],[shipping]]+Table1[[#This Row],[Tax]]),0)</f>
        <v>0</v>
      </c>
      <c r="R130" s="38"/>
    </row>
    <row r="131" spans="1:18" x14ac:dyDescent="0.25">
      <c r="A131" s="1" t="s">
        <v>134</v>
      </c>
      <c r="B131" s="4"/>
      <c r="F131" s="3">
        <f>9%*Table1[[#This Row],[Cost ]]</f>
        <v>0</v>
      </c>
      <c r="J131" s="11">
        <f>SUMIF('Multi-level BOM'!C$3:C$464,Table1[[#This Row],[Part Number]],'Multi-level BOM'!F$3:F$464)</f>
        <v>0</v>
      </c>
      <c r="K131" s="11">
        <f>Table1[[#This Row],[extended quantity]]*(Table1[[#This Row],[Cost ]]+Table1[[#This Row],[shipping]]+Table1[[#This Row],[Tax]])</f>
        <v>0</v>
      </c>
      <c r="L131" s="11"/>
      <c r="M131" s="42"/>
      <c r="N131" s="53" t="e">
        <f>CEILING((Table1[[#This Row],[extended quantity]]-Table1[[#This Row],[quantity on-hand]])/Table1[[#This Row],[Minimum order quantity]],1)*Table1[[#This Row],[Minimum order quantity]]</f>
        <v>#DIV/0!</v>
      </c>
      <c r="O131" s="53" t="e">
        <f>Table1[[#This Row],[Order quantity]]+Table1[[#This Row],[quantity on-hand]]-Table1[[#This Row],[extended quantity]]</f>
        <v>#DIV/0!</v>
      </c>
      <c r="P131" s="11">
        <f>IFERROR(Table1[[#This Row],[Order quantity]]*(Table1[[#This Row],[Cost ]]+Table1[[#This Row],[shipping]]+Table1[[#This Row],[Tax]]),0)</f>
        <v>0</v>
      </c>
      <c r="Q131" s="38">
        <f>IFERROR(Table1[[#This Row],[leftover material]]*(Table1[[#This Row],[Cost ]]+Table1[[#This Row],[shipping]]+Table1[[#This Row],[Tax]]),0)</f>
        <v>0</v>
      </c>
      <c r="R131" s="38"/>
    </row>
    <row r="132" spans="1:18" x14ac:dyDescent="0.25">
      <c r="A132" s="1" t="s">
        <v>135</v>
      </c>
      <c r="B132" s="4"/>
      <c r="F132" s="3">
        <f>9%*Table1[[#This Row],[Cost ]]</f>
        <v>0</v>
      </c>
      <c r="J132" s="11">
        <f>SUMIF('Multi-level BOM'!C$3:C$464,Table1[[#This Row],[Part Number]],'Multi-level BOM'!F$3:F$464)</f>
        <v>0</v>
      </c>
      <c r="K132" s="11">
        <f>Table1[[#This Row],[extended quantity]]*(Table1[[#This Row],[Cost ]]+Table1[[#This Row],[shipping]]+Table1[[#This Row],[Tax]])</f>
        <v>0</v>
      </c>
      <c r="L132" s="11"/>
      <c r="M132" s="42"/>
      <c r="N132" s="53" t="e">
        <f>CEILING((Table1[[#This Row],[extended quantity]]-Table1[[#This Row],[quantity on-hand]])/Table1[[#This Row],[Minimum order quantity]],1)*Table1[[#This Row],[Minimum order quantity]]</f>
        <v>#DIV/0!</v>
      </c>
      <c r="O132" s="53" t="e">
        <f>Table1[[#This Row],[Order quantity]]+Table1[[#This Row],[quantity on-hand]]-Table1[[#This Row],[extended quantity]]</f>
        <v>#DIV/0!</v>
      </c>
      <c r="P132" s="11">
        <f>IFERROR(Table1[[#This Row],[Order quantity]]*(Table1[[#This Row],[Cost ]]+Table1[[#This Row],[shipping]]+Table1[[#This Row],[Tax]]),0)</f>
        <v>0</v>
      </c>
      <c r="Q132" s="38">
        <f>IFERROR(Table1[[#This Row],[leftover material]]*(Table1[[#This Row],[Cost ]]+Table1[[#This Row],[shipping]]+Table1[[#This Row],[Tax]]),0)</f>
        <v>0</v>
      </c>
      <c r="R132" s="38"/>
    </row>
    <row r="133" spans="1:18" x14ac:dyDescent="0.25">
      <c r="A133" s="1" t="s">
        <v>136</v>
      </c>
      <c r="B133" s="4"/>
      <c r="F133" s="3">
        <f>9%*Table1[[#This Row],[Cost ]]</f>
        <v>0</v>
      </c>
      <c r="J133" s="11">
        <f>SUMIF('Multi-level BOM'!C$3:C$464,Table1[[#This Row],[Part Number]],'Multi-level BOM'!F$3:F$464)</f>
        <v>0</v>
      </c>
      <c r="K133" s="11">
        <f>Table1[[#This Row],[extended quantity]]*(Table1[[#This Row],[Cost ]]+Table1[[#This Row],[shipping]]+Table1[[#This Row],[Tax]])</f>
        <v>0</v>
      </c>
      <c r="L133" s="11"/>
      <c r="M133" s="42"/>
      <c r="N133" s="53" t="e">
        <f>CEILING((Table1[[#This Row],[extended quantity]]-Table1[[#This Row],[quantity on-hand]])/Table1[[#This Row],[Minimum order quantity]],1)*Table1[[#This Row],[Minimum order quantity]]</f>
        <v>#DIV/0!</v>
      </c>
      <c r="O133" s="53" t="e">
        <f>Table1[[#This Row],[Order quantity]]+Table1[[#This Row],[quantity on-hand]]-Table1[[#This Row],[extended quantity]]</f>
        <v>#DIV/0!</v>
      </c>
      <c r="P133" s="11">
        <f>IFERROR(Table1[[#This Row],[Order quantity]]*(Table1[[#This Row],[Cost ]]+Table1[[#This Row],[shipping]]+Table1[[#This Row],[Tax]]),0)</f>
        <v>0</v>
      </c>
      <c r="Q133" s="38">
        <f>IFERROR(Table1[[#This Row],[leftover material]]*(Table1[[#This Row],[Cost ]]+Table1[[#This Row],[shipping]]+Table1[[#This Row],[Tax]]),0)</f>
        <v>0</v>
      </c>
      <c r="R133" s="38"/>
    </row>
    <row r="134" spans="1:18" x14ac:dyDescent="0.25">
      <c r="A134" s="1" t="s">
        <v>137</v>
      </c>
      <c r="B134" s="4"/>
      <c r="F134" s="3">
        <f>9%*Table1[[#This Row],[Cost ]]</f>
        <v>0</v>
      </c>
      <c r="J134" s="11">
        <f>SUMIF('Multi-level BOM'!C$3:C$464,Table1[[#This Row],[Part Number]],'Multi-level BOM'!F$3:F$464)</f>
        <v>0</v>
      </c>
      <c r="K134" s="11">
        <f>Table1[[#This Row],[extended quantity]]*(Table1[[#This Row],[Cost ]]+Table1[[#This Row],[shipping]]+Table1[[#This Row],[Tax]])</f>
        <v>0</v>
      </c>
      <c r="L134" s="11"/>
      <c r="M134" s="42"/>
      <c r="N134" s="53" t="e">
        <f>CEILING((Table1[[#This Row],[extended quantity]]-Table1[[#This Row],[quantity on-hand]])/Table1[[#This Row],[Minimum order quantity]],1)*Table1[[#This Row],[Minimum order quantity]]</f>
        <v>#DIV/0!</v>
      </c>
      <c r="O134" s="53" t="e">
        <f>Table1[[#This Row],[Order quantity]]+Table1[[#This Row],[quantity on-hand]]-Table1[[#This Row],[extended quantity]]</f>
        <v>#DIV/0!</v>
      </c>
      <c r="P134" s="11">
        <f>IFERROR(Table1[[#This Row],[Order quantity]]*(Table1[[#This Row],[Cost ]]+Table1[[#This Row],[shipping]]+Table1[[#This Row],[Tax]]),0)</f>
        <v>0</v>
      </c>
      <c r="Q134" s="38">
        <f>IFERROR(Table1[[#This Row],[leftover material]]*(Table1[[#This Row],[Cost ]]+Table1[[#This Row],[shipping]]+Table1[[#This Row],[Tax]]),0)</f>
        <v>0</v>
      </c>
      <c r="R134" s="38"/>
    </row>
    <row r="135" spans="1:18" x14ac:dyDescent="0.25">
      <c r="A135" s="1" t="s">
        <v>138</v>
      </c>
      <c r="B135" s="4"/>
      <c r="F135" s="3">
        <f>9%*Table1[[#This Row],[Cost ]]</f>
        <v>0</v>
      </c>
      <c r="J135" s="11">
        <f>SUMIF('Multi-level BOM'!C$3:C$464,Table1[[#This Row],[Part Number]],'Multi-level BOM'!F$3:F$464)</f>
        <v>0</v>
      </c>
      <c r="K135" s="11">
        <f>Table1[[#This Row],[extended quantity]]*(Table1[[#This Row],[Cost ]]+Table1[[#This Row],[shipping]]+Table1[[#This Row],[Tax]])</f>
        <v>0</v>
      </c>
      <c r="L135" s="11"/>
      <c r="M135" s="42"/>
      <c r="N135" s="53" t="e">
        <f>CEILING((Table1[[#This Row],[extended quantity]]-Table1[[#This Row],[quantity on-hand]])/Table1[[#This Row],[Minimum order quantity]],1)*Table1[[#This Row],[Minimum order quantity]]</f>
        <v>#DIV/0!</v>
      </c>
      <c r="O135" s="53" t="e">
        <f>Table1[[#This Row],[Order quantity]]+Table1[[#This Row],[quantity on-hand]]-Table1[[#This Row],[extended quantity]]</f>
        <v>#DIV/0!</v>
      </c>
      <c r="P135" s="11">
        <f>IFERROR(Table1[[#This Row],[Order quantity]]*(Table1[[#This Row],[Cost ]]+Table1[[#This Row],[shipping]]+Table1[[#This Row],[Tax]]),0)</f>
        <v>0</v>
      </c>
      <c r="Q135" s="38">
        <f>IFERROR(Table1[[#This Row],[leftover material]]*(Table1[[#This Row],[Cost ]]+Table1[[#This Row],[shipping]]+Table1[[#This Row],[Tax]]),0)</f>
        <v>0</v>
      </c>
      <c r="R135" s="38"/>
    </row>
    <row r="136" spans="1:18" x14ac:dyDescent="0.25">
      <c r="A136" s="1" t="s">
        <v>139</v>
      </c>
      <c r="B136" s="4"/>
      <c r="F136" s="3">
        <f>9%*Table1[[#This Row],[Cost ]]</f>
        <v>0</v>
      </c>
      <c r="J136" s="11">
        <f>SUMIF('Multi-level BOM'!C$3:C$464,Table1[[#This Row],[Part Number]],'Multi-level BOM'!F$3:F$464)</f>
        <v>0</v>
      </c>
      <c r="K136" s="11">
        <f>Table1[[#This Row],[extended quantity]]*(Table1[[#This Row],[Cost ]]+Table1[[#This Row],[shipping]]+Table1[[#This Row],[Tax]])</f>
        <v>0</v>
      </c>
      <c r="L136" s="11"/>
      <c r="M136" s="42"/>
      <c r="N136" s="53" t="e">
        <f>CEILING((Table1[[#This Row],[extended quantity]]-Table1[[#This Row],[quantity on-hand]])/Table1[[#This Row],[Minimum order quantity]],1)*Table1[[#This Row],[Minimum order quantity]]</f>
        <v>#DIV/0!</v>
      </c>
      <c r="O136" s="53" t="e">
        <f>Table1[[#This Row],[Order quantity]]+Table1[[#This Row],[quantity on-hand]]-Table1[[#This Row],[extended quantity]]</f>
        <v>#DIV/0!</v>
      </c>
      <c r="P136" s="11">
        <f>IFERROR(Table1[[#This Row],[Order quantity]]*(Table1[[#This Row],[Cost ]]+Table1[[#This Row],[shipping]]+Table1[[#This Row],[Tax]]),0)</f>
        <v>0</v>
      </c>
      <c r="Q136" s="38">
        <f>IFERROR(Table1[[#This Row],[leftover material]]*(Table1[[#This Row],[Cost ]]+Table1[[#This Row],[shipping]]+Table1[[#This Row],[Tax]]),0)</f>
        <v>0</v>
      </c>
      <c r="R136" s="38"/>
    </row>
    <row r="137" spans="1:18" x14ac:dyDescent="0.25">
      <c r="A137" s="1" t="s">
        <v>140</v>
      </c>
      <c r="B137" s="4"/>
      <c r="F137" s="3">
        <f>9%*Table1[[#This Row],[Cost ]]</f>
        <v>0</v>
      </c>
      <c r="J137" s="11">
        <f>SUMIF('Multi-level BOM'!C$3:C$464,Table1[[#This Row],[Part Number]],'Multi-level BOM'!F$3:F$464)</f>
        <v>0</v>
      </c>
      <c r="K137" s="11">
        <f>Table1[[#This Row],[extended quantity]]*(Table1[[#This Row],[Cost ]]+Table1[[#This Row],[shipping]]+Table1[[#This Row],[Tax]])</f>
        <v>0</v>
      </c>
      <c r="L137" s="11"/>
      <c r="M137" s="42"/>
      <c r="N137" s="53" t="e">
        <f>CEILING((Table1[[#This Row],[extended quantity]]-Table1[[#This Row],[quantity on-hand]])/Table1[[#This Row],[Minimum order quantity]],1)*Table1[[#This Row],[Minimum order quantity]]</f>
        <v>#DIV/0!</v>
      </c>
      <c r="O137" s="53" t="e">
        <f>Table1[[#This Row],[Order quantity]]+Table1[[#This Row],[quantity on-hand]]-Table1[[#This Row],[extended quantity]]</f>
        <v>#DIV/0!</v>
      </c>
      <c r="P137" s="11">
        <f>IFERROR(Table1[[#This Row],[Order quantity]]*(Table1[[#This Row],[Cost ]]+Table1[[#This Row],[shipping]]+Table1[[#This Row],[Tax]]),0)</f>
        <v>0</v>
      </c>
      <c r="Q137" s="38">
        <f>IFERROR(Table1[[#This Row],[leftover material]]*(Table1[[#This Row],[Cost ]]+Table1[[#This Row],[shipping]]+Table1[[#This Row],[Tax]]),0)</f>
        <v>0</v>
      </c>
      <c r="R137" s="38"/>
    </row>
    <row r="138" spans="1:18" x14ac:dyDescent="0.25">
      <c r="A138" s="1" t="s">
        <v>141</v>
      </c>
      <c r="B138" s="4"/>
      <c r="F138" s="3">
        <f>9%*Table1[[#This Row],[Cost ]]</f>
        <v>0</v>
      </c>
      <c r="J138" s="11">
        <f>SUMIF('Multi-level BOM'!C$3:C$464,Table1[[#This Row],[Part Number]],'Multi-level BOM'!F$3:F$464)</f>
        <v>0</v>
      </c>
      <c r="K138" s="11">
        <f>Table1[[#This Row],[extended quantity]]*(Table1[[#This Row],[Cost ]]+Table1[[#This Row],[shipping]]+Table1[[#This Row],[Tax]])</f>
        <v>0</v>
      </c>
      <c r="L138" s="11"/>
      <c r="M138" s="42"/>
      <c r="N138" s="53" t="e">
        <f>CEILING((Table1[[#This Row],[extended quantity]]-Table1[[#This Row],[quantity on-hand]])/Table1[[#This Row],[Minimum order quantity]],1)*Table1[[#This Row],[Minimum order quantity]]</f>
        <v>#DIV/0!</v>
      </c>
      <c r="O138" s="53" t="e">
        <f>Table1[[#This Row],[Order quantity]]+Table1[[#This Row],[quantity on-hand]]-Table1[[#This Row],[extended quantity]]</f>
        <v>#DIV/0!</v>
      </c>
      <c r="P138" s="11">
        <f>IFERROR(Table1[[#This Row],[Order quantity]]*(Table1[[#This Row],[Cost ]]+Table1[[#This Row],[shipping]]+Table1[[#This Row],[Tax]]),0)</f>
        <v>0</v>
      </c>
      <c r="Q138" s="38">
        <f>IFERROR(Table1[[#This Row],[leftover material]]*(Table1[[#This Row],[Cost ]]+Table1[[#This Row],[shipping]]+Table1[[#This Row],[Tax]]),0)</f>
        <v>0</v>
      </c>
      <c r="R138" s="38"/>
    </row>
    <row r="139" spans="1:18" x14ac:dyDescent="0.25">
      <c r="A139" s="1" t="s">
        <v>142</v>
      </c>
      <c r="B139" s="4"/>
      <c r="F139" s="3">
        <f>9%*Table1[[#This Row],[Cost ]]</f>
        <v>0</v>
      </c>
      <c r="J139" s="11">
        <f>SUMIF('Multi-level BOM'!C$3:C$464,Table1[[#This Row],[Part Number]],'Multi-level BOM'!F$3:F$464)</f>
        <v>0</v>
      </c>
      <c r="K139" s="11">
        <f>Table1[[#This Row],[extended quantity]]*(Table1[[#This Row],[Cost ]]+Table1[[#This Row],[shipping]]+Table1[[#This Row],[Tax]])</f>
        <v>0</v>
      </c>
      <c r="L139" s="11"/>
      <c r="M139" s="42"/>
      <c r="N139" s="53" t="e">
        <f>CEILING((Table1[[#This Row],[extended quantity]]-Table1[[#This Row],[quantity on-hand]])/Table1[[#This Row],[Minimum order quantity]],1)*Table1[[#This Row],[Minimum order quantity]]</f>
        <v>#DIV/0!</v>
      </c>
      <c r="O139" s="53" t="e">
        <f>Table1[[#This Row],[Order quantity]]+Table1[[#This Row],[quantity on-hand]]-Table1[[#This Row],[extended quantity]]</f>
        <v>#DIV/0!</v>
      </c>
      <c r="P139" s="11">
        <f>IFERROR(Table1[[#This Row],[Order quantity]]*(Table1[[#This Row],[Cost ]]+Table1[[#This Row],[shipping]]+Table1[[#This Row],[Tax]]),0)</f>
        <v>0</v>
      </c>
      <c r="Q139" s="38">
        <f>IFERROR(Table1[[#This Row],[leftover material]]*(Table1[[#This Row],[Cost ]]+Table1[[#This Row],[shipping]]+Table1[[#This Row],[Tax]]),0)</f>
        <v>0</v>
      </c>
      <c r="R139" s="38"/>
    </row>
    <row r="140" spans="1:18" x14ac:dyDescent="0.25">
      <c r="A140" s="1" t="s">
        <v>143</v>
      </c>
      <c r="B140" s="4"/>
      <c r="F140" s="3">
        <f>9%*Table1[[#This Row],[Cost ]]</f>
        <v>0</v>
      </c>
      <c r="J140" s="11">
        <f>SUMIF('Multi-level BOM'!C$3:C$464,Table1[[#This Row],[Part Number]],'Multi-level BOM'!F$3:F$464)</f>
        <v>0</v>
      </c>
      <c r="K140" s="11">
        <f>Table1[[#This Row],[extended quantity]]*(Table1[[#This Row],[Cost ]]+Table1[[#This Row],[shipping]]+Table1[[#This Row],[Tax]])</f>
        <v>0</v>
      </c>
      <c r="L140" s="11"/>
      <c r="M140" s="42"/>
      <c r="N140" s="53" t="e">
        <f>CEILING((Table1[[#This Row],[extended quantity]]-Table1[[#This Row],[quantity on-hand]])/Table1[[#This Row],[Minimum order quantity]],1)*Table1[[#This Row],[Minimum order quantity]]</f>
        <v>#DIV/0!</v>
      </c>
      <c r="O140" s="53" t="e">
        <f>Table1[[#This Row],[Order quantity]]+Table1[[#This Row],[quantity on-hand]]-Table1[[#This Row],[extended quantity]]</f>
        <v>#DIV/0!</v>
      </c>
      <c r="P140" s="11">
        <f>IFERROR(Table1[[#This Row],[Order quantity]]*(Table1[[#This Row],[Cost ]]+Table1[[#This Row],[shipping]]+Table1[[#This Row],[Tax]]),0)</f>
        <v>0</v>
      </c>
      <c r="Q140" s="38">
        <f>IFERROR(Table1[[#This Row],[leftover material]]*(Table1[[#This Row],[Cost ]]+Table1[[#This Row],[shipping]]+Table1[[#This Row],[Tax]]),0)</f>
        <v>0</v>
      </c>
      <c r="R140" s="38"/>
    </row>
    <row r="141" spans="1:18" x14ac:dyDescent="0.25">
      <c r="A141" s="1" t="s">
        <v>144</v>
      </c>
      <c r="B141" s="4"/>
      <c r="F141" s="3">
        <f>9%*Table1[[#This Row],[Cost ]]</f>
        <v>0</v>
      </c>
      <c r="J141" s="11">
        <f>SUMIF('Multi-level BOM'!C$3:C$464,Table1[[#This Row],[Part Number]],'Multi-level BOM'!F$3:F$464)</f>
        <v>0</v>
      </c>
      <c r="K141" s="11">
        <f>Table1[[#This Row],[extended quantity]]*(Table1[[#This Row],[Cost ]]+Table1[[#This Row],[shipping]]+Table1[[#This Row],[Tax]])</f>
        <v>0</v>
      </c>
      <c r="L141" s="11"/>
      <c r="M141" s="42"/>
      <c r="N141" s="53" t="e">
        <f>CEILING((Table1[[#This Row],[extended quantity]]-Table1[[#This Row],[quantity on-hand]])/Table1[[#This Row],[Minimum order quantity]],1)*Table1[[#This Row],[Minimum order quantity]]</f>
        <v>#DIV/0!</v>
      </c>
      <c r="O141" s="53" t="e">
        <f>Table1[[#This Row],[Order quantity]]+Table1[[#This Row],[quantity on-hand]]-Table1[[#This Row],[extended quantity]]</f>
        <v>#DIV/0!</v>
      </c>
      <c r="P141" s="11">
        <f>IFERROR(Table1[[#This Row],[Order quantity]]*(Table1[[#This Row],[Cost ]]+Table1[[#This Row],[shipping]]+Table1[[#This Row],[Tax]]),0)</f>
        <v>0</v>
      </c>
      <c r="Q141" s="38">
        <f>IFERROR(Table1[[#This Row],[leftover material]]*(Table1[[#This Row],[Cost ]]+Table1[[#This Row],[shipping]]+Table1[[#This Row],[Tax]]),0)</f>
        <v>0</v>
      </c>
      <c r="R141" s="38"/>
    </row>
    <row r="142" spans="1:18" x14ac:dyDescent="0.25">
      <c r="A142" s="1" t="s">
        <v>145</v>
      </c>
      <c r="B142" s="4"/>
      <c r="F142" s="3">
        <f>9%*Table1[[#This Row],[Cost ]]</f>
        <v>0</v>
      </c>
      <c r="J142" s="11">
        <f>SUMIF('Multi-level BOM'!C$3:C$464,Table1[[#This Row],[Part Number]],'Multi-level BOM'!F$3:F$464)</f>
        <v>0</v>
      </c>
      <c r="K142" s="11">
        <f>Table1[[#This Row],[extended quantity]]*(Table1[[#This Row],[Cost ]]+Table1[[#This Row],[shipping]]+Table1[[#This Row],[Tax]])</f>
        <v>0</v>
      </c>
      <c r="L142" s="11"/>
      <c r="M142" s="42"/>
      <c r="N142" s="53" t="e">
        <f>CEILING((Table1[[#This Row],[extended quantity]]-Table1[[#This Row],[quantity on-hand]])/Table1[[#This Row],[Minimum order quantity]],1)*Table1[[#This Row],[Minimum order quantity]]</f>
        <v>#DIV/0!</v>
      </c>
      <c r="O142" s="53" t="e">
        <f>Table1[[#This Row],[Order quantity]]+Table1[[#This Row],[quantity on-hand]]-Table1[[#This Row],[extended quantity]]</f>
        <v>#DIV/0!</v>
      </c>
      <c r="P142" s="11">
        <f>IFERROR(Table1[[#This Row],[Order quantity]]*(Table1[[#This Row],[Cost ]]+Table1[[#This Row],[shipping]]+Table1[[#This Row],[Tax]]),0)</f>
        <v>0</v>
      </c>
      <c r="Q142" s="38">
        <f>IFERROR(Table1[[#This Row],[leftover material]]*(Table1[[#This Row],[Cost ]]+Table1[[#This Row],[shipping]]+Table1[[#This Row],[Tax]]),0)</f>
        <v>0</v>
      </c>
      <c r="R142" s="38"/>
    </row>
    <row r="143" spans="1:18" x14ac:dyDescent="0.25">
      <c r="A143" s="1" t="s">
        <v>146</v>
      </c>
      <c r="B143" s="4"/>
      <c r="F143" s="3">
        <f>9%*Table1[[#This Row],[Cost ]]</f>
        <v>0</v>
      </c>
      <c r="J143" s="11">
        <f>SUMIF('Multi-level BOM'!C$3:C$464,Table1[[#This Row],[Part Number]],'Multi-level BOM'!F$3:F$464)</f>
        <v>0</v>
      </c>
      <c r="K143" s="11">
        <f>Table1[[#This Row],[extended quantity]]*(Table1[[#This Row],[Cost ]]+Table1[[#This Row],[shipping]]+Table1[[#This Row],[Tax]])</f>
        <v>0</v>
      </c>
      <c r="L143" s="11"/>
      <c r="M143" s="42"/>
      <c r="N143" s="53" t="e">
        <f>CEILING((Table1[[#This Row],[extended quantity]]-Table1[[#This Row],[quantity on-hand]])/Table1[[#This Row],[Minimum order quantity]],1)*Table1[[#This Row],[Minimum order quantity]]</f>
        <v>#DIV/0!</v>
      </c>
      <c r="O143" s="53" t="e">
        <f>Table1[[#This Row],[Order quantity]]+Table1[[#This Row],[quantity on-hand]]-Table1[[#This Row],[extended quantity]]</f>
        <v>#DIV/0!</v>
      </c>
      <c r="P143" s="11">
        <f>IFERROR(Table1[[#This Row],[Order quantity]]*(Table1[[#This Row],[Cost ]]+Table1[[#This Row],[shipping]]+Table1[[#This Row],[Tax]]),0)</f>
        <v>0</v>
      </c>
      <c r="Q143" s="38">
        <f>IFERROR(Table1[[#This Row],[leftover material]]*(Table1[[#This Row],[Cost ]]+Table1[[#This Row],[shipping]]+Table1[[#This Row],[Tax]]),0)</f>
        <v>0</v>
      </c>
      <c r="R143" s="38"/>
    </row>
    <row r="144" spans="1:18" x14ac:dyDescent="0.25">
      <c r="A144" s="1" t="s">
        <v>147</v>
      </c>
      <c r="B144" s="4"/>
      <c r="F144" s="3">
        <f>9%*Table1[[#This Row],[Cost ]]</f>
        <v>0</v>
      </c>
      <c r="J144" s="11">
        <f>SUMIF('Multi-level BOM'!C$3:C$464,Table1[[#This Row],[Part Number]],'Multi-level BOM'!F$3:F$464)</f>
        <v>0</v>
      </c>
      <c r="K144" s="11">
        <f>Table1[[#This Row],[extended quantity]]*(Table1[[#This Row],[Cost ]]+Table1[[#This Row],[shipping]]+Table1[[#This Row],[Tax]])</f>
        <v>0</v>
      </c>
      <c r="L144" s="11"/>
      <c r="M144" s="42"/>
      <c r="N144" s="53" t="e">
        <f>CEILING((Table1[[#This Row],[extended quantity]]-Table1[[#This Row],[quantity on-hand]])/Table1[[#This Row],[Minimum order quantity]],1)*Table1[[#This Row],[Minimum order quantity]]</f>
        <v>#DIV/0!</v>
      </c>
      <c r="O144" s="53" t="e">
        <f>Table1[[#This Row],[Order quantity]]+Table1[[#This Row],[quantity on-hand]]-Table1[[#This Row],[extended quantity]]</f>
        <v>#DIV/0!</v>
      </c>
      <c r="P144" s="11">
        <f>IFERROR(Table1[[#This Row],[Order quantity]]*(Table1[[#This Row],[Cost ]]+Table1[[#This Row],[shipping]]+Table1[[#This Row],[Tax]]),0)</f>
        <v>0</v>
      </c>
      <c r="Q144" s="38">
        <f>IFERROR(Table1[[#This Row],[leftover material]]*(Table1[[#This Row],[Cost ]]+Table1[[#This Row],[shipping]]+Table1[[#This Row],[Tax]]),0)</f>
        <v>0</v>
      </c>
      <c r="R144" s="38"/>
    </row>
    <row r="145" spans="1:18" x14ac:dyDescent="0.25">
      <c r="A145" s="1" t="s">
        <v>148</v>
      </c>
      <c r="B145" s="4"/>
      <c r="F145" s="3">
        <f>9%*Table1[[#This Row],[Cost ]]</f>
        <v>0</v>
      </c>
      <c r="J145" s="11">
        <f>SUMIF('Multi-level BOM'!C$3:C$464,Table1[[#This Row],[Part Number]],'Multi-level BOM'!F$3:F$464)</f>
        <v>0</v>
      </c>
      <c r="K145" s="11">
        <f>Table1[[#This Row],[extended quantity]]*(Table1[[#This Row],[Cost ]]+Table1[[#This Row],[shipping]]+Table1[[#This Row],[Tax]])</f>
        <v>0</v>
      </c>
      <c r="L145" s="11"/>
      <c r="M145" s="42"/>
      <c r="N145" s="53" t="e">
        <f>CEILING((Table1[[#This Row],[extended quantity]]-Table1[[#This Row],[quantity on-hand]])/Table1[[#This Row],[Minimum order quantity]],1)*Table1[[#This Row],[Minimum order quantity]]</f>
        <v>#DIV/0!</v>
      </c>
      <c r="O145" s="53" t="e">
        <f>Table1[[#This Row],[Order quantity]]+Table1[[#This Row],[quantity on-hand]]-Table1[[#This Row],[extended quantity]]</f>
        <v>#DIV/0!</v>
      </c>
      <c r="P145" s="11">
        <f>IFERROR(Table1[[#This Row],[Order quantity]]*(Table1[[#This Row],[Cost ]]+Table1[[#This Row],[shipping]]+Table1[[#This Row],[Tax]]),0)</f>
        <v>0</v>
      </c>
      <c r="Q145" s="38">
        <f>IFERROR(Table1[[#This Row],[leftover material]]*(Table1[[#This Row],[Cost ]]+Table1[[#This Row],[shipping]]+Table1[[#This Row],[Tax]]),0)</f>
        <v>0</v>
      </c>
      <c r="R145" s="38"/>
    </row>
    <row r="146" spans="1:18" x14ac:dyDescent="0.25">
      <c r="A146" s="1" t="s">
        <v>149</v>
      </c>
      <c r="B146" s="4"/>
      <c r="F146" s="3">
        <f>9%*Table1[[#This Row],[Cost ]]</f>
        <v>0</v>
      </c>
      <c r="J146" s="11">
        <f>SUMIF('Multi-level BOM'!C$3:C$464,Table1[[#This Row],[Part Number]],'Multi-level BOM'!F$3:F$464)</f>
        <v>0</v>
      </c>
      <c r="K146" s="11">
        <f>Table1[[#This Row],[extended quantity]]*(Table1[[#This Row],[Cost ]]+Table1[[#This Row],[shipping]]+Table1[[#This Row],[Tax]])</f>
        <v>0</v>
      </c>
      <c r="L146" s="11"/>
      <c r="M146" s="42"/>
      <c r="N146" s="53" t="e">
        <f>CEILING((Table1[[#This Row],[extended quantity]]-Table1[[#This Row],[quantity on-hand]])/Table1[[#This Row],[Minimum order quantity]],1)*Table1[[#This Row],[Minimum order quantity]]</f>
        <v>#DIV/0!</v>
      </c>
      <c r="O146" s="53" t="e">
        <f>Table1[[#This Row],[Order quantity]]+Table1[[#This Row],[quantity on-hand]]-Table1[[#This Row],[extended quantity]]</f>
        <v>#DIV/0!</v>
      </c>
      <c r="P146" s="11">
        <f>IFERROR(Table1[[#This Row],[Order quantity]]*(Table1[[#This Row],[Cost ]]+Table1[[#This Row],[shipping]]+Table1[[#This Row],[Tax]]),0)</f>
        <v>0</v>
      </c>
      <c r="Q146" s="38">
        <f>IFERROR(Table1[[#This Row],[leftover material]]*(Table1[[#This Row],[Cost ]]+Table1[[#This Row],[shipping]]+Table1[[#This Row],[Tax]]),0)</f>
        <v>0</v>
      </c>
      <c r="R146" s="38"/>
    </row>
    <row r="147" spans="1:18" x14ac:dyDescent="0.25">
      <c r="A147" s="1" t="s">
        <v>150</v>
      </c>
      <c r="B147" s="4"/>
      <c r="F147" s="3">
        <f>9%*Table1[[#This Row],[Cost ]]</f>
        <v>0</v>
      </c>
      <c r="J147" s="11">
        <f>SUMIF('Multi-level BOM'!C$3:C$464,Table1[[#This Row],[Part Number]],'Multi-level BOM'!F$3:F$464)</f>
        <v>0</v>
      </c>
      <c r="K147" s="11">
        <f>Table1[[#This Row],[extended quantity]]*(Table1[[#This Row],[Cost ]]+Table1[[#This Row],[shipping]]+Table1[[#This Row],[Tax]])</f>
        <v>0</v>
      </c>
      <c r="L147" s="11"/>
      <c r="M147" s="42"/>
      <c r="N147" s="53" t="e">
        <f>CEILING((Table1[[#This Row],[extended quantity]]-Table1[[#This Row],[quantity on-hand]])/Table1[[#This Row],[Minimum order quantity]],1)*Table1[[#This Row],[Minimum order quantity]]</f>
        <v>#DIV/0!</v>
      </c>
      <c r="O147" s="53" t="e">
        <f>Table1[[#This Row],[Order quantity]]+Table1[[#This Row],[quantity on-hand]]-Table1[[#This Row],[extended quantity]]</f>
        <v>#DIV/0!</v>
      </c>
      <c r="P147" s="11">
        <f>IFERROR(Table1[[#This Row],[Order quantity]]*(Table1[[#This Row],[Cost ]]+Table1[[#This Row],[shipping]]+Table1[[#This Row],[Tax]]),0)</f>
        <v>0</v>
      </c>
      <c r="Q147" s="38">
        <f>IFERROR(Table1[[#This Row],[leftover material]]*(Table1[[#This Row],[Cost ]]+Table1[[#This Row],[shipping]]+Table1[[#This Row],[Tax]]),0)</f>
        <v>0</v>
      </c>
      <c r="R147" s="38"/>
    </row>
    <row r="148" spans="1:18" x14ac:dyDescent="0.25">
      <c r="A148" s="1" t="s">
        <v>151</v>
      </c>
      <c r="B148" s="4"/>
      <c r="F148" s="3">
        <f>9%*Table1[[#This Row],[Cost ]]</f>
        <v>0</v>
      </c>
      <c r="J148" s="11">
        <f>SUMIF('Multi-level BOM'!C$3:C$464,Table1[[#This Row],[Part Number]],'Multi-level BOM'!F$3:F$464)</f>
        <v>0</v>
      </c>
      <c r="K148" s="11">
        <f>Table1[[#This Row],[extended quantity]]*(Table1[[#This Row],[Cost ]]+Table1[[#This Row],[shipping]]+Table1[[#This Row],[Tax]])</f>
        <v>0</v>
      </c>
      <c r="L148" s="11"/>
      <c r="M148" s="42"/>
      <c r="N148" s="53" t="e">
        <f>CEILING((Table1[[#This Row],[extended quantity]]-Table1[[#This Row],[quantity on-hand]])/Table1[[#This Row],[Minimum order quantity]],1)*Table1[[#This Row],[Minimum order quantity]]</f>
        <v>#DIV/0!</v>
      </c>
      <c r="O148" s="53" t="e">
        <f>Table1[[#This Row],[Order quantity]]+Table1[[#This Row],[quantity on-hand]]-Table1[[#This Row],[extended quantity]]</f>
        <v>#DIV/0!</v>
      </c>
      <c r="P148" s="11">
        <f>IFERROR(Table1[[#This Row],[Order quantity]]*(Table1[[#This Row],[Cost ]]+Table1[[#This Row],[shipping]]+Table1[[#This Row],[Tax]]),0)</f>
        <v>0</v>
      </c>
      <c r="Q148" s="38">
        <f>IFERROR(Table1[[#This Row],[leftover material]]*(Table1[[#This Row],[Cost ]]+Table1[[#This Row],[shipping]]+Table1[[#This Row],[Tax]]),0)</f>
        <v>0</v>
      </c>
      <c r="R148" s="38"/>
    </row>
    <row r="149" spans="1:18" x14ac:dyDescent="0.25">
      <c r="A149" s="1" t="s">
        <v>152</v>
      </c>
      <c r="B149" s="4"/>
      <c r="F149" s="3">
        <f>9%*Table1[[#This Row],[Cost ]]</f>
        <v>0</v>
      </c>
      <c r="J149" s="11">
        <f>SUMIF('Multi-level BOM'!C$3:C$464,Table1[[#This Row],[Part Number]],'Multi-level BOM'!F$3:F$464)</f>
        <v>0</v>
      </c>
      <c r="K149" s="11">
        <f>Table1[[#This Row],[extended quantity]]*(Table1[[#This Row],[Cost ]]+Table1[[#This Row],[shipping]]+Table1[[#This Row],[Tax]])</f>
        <v>0</v>
      </c>
      <c r="L149" s="11"/>
      <c r="M149" s="42"/>
      <c r="N149" s="53" t="e">
        <f>CEILING((Table1[[#This Row],[extended quantity]]-Table1[[#This Row],[quantity on-hand]])/Table1[[#This Row],[Minimum order quantity]],1)*Table1[[#This Row],[Minimum order quantity]]</f>
        <v>#DIV/0!</v>
      </c>
      <c r="O149" s="53" t="e">
        <f>Table1[[#This Row],[Order quantity]]+Table1[[#This Row],[quantity on-hand]]-Table1[[#This Row],[extended quantity]]</f>
        <v>#DIV/0!</v>
      </c>
      <c r="P149" s="11">
        <f>IFERROR(Table1[[#This Row],[Order quantity]]*(Table1[[#This Row],[Cost ]]+Table1[[#This Row],[shipping]]+Table1[[#This Row],[Tax]]),0)</f>
        <v>0</v>
      </c>
      <c r="Q149" s="38">
        <f>IFERROR(Table1[[#This Row],[leftover material]]*(Table1[[#This Row],[Cost ]]+Table1[[#This Row],[shipping]]+Table1[[#This Row],[Tax]]),0)</f>
        <v>0</v>
      </c>
      <c r="R149" s="38"/>
    </row>
    <row r="150" spans="1:18" x14ac:dyDescent="0.25">
      <c r="A150" s="1" t="s">
        <v>153</v>
      </c>
      <c r="B150" s="4"/>
      <c r="F150" s="3">
        <f>9%*Table1[[#This Row],[Cost ]]</f>
        <v>0</v>
      </c>
      <c r="J150" s="11">
        <f>SUMIF('Multi-level BOM'!C$3:C$464,Table1[[#This Row],[Part Number]],'Multi-level BOM'!F$3:F$464)</f>
        <v>0</v>
      </c>
      <c r="K150" s="11">
        <f>Table1[[#This Row],[extended quantity]]*(Table1[[#This Row],[Cost ]]+Table1[[#This Row],[shipping]]+Table1[[#This Row],[Tax]])</f>
        <v>0</v>
      </c>
      <c r="L150" s="11"/>
      <c r="M150" s="42"/>
      <c r="N150" s="53" t="e">
        <f>CEILING((Table1[[#This Row],[extended quantity]]-Table1[[#This Row],[quantity on-hand]])/Table1[[#This Row],[Minimum order quantity]],1)*Table1[[#This Row],[Minimum order quantity]]</f>
        <v>#DIV/0!</v>
      </c>
      <c r="O150" s="53" t="e">
        <f>Table1[[#This Row],[Order quantity]]+Table1[[#This Row],[quantity on-hand]]-Table1[[#This Row],[extended quantity]]</f>
        <v>#DIV/0!</v>
      </c>
      <c r="P150" s="11">
        <f>IFERROR(Table1[[#This Row],[Order quantity]]*(Table1[[#This Row],[Cost ]]+Table1[[#This Row],[shipping]]+Table1[[#This Row],[Tax]]),0)</f>
        <v>0</v>
      </c>
      <c r="Q150" s="38">
        <f>IFERROR(Table1[[#This Row],[leftover material]]*(Table1[[#This Row],[Cost ]]+Table1[[#This Row],[shipping]]+Table1[[#This Row],[Tax]]),0)</f>
        <v>0</v>
      </c>
      <c r="R150" s="38"/>
    </row>
    <row r="151" spans="1:18" x14ac:dyDescent="0.25">
      <c r="A151" s="1" t="s">
        <v>154</v>
      </c>
      <c r="B151" s="4"/>
      <c r="F151" s="3">
        <f>9%*Table1[[#This Row],[Cost ]]</f>
        <v>0</v>
      </c>
      <c r="J151" s="11">
        <f>SUMIF('Multi-level BOM'!C$3:C$464,Table1[[#This Row],[Part Number]],'Multi-level BOM'!F$3:F$464)</f>
        <v>0</v>
      </c>
      <c r="K151" s="11">
        <f>Table1[[#This Row],[extended quantity]]*(Table1[[#This Row],[Cost ]]+Table1[[#This Row],[shipping]]+Table1[[#This Row],[Tax]])</f>
        <v>0</v>
      </c>
      <c r="L151" s="11"/>
      <c r="M151" s="42"/>
      <c r="N151" s="53" t="e">
        <f>CEILING((Table1[[#This Row],[extended quantity]]-Table1[[#This Row],[quantity on-hand]])/Table1[[#This Row],[Minimum order quantity]],1)*Table1[[#This Row],[Minimum order quantity]]</f>
        <v>#DIV/0!</v>
      </c>
      <c r="O151" s="53" t="e">
        <f>Table1[[#This Row],[Order quantity]]+Table1[[#This Row],[quantity on-hand]]-Table1[[#This Row],[extended quantity]]</f>
        <v>#DIV/0!</v>
      </c>
      <c r="P151" s="11">
        <f>IFERROR(Table1[[#This Row],[Order quantity]]*(Table1[[#This Row],[Cost ]]+Table1[[#This Row],[shipping]]+Table1[[#This Row],[Tax]]),0)</f>
        <v>0</v>
      </c>
      <c r="Q151" s="38">
        <f>IFERROR(Table1[[#This Row],[leftover material]]*(Table1[[#This Row],[Cost ]]+Table1[[#This Row],[shipping]]+Table1[[#This Row],[Tax]]),0)</f>
        <v>0</v>
      </c>
      <c r="R151" s="38"/>
    </row>
    <row r="152" spans="1:18" x14ac:dyDescent="0.25">
      <c r="A152" s="1" t="s">
        <v>155</v>
      </c>
      <c r="B152" s="4"/>
      <c r="F152" s="3">
        <f>9%*Table1[[#This Row],[Cost ]]</f>
        <v>0</v>
      </c>
      <c r="J152" s="11">
        <f>SUMIF('Multi-level BOM'!C$3:C$464,Table1[[#This Row],[Part Number]],'Multi-level BOM'!F$3:F$464)</f>
        <v>0</v>
      </c>
      <c r="K152" s="11">
        <f>Table1[[#This Row],[extended quantity]]*(Table1[[#This Row],[Cost ]]+Table1[[#This Row],[shipping]]+Table1[[#This Row],[Tax]])</f>
        <v>0</v>
      </c>
      <c r="L152" s="11"/>
      <c r="M152" s="42"/>
      <c r="N152" s="53" t="e">
        <f>CEILING((Table1[[#This Row],[extended quantity]]-Table1[[#This Row],[quantity on-hand]])/Table1[[#This Row],[Minimum order quantity]],1)*Table1[[#This Row],[Minimum order quantity]]</f>
        <v>#DIV/0!</v>
      </c>
      <c r="O152" s="53" t="e">
        <f>Table1[[#This Row],[Order quantity]]+Table1[[#This Row],[quantity on-hand]]-Table1[[#This Row],[extended quantity]]</f>
        <v>#DIV/0!</v>
      </c>
      <c r="P152" s="11">
        <f>IFERROR(Table1[[#This Row],[Order quantity]]*(Table1[[#This Row],[Cost ]]+Table1[[#This Row],[shipping]]+Table1[[#This Row],[Tax]]),0)</f>
        <v>0</v>
      </c>
      <c r="Q152" s="38">
        <f>IFERROR(Table1[[#This Row],[leftover material]]*(Table1[[#This Row],[Cost ]]+Table1[[#This Row],[shipping]]+Table1[[#This Row],[Tax]]),0)</f>
        <v>0</v>
      </c>
      <c r="R152" s="38"/>
    </row>
    <row r="153" spans="1:18" x14ac:dyDescent="0.25">
      <c r="A153" s="1" t="s">
        <v>156</v>
      </c>
      <c r="B153" s="4"/>
      <c r="F153" s="3">
        <f>9%*Table1[[#This Row],[Cost ]]</f>
        <v>0</v>
      </c>
      <c r="J153" s="11">
        <f>SUMIF('Multi-level BOM'!C$3:C$464,Table1[[#This Row],[Part Number]],'Multi-level BOM'!F$3:F$464)</f>
        <v>0</v>
      </c>
      <c r="K153" s="11">
        <f>Table1[[#This Row],[extended quantity]]*(Table1[[#This Row],[Cost ]]+Table1[[#This Row],[shipping]]+Table1[[#This Row],[Tax]])</f>
        <v>0</v>
      </c>
      <c r="L153" s="11"/>
      <c r="M153" s="42"/>
      <c r="N153" s="53" t="e">
        <f>CEILING((Table1[[#This Row],[extended quantity]]-Table1[[#This Row],[quantity on-hand]])/Table1[[#This Row],[Minimum order quantity]],1)*Table1[[#This Row],[Minimum order quantity]]</f>
        <v>#DIV/0!</v>
      </c>
      <c r="O153" s="53" t="e">
        <f>Table1[[#This Row],[Order quantity]]+Table1[[#This Row],[quantity on-hand]]-Table1[[#This Row],[extended quantity]]</f>
        <v>#DIV/0!</v>
      </c>
      <c r="P153" s="11">
        <f>IFERROR(Table1[[#This Row],[Order quantity]]*(Table1[[#This Row],[Cost ]]+Table1[[#This Row],[shipping]]+Table1[[#This Row],[Tax]]),0)</f>
        <v>0</v>
      </c>
      <c r="Q153" s="38">
        <f>IFERROR(Table1[[#This Row],[leftover material]]*(Table1[[#This Row],[Cost ]]+Table1[[#This Row],[shipping]]+Table1[[#This Row],[Tax]]),0)</f>
        <v>0</v>
      </c>
      <c r="R153" s="38"/>
    </row>
    <row r="154" spans="1:18" x14ac:dyDescent="0.25">
      <c r="A154" s="1" t="s">
        <v>157</v>
      </c>
      <c r="B154" s="4"/>
      <c r="F154" s="3">
        <f>9%*Table1[[#This Row],[Cost ]]</f>
        <v>0</v>
      </c>
      <c r="J154" s="11">
        <f>SUMIF('Multi-level BOM'!C$3:C$464,Table1[[#This Row],[Part Number]],'Multi-level BOM'!F$3:F$464)</f>
        <v>0</v>
      </c>
      <c r="K154" s="11">
        <f>Table1[[#This Row],[extended quantity]]*(Table1[[#This Row],[Cost ]]+Table1[[#This Row],[shipping]]+Table1[[#This Row],[Tax]])</f>
        <v>0</v>
      </c>
      <c r="L154" s="11"/>
      <c r="M154" s="42"/>
      <c r="N154" s="53" t="e">
        <f>CEILING((Table1[[#This Row],[extended quantity]]-Table1[[#This Row],[quantity on-hand]])/Table1[[#This Row],[Minimum order quantity]],1)*Table1[[#This Row],[Minimum order quantity]]</f>
        <v>#DIV/0!</v>
      </c>
      <c r="O154" s="53" t="e">
        <f>Table1[[#This Row],[Order quantity]]+Table1[[#This Row],[quantity on-hand]]-Table1[[#This Row],[extended quantity]]</f>
        <v>#DIV/0!</v>
      </c>
      <c r="P154" s="11">
        <f>IFERROR(Table1[[#This Row],[Order quantity]]*(Table1[[#This Row],[Cost ]]+Table1[[#This Row],[shipping]]+Table1[[#This Row],[Tax]]),0)</f>
        <v>0</v>
      </c>
      <c r="Q154" s="38">
        <f>IFERROR(Table1[[#This Row],[leftover material]]*(Table1[[#This Row],[Cost ]]+Table1[[#This Row],[shipping]]+Table1[[#This Row],[Tax]]),0)</f>
        <v>0</v>
      </c>
      <c r="R154" s="38"/>
    </row>
    <row r="155" spans="1:18" x14ac:dyDescent="0.25">
      <c r="A155" s="1" t="s">
        <v>158</v>
      </c>
      <c r="B155" s="4"/>
      <c r="F155" s="3">
        <f>9%*Table1[[#This Row],[Cost ]]</f>
        <v>0</v>
      </c>
      <c r="J155" s="11">
        <f>SUMIF('Multi-level BOM'!C$3:C$464,Table1[[#This Row],[Part Number]],'Multi-level BOM'!F$3:F$464)</f>
        <v>0</v>
      </c>
      <c r="K155" s="11">
        <f>Table1[[#This Row],[extended quantity]]*(Table1[[#This Row],[Cost ]]+Table1[[#This Row],[shipping]]+Table1[[#This Row],[Tax]])</f>
        <v>0</v>
      </c>
      <c r="L155" s="11"/>
      <c r="M155" s="42"/>
      <c r="N155" s="53" t="e">
        <f>CEILING((Table1[[#This Row],[extended quantity]]-Table1[[#This Row],[quantity on-hand]])/Table1[[#This Row],[Minimum order quantity]],1)*Table1[[#This Row],[Minimum order quantity]]</f>
        <v>#DIV/0!</v>
      </c>
      <c r="O155" s="53" t="e">
        <f>Table1[[#This Row],[Order quantity]]+Table1[[#This Row],[quantity on-hand]]-Table1[[#This Row],[extended quantity]]</f>
        <v>#DIV/0!</v>
      </c>
      <c r="P155" s="11">
        <f>IFERROR(Table1[[#This Row],[Order quantity]]*(Table1[[#This Row],[Cost ]]+Table1[[#This Row],[shipping]]+Table1[[#This Row],[Tax]]),0)</f>
        <v>0</v>
      </c>
      <c r="Q155" s="38">
        <f>IFERROR(Table1[[#This Row],[leftover material]]*(Table1[[#This Row],[Cost ]]+Table1[[#This Row],[shipping]]+Table1[[#This Row],[Tax]]),0)</f>
        <v>0</v>
      </c>
      <c r="R155" s="38"/>
    </row>
    <row r="156" spans="1:18" x14ac:dyDescent="0.25">
      <c r="A156" s="1" t="s">
        <v>159</v>
      </c>
      <c r="B156" s="4"/>
      <c r="F156" s="3">
        <f>9%*Table1[[#This Row],[Cost ]]</f>
        <v>0</v>
      </c>
      <c r="J156" s="11">
        <f>SUMIF('Multi-level BOM'!C$3:C$464,Table1[[#This Row],[Part Number]],'Multi-level BOM'!F$3:F$464)</f>
        <v>0</v>
      </c>
      <c r="K156" s="11">
        <f>Table1[[#This Row],[extended quantity]]*(Table1[[#This Row],[Cost ]]+Table1[[#This Row],[shipping]]+Table1[[#This Row],[Tax]])</f>
        <v>0</v>
      </c>
      <c r="L156" s="11"/>
      <c r="M156" s="42"/>
      <c r="N156" s="53" t="e">
        <f>CEILING((Table1[[#This Row],[extended quantity]]-Table1[[#This Row],[quantity on-hand]])/Table1[[#This Row],[Minimum order quantity]],1)*Table1[[#This Row],[Minimum order quantity]]</f>
        <v>#DIV/0!</v>
      </c>
      <c r="O156" s="53" t="e">
        <f>Table1[[#This Row],[Order quantity]]+Table1[[#This Row],[quantity on-hand]]-Table1[[#This Row],[extended quantity]]</f>
        <v>#DIV/0!</v>
      </c>
      <c r="P156" s="11">
        <f>IFERROR(Table1[[#This Row],[Order quantity]]*(Table1[[#This Row],[Cost ]]+Table1[[#This Row],[shipping]]+Table1[[#This Row],[Tax]]),0)</f>
        <v>0</v>
      </c>
      <c r="Q156" s="38">
        <f>IFERROR(Table1[[#This Row],[leftover material]]*(Table1[[#This Row],[Cost ]]+Table1[[#This Row],[shipping]]+Table1[[#This Row],[Tax]]),0)</f>
        <v>0</v>
      </c>
      <c r="R156" s="38"/>
    </row>
    <row r="157" spans="1:18" x14ac:dyDescent="0.25">
      <c r="A157" s="1" t="s">
        <v>160</v>
      </c>
      <c r="B157" s="4"/>
      <c r="F157" s="3">
        <f>9%*Table1[[#This Row],[Cost ]]</f>
        <v>0</v>
      </c>
      <c r="J157" s="11">
        <f>SUMIF('Multi-level BOM'!C$3:C$464,Table1[[#This Row],[Part Number]],'Multi-level BOM'!F$3:F$464)</f>
        <v>0</v>
      </c>
      <c r="K157" s="11">
        <f>Table1[[#This Row],[extended quantity]]*(Table1[[#This Row],[Cost ]]+Table1[[#This Row],[shipping]]+Table1[[#This Row],[Tax]])</f>
        <v>0</v>
      </c>
      <c r="L157" s="11"/>
      <c r="M157" s="42"/>
      <c r="N157" s="53" t="e">
        <f>CEILING((Table1[[#This Row],[extended quantity]]-Table1[[#This Row],[quantity on-hand]])/Table1[[#This Row],[Minimum order quantity]],1)*Table1[[#This Row],[Minimum order quantity]]</f>
        <v>#DIV/0!</v>
      </c>
      <c r="O157" s="53" t="e">
        <f>Table1[[#This Row],[Order quantity]]+Table1[[#This Row],[quantity on-hand]]-Table1[[#This Row],[extended quantity]]</f>
        <v>#DIV/0!</v>
      </c>
      <c r="P157" s="11">
        <f>IFERROR(Table1[[#This Row],[Order quantity]]*(Table1[[#This Row],[Cost ]]+Table1[[#This Row],[shipping]]+Table1[[#This Row],[Tax]]),0)</f>
        <v>0</v>
      </c>
      <c r="Q157" s="38">
        <f>IFERROR(Table1[[#This Row],[leftover material]]*(Table1[[#This Row],[Cost ]]+Table1[[#This Row],[shipping]]+Table1[[#This Row],[Tax]]),0)</f>
        <v>0</v>
      </c>
      <c r="R157" s="38"/>
    </row>
    <row r="158" spans="1:18" x14ac:dyDescent="0.25">
      <c r="A158" s="1" t="s">
        <v>161</v>
      </c>
      <c r="B158" s="4"/>
      <c r="F158" s="3">
        <f>9%*Table1[[#This Row],[Cost ]]</f>
        <v>0</v>
      </c>
      <c r="J158" s="11">
        <f>SUMIF('Multi-level BOM'!C$3:C$464,Table1[[#This Row],[Part Number]],'Multi-level BOM'!F$3:F$464)</f>
        <v>0</v>
      </c>
      <c r="K158" s="11">
        <f>Table1[[#This Row],[extended quantity]]*(Table1[[#This Row],[Cost ]]+Table1[[#This Row],[shipping]]+Table1[[#This Row],[Tax]])</f>
        <v>0</v>
      </c>
      <c r="L158" s="11"/>
      <c r="M158" s="42"/>
      <c r="N158" s="53" t="e">
        <f>CEILING((Table1[[#This Row],[extended quantity]]-Table1[[#This Row],[quantity on-hand]])/Table1[[#This Row],[Minimum order quantity]],1)*Table1[[#This Row],[Minimum order quantity]]</f>
        <v>#DIV/0!</v>
      </c>
      <c r="O158" s="53" t="e">
        <f>Table1[[#This Row],[Order quantity]]+Table1[[#This Row],[quantity on-hand]]-Table1[[#This Row],[extended quantity]]</f>
        <v>#DIV/0!</v>
      </c>
      <c r="P158" s="11">
        <f>IFERROR(Table1[[#This Row],[Order quantity]]*(Table1[[#This Row],[Cost ]]+Table1[[#This Row],[shipping]]+Table1[[#This Row],[Tax]]),0)</f>
        <v>0</v>
      </c>
      <c r="Q158" s="38">
        <f>IFERROR(Table1[[#This Row],[leftover material]]*(Table1[[#This Row],[Cost ]]+Table1[[#This Row],[shipping]]+Table1[[#This Row],[Tax]]),0)</f>
        <v>0</v>
      </c>
      <c r="R158" s="38"/>
    </row>
    <row r="159" spans="1:18" x14ac:dyDescent="0.25">
      <c r="A159" s="1" t="s">
        <v>162</v>
      </c>
      <c r="B159" s="4"/>
      <c r="F159" s="3">
        <f>9%*Table1[[#This Row],[Cost ]]</f>
        <v>0</v>
      </c>
      <c r="J159" s="11">
        <f>SUMIF('Multi-level BOM'!C$3:C$464,Table1[[#This Row],[Part Number]],'Multi-level BOM'!F$3:F$464)</f>
        <v>0</v>
      </c>
      <c r="K159" s="11">
        <f>Table1[[#This Row],[extended quantity]]*(Table1[[#This Row],[Cost ]]+Table1[[#This Row],[shipping]]+Table1[[#This Row],[Tax]])</f>
        <v>0</v>
      </c>
      <c r="L159" s="11"/>
      <c r="M159" s="42"/>
      <c r="N159" s="53" t="e">
        <f>CEILING((Table1[[#This Row],[extended quantity]]-Table1[[#This Row],[quantity on-hand]])/Table1[[#This Row],[Minimum order quantity]],1)*Table1[[#This Row],[Minimum order quantity]]</f>
        <v>#DIV/0!</v>
      </c>
      <c r="O159" s="53" t="e">
        <f>Table1[[#This Row],[Order quantity]]+Table1[[#This Row],[quantity on-hand]]-Table1[[#This Row],[extended quantity]]</f>
        <v>#DIV/0!</v>
      </c>
      <c r="P159" s="11">
        <f>IFERROR(Table1[[#This Row],[Order quantity]]*(Table1[[#This Row],[Cost ]]+Table1[[#This Row],[shipping]]+Table1[[#This Row],[Tax]]),0)</f>
        <v>0</v>
      </c>
      <c r="Q159" s="38">
        <f>IFERROR(Table1[[#This Row],[leftover material]]*(Table1[[#This Row],[Cost ]]+Table1[[#This Row],[shipping]]+Table1[[#This Row],[Tax]]),0)</f>
        <v>0</v>
      </c>
      <c r="R159" s="38"/>
    </row>
    <row r="160" spans="1:18" x14ac:dyDescent="0.25">
      <c r="A160" s="1" t="s">
        <v>163</v>
      </c>
      <c r="B160" s="4"/>
      <c r="F160" s="3">
        <f>9%*Table1[[#This Row],[Cost ]]</f>
        <v>0</v>
      </c>
      <c r="J160" s="11">
        <f>SUMIF('Multi-level BOM'!C$3:C$464,Table1[[#This Row],[Part Number]],'Multi-level BOM'!F$3:F$464)</f>
        <v>0</v>
      </c>
      <c r="K160" s="11">
        <f>Table1[[#This Row],[extended quantity]]*(Table1[[#This Row],[Cost ]]+Table1[[#This Row],[shipping]]+Table1[[#This Row],[Tax]])</f>
        <v>0</v>
      </c>
      <c r="L160" s="11"/>
      <c r="M160" s="42"/>
      <c r="N160" s="53" t="e">
        <f>CEILING((Table1[[#This Row],[extended quantity]]-Table1[[#This Row],[quantity on-hand]])/Table1[[#This Row],[Minimum order quantity]],1)*Table1[[#This Row],[Minimum order quantity]]</f>
        <v>#DIV/0!</v>
      </c>
      <c r="O160" s="53" t="e">
        <f>Table1[[#This Row],[Order quantity]]+Table1[[#This Row],[quantity on-hand]]-Table1[[#This Row],[extended quantity]]</f>
        <v>#DIV/0!</v>
      </c>
      <c r="P160" s="11">
        <f>IFERROR(Table1[[#This Row],[Order quantity]]*(Table1[[#This Row],[Cost ]]+Table1[[#This Row],[shipping]]+Table1[[#This Row],[Tax]]),0)</f>
        <v>0</v>
      </c>
      <c r="Q160" s="38">
        <f>IFERROR(Table1[[#This Row],[leftover material]]*(Table1[[#This Row],[Cost ]]+Table1[[#This Row],[shipping]]+Table1[[#This Row],[Tax]]),0)</f>
        <v>0</v>
      </c>
      <c r="R160" s="38"/>
    </row>
    <row r="161" spans="1:18" x14ac:dyDescent="0.25">
      <c r="A161" s="1" t="s">
        <v>164</v>
      </c>
      <c r="B161" s="4"/>
      <c r="F161" s="3">
        <f>9%*Table1[[#This Row],[Cost ]]</f>
        <v>0</v>
      </c>
      <c r="J161" s="11">
        <f>SUMIF('Multi-level BOM'!C$3:C$464,Table1[[#This Row],[Part Number]],'Multi-level BOM'!F$3:F$464)</f>
        <v>0</v>
      </c>
      <c r="K161" s="11">
        <f>Table1[[#This Row],[extended quantity]]*(Table1[[#This Row],[Cost ]]+Table1[[#This Row],[shipping]]+Table1[[#This Row],[Tax]])</f>
        <v>0</v>
      </c>
      <c r="L161" s="11"/>
      <c r="M161" s="42"/>
      <c r="N161" s="53" t="e">
        <f>CEILING((Table1[[#This Row],[extended quantity]]-Table1[[#This Row],[quantity on-hand]])/Table1[[#This Row],[Minimum order quantity]],1)*Table1[[#This Row],[Minimum order quantity]]</f>
        <v>#DIV/0!</v>
      </c>
      <c r="O161" s="53" t="e">
        <f>Table1[[#This Row],[Order quantity]]+Table1[[#This Row],[quantity on-hand]]-Table1[[#This Row],[extended quantity]]</f>
        <v>#DIV/0!</v>
      </c>
      <c r="P161" s="11">
        <f>IFERROR(Table1[[#This Row],[Order quantity]]*(Table1[[#This Row],[Cost ]]+Table1[[#This Row],[shipping]]+Table1[[#This Row],[Tax]]),0)</f>
        <v>0</v>
      </c>
      <c r="Q161" s="38">
        <f>IFERROR(Table1[[#This Row],[leftover material]]*(Table1[[#This Row],[Cost ]]+Table1[[#This Row],[shipping]]+Table1[[#This Row],[Tax]]),0)</f>
        <v>0</v>
      </c>
      <c r="R161" s="38"/>
    </row>
    <row r="162" spans="1:18" x14ac:dyDescent="0.25">
      <c r="A162" s="1" t="s">
        <v>165</v>
      </c>
      <c r="B162" s="4"/>
      <c r="F162" s="3">
        <f>9%*Table1[[#This Row],[Cost ]]</f>
        <v>0</v>
      </c>
      <c r="J162" s="11">
        <f>SUMIF('Multi-level BOM'!C$3:C$464,Table1[[#This Row],[Part Number]],'Multi-level BOM'!F$3:F$464)</f>
        <v>0</v>
      </c>
      <c r="K162" s="11">
        <f>Table1[[#This Row],[extended quantity]]*(Table1[[#This Row],[Cost ]]+Table1[[#This Row],[shipping]]+Table1[[#This Row],[Tax]])</f>
        <v>0</v>
      </c>
      <c r="L162" s="11"/>
      <c r="M162" s="42"/>
      <c r="N162" s="53" t="e">
        <f>CEILING((Table1[[#This Row],[extended quantity]]-Table1[[#This Row],[quantity on-hand]])/Table1[[#This Row],[Minimum order quantity]],1)*Table1[[#This Row],[Minimum order quantity]]</f>
        <v>#DIV/0!</v>
      </c>
      <c r="O162" s="53" t="e">
        <f>Table1[[#This Row],[Order quantity]]+Table1[[#This Row],[quantity on-hand]]-Table1[[#This Row],[extended quantity]]</f>
        <v>#DIV/0!</v>
      </c>
      <c r="P162" s="11">
        <f>IFERROR(Table1[[#This Row],[Order quantity]]*(Table1[[#This Row],[Cost ]]+Table1[[#This Row],[shipping]]+Table1[[#This Row],[Tax]]),0)</f>
        <v>0</v>
      </c>
      <c r="Q162" s="38">
        <f>IFERROR(Table1[[#This Row],[leftover material]]*(Table1[[#This Row],[Cost ]]+Table1[[#This Row],[shipping]]+Table1[[#This Row],[Tax]]),0)</f>
        <v>0</v>
      </c>
      <c r="R162" s="38"/>
    </row>
    <row r="163" spans="1:18" x14ac:dyDescent="0.25">
      <c r="A163" s="1" t="s">
        <v>166</v>
      </c>
      <c r="B163" s="4"/>
      <c r="F163" s="3">
        <f>9%*Table1[[#This Row],[Cost ]]</f>
        <v>0</v>
      </c>
      <c r="J163" s="11">
        <f>SUMIF('Multi-level BOM'!C$3:C$464,Table1[[#This Row],[Part Number]],'Multi-level BOM'!F$3:F$464)</f>
        <v>0</v>
      </c>
      <c r="K163" s="11">
        <f>Table1[[#This Row],[extended quantity]]*(Table1[[#This Row],[Cost ]]+Table1[[#This Row],[shipping]]+Table1[[#This Row],[Tax]])</f>
        <v>0</v>
      </c>
      <c r="L163" s="11"/>
      <c r="M163" s="42"/>
      <c r="N163" s="53" t="e">
        <f>CEILING((Table1[[#This Row],[extended quantity]]-Table1[[#This Row],[quantity on-hand]])/Table1[[#This Row],[Minimum order quantity]],1)*Table1[[#This Row],[Minimum order quantity]]</f>
        <v>#DIV/0!</v>
      </c>
      <c r="O163" s="53" t="e">
        <f>Table1[[#This Row],[Order quantity]]+Table1[[#This Row],[quantity on-hand]]-Table1[[#This Row],[extended quantity]]</f>
        <v>#DIV/0!</v>
      </c>
      <c r="P163" s="11">
        <f>IFERROR(Table1[[#This Row],[Order quantity]]*(Table1[[#This Row],[Cost ]]+Table1[[#This Row],[shipping]]+Table1[[#This Row],[Tax]]),0)</f>
        <v>0</v>
      </c>
      <c r="Q163" s="38">
        <f>IFERROR(Table1[[#This Row],[leftover material]]*(Table1[[#This Row],[Cost ]]+Table1[[#This Row],[shipping]]+Table1[[#This Row],[Tax]]),0)</f>
        <v>0</v>
      </c>
      <c r="R163" s="38"/>
    </row>
    <row r="164" spans="1:18" x14ac:dyDescent="0.25">
      <c r="A164" s="1" t="s">
        <v>167</v>
      </c>
      <c r="B164" s="4"/>
      <c r="F164" s="3">
        <f>9%*Table1[[#This Row],[Cost ]]</f>
        <v>0</v>
      </c>
      <c r="J164" s="11">
        <f>SUMIF('Multi-level BOM'!C$3:C$464,Table1[[#This Row],[Part Number]],'Multi-level BOM'!F$3:F$464)</f>
        <v>0</v>
      </c>
      <c r="K164" s="11">
        <f>Table1[[#This Row],[extended quantity]]*(Table1[[#This Row],[Cost ]]+Table1[[#This Row],[shipping]]+Table1[[#This Row],[Tax]])</f>
        <v>0</v>
      </c>
      <c r="L164" s="11"/>
      <c r="M164" s="42"/>
      <c r="N164" s="53" t="e">
        <f>CEILING((Table1[[#This Row],[extended quantity]]-Table1[[#This Row],[quantity on-hand]])/Table1[[#This Row],[Minimum order quantity]],1)*Table1[[#This Row],[Minimum order quantity]]</f>
        <v>#DIV/0!</v>
      </c>
      <c r="O164" s="53" t="e">
        <f>Table1[[#This Row],[Order quantity]]+Table1[[#This Row],[quantity on-hand]]-Table1[[#This Row],[extended quantity]]</f>
        <v>#DIV/0!</v>
      </c>
      <c r="P164" s="11">
        <f>IFERROR(Table1[[#This Row],[Order quantity]]*(Table1[[#This Row],[Cost ]]+Table1[[#This Row],[shipping]]+Table1[[#This Row],[Tax]]),0)</f>
        <v>0</v>
      </c>
      <c r="Q164" s="38">
        <f>IFERROR(Table1[[#This Row],[leftover material]]*(Table1[[#This Row],[Cost ]]+Table1[[#This Row],[shipping]]+Table1[[#This Row],[Tax]]),0)</f>
        <v>0</v>
      </c>
      <c r="R164" s="38"/>
    </row>
    <row r="165" spans="1:18" x14ac:dyDescent="0.25">
      <c r="A165" s="1" t="s">
        <v>168</v>
      </c>
      <c r="B165" s="4"/>
      <c r="F165" s="3">
        <f>9%*Table1[[#This Row],[Cost ]]</f>
        <v>0</v>
      </c>
      <c r="J165" s="11">
        <f>SUMIF('Multi-level BOM'!C$3:C$464,Table1[[#This Row],[Part Number]],'Multi-level BOM'!F$3:F$464)</f>
        <v>0</v>
      </c>
      <c r="K165" s="11">
        <f>Table1[[#This Row],[extended quantity]]*(Table1[[#This Row],[Cost ]]+Table1[[#This Row],[shipping]]+Table1[[#This Row],[Tax]])</f>
        <v>0</v>
      </c>
      <c r="L165" s="11"/>
      <c r="M165" s="42"/>
      <c r="N165" s="53" t="e">
        <f>CEILING((Table1[[#This Row],[extended quantity]]-Table1[[#This Row],[quantity on-hand]])/Table1[[#This Row],[Minimum order quantity]],1)*Table1[[#This Row],[Minimum order quantity]]</f>
        <v>#DIV/0!</v>
      </c>
      <c r="O165" s="53" t="e">
        <f>Table1[[#This Row],[Order quantity]]+Table1[[#This Row],[quantity on-hand]]-Table1[[#This Row],[extended quantity]]</f>
        <v>#DIV/0!</v>
      </c>
      <c r="P165" s="11">
        <f>IFERROR(Table1[[#This Row],[Order quantity]]*(Table1[[#This Row],[Cost ]]+Table1[[#This Row],[shipping]]+Table1[[#This Row],[Tax]]),0)</f>
        <v>0</v>
      </c>
      <c r="Q165" s="38">
        <f>IFERROR(Table1[[#This Row],[leftover material]]*(Table1[[#This Row],[Cost ]]+Table1[[#This Row],[shipping]]+Table1[[#This Row],[Tax]]),0)</f>
        <v>0</v>
      </c>
      <c r="R165" s="38"/>
    </row>
    <row r="166" spans="1:18" x14ac:dyDescent="0.25">
      <c r="A166" s="1" t="s">
        <v>169</v>
      </c>
      <c r="B166" s="4"/>
      <c r="F166" s="3">
        <f>9%*Table1[[#This Row],[Cost ]]</f>
        <v>0</v>
      </c>
      <c r="J166" s="11">
        <f>SUMIF('Multi-level BOM'!C$3:C$464,Table1[[#This Row],[Part Number]],'Multi-level BOM'!F$3:F$464)</f>
        <v>0</v>
      </c>
      <c r="K166" s="11">
        <f>Table1[[#This Row],[extended quantity]]*(Table1[[#This Row],[Cost ]]+Table1[[#This Row],[shipping]]+Table1[[#This Row],[Tax]])</f>
        <v>0</v>
      </c>
      <c r="L166" s="11"/>
      <c r="M166" s="42"/>
      <c r="N166" s="53" t="e">
        <f>CEILING((Table1[[#This Row],[extended quantity]]-Table1[[#This Row],[quantity on-hand]])/Table1[[#This Row],[Minimum order quantity]],1)*Table1[[#This Row],[Minimum order quantity]]</f>
        <v>#DIV/0!</v>
      </c>
      <c r="O166" s="53" t="e">
        <f>Table1[[#This Row],[Order quantity]]+Table1[[#This Row],[quantity on-hand]]-Table1[[#This Row],[extended quantity]]</f>
        <v>#DIV/0!</v>
      </c>
      <c r="P166" s="11">
        <f>IFERROR(Table1[[#This Row],[Order quantity]]*(Table1[[#This Row],[Cost ]]+Table1[[#This Row],[shipping]]+Table1[[#This Row],[Tax]]),0)</f>
        <v>0</v>
      </c>
      <c r="Q166" s="38">
        <f>IFERROR(Table1[[#This Row],[leftover material]]*(Table1[[#This Row],[Cost ]]+Table1[[#This Row],[shipping]]+Table1[[#This Row],[Tax]]),0)</f>
        <v>0</v>
      </c>
      <c r="R166" s="38"/>
    </row>
    <row r="167" spans="1:18" x14ac:dyDescent="0.25">
      <c r="A167" s="1" t="s">
        <v>170</v>
      </c>
      <c r="B167" s="4"/>
      <c r="F167" s="3">
        <f>9%*Table1[[#This Row],[Cost ]]</f>
        <v>0</v>
      </c>
      <c r="J167" s="11">
        <f>SUMIF('Multi-level BOM'!C$3:C$464,Table1[[#This Row],[Part Number]],'Multi-level BOM'!F$3:F$464)</f>
        <v>0</v>
      </c>
      <c r="K167" s="11">
        <f>Table1[[#This Row],[extended quantity]]*(Table1[[#This Row],[Cost ]]+Table1[[#This Row],[shipping]]+Table1[[#This Row],[Tax]])</f>
        <v>0</v>
      </c>
      <c r="L167" s="11"/>
      <c r="M167" s="42"/>
      <c r="N167" s="53" t="e">
        <f>CEILING((Table1[[#This Row],[extended quantity]]-Table1[[#This Row],[quantity on-hand]])/Table1[[#This Row],[Minimum order quantity]],1)*Table1[[#This Row],[Minimum order quantity]]</f>
        <v>#DIV/0!</v>
      </c>
      <c r="O167" s="53" t="e">
        <f>Table1[[#This Row],[Order quantity]]+Table1[[#This Row],[quantity on-hand]]-Table1[[#This Row],[extended quantity]]</f>
        <v>#DIV/0!</v>
      </c>
      <c r="P167" s="11">
        <f>IFERROR(Table1[[#This Row],[Order quantity]]*(Table1[[#This Row],[Cost ]]+Table1[[#This Row],[shipping]]+Table1[[#This Row],[Tax]]),0)</f>
        <v>0</v>
      </c>
      <c r="Q167" s="38">
        <f>IFERROR(Table1[[#This Row],[leftover material]]*(Table1[[#This Row],[Cost ]]+Table1[[#This Row],[shipping]]+Table1[[#This Row],[Tax]]),0)</f>
        <v>0</v>
      </c>
      <c r="R167" s="38"/>
    </row>
    <row r="168" spans="1:18" x14ac:dyDescent="0.25">
      <c r="A168" s="1" t="s">
        <v>171</v>
      </c>
      <c r="B168" s="4"/>
      <c r="F168" s="3">
        <f>9%*Table1[[#This Row],[Cost ]]</f>
        <v>0</v>
      </c>
      <c r="J168" s="11">
        <f>SUMIF('Multi-level BOM'!C$3:C$464,Table1[[#This Row],[Part Number]],'Multi-level BOM'!F$3:F$464)</f>
        <v>0</v>
      </c>
      <c r="K168" s="11">
        <f>Table1[[#This Row],[extended quantity]]*(Table1[[#This Row],[Cost ]]+Table1[[#This Row],[shipping]]+Table1[[#This Row],[Tax]])</f>
        <v>0</v>
      </c>
      <c r="L168" s="11"/>
      <c r="M168" s="42"/>
      <c r="N168" s="53" t="e">
        <f>CEILING((Table1[[#This Row],[extended quantity]]-Table1[[#This Row],[quantity on-hand]])/Table1[[#This Row],[Minimum order quantity]],1)*Table1[[#This Row],[Minimum order quantity]]</f>
        <v>#DIV/0!</v>
      </c>
      <c r="O168" s="53" t="e">
        <f>Table1[[#This Row],[Order quantity]]+Table1[[#This Row],[quantity on-hand]]-Table1[[#This Row],[extended quantity]]</f>
        <v>#DIV/0!</v>
      </c>
      <c r="P168" s="11">
        <f>IFERROR(Table1[[#This Row],[Order quantity]]*(Table1[[#This Row],[Cost ]]+Table1[[#This Row],[shipping]]+Table1[[#This Row],[Tax]]),0)</f>
        <v>0</v>
      </c>
      <c r="Q168" s="38">
        <f>IFERROR(Table1[[#This Row],[leftover material]]*(Table1[[#This Row],[Cost ]]+Table1[[#This Row],[shipping]]+Table1[[#This Row],[Tax]]),0)</f>
        <v>0</v>
      </c>
      <c r="R168" s="38"/>
    </row>
    <row r="169" spans="1:18" x14ac:dyDescent="0.25">
      <c r="A169" s="1" t="s">
        <v>172</v>
      </c>
      <c r="B169" s="4"/>
      <c r="F169" s="3">
        <f>9%*Table1[[#This Row],[Cost ]]</f>
        <v>0</v>
      </c>
      <c r="J169" s="11">
        <f>SUMIF('Multi-level BOM'!C$3:C$464,Table1[[#This Row],[Part Number]],'Multi-level BOM'!F$3:F$464)</f>
        <v>0</v>
      </c>
      <c r="K169" s="11">
        <f>Table1[[#This Row],[extended quantity]]*(Table1[[#This Row],[Cost ]]+Table1[[#This Row],[shipping]]+Table1[[#This Row],[Tax]])</f>
        <v>0</v>
      </c>
      <c r="L169" s="11"/>
      <c r="M169" s="42"/>
      <c r="N169" s="53" t="e">
        <f>CEILING((Table1[[#This Row],[extended quantity]]-Table1[[#This Row],[quantity on-hand]])/Table1[[#This Row],[Minimum order quantity]],1)*Table1[[#This Row],[Minimum order quantity]]</f>
        <v>#DIV/0!</v>
      </c>
      <c r="O169" s="53" t="e">
        <f>Table1[[#This Row],[Order quantity]]+Table1[[#This Row],[quantity on-hand]]-Table1[[#This Row],[extended quantity]]</f>
        <v>#DIV/0!</v>
      </c>
      <c r="P169" s="11">
        <f>IFERROR(Table1[[#This Row],[Order quantity]]*(Table1[[#This Row],[Cost ]]+Table1[[#This Row],[shipping]]+Table1[[#This Row],[Tax]]),0)</f>
        <v>0</v>
      </c>
      <c r="Q169" s="38">
        <f>IFERROR(Table1[[#This Row],[leftover material]]*(Table1[[#This Row],[Cost ]]+Table1[[#This Row],[shipping]]+Table1[[#This Row],[Tax]]),0)</f>
        <v>0</v>
      </c>
      <c r="R169" s="38"/>
    </row>
    <row r="170" spans="1:18" x14ac:dyDescent="0.25">
      <c r="A170" s="1" t="s">
        <v>173</v>
      </c>
      <c r="B170" s="4"/>
      <c r="F170" s="3">
        <f>9%*Table1[[#This Row],[Cost ]]</f>
        <v>0</v>
      </c>
      <c r="J170" s="11">
        <f>SUMIF('Multi-level BOM'!C$3:C$464,Table1[[#This Row],[Part Number]],'Multi-level BOM'!F$3:F$464)</f>
        <v>0</v>
      </c>
      <c r="K170" s="11">
        <f>Table1[[#This Row],[extended quantity]]*(Table1[[#This Row],[Cost ]]+Table1[[#This Row],[shipping]]+Table1[[#This Row],[Tax]])</f>
        <v>0</v>
      </c>
      <c r="L170" s="11"/>
      <c r="M170" s="42"/>
      <c r="N170" s="53" t="e">
        <f>CEILING((Table1[[#This Row],[extended quantity]]-Table1[[#This Row],[quantity on-hand]])/Table1[[#This Row],[Minimum order quantity]],1)*Table1[[#This Row],[Minimum order quantity]]</f>
        <v>#DIV/0!</v>
      </c>
      <c r="O170" s="53" t="e">
        <f>Table1[[#This Row],[Order quantity]]+Table1[[#This Row],[quantity on-hand]]-Table1[[#This Row],[extended quantity]]</f>
        <v>#DIV/0!</v>
      </c>
      <c r="P170" s="11">
        <f>IFERROR(Table1[[#This Row],[Order quantity]]*(Table1[[#This Row],[Cost ]]+Table1[[#This Row],[shipping]]+Table1[[#This Row],[Tax]]),0)</f>
        <v>0</v>
      </c>
      <c r="Q170" s="38">
        <f>IFERROR(Table1[[#This Row],[leftover material]]*(Table1[[#This Row],[Cost ]]+Table1[[#This Row],[shipping]]+Table1[[#This Row],[Tax]]),0)</f>
        <v>0</v>
      </c>
      <c r="R170" s="38"/>
    </row>
    <row r="171" spans="1:18" x14ac:dyDescent="0.25">
      <c r="A171" s="1" t="s">
        <v>174</v>
      </c>
      <c r="B171" s="4"/>
      <c r="F171" s="3">
        <f>9%*Table1[[#This Row],[Cost ]]</f>
        <v>0</v>
      </c>
      <c r="J171" s="11">
        <f>SUMIF('Multi-level BOM'!C$3:C$464,Table1[[#This Row],[Part Number]],'Multi-level BOM'!F$3:F$464)</f>
        <v>0</v>
      </c>
      <c r="K171" s="11">
        <f>Table1[[#This Row],[extended quantity]]*(Table1[[#This Row],[Cost ]]+Table1[[#This Row],[shipping]]+Table1[[#This Row],[Tax]])</f>
        <v>0</v>
      </c>
      <c r="L171" s="11"/>
      <c r="M171" s="42"/>
      <c r="N171" s="53" t="e">
        <f>CEILING((Table1[[#This Row],[extended quantity]]-Table1[[#This Row],[quantity on-hand]])/Table1[[#This Row],[Minimum order quantity]],1)*Table1[[#This Row],[Minimum order quantity]]</f>
        <v>#DIV/0!</v>
      </c>
      <c r="O171" s="53" t="e">
        <f>Table1[[#This Row],[Order quantity]]+Table1[[#This Row],[quantity on-hand]]-Table1[[#This Row],[extended quantity]]</f>
        <v>#DIV/0!</v>
      </c>
      <c r="P171" s="11">
        <f>IFERROR(Table1[[#This Row],[Order quantity]]*(Table1[[#This Row],[Cost ]]+Table1[[#This Row],[shipping]]+Table1[[#This Row],[Tax]]),0)</f>
        <v>0</v>
      </c>
      <c r="Q171" s="38">
        <f>IFERROR(Table1[[#This Row],[leftover material]]*(Table1[[#This Row],[Cost ]]+Table1[[#This Row],[shipping]]+Table1[[#This Row],[Tax]]),0)</f>
        <v>0</v>
      </c>
      <c r="R171" s="38"/>
    </row>
    <row r="172" spans="1:18" x14ac:dyDescent="0.25">
      <c r="A172" s="1" t="s">
        <v>175</v>
      </c>
      <c r="B172" s="4"/>
      <c r="F172" s="3">
        <f>9%*Table1[[#This Row],[Cost ]]</f>
        <v>0</v>
      </c>
      <c r="J172" s="11">
        <f>SUMIF('Multi-level BOM'!C$3:C$464,Table1[[#This Row],[Part Number]],'Multi-level BOM'!F$3:F$464)</f>
        <v>0</v>
      </c>
      <c r="K172" s="11">
        <f>Table1[[#This Row],[extended quantity]]*(Table1[[#This Row],[Cost ]]+Table1[[#This Row],[shipping]]+Table1[[#This Row],[Tax]])</f>
        <v>0</v>
      </c>
      <c r="L172" s="11"/>
      <c r="M172" s="42"/>
      <c r="N172" s="53" t="e">
        <f>CEILING((Table1[[#This Row],[extended quantity]]-Table1[[#This Row],[quantity on-hand]])/Table1[[#This Row],[Minimum order quantity]],1)*Table1[[#This Row],[Minimum order quantity]]</f>
        <v>#DIV/0!</v>
      </c>
      <c r="O172" s="53" t="e">
        <f>Table1[[#This Row],[Order quantity]]+Table1[[#This Row],[quantity on-hand]]-Table1[[#This Row],[extended quantity]]</f>
        <v>#DIV/0!</v>
      </c>
      <c r="P172" s="11">
        <f>IFERROR(Table1[[#This Row],[Order quantity]]*(Table1[[#This Row],[Cost ]]+Table1[[#This Row],[shipping]]+Table1[[#This Row],[Tax]]),0)</f>
        <v>0</v>
      </c>
      <c r="Q172" s="38">
        <f>IFERROR(Table1[[#This Row],[leftover material]]*(Table1[[#This Row],[Cost ]]+Table1[[#This Row],[shipping]]+Table1[[#This Row],[Tax]]),0)</f>
        <v>0</v>
      </c>
      <c r="R172" s="38"/>
    </row>
    <row r="173" spans="1:18" x14ac:dyDescent="0.25">
      <c r="A173" s="1" t="s">
        <v>176</v>
      </c>
      <c r="B173" s="4"/>
      <c r="F173" s="3">
        <f>9%*Table1[[#This Row],[Cost ]]</f>
        <v>0</v>
      </c>
      <c r="J173" s="11">
        <f>SUMIF('Multi-level BOM'!C$3:C$464,Table1[[#This Row],[Part Number]],'Multi-level BOM'!F$3:F$464)</f>
        <v>0</v>
      </c>
      <c r="K173" s="11">
        <f>Table1[[#This Row],[extended quantity]]*(Table1[[#This Row],[Cost ]]+Table1[[#This Row],[shipping]]+Table1[[#This Row],[Tax]])</f>
        <v>0</v>
      </c>
      <c r="L173" s="11"/>
      <c r="M173" s="42"/>
      <c r="N173" s="53" t="e">
        <f>CEILING((Table1[[#This Row],[extended quantity]]-Table1[[#This Row],[quantity on-hand]])/Table1[[#This Row],[Minimum order quantity]],1)*Table1[[#This Row],[Minimum order quantity]]</f>
        <v>#DIV/0!</v>
      </c>
      <c r="O173" s="53" t="e">
        <f>Table1[[#This Row],[Order quantity]]+Table1[[#This Row],[quantity on-hand]]-Table1[[#This Row],[extended quantity]]</f>
        <v>#DIV/0!</v>
      </c>
      <c r="P173" s="11">
        <f>IFERROR(Table1[[#This Row],[Order quantity]]*(Table1[[#This Row],[Cost ]]+Table1[[#This Row],[shipping]]+Table1[[#This Row],[Tax]]),0)</f>
        <v>0</v>
      </c>
      <c r="Q173" s="38">
        <f>IFERROR(Table1[[#This Row],[leftover material]]*(Table1[[#This Row],[Cost ]]+Table1[[#This Row],[shipping]]+Table1[[#This Row],[Tax]]),0)</f>
        <v>0</v>
      </c>
      <c r="R173" s="38"/>
    </row>
    <row r="174" spans="1:18" x14ac:dyDescent="0.25">
      <c r="A174" s="1" t="s">
        <v>177</v>
      </c>
      <c r="B174" s="4"/>
      <c r="F174" s="3">
        <f>9%*Table1[[#This Row],[Cost ]]</f>
        <v>0</v>
      </c>
      <c r="J174" s="11">
        <f>SUMIF('Multi-level BOM'!C$3:C$464,Table1[[#This Row],[Part Number]],'Multi-level BOM'!F$3:F$464)</f>
        <v>0</v>
      </c>
      <c r="K174" s="11">
        <f>Table1[[#This Row],[extended quantity]]*(Table1[[#This Row],[Cost ]]+Table1[[#This Row],[shipping]]+Table1[[#This Row],[Tax]])</f>
        <v>0</v>
      </c>
      <c r="L174" s="11"/>
      <c r="M174" s="42"/>
      <c r="N174" s="53" t="e">
        <f>CEILING((Table1[[#This Row],[extended quantity]]-Table1[[#This Row],[quantity on-hand]])/Table1[[#This Row],[Minimum order quantity]],1)*Table1[[#This Row],[Minimum order quantity]]</f>
        <v>#DIV/0!</v>
      </c>
      <c r="O174" s="53" t="e">
        <f>Table1[[#This Row],[Order quantity]]+Table1[[#This Row],[quantity on-hand]]-Table1[[#This Row],[extended quantity]]</f>
        <v>#DIV/0!</v>
      </c>
      <c r="P174" s="11">
        <f>IFERROR(Table1[[#This Row],[Order quantity]]*(Table1[[#This Row],[Cost ]]+Table1[[#This Row],[shipping]]+Table1[[#This Row],[Tax]]),0)</f>
        <v>0</v>
      </c>
      <c r="Q174" s="38">
        <f>IFERROR(Table1[[#This Row],[leftover material]]*(Table1[[#This Row],[Cost ]]+Table1[[#This Row],[shipping]]+Table1[[#This Row],[Tax]]),0)</f>
        <v>0</v>
      </c>
      <c r="R174" s="38"/>
    </row>
    <row r="175" spans="1:18" x14ac:dyDescent="0.25">
      <c r="A175" s="1" t="s">
        <v>178</v>
      </c>
      <c r="B175" s="4"/>
      <c r="F175" s="3">
        <f>9%*Table1[[#This Row],[Cost ]]</f>
        <v>0</v>
      </c>
      <c r="J175" s="11">
        <f>SUMIF('Multi-level BOM'!C$3:C$464,Table1[[#This Row],[Part Number]],'Multi-level BOM'!F$3:F$464)</f>
        <v>0</v>
      </c>
      <c r="K175" s="11">
        <f>Table1[[#This Row],[extended quantity]]*(Table1[[#This Row],[Cost ]]+Table1[[#This Row],[shipping]]+Table1[[#This Row],[Tax]])</f>
        <v>0</v>
      </c>
      <c r="L175" s="11"/>
      <c r="M175" s="42"/>
      <c r="N175" s="53" t="e">
        <f>CEILING((Table1[[#This Row],[extended quantity]]-Table1[[#This Row],[quantity on-hand]])/Table1[[#This Row],[Minimum order quantity]],1)*Table1[[#This Row],[Minimum order quantity]]</f>
        <v>#DIV/0!</v>
      </c>
      <c r="O175" s="53" t="e">
        <f>Table1[[#This Row],[Order quantity]]+Table1[[#This Row],[quantity on-hand]]-Table1[[#This Row],[extended quantity]]</f>
        <v>#DIV/0!</v>
      </c>
      <c r="P175" s="11">
        <f>IFERROR(Table1[[#This Row],[Order quantity]]*(Table1[[#This Row],[Cost ]]+Table1[[#This Row],[shipping]]+Table1[[#This Row],[Tax]]),0)</f>
        <v>0</v>
      </c>
      <c r="Q175" s="38">
        <f>IFERROR(Table1[[#This Row],[leftover material]]*(Table1[[#This Row],[Cost ]]+Table1[[#This Row],[shipping]]+Table1[[#This Row],[Tax]]),0)</f>
        <v>0</v>
      </c>
      <c r="R175" s="38"/>
    </row>
    <row r="176" spans="1:18" x14ac:dyDescent="0.25">
      <c r="A176" s="1" t="s">
        <v>179</v>
      </c>
      <c r="B176" s="4"/>
      <c r="F176" s="3">
        <f>9%*Table1[[#This Row],[Cost ]]</f>
        <v>0</v>
      </c>
      <c r="J176" s="11">
        <f>SUMIF('Multi-level BOM'!C$3:C$464,Table1[[#This Row],[Part Number]],'Multi-level BOM'!F$3:F$464)</f>
        <v>0</v>
      </c>
      <c r="K176" s="11">
        <f>Table1[[#This Row],[extended quantity]]*(Table1[[#This Row],[Cost ]]+Table1[[#This Row],[shipping]]+Table1[[#This Row],[Tax]])</f>
        <v>0</v>
      </c>
      <c r="L176" s="11"/>
      <c r="M176" s="42"/>
      <c r="N176" s="53" t="e">
        <f>CEILING((Table1[[#This Row],[extended quantity]]-Table1[[#This Row],[quantity on-hand]])/Table1[[#This Row],[Minimum order quantity]],1)*Table1[[#This Row],[Minimum order quantity]]</f>
        <v>#DIV/0!</v>
      </c>
      <c r="O176" s="53" t="e">
        <f>Table1[[#This Row],[Order quantity]]+Table1[[#This Row],[quantity on-hand]]-Table1[[#This Row],[extended quantity]]</f>
        <v>#DIV/0!</v>
      </c>
      <c r="P176" s="11">
        <f>IFERROR(Table1[[#This Row],[Order quantity]]*(Table1[[#This Row],[Cost ]]+Table1[[#This Row],[shipping]]+Table1[[#This Row],[Tax]]),0)</f>
        <v>0</v>
      </c>
      <c r="Q176" s="38">
        <f>IFERROR(Table1[[#This Row],[leftover material]]*(Table1[[#This Row],[Cost ]]+Table1[[#This Row],[shipping]]+Table1[[#This Row],[Tax]]),0)</f>
        <v>0</v>
      </c>
      <c r="R176" s="38"/>
    </row>
    <row r="177" spans="1:18" x14ac:dyDescent="0.25">
      <c r="A177" s="1" t="s">
        <v>180</v>
      </c>
      <c r="B177" s="4"/>
      <c r="F177" s="3">
        <f>9%*Table1[[#This Row],[Cost ]]</f>
        <v>0</v>
      </c>
      <c r="J177" s="11">
        <f>SUMIF('Multi-level BOM'!C$3:C$464,Table1[[#This Row],[Part Number]],'Multi-level BOM'!F$3:F$464)</f>
        <v>0</v>
      </c>
      <c r="K177" s="11">
        <f>Table1[[#This Row],[extended quantity]]*(Table1[[#This Row],[Cost ]]+Table1[[#This Row],[shipping]]+Table1[[#This Row],[Tax]])</f>
        <v>0</v>
      </c>
      <c r="L177" s="11"/>
      <c r="M177" s="42"/>
      <c r="N177" s="53" t="e">
        <f>CEILING((Table1[[#This Row],[extended quantity]]-Table1[[#This Row],[quantity on-hand]])/Table1[[#This Row],[Minimum order quantity]],1)*Table1[[#This Row],[Minimum order quantity]]</f>
        <v>#DIV/0!</v>
      </c>
      <c r="O177" s="53" t="e">
        <f>Table1[[#This Row],[Order quantity]]+Table1[[#This Row],[quantity on-hand]]-Table1[[#This Row],[extended quantity]]</f>
        <v>#DIV/0!</v>
      </c>
      <c r="P177" s="11">
        <f>IFERROR(Table1[[#This Row],[Order quantity]]*(Table1[[#This Row],[Cost ]]+Table1[[#This Row],[shipping]]+Table1[[#This Row],[Tax]]),0)</f>
        <v>0</v>
      </c>
      <c r="Q177" s="38">
        <f>IFERROR(Table1[[#This Row],[leftover material]]*(Table1[[#This Row],[Cost ]]+Table1[[#This Row],[shipping]]+Table1[[#This Row],[Tax]]),0)</f>
        <v>0</v>
      </c>
      <c r="R177" s="38"/>
    </row>
    <row r="178" spans="1:18" x14ac:dyDescent="0.25">
      <c r="A178" s="1" t="s">
        <v>181</v>
      </c>
      <c r="B178" s="4"/>
      <c r="F178" s="3">
        <f>9%*Table1[[#This Row],[Cost ]]</f>
        <v>0</v>
      </c>
      <c r="J178" s="11">
        <f>SUMIF('Multi-level BOM'!C$3:C$464,Table1[[#This Row],[Part Number]],'Multi-level BOM'!F$3:F$464)</f>
        <v>0</v>
      </c>
      <c r="K178" s="11">
        <f>Table1[[#This Row],[extended quantity]]*(Table1[[#This Row],[Cost ]]+Table1[[#This Row],[shipping]]+Table1[[#This Row],[Tax]])</f>
        <v>0</v>
      </c>
      <c r="L178" s="11"/>
      <c r="M178" s="42"/>
      <c r="N178" s="53" t="e">
        <f>CEILING((Table1[[#This Row],[extended quantity]]-Table1[[#This Row],[quantity on-hand]])/Table1[[#This Row],[Minimum order quantity]],1)*Table1[[#This Row],[Minimum order quantity]]</f>
        <v>#DIV/0!</v>
      </c>
      <c r="O178" s="53" t="e">
        <f>Table1[[#This Row],[Order quantity]]+Table1[[#This Row],[quantity on-hand]]-Table1[[#This Row],[extended quantity]]</f>
        <v>#DIV/0!</v>
      </c>
      <c r="P178" s="11">
        <f>IFERROR(Table1[[#This Row],[Order quantity]]*(Table1[[#This Row],[Cost ]]+Table1[[#This Row],[shipping]]+Table1[[#This Row],[Tax]]),0)</f>
        <v>0</v>
      </c>
      <c r="Q178" s="38">
        <f>IFERROR(Table1[[#This Row],[leftover material]]*(Table1[[#This Row],[Cost ]]+Table1[[#This Row],[shipping]]+Table1[[#This Row],[Tax]]),0)</f>
        <v>0</v>
      </c>
      <c r="R178" s="38"/>
    </row>
    <row r="179" spans="1:18" x14ac:dyDescent="0.25">
      <c r="A179" s="1" t="s">
        <v>182</v>
      </c>
      <c r="B179" s="4"/>
      <c r="F179" s="3">
        <f>9%*Table1[[#This Row],[Cost ]]</f>
        <v>0</v>
      </c>
      <c r="J179" s="11">
        <f>SUMIF('Multi-level BOM'!C$3:C$464,Table1[[#This Row],[Part Number]],'Multi-level BOM'!F$3:F$464)</f>
        <v>0</v>
      </c>
      <c r="K179" s="11">
        <f>Table1[[#This Row],[extended quantity]]*(Table1[[#This Row],[Cost ]]+Table1[[#This Row],[shipping]]+Table1[[#This Row],[Tax]])</f>
        <v>0</v>
      </c>
      <c r="L179" s="11"/>
      <c r="M179" s="42"/>
      <c r="N179" s="53" t="e">
        <f>CEILING((Table1[[#This Row],[extended quantity]]-Table1[[#This Row],[quantity on-hand]])/Table1[[#This Row],[Minimum order quantity]],1)*Table1[[#This Row],[Minimum order quantity]]</f>
        <v>#DIV/0!</v>
      </c>
      <c r="O179" s="53" t="e">
        <f>Table1[[#This Row],[Order quantity]]+Table1[[#This Row],[quantity on-hand]]-Table1[[#This Row],[extended quantity]]</f>
        <v>#DIV/0!</v>
      </c>
      <c r="P179" s="11">
        <f>IFERROR(Table1[[#This Row],[Order quantity]]*(Table1[[#This Row],[Cost ]]+Table1[[#This Row],[shipping]]+Table1[[#This Row],[Tax]]),0)</f>
        <v>0</v>
      </c>
      <c r="Q179" s="38">
        <f>IFERROR(Table1[[#This Row],[leftover material]]*(Table1[[#This Row],[Cost ]]+Table1[[#This Row],[shipping]]+Table1[[#This Row],[Tax]]),0)</f>
        <v>0</v>
      </c>
      <c r="R179" s="38"/>
    </row>
    <row r="180" spans="1:18" x14ac:dyDescent="0.25">
      <c r="A180" s="1" t="s">
        <v>183</v>
      </c>
      <c r="B180" s="4"/>
      <c r="F180" s="3">
        <f>9%*Table1[[#This Row],[Cost ]]</f>
        <v>0</v>
      </c>
      <c r="J180" s="11">
        <f>SUMIF('Multi-level BOM'!C$3:C$464,Table1[[#This Row],[Part Number]],'Multi-level BOM'!F$3:F$464)</f>
        <v>0</v>
      </c>
      <c r="K180" s="11">
        <f>Table1[[#This Row],[extended quantity]]*(Table1[[#This Row],[Cost ]]+Table1[[#This Row],[shipping]]+Table1[[#This Row],[Tax]])</f>
        <v>0</v>
      </c>
      <c r="L180" s="11"/>
      <c r="M180" s="42"/>
      <c r="N180" s="53" t="e">
        <f>CEILING((Table1[[#This Row],[extended quantity]]-Table1[[#This Row],[quantity on-hand]])/Table1[[#This Row],[Minimum order quantity]],1)*Table1[[#This Row],[Minimum order quantity]]</f>
        <v>#DIV/0!</v>
      </c>
      <c r="O180" s="53" t="e">
        <f>Table1[[#This Row],[Order quantity]]+Table1[[#This Row],[quantity on-hand]]-Table1[[#This Row],[extended quantity]]</f>
        <v>#DIV/0!</v>
      </c>
      <c r="P180" s="11">
        <f>IFERROR(Table1[[#This Row],[Order quantity]]*(Table1[[#This Row],[Cost ]]+Table1[[#This Row],[shipping]]+Table1[[#This Row],[Tax]]),0)</f>
        <v>0</v>
      </c>
      <c r="Q180" s="38">
        <f>IFERROR(Table1[[#This Row],[leftover material]]*(Table1[[#This Row],[Cost ]]+Table1[[#This Row],[shipping]]+Table1[[#This Row],[Tax]]),0)</f>
        <v>0</v>
      </c>
      <c r="R180" s="38"/>
    </row>
    <row r="181" spans="1:18" x14ac:dyDescent="0.25">
      <c r="A181" s="1" t="s">
        <v>184</v>
      </c>
      <c r="B181" s="4"/>
      <c r="F181" s="3">
        <f>9%*Table1[[#This Row],[Cost ]]</f>
        <v>0</v>
      </c>
      <c r="J181" s="11">
        <f>SUMIF('Multi-level BOM'!C$3:C$464,Table1[[#This Row],[Part Number]],'Multi-level BOM'!F$3:F$464)</f>
        <v>0</v>
      </c>
      <c r="K181" s="11">
        <f>Table1[[#This Row],[extended quantity]]*(Table1[[#This Row],[Cost ]]+Table1[[#This Row],[shipping]]+Table1[[#This Row],[Tax]])</f>
        <v>0</v>
      </c>
      <c r="L181" s="11"/>
      <c r="M181" s="42"/>
      <c r="N181" s="53" t="e">
        <f>CEILING((Table1[[#This Row],[extended quantity]]-Table1[[#This Row],[quantity on-hand]])/Table1[[#This Row],[Minimum order quantity]],1)*Table1[[#This Row],[Minimum order quantity]]</f>
        <v>#DIV/0!</v>
      </c>
      <c r="O181" s="53" t="e">
        <f>Table1[[#This Row],[Order quantity]]+Table1[[#This Row],[quantity on-hand]]-Table1[[#This Row],[extended quantity]]</f>
        <v>#DIV/0!</v>
      </c>
      <c r="P181" s="11">
        <f>IFERROR(Table1[[#This Row],[Order quantity]]*(Table1[[#This Row],[Cost ]]+Table1[[#This Row],[shipping]]+Table1[[#This Row],[Tax]]),0)</f>
        <v>0</v>
      </c>
      <c r="Q181" s="38">
        <f>IFERROR(Table1[[#This Row],[leftover material]]*(Table1[[#This Row],[Cost ]]+Table1[[#This Row],[shipping]]+Table1[[#This Row],[Tax]]),0)</f>
        <v>0</v>
      </c>
      <c r="R181" s="38"/>
    </row>
    <row r="182" spans="1:18" x14ac:dyDescent="0.25">
      <c r="A182" s="1" t="s">
        <v>185</v>
      </c>
      <c r="B182" s="4"/>
      <c r="F182" s="3">
        <f>9%*Table1[[#This Row],[Cost ]]</f>
        <v>0</v>
      </c>
      <c r="J182" s="11">
        <f>SUMIF('Multi-level BOM'!C$3:C$464,Table1[[#This Row],[Part Number]],'Multi-level BOM'!F$3:F$464)</f>
        <v>0</v>
      </c>
      <c r="K182" s="11">
        <f>Table1[[#This Row],[extended quantity]]*(Table1[[#This Row],[Cost ]]+Table1[[#This Row],[shipping]]+Table1[[#This Row],[Tax]])</f>
        <v>0</v>
      </c>
      <c r="L182" s="11"/>
      <c r="M182" s="42"/>
      <c r="N182" s="53" t="e">
        <f>CEILING((Table1[[#This Row],[extended quantity]]-Table1[[#This Row],[quantity on-hand]])/Table1[[#This Row],[Minimum order quantity]],1)*Table1[[#This Row],[Minimum order quantity]]</f>
        <v>#DIV/0!</v>
      </c>
      <c r="O182" s="53" t="e">
        <f>Table1[[#This Row],[Order quantity]]+Table1[[#This Row],[quantity on-hand]]-Table1[[#This Row],[extended quantity]]</f>
        <v>#DIV/0!</v>
      </c>
      <c r="P182" s="11">
        <f>IFERROR(Table1[[#This Row],[Order quantity]]*(Table1[[#This Row],[Cost ]]+Table1[[#This Row],[shipping]]+Table1[[#This Row],[Tax]]),0)</f>
        <v>0</v>
      </c>
      <c r="Q182" s="38">
        <f>IFERROR(Table1[[#This Row],[leftover material]]*(Table1[[#This Row],[Cost ]]+Table1[[#This Row],[shipping]]+Table1[[#This Row],[Tax]]),0)</f>
        <v>0</v>
      </c>
      <c r="R182" s="38"/>
    </row>
    <row r="183" spans="1:18" x14ac:dyDescent="0.25">
      <c r="A183" s="1" t="s">
        <v>186</v>
      </c>
      <c r="B183" s="4"/>
      <c r="F183" s="3">
        <f>9%*Table1[[#This Row],[Cost ]]</f>
        <v>0</v>
      </c>
      <c r="J183" s="11">
        <f>SUMIF('Multi-level BOM'!C$3:C$464,Table1[[#This Row],[Part Number]],'Multi-level BOM'!F$3:F$464)</f>
        <v>0</v>
      </c>
      <c r="K183" s="11">
        <f>Table1[[#This Row],[extended quantity]]*(Table1[[#This Row],[Cost ]]+Table1[[#This Row],[shipping]]+Table1[[#This Row],[Tax]])</f>
        <v>0</v>
      </c>
      <c r="L183" s="11"/>
      <c r="M183" s="42"/>
      <c r="N183" s="53" t="e">
        <f>CEILING((Table1[[#This Row],[extended quantity]]-Table1[[#This Row],[quantity on-hand]])/Table1[[#This Row],[Minimum order quantity]],1)*Table1[[#This Row],[Minimum order quantity]]</f>
        <v>#DIV/0!</v>
      </c>
      <c r="O183" s="53" t="e">
        <f>Table1[[#This Row],[Order quantity]]+Table1[[#This Row],[quantity on-hand]]-Table1[[#This Row],[extended quantity]]</f>
        <v>#DIV/0!</v>
      </c>
      <c r="P183" s="11">
        <f>IFERROR(Table1[[#This Row],[Order quantity]]*(Table1[[#This Row],[Cost ]]+Table1[[#This Row],[shipping]]+Table1[[#This Row],[Tax]]),0)</f>
        <v>0</v>
      </c>
      <c r="Q183" s="38">
        <f>IFERROR(Table1[[#This Row],[leftover material]]*(Table1[[#This Row],[Cost ]]+Table1[[#This Row],[shipping]]+Table1[[#This Row],[Tax]]),0)</f>
        <v>0</v>
      </c>
      <c r="R183" s="38"/>
    </row>
    <row r="184" spans="1:18" x14ac:dyDescent="0.25">
      <c r="A184" s="1" t="s">
        <v>187</v>
      </c>
      <c r="B184" s="4"/>
      <c r="F184" s="3">
        <f>9%*Table1[[#This Row],[Cost ]]</f>
        <v>0</v>
      </c>
      <c r="J184" s="11">
        <f>SUMIF('Multi-level BOM'!C$3:C$464,Table1[[#This Row],[Part Number]],'Multi-level BOM'!F$3:F$464)</f>
        <v>0</v>
      </c>
      <c r="K184" s="11">
        <f>Table1[[#This Row],[extended quantity]]*(Table1[[#This Row],[Cost ]]+Table1[[#This Row],[shipping]]+Table1[[#This Row],[Tax]])</f>
        <v>0</v>
      </c>
      <c r="L184" s="11"/>
      <c r="M184" s="42"/>
      <c r="N184" s="53" t="e">
        <f>CEILING((Table1[[#This Row],[extended quantity]]-Table1[[#This Row],[quantity on-hand]])/Table1[[#This Row],[Minimum order quantity]],1)*Table1[[#This Row],[Minimum order quantity]]</f>
        <v>#DIV/0!</v>
      </c>
      <c r="O184" s="53" t="e">
        <f>Table1[[#This Row],[Order quantity]]+Table1[[#This Row],[quantity on-hand]]-Table1[[#This Row],[extended quantity]]</f>
        <v>#DIV/0!</v>
      </c>
      <c r="P184" s="11">
        <f>IFERROR(Table1[[#This Row],[Order quantity]]*(Table1[[#This Row],[Cost ]]+Table1[[#This Row],[shipping]]+Table1[[#This Row],[Tax]]),0)</f>
        <v>0</v>
      </c>
      <c r="Q184" s="38">
        <f>IFERROR(Table1[[#This Row],[leftover material]]*(Table1[[#This Row],[Cost ]]+Table1[[#This Row],[shipping]]+Table1[[#This Row],[Tax]]),0)</f>
        <v>0</v>
      </c>
      <c r="R184" s="38"/>
    </row>
    <row r="185" spans="1:18" x14ac:dyDescent="0.25">
      <c r="A185" s="1" t="s">
        <v>188</v>
      </c>
      <c r="B185" s="4"/>
      <c r="F185" s="3">
        <f>9%*Table1[[#This Row],[Cost ]]</f>
        <v>0</v>
      </c>
      <c r="J185" s="11">
        <f>SUMIF('Multi-level BOM'!C$3:C$464,Table1[[#This Row],[Part Number]],'Multi-level BOM'!F$3:F$464)</f>
        <v>0</v>
      </c>
      <c r="K185" s="11">
        <f>Table1[[#This Row],[extended quantity]]*(Table1[[#This Row],[Cost ]]+Table1[[#This Row],[shipping]]+Table1[[#This Row],[Tax]])</f>
        <v>0</v>
      </c>
      <c r="L185" s="11"/>
      <c r="M185" s="42"/>
      <c r="N185" s="53" t="e">
        <f>CEILING((Table1[[#This Row],[extended quantity]]-Table1[[#This Row],[quantity on-hand]])/Table1[[#This Row],[Minimum order quantity]],1)*Table1[[#This Row],[Minimum order quantity]]</f>
        <v>#DIV/0!</v>
      </c>
      <c r="O185" s="53" t="e">
        <f>Table1[[#This Row],[Order quantity]]+Table1[[#This Row],[quantity on-hand]]-Table1[[#This Row],[extended quantity]]</f>
        <v>#DIV/0!</v>
      </c>
      <c r="P185" s="11">
        <f>IFERROR(Table1[[#This Row],[Order quantity]]*(Table1[[#This Row],[Cost ]]+Table1[[#This Row],[shipping]]+Table1[[#This Row],[Tax]]),0)</f>
        <v>0</v>
      </c>
      <c r="Q185" s="38">
        <f>IFERROR(Table1[[#This Row],[leftover material]]*(Table1[[#This Row],[Cost ]]+Table1[[#This Row],[shipping]]+Table1[[#This Row],[Tax]]),0)</f>
        <v>0</v>
      </c>
      <c r="R185" s="38"/>
    </row>
    <row r="186" spans="1:18" x14ac:dyDescent="0.25">
      <c r="A186" s="1" t="s">
        <v>189</v>
      </c>
      <c r="B186" s="4"/>
      <c r="F186" s="3">
        <f>9%*Table1[[#This Row],[Cost ]]</f>
        <v>0</v>
      </c>
      <c r="J186" s="11">
        <f>SUMIF('Multi-level BOM'!C$3:C$464,Table1[[#This Row],[Part Number]],'Multi-level BOM'!F$3:F$464)</f>
        <v>0</v>
      </c>
      <c r="K186" s="11">
        <f>Table1[[#This Row],[extended quantity]]*(Table1[[#This Row],[Cost ]]+Table1[[#This Row],[shipping]]+Table1[[#This Row],[Tax]])</f>
        <v>0</v>
      </c>
      <c r="L186" s="11"/>
      <c r="M186" s="42"/>
      <c r="N186" s="53" t="e">
        <f>CEILING((Table1[[#This Row],[extended quantity]]-Table1[[#This Row],[quantity on-hand]])/Table1[[#This Row],[Minimum order quantity]],1)*Table1[[#This Row],[Minimum order quantity]]</f>
        <v>#DIV/0!</v>
      </c>
      <c r="O186" s="53" t="e">
        <f>Table1[[#This Row],[Order quantity]]+Table1[[#This Row],[quantity on-hand]]-Table1[[#This Row],[extended quantity]]</f>
        <v>#DIV/0!</v>
      </c>
      <c r="P186" s="11">
        <f>IFERROR(Table1[[#This Row],[Order quantity]]*(Table1[[#This Row],[Cost ]]+Table1[[#This Row],[shipping]]+Table1[[#This Row],[Tax]]),0)</f>
        <v>0</v>
      </c>
      <c r="Q186" s="38">
        <f>IFERROR(Table1[[#This Row],[leftover material]]*(Table1[[#This Row],[Cost ]]+Table1[[#This Row],[shipping]]+Table1[[#This Row],[Tax]]),0)</f>
        <v>0</v>
      </c>
      <c r="R186" s="38"/>
    </row>
    <row r="187" spans="1:18" x14ac:dyDescent="0.25">
      <c r="A187" s="1" t="s">
        <v>190</v>
      </c>
      <c r="B187" s="4"/>
      <c r="F187" s="3">
        <f>9%*Table1[[#This Row],[Cost ]]</f>
        <v>0</v>
      </c>
      <c r="J187" s="11">
        <f>SUMIF('Multi-level BOM'!C$3:C$464,Table1[[#This Row],[Part Number]],'Multi-level BOM'!F$3:F$464)</f>
        <v>0</v>
      </c>
      <c r="K187" s="11">
        <f>Table1[[#This Row],[extended quantity]]*(Table1[[#This Row],[Cost ]]+Table1[[#This Row],[shipping]]+Table1[[#This Row],[Tax]])</f>
        <v>0</v>
      </c>
      <c r="L187" s="11"/>
      <c r="M187" s="42"/>
      <c r="N187" s="53" t="e">
        <f>CEILING((Table1[[#This Row],[extended quantity]]-Table1[[#This Row],[quantity on-hand]])/Table1[[#This Row],[Minimum order quantity]],1)*Table1[[#This Row],[Minimum order quantity]]</f>
        <v>#DIV/0!</v>
      </c>
      <c r="O187" s="53" t="e">
        <f>Table1[[#This Row],[Order quantity]]+Table1[[#This Row],[quantity on-hand]]-Table1[[#This Row],[extended quantity]]</f>
        <v>#DIV/0!</v>
      </c>
      <c r="P187" s="11">
        <f>IFERROR(Table1[[#This Row],[Order quantity]]*(Table1[[#This Row],[Cost ]]+Table1[[#This Row],[shipping]]+Table1[[#This Row],[Tax]]),0)</f>
        <v>0</v>
      </c>
      <c r="Q187" s="38">
        <f>IFERROR(Table1[[#This Row],[leftover material]]*(Table1[[#This Row],[Cost ]]+Table1[[#This Row],[shipping]]+Table1[[#This Row],[Tax]]),0)</f>
        <v>0</v>
      </c>
      <c r="R187" s="38"/>
    </row>
    <row r="188" spans="1:18" x14ac:dyDescent="0.25">
      <c r="A188" s="1" t="s">
        <v>191</v>
      </c>
      <c r="B188" s="4"/>
      <c r="F188" s="3">
        <f>9%*Table1[[#This Row],[Cost ]]</f>
        <v>0</v>
      </c>
      <c r="J188" s="11">
        <f>SUMIF('Multi-level BOM'!C$3:C$464,Table1[[#This Row],[Part Number]],'Multi-level BOM'!F$3:F$464)</f>
        <v>0</v>
      </c>
      <c r="K188" s="11">
        <f>Table1[[#This Row],[extended quantity]]*(Table1[[#This Row],[Cost ]]+Table1[[#This Row],[shipping]]+Table1[[#This Row],[Tax]])</f>
        <v>0</v>
      </c>
      <c r="L188" s="11"/>
      <c r="M188" s="42"/>
      <c r="N188" s="53" t="e">
        <f>CEILING((Table1[[#This Row],[extended quantity]]-Table1[[#This Row],[quantity on-hand]])/Table1[[#This Row],[Minimum order quantity]],1)*Table1[[#This Row],[Minimum order quantity]]</f>
        <v>#DIV/0!</v>
      </c>
      <c r="O188" s="53" t="e">
        <f>Table1[[#This Row],[Order quantity]]+Table1[[#This Row],[quantity on-hand]]-Table1[[#This Row],[extended quantity]]</f>
        <v>#DIV/0!</v>
      </c>
      <c r="P188" s="11">
        <f>IFERROR(Table1[[#This Row],[Order quantity]]*(Table1[[#This Row],[Cost ]]+Table1[[#This Row],[shipping]]+Table1[[#This Row],[Tax]]),0)</f>
        <v>0</v>
      </c>
      <c r="Q188" s="38">
        <f>IFERROR(Table1[[#This Row],[leftover material]]*(Table1[[#This Row],[Cost ]]+Table1[[#This Row],[shipping]]+Table1[[#This Row],[Tax]]),0)</f>
        <v>0</v>
      </c>
      <c r="R188" s="38"/>
    </row>
    <row r="189" spans="1:18" x14ac:dyDescent="0.25">
      <c r="A189" s="1" t="s">
        <v>192</v>
      </c>
      <c r="B189" s="4"/>
      <c r="F189" s="3">
        <f>9%*Table1[[#This Row],[Cost ]]</f>
        <v>0</v>
      </c>
      <c r="J189" s="11">
        <f>SUMIF('Multi-level BOM'!C$3:C$464,Table1[[#This Row],[Part Number]],'Multi-level BOM'!F$3:F$464)</f>
        <v>0</v>
      </c>
      <c r="K189" s="11">
        <f>Table1[[#This Row],[extended quantity]]*(Table1[[#This Row],[Cost ]]+Table1[[#This Row],[shipping]]+Table1[[#This Row],[Tax]])</f>
        <v>0</v>
      </c>
      <c r="L189" s="11"/>
      <c r="M189" s="42"/>
      <c r="N189" s="53" t="e">
        <f>CEILING((Table1[[#This Row],[extended quantity]]-Table1[[#This Row],[quantity on-hand]])/Table1[[#This Row],[Minimum order quantity]],1)*Table1[[#This Row],[Minimum order quantity]]</f>
        <v>#DIV/0!</v>
      </c>
      <c r="O189" s="53" t="e">
        <f>Table1[[#This Row],[Order quantity]]+Table1[[#This Row],[quantity on-hand]]-Table1[[#This Row],[extended quantity]]</f>
        <v>#DIV/0!</v>
      </c>
      <c r="P189" s="11">
        <f>IFERROR(Table1[[#This Row],[Order quantity]]*(Table1[[#This Row],[Cost ]]+Table1[[#This Row],[shipping]]+Table1[[#This Row],[Tax]]),0)</f>
        <v>0</v>
      </c>
      <c r="Q189" s="38">
        <f>IFERROR(Table1[[#This Row],[leftover material]]*(Table1[[#This Row],[Cost ]]+Table1[[#This Row],[shipping]]+Table1[[#This Row],[Tax]]),0)</f>
        <v>0</v>
      </c>
      <c r="R189" s="38"/>
    </row>
    <row r="190" spans="1:18" x14ac:dyDescent="0.25">
      <c r="A190" s="1" t="s">
        <v>193</v>
      </c>
      <c r="B190" s="4"/>
      <c r="F190" s="3">
        <f>9%*Table1[[#This Row],[Cost ]]</f>
        <v>0</v>
      </c>
      <c r="J190" s="11">
        <f>SUMIF('Multi-level BOM'!C$3:C$464,Table1[[#This Row],[Part Number]],'Multi-level BOM'!F$3:F$464)</f>
        <v>0</v>
      </c>
      <c r="K190" s="11">
        <f>Table1[[#This Row],[extended quantity]]*(Table1[[#This Row],[Cost ]]+Table1[[#This Row],[shipping]]+Table1[[#This Row],[Tax]])</f>
        <v>0</v>
      </c>
      <c r="L190" s="11"/>
      <c r="M190" s="42"/>
      <c r="N190" s="53" t="e">
        <f>CEILING((Table1[[#This Row],[extended quantity]]-Table1[[#This Row],[quantity on-hand]])/Table1[[#This Row],[Minimum order quantity]],1)*Table1[[#This Row],[Minimum order quantity]]</f>
        <v>#DIV/0!</v>
      </c>
      <c r="O190" s="53" t="e">
        <f>Table1[[#This Row],[Order quantity]]+Table1[[#This Row],[quantity on-hand]]-Table1[[#This Row],[extended quantity]]</f>
        <v>#DIV/0!</v>
      </c>
      <c r="P190" s="11">
        <f>IFERROR(Table1[[#This Row],[Order quantity]]*(Table1[[#This Row],[Cost ]]+Table1[[#This Row],[shipping]]+Table1[[#This Row],[Tax]]),0)</f>
        <v>0</v>
      </c>
      <c r="Q190" s="38">
        <f>IFERROR(Table1[[#This Row],[leftover material]]*(Table1[[#This Row],[Cost ]]+Table1[[#This Row],[shipping]]+Table1[[#This Row],[Tax]]),0)</f>
        <v>0</v>
      </c>
      <c r="R190" s="38"/>
    </row>
    <row r="191" spans="1:18" x14ac:dyDescent="0.25">
      <c r="A191" s="1" t="s">
        <v>194</v>
      </c>
      <c r="B191" s="4"/>
      <c r="F191" s="3">
        <f>9%*Table1[[#This Row],[Cost ]]</f>
        <v>0</v>
      </c>
      <c r="J191" s="11">
        <f>SUMIF('Multi-level BOM'!C$3:C$464,Table1[[#This Row],[Part Number]],'Multi-level BOM'!F$3:F$464)</f>
        <v>0</v>
      </c>
      <c r="K191" s="11">
        <f>Table1[[#This Row],[extended quantity]]*(Table1[[#This Row],[Cost ]]+Table1[[#This Row],[shipping]]+Table1[[#This Row],[Tax]])</f>
        <v>0</v>
      </c>
      <c r="L191" s="11"/>
      <c r="M191" s="42"/>
      <c r="N191" s="53" t="e">
        <f>CEILING((Table1[[#This Row],[extended quantity]]-Table1[[#This Row],[quantity on-hand]])/Table1[[#This Row],[Minimum order quantity]],1)*Table1[[#This Row],[Minimum order quantity]]</f>
        <v>#DIV/0!</v>
      </c>
      <c r="O191" s="53" t="e">
        <f>Table1[[#This Row],[Order quantity]]+Table1[[#This Row],[quantity on-hand]]-Table1[[#This Row],[extended quantity]]</f>
        <v>#DIV/0!</v>
      </c>
      <c r="P191" s="11">
        <f>IFERROR(Table1[[#This Row],[Order quantity]]*(Table1[[#This Row],[Cost ]]+Table1[[#This Row],[shipping]]+Table1[[#This Row],[Tax]]),0)</f>
        <v>0</v>
      </c>
      <c r="Q191" s="38">
        <f>IFERROR(Table1[[#This Row],[leftover material]]*(Table1[[#This Row],[Cost ]]+Table1[[#This Row],[shipping]]+Table1[[#This Row],[Tax]]),0)</f>
        <v>0</v>
      </c>
      <c r="R191" s="38"/>
    </row>
    <row r="192" spans="1:18" x14ac:dyDescent="0.25">
      <c r="A192" s="1" t="s">
        <v>195</v>
      </c>
      <c r="B192" s="4"/>
      <c r="F192" s="3">
        <f>9%*Table1[[#This Row],[Cost ]]</f>
        <v>0</v>
      </c>
      <c r="J192" s="11">
        <f>SUMIF('Multi-level BOM'!C$3:C$464,Table1[[#This Row],[Part Number]],'Multi-level BOM'!F$3:F$464)</f>
        <v>0</v>
      </c>
      <c r="K192" s="11">
        <f>Table1[[#This Row],[extended quantity]]*(Table1[[#This Row],[Cost ]]+Table1[[#This Row],[shipping]]+Table1[[#This Row],[Tax]])</f>
        <v>0</v>
      </c>
      <c r="L192" s="11"/>
      <c r="M192" s="42"/>
      <c r="N192" s="53" t="e">
        <f>CEILING((Table1[[#This Row],[extended quantity]]-Table1[[#This Row],[quantity on-hand]])/Table1[[#This Row],[Minimum order quantity]],1)*Table1[[#This Row],[Minimum order quantity]]</f>
        <v>#DIV/0!</v>
      </c>
      <c r="O192" s="53" t="e">
        <f>Table1[[#This Row],[Order quantity]]+Table1[[#This Row],[quantity on-hand]]-Table1[[#This Row],[extended quantity]]</f>
        <v>#DIV/0!</v>
      </c>
      <c r="P192" s="11">
        <f>IFERROR(Table1[[#This Row],[Order quantity]]*(Table1[[#This Row],[Cost ]]+Table1[[#This Row],[shipping]]+Table1[[#This Row],[Tax]]),0)</f>
        <v>0</v>
      </c>
      <c r="Q192" s="38">
        <f>IFERROR(Table1[[#This Row],[leftover material]]*(Table1[[#This Row],[Cost ]]+Table1[[#This Row],[shipping]]+Table1[[#This Row],[Tax]]),0)</f>
        <v>0</v>
      </c>
      <c r="R192" s="38"/>
    </row>
    <row r="193" spans="1:18" x14ac:dyDescent="0.25">
      <c r="A193" s="1" t="s">
        <v>196</v>
      </c>
      <c r="B193" s="4"/>
      <c r="F193" s="3">
        <f>9%*Table1[[#This Row],[Cost ]]</f>
        <v>0</v>
      </c>
      <c r="J193" s="11">
        <f>SUMIF('Multi-level BOM'!C$3:C$464,Table1[[#This Row],[Part Number]],'Multi-level BOM'!F$3:F$464)</f>
        <v>0</v>
      </c>
      <c r="K193" s="11">
        <f>Table1[[#This Row],[extended quantity]]*(Table1[[#This Row],[Cost ]]+Table1[[#This Row],[shipping]]+Table1[[#This Row],[Tax]])</f>
        <v>0</v>
      </c>
      <c r="L193" s="11"/>
      <c r="M193" s="42"/>
      <c r="N193" s="53" t="e">
        <f>CEILING((Table1[[#This Row],[extended quantity]]-Table1[[#This Row],[quantity on-hand]])/Table1[[#This Row],[Minimum order quantity]],1)*Table1[[#This Row],[Minimum order quantity]]</f>
        <v>#DIV/0!</v>
      </c>
      <c r="O193" s="53" t="e">
        <f>Table1[[#This Row],[Order quantity]]+Table1[[#This Row],[quantity on-hand]]-Table1[[#This Row],[extended quantity]]</f>
        <v>#DIV/0!</v>
      </c>
      <c r="P193" s="11">
        <f>IFERROR(Table1[[#This Row],[Order quantity]]*(Table1[[#This Row],[Cost ]]+Table1[[#This Row],[shipping]]+Table1[[#This Row],[Tax]]),0)</f>
        <v>0</v>
      </c>
      <c r="Q193" s="38">
        <f>IFERROR(Table1[[#This Row],[leftover material]]*(Table1[[#This Row],[Cost ]]+Table1[[#This Row],[shipping]]+Table1[[#This Row],[Tax]]),0)</f>
        <v>0</v>
      </c>
      <c r="R193" s="38"/>
    </row>
    <row r="194" spans="1:18" x14ac:dyDescent="0.25">
      <c r="A194" s="1" t="s">
        <v>197</v>
      </c>
      <c r="B194" s="4"/>
      <c r="F194" s="3">
        <f>9%*Table1[[#This Row],[Cost ]]</f>
        <v>0</v>
      </c>
      <c r="J194" s="11">
        <f>SUMIF('Multi-level BOM'!C$3:C$464,Table1[[#This Row],[Part Number]],'Multi-level BOM'!F$3:F$464)</f>
        <v>0</v>
      </c>
      <c r="K194" s="11">
        <f>Table1[[#This Row],[extended quantity]]*(Table1[[#This Row],[Cost ]]+Table1[[#This Row],[shipping]]+Table1[[#This Row],[Tax]])</f>
        <v>0</v>
      </c>
      <c r="L194" s="11"/>
      <c r="M194" s="42"/>
      <c r="N194" s="53" t="e">
        <f>CEILING((Table1[[#This Row],[extended quantity]]-Table1[[#This Row],[quantity on-hand]])/Table1[[#This Row],[Minimum order quantity]],1)*Table1[[#This Row],[Minimum order quantity]]</f>
        <v>#DIV/0!</v>
      </c>
      <c r="O194" s="53" t="e">
        <f>Table1[[#This Row],[Order quantity]]+Table1[[#This Row],[quantity on-hand]]-Table1[[#This Row],[extended quantity]]</f>
        <v>#DIV/0!</v>
      </c>
      <c r="P194" s="11">
        <f>IFERROR(Table1[[#This Row],[Order quantity]]*(Table1[[#This Row],[Cost ]]+Table1[[#This Row],[shipping]]+Table1[[#This Row],[Tax]]),0)</f>
        <v>0</v>
      </c>
      <c r="Q194" s="38">
        <f>IFERROR(Table1[[#This Row],[leftover material]]*(Table1[[#This Row],[Cost ]]+Table1[[#This Row],[shipping]]+Table1[[#This Row],[Tax]]),0)</f>
        <v>0</v>
      </c>
      <c r="R194" s="38"/>
    </row>
    <row r="195" spans="1:18" x14ac:dyDescent="0.25">
      <c r="A195" s="1" t="s">
        <v>198</v>
      </c>
      <c r="B195" s="4"/>
      <c r="F195" s="3">
        <f>9%*Table1[[#This Row],[Cost ]]</f>
        <v>0</v>
      </c>
      <c r="J195" s="11">
        <f>SUMIF('Multi-level BOM'!C$3:C$464,Table1[[#This Row],[Part Number]],'Multi-level BOM'!F$3:F$464)</f>
        <v>0</v>
      </c>
      <c r="K195" s="11">
        <f>Table1[[#This Row],[extended quantity]]*(Table1[[#This Row],[Cost ]]+Table1[[#This Row],[shipping]]+Table1[[#This Row],[Tax]])</f>
        <v>0</v>
      </c>
      <c r="L195" s="11"/>
      <c r="M195" s="42"/>
      <c r="N195" s="53" t="e">
        <f>CEILING((Table1[[#This Row],[extended quantity]]-Table1[[#This Row],[quantity on-hand]])/Table1[[#This Row],[Minimum order quantity]],1)*Table1[[#This Row],[Minimum order quantity]]</f>
        <v>#DIV/0!</v>
      </c>
      <c r="O195" s="53" t="e">
        <f>Table1[[#This Row],[Order quantity]]+Table1[[#This Row],[quantity on-hand]]-Table1[[#This Row],[extended quantity]]</f>
        <v>#DIV/0!</v>
      </c>
      <c r="P195" s="11">
        <f>IFERROR(Table1[[#This Row],[Order quantity]]*(Table1[[#This Row],[Cost ]]+Table1[[#This Row],[shipping]]+Table1[[#This Row],[Tax]]),0)</f>
        <v>0</v>
      </c>
      <c r="Q195" s="38">
        <f>IFERROR(Table1[[#This Row],[leftover material]]*(Table1[[#This Row],[Cost ]]+Table1[[#This Row],[shipping]]+Table1[[#This Row],[Tax]]),0)</f>
        <v>0</v>
      </c>
      <c r="R195" s="38"/>
    </row>
    <row r="196" spans="1:18" x14ac:dyDescent="0.25">
      <c r="A196" s="1" t="s">
        <v>199</v>
      </c>
      <c r="B196" s="4"/>
      <c r="F196" s="3">
        <f>9%*Table1[[#This Row],[Cost ]]</f>
        <v>0</v>
      </c>
      <c r="J196" s="11">
        <f>SUMIF('Multi-level BOM'!C$3:C$464,Table1[[#This Row],[Part Number]],'Multi-level BOM'!F$3:F$464)</f>
        <v>0</v>
      </c>
      <c r="K196" s="11">
        <f>Table1[[#This Row],[extended quantity]]*(Table1[[#This Row],[Cost ]]+Table1[[#This Row],[shipping]]+Table1[[#This Row],[Tax]])</f>
        <v>0</v>
      </c>
      <c r="L196" s="11"/>
      <c r="M196" s="42"/>
      <c r="N196" s="53" t="e">
        <f>CEILING((Table1[[#This Row],[extended quantity]]-Table1[[#This Row],[quantity on-hand]])/Table1[[#This Row],[Minimum order quantity]],1)*Table1[[#This Row],[Minimum order quantity]]</f>
        <v>#DIV/0!</v>
      </c>
      <c r="O196" s="53" t="e">
        <f>Table1[[#This Row],[Order quantity]]+Table1[[#This Row],[quantity on-hand]]-Table1[[#This Row],[extended quantity]]</f>
        <v>#DIV/0!</v>
      </c>
      <c r="P196" s="11">
        <f>IFERROR(Table1[[#This Row],[Order quantity]]*(Table1[[#This Row],[Cost ]]+Table1[[#This Row],[shipping]]+Table1[[#This Row],[Tax]]),0)</f>
        <v>0</v>
      </c>
      <c r="Q196" s="38">
        <f>IFERROR(Table1[[#This Row],[leftover material]]*(Table1[[#This Row],[Cost ]]+Table1[[#This Row],[shipping]]+Table1[[#This Row],[Tax]]),0)</f>
        <v>0</v>
      </c>
      <c r="R196" s="38"/>
    </row>
    <row r="197" spans="1:18" x14ac:dyDescent="0.25">
      <c r="A197" s="1" t="s">
        <v>200</v>
      </c>
      <c r="B197" s="4"/>
      <c r="F197" s="3">
        <f>9%*Table1[[#This Row],[Cost ]]</f>
        <v>0</v>
      </c>
      <c r="J197" s="11">
        <f>SUMIF('Multi-level BOM'!C$3:C$464,Table1[[#This Row],[Part Number]],'Multi-level BOM'!F$3:F$464)</f>
        <v>0</v>
      </c>
      <c r="K197" s="11">
        <f>Table1[[#This Row],[extended quantity]]*(Table1[[#This Row],[Cost ]]+Table1[[#This Row],[shipping]]+Table1[[#This Row],[Tax]])</f>
        <v>0</v>
      </c>
      <c r="L197" s="11"/>
      <c r="M197" s="42"/>
      <c r="N197" s="53" t="e">
        <f>CEILING((Table1[[#This Row],[extended quantity]]-Table1[[#This Row],[quantity on-hand]])/Table1[[#This Row],[Minimum order quantity]],1)*Table1[[#This Row],[Minimum order quantity]]</f>
        <v>#DIV/0!</v>
      </c>
      <c r="O197" s="53" t="e">
        <f>Table1[[#This Row],[Order quantity]]+Table1[[#This Row],[quantity on-hand]]-Table1[[#This Row],[extended quantity]]</f>
        <v>#DIV/0!</v>
      </c>
      <c r="P197" s="11">
        <f>IFERROR(Table1[[#This Row],[Order quantity]]*(Table1[[#This Row],[Cost ]]+Table1[[#This Row],[shipping]]+Table1[[#This Row],[Tax]]),0)</f>
        <v>0</v>
      </c>
      <c r="Q197" s="38">
        <f>IFERROR(Table1[[#This Row],[leftover material]]*(Table1[[#This Row],[Cost ]]+Table1[[#This Row],[shipping]]+Table1[[#This Row],[Tax]]),0)</f>
        <v>0</v>
      </c>
      <c r="R197" s="38"/>
    </row>
    <row r="198" spans="1:18" x14ac:dyDescent="0.25">
      <c r="A198" s="1" t="s">
        <v>201</v>
      </c>
      <c r="B198" s="4"/>
      <c r="F198" s="3">
        <f>9%*Table1[[#This Row],[Cost ]]</f>
        <v>0</v>
      </c>
      <c r="J198" s="11">
        <f>SUMIF('Multi-level BOM'!C$3:C$464,Table1[[#This Row],[Part Number]],'Multi-level BOM'!F$3:F$464)</f>
        <v>0</v>
      </c>
      <c r="K198" s="11">
        <f>Table1[[#This Row],[extended quantity]]*(Table1[[#This Row],[Cost ]]+Table1[[#This Row],[shipping]]+Table1[[#This Row],[Tax]])</f>
        <v>0</v>
      </c>
      <c r="L198" s="11"/>
      <c r="M198" s="42"/>
      <c r="N198" s="53" t="e">
        <f>CEILING((Table1[[#This Row],[extended quantity]]-Table1[[#This Row],[quantity on-hand]])/Table1[[#This Row],[Minimum order quantity]],1)*Table1[[#This Row],[Minimum order quantity]]</f>
        <v>#DIV/0!</v>
      </c>
      <c r="O198" s="53" t="e">
        <f>Table1[[#This Row],[Order quantity]]+Table1[[#This Row],[quantity on-hand]]-Table1[[#This Row],[extended quantity]]</f>
        <v>#DIV/0!</v>
      </c>
      <c r="P198" s="11">
        <f>IFERROR(Table1[[#This Row],[Order quantity]]*(Table1[[#This Row],[Cost ]]+Table1[[#This Row],[shipping]]+Table1[[#This Row],[Tax]]),0)</f>
        <v>0</v>
      </c>
      <c r="Q198" s="38">
        <f>IFERROR(Table1[[#This Row],[leftover material]]*(Table1[[#This Row],[Cost ]]+Table1[[#This Row],[shipping]]+Table1[[#This Row],[Tax]]),0)</f>
        <v>0</v>
      </c>
      <c r="R198" s="38"/>
    </row>
    <row r="199" spans="1:18" x14ac:dyDescent="0.25">
      <c r="A199" s="1" t="s">
        <v>202</v>
      </c>
      <c r="B199" s="4"/>
      <c r="F199" s="3">
        <f>9%*Table1[[#This Row],[Cost ]]</f>
        <v>0</v>
      </c>
      <c r="J199" s="11">
        <f>SUMIF('Multi-level BOM'!C$3:C$464,Table1[[#This Row],[Part Number]],'Multi-level BOM'!F$3:F$464)</f>
        <v>0</v>
      </c>
      <c r="K199" s="11">
        <f>Table1[[#This Row],[extended quantity]]*(Table1[[#This Row],[Cost ]]+Table1[[#This Row],[shipping]]+Table1[[#This Row],[Tax]])</f>
        <v>0</v>
      </c>
      <c r="L199" s="11"/>
      <c r="M199" s="42"/>
      <c r="N199" s="53" t="e">
        <f>CEILING((Table1[[#This Row],[extended quantity]]-Table1[[#This Row],[quantity on-hand]])/Table1[[#This Row],[Minimum order quantity]],1)*Table1[[#This Row],[Minimum order quantity]]</f>
        <v>#DIV/0!</v>
      </c>
      <c r="O199" s="53" t="e">
        <f>Table1[[#This Row],[Order quantity]]+Table1[[#This Row],[quantity on-hand]]-Table1[[#This Row],[extended quantity]]</f>
        <v>#DIV/0!</v>
      </c>
      <c r="P199" s="11">
        <f>IFERROR(Table1[[#This Row],[Order quantity]]*(Table1[[#This Row],[Cost ]]+Table1[[#This Row],[shipping]]+Table1[[#This Row],[Tax]]),0)</f>
        <v>0</v>
      </c>
      <c r="Q199" s="38">
        <f>IFERROR(Table1[[#This Row],[leftover material]]*(Table1[[#This Row],[Cost ]]+Table1[[#This Row],[shipping]]+Table1[[#This Row],[Tax]]),0)</f>
        <v>0</v>
      </c>
      <c r="R199" s="38"/>
    </row>
    <row r="200" spans="1:18" x14ac:dyDescent="0.25">
      <c r="A200" s="1" t="s">
        <v>203</v>
      </c>
      <c r="B200" s="4"/>
      <c r="F200" s="3">
        <f>9%*Table1[[#This Row],[Cost ]]</f>
        <v>0</v>
      </c>
      <c r="J200" s="11">
        <f>SUMIF('Multi-level BOM'!C$3:C$464,Table1[[#This Row],[Part Number]],'Multi-level BOM'!F$3:F$464)</f>
        <v>0</v>
      </c>
      <c r="K200" s="11">
        <f>Table1[[#This Row],[extended quantity]]*(Table1[[#This Row],[Cost ]]+Table1[[#This Row],[shipping]]+Table1[[#This Row],[Tax]])</f>
        <v>0</v>
      </c>
      <c r="L200" s="11"/>
      <c r="M200" s="42"/>
      <c r="N200" s="53" t="e">
        <f>CEILING((Table1[[#This Row],[extended quantity]]-Table1[[#This Row],[quantity on-hand]])/Table1[[#This Row],[Minimum order quantity]],1)*Table1[[#This Row],[Minimum order quantity]]</f>
        <v>#DIV/0!</v>
      </c>
      <c r="O200" s="53" t="e">
        <f>Table1[[#This Row],[Order quantity]]+Table1[[#This Row],[quantity on-hand]]-Table1[[#This Row],[extended quantity]]</f>
        <v>#DIV/0!</v>
      </c>
      <c r="P200" s="11">
        <f>IFERROR(Table1[[#This Row],[Order quantity]]*(Table1[[#This Row],[Cost ]]+Table1[[#This Row],[shipping]]+Table1[[#This Row],[Tax]]),0)</f>
        <v>0</v>
      </c>
      <c r="Q200" s="38">
        <f>IFERROR(Table1[[#This Row],[leftover material]]*(Table1[[#This Row],[Cost ]]+Table1[[#This Row],[shipping]]+Table1[[#This Row],[Tax]]),0)</f>
        <v>0</v>
      </c>
      <c r="R200" s="38"/>
    </row>
    <row r="201" spans="1:18" x14ac:dyDescent="0.25">
      <c r="A201" s="1" t="s">
        <v>204</v>
      </c>
      <c r="B201" s="4"/>
      <c r="F201" s="3">
        <f>9%*Table1[[#This Row],[Cost ]]</f>
        <v>0</v>
      </c>
      <c r="J201" s="11">
        <f>SUMIF('Multi-level BOM'!C$3:C$464,Table1[[#This Row],[Part Number]],'Multi-level BOM'!F$3:F$464)</f>
        <v>0</v>
      </c>
      <c r="K201" s="11">
        <f>Table1[[#This Row],[extended quantity]]*(Table1[[#This Row],[Cost ]]+Table1[[#This Row],[shipping]]+Table1[[#This Row],[Tax]])</f>
        <v>0</v>
      </c>
      <c r="L201" s="11"/>
      <c r="M201" s="42"/>
      <c r="N201" s="53" t="e">
        <f>CEILING((Table1[[#This Row],[extended quantity]]-Table1[[#This Row],[quantity on-hand]])/Table1[[#This Row],[Minimum order quantity]],1)*Table1[[#This Row],[Minimum order quantity]]</f>
        <v>#DIV/0!</v>
      </c>
      <c r="O201" s="53" t="e">
        <f>Table1[[#This Row],[Order quantity]]+Table1[[#This Row],[quantity on-hand]]-Table1[[#This Row],[extended quantity]]</f>
        <v>#DIV/0!</v>
      </c>
      <c r="P201" s="11">
        <f>IFERROR(Table1[[#This Row],[Order quantity]]*(Table1[[#This Row],[Cost ]]+Table1[[#This Row],[shipping]]+Table1[[#This Row],[Tax]]),0)</f>
        <v>0</v>
      </c>
      <c r="Q201" s="38">
        <f>IFERROR(Table1[[#This Row],[leftover material]]*(Table1[[#This Row],[Cost ]]+Table1[[#This Row],[shipping]]+Table1[[#This Row],[Tax]]),0)</f>
        <v>0</v>
      </c>
      <c r="R201" s="38"/>
    </row>
    <row r="202" spans="1:18" x14ac:dyDescent="0.25">
      <c r="A202" s="1" t="s">
        <v>205</v>
      </c>
      <c r="B202" s="4"/>
      <c r="F202" s="3">
        <f>9%*Table1[[#This Row],[Cost ]]</f>
        <v>0</v>
      </c>
      <c r="J202" s="11">
        <f>SUMIF('Multi-level BOM'!C$3:C$464,Table1[[#This Row],[Part Number]],'Multi-level BOM'!F$3:F$464)</f>
        <v>0</v>
      </c>
      <c r="K202" s="11">
        <f>Table1[[#This Row],[extended quantity]]*(Table1[[#This Row],[Cost ]]+Table1[[#This Row],[shipping]]+Table1[[#This Row],[Tax]])</f>
        <v>0</v>
      </c>
      <c r="L202" s="11"/>
      <c r="M202" s="42"/>
      <c r="N202" s="53" t="e">
        <f>CEILING((Table1[[#This Row],[extended quantity]]-Table1[[#This Row],[quantity on-hand]])/Table1[[#This Row],[Minimum order quantity]],1)*Table1[[#This Row],[Minimum order quantity]]</f>
        <v>#DIV/0!</v>
      </c>
      <c r="O202" s="53" t="e">
        <f>Table1[[#This Row],[Order quantity]]+Table1[[#This Row],[quantity on-hand]]-Table1[[#This Row],[extended quantity]]</f>
        <v>#DIV/0!</v>
      </c>
      <c r="P202" s="11">
        <f>IFERROR(Table1[[#This Row],[Order quantity]]*(Table1[[#This Row],[Cost ]]+Table1[[#This Row],[shipping]]+Table1[[#This Row],[Tax]]),0)</f>
        <v>0</v>
      </c>
      <c r="Q202" s="38">
        <f>IFERROR(Table1[[#This Row],[leftover material]]*(Table1[[#This Row],[Cost ]]+Table1[[#This Row],[shipping]]+Table1[[#This Row],[Tax]]),0)</f>
        <v>0</v>
      </c>
      <c r="R202" s="38"/>
    </row>
    <row r="203" spans="1:18" x14ac:dyDescent="0.25">
      <c r="A203" s="1" t="s">
        <v>206</v>
      </c>
      <c r="B203" s="4"/>
      <c r="F203" s="3">
        <f>9%*Table1[[#This Row],[Cost ]]</f>
        <v>0</v>
      </c>
      <c r="J203" s="11">
        <f>SUMIF('Multi-level BOM'!C$3:C$464,Table1[[#This Row],[Part Number]],'Multi-level BOM'!F$3:F$464)</f>
        <v>0</v>
      </c>
      <c r="K203" s="11">
        <f>Table1[[#This Row],[extended quantity]]*(Table1[[#This Row],[Cost ]]+Table1[[#This Row],[shipping]]+Table1[[#This Row],[Tax]])</f>
        <v>0</v>
      </c>
      <c r="L203" s="11"/>
      <c r="M203" s="42"/>
      <c r="N203" s="53" t="e">
        <f>CEILING((Table1[[#This Row],[extended quantity]]-Table1[[#This Row],[quantity on-hand]])/Table1[[#This Row],[Minimum order quantity]],1)*Table1[[#This Row],[Minimum order quantity]]</f>
        <v>#DIV/0!</v>
      </c>
      <c r="O203" s="53" t="e">
        <f>Table1[[#This Row],[Order quantity]]+Table1[[#This Row],[quantity on-hand]]-Table1[[#This Row],[extended quantity]]</f>
        <v>#DIV/0!</v>
      </c>
      <c r="P203" s="11">
        <f>IFERROR(Table1[[#This Row],[Order quantity]]*(Table1[[#This Row],[Cost ]]+Table1[[#This Row],[shipping]]+Table1[[#This Row],[Tax]]),0)</f>
        <v>0</v>
      </c>
      <c r="Q203" s="38">
        <f>IFERROR(Table1[[#This Row],[leftover material]]*(Table1[[#This Row],[Cost ]]+Table1[[#This Row],[shipping]]+Table1[[#This Row],[Tax]]),0)</f>
        <v>0</v>
      </c>
      <c r="R203" s="38"/>
    </row>
    <row r="204" spans="1:18" x14ac:dyDescent="0.25">
      <c r="A204" s="1" t="s">
        <v>207</v>
      </c>
      <c r="B204" s="4"/>
      <c r="F204" s="3">
        <f>9%*Table1[[#This Row],[Cost ]]</f>
        <v>0</v>
      </c>
      <c r="J204" s="11">
        <f>SUMIF('Multi-level BOM'!C$3:C$464,Table1[[#This Row],[Part Number]],'Multi-level BOM'!F$3:F$464)</f>
        <v>0</v>
      </c>
      <c r="K204" s="11">
        <f>Table1[[#This Row],[extended quantity]]*(Table1[[#This Row],[Cost ]]+Table1[[#This Row],[shipping]]+Table1[[#This Row],[Tax]])</f>
        <v>0</v>
      </c>
      <c r="L204" s="11"/>
      <c r="M204" s="42"/>
      <c r="N204" s="53" t="e">
        <f>CEILING((Table1[[#This Row],[extended quantity]]-Table1[[#This Row],[quantity on-hand]])/Table1[[#This Row],[Minimum order quantity]],1)*Table1[[#This Row],[Minimum order quantity]]</f>
        <v>#DIV/0!</v>
      </c>
      <c r="O204" s="53" t="e">
        <f>Table1[[#This Row],[Order quantity]]+Table1[[#This Row],[quantity on-hand]]-Table1[[#This Row],[extended quantity]]</f>
        <v>#DIV/0!</v>
      </c>
      <c r="P204" s="11">
        <f>IFERROR(Table1[[#This Row],[Order quantity]]*(Table1[[#This Row],[Cost ]]+Table1[[#This Row],[shipping]]+Table1[[#This Row],[Tax]]),0)</f>
        <v>0</v>
      </c>
      <c r="Q204" s="38">
        <f>IFERROR(Table1[[#This Row],[leftover material]]*(Table1[[#This Row],[Cost ]]+Table1[[#This Row],[shipping]]+Table1[[#This Row],[Tax]]),0)</f>
        <v>0</v>
      </c>
      <c r="R204" s="38"/>
    </row>
    <row r="205" spans="1:18" x14ac:dyDescent="0.25">
      <c r="A205" s="1" t="s">
        <v>208</v>
      </c>
      <c r="B205" s="4"/>
      <c r="F205" s="3">
        <f>9%*Table1[[#This Row],[Cost ]]</f>
        <v>0</v>
      </c>
      <c r="J205" s="11">
        <f>SUMIF('Multi-level BOM'!C$3:C$464,Table1[[#This Row],[Part Number]],'Multi-level BOM'!F$3:F$464)</f>
        <v>0</v>
      </c>
      <c r="K205" s="11">
        <f>Table1[[#This Row],[extended quantity]]*(Table1[[#This Row],[Cost ]]+Table1[[#This Row],[shipping]]+Table1[[#This Row],[Tax]])</f>
        <v>0</v>
      </c>
      <c r="L205" s="11"/>
      <c r="M205" s="42"/>
      <c r="N205" s="53" t="e">
        <f>CEILING((Table1[[#This Row],[extended quantity]]-Table1[[#This Row],[quantity on-hand]])/Table1[[#This Row],[Minimum order quantity]],1)*Table1[[#This Row],[Minimum order quantity]]</f>
        <v>#DIV/0!</v>
      </c>
      <c r="O205" s="53" t="e">
        <f>Table1[[#This Row],[Order quantity]]+Table1[[#This Row],[quantity on-hand]]-Table1[[#This Row],[extended quantity]]</f>
        <v>#DIV/0!</v>
      </c>
      <c r="P205" s="11">
        <f>IFERROR(Table1[[#This Row],[Order quantity]]*(Table1[[#This Row],[Cost ]]+Table1[[#This Row],[shipping]]+Table1[[#This Row],[Tax]]),0)</f>
        <v>0</v>
      </c>
      <c r="Q205" s="38">
        <f>IFERROR(Table1[[#This Row],[leftover material]]*(Table1[[#This Row],[Cost ]]+Table1[[#This Row],[shipping]]+Table1[[#This Row],[Tax]]),0)</f>
        <v>0</v>
      </c>
      <c r="R205" s="38"/>
    </row>
    <row r="206" spans="1:18" x14ac:dyDescent="0.25">
      <c r="A206" s="1" t="s">
        <v>209</v>
      </c>
      <c r="B206" s="4"/>
      <c r="F206" s="3">
        <f>9%*Table1[[#This Row],[Cost ]]</f>
        <v>0</v>
      </c>
      <c r="J206" s="11">
        <f>SUMIF('Multi-level BOM'!C$3:C$464,Table1[[#This Row],[Part Number]],'Multi-level BOM'!F$3:F$464)</f>
        <v>0</v>
      </c>
      <c r="K206" s="11">
        <f>Table1[[#This Row],[extended quantity]]*(Table1[[#This Row],[Cost ]]+Table1[[#This Row],[shipping]]+Table1[[#This Row],[Tax]])</f>
        <v>0</v>
      </c>
      <c r="L206" s="11"/>
      <c r="M206" s="42"/>
      <c r="N206" s="53" t="e">
        <f>CEILING((Table1[[#This Row],[extended quantity]]-Table1[[#This Row],[quantity on-hand]])/Table1[[#This Row],[Minimum order quantity]],1)*Table1[[#This Row],[Minimum order quantity]]</f>
        <v>#DIV/0!</v>
      </c>
      <c r="O206" s="53" t="e">
        <f>Table1[[#This Row],[Order quantity]]+Table1[[#This Row],[quantity on-hand]]-Table1[[#This Row],[extended quantity]]</f>
        <v>#DIV/0!</v>
      </c>
      <c r="P206" s="11">
        <f>IFERROR(Table1[[#This Row],[Order quantity]]*(Table1[[#This Row],[Cost ]]+Table1[[#This Row],[shipping]]+Table1[[#This Row],[Tax]]),0)</f>
        <v>0</v>
      </c>
      <c r="Q206" s="38">
        <f>IFERROR(Table1[[#This Row],[leftover material]]*(Table1[[#This Row],[Cost ]]+Table1[[#This Row],[shipping]]+Table1[[#This Row],[Tax]]),0)</f>
        <v>0</v>
      </c>
      <c r="R206" s="38"/>
    </row>
    <row r="207" spans="1:18" x14ac:dyDescent="0.25">
      <c r="A207" s="1" t="s">
        <v>210</v>
      </c>
      <c r="B207" s="4"/>
      <c r="F207" s="3">
        <f>9%*Table1[[#This Row],[Cost ]]</f>
        <v>0</v>
      </c>
      <c r="J207" s="11">
        <f>SUMIF('Multi-level BOM'!C$3:C$464,Table1[[#This Row],[Part Number]],'Multi-level BOM'!F$3:F$464)</f>
        <v>0</v>
      </c>
      <c r="K207" s="11">
        <f>Table1[[#This Row],[extended quantity]]*(Table1[[#This Row],[Cost ]]+Table1[[#This Row],[shipping]]+Table1[[#This Row],[Tax]])</f>
        <v>0</v>
      </c>
      <c r="L207" s="11"/>
      <c r="M207" s="42"/>
      <c r="N207" s="53" t="e">
        <f>CEILING((Table1[[#This Row],[extended quantity]]-Table1[[#This Row],[quantity on-hand]])/Table1[[#This Row],[Minimum order quantity]],1)*Table1[[#This Row],[Minimum order quantity]]</f>
        <v>#DIV/0!</v>
      </c>
      <c r="O207" s="53" t="e">
        <f>Table1[[#This Row],[Order quantity]]+Table1[[#This Row],[quantity on-hand]]-Table1[[#This Row],[extended quantity]]</f>
        <v>#DIV/0!</v>
      </c>
      <c r="P207" s="11">
        <f>IFERROR(Table1[[#This Row],[Order quantity]]*(Table1[[#This Row],[Cost ]]+Table1[[#This Row],[shipping]]+Table1[[#This Row],[Tax]]),0)</f>
        <v>0</v>
      </c>
      <c r="Q207" s="38">
        <f>IFERROR(Table1[[#This Row],[leftover material]]*(Table1[[#This Row],[Cost ]]+Table1[[#This Row],[shipping]]+Table1[[#This Row],[Tax]]),0)</f>
        <v>0</v>
      </c>
      <c r="R207" s="38"/>
    </row>
    <row r="208" spans="1:18" x14ac:dyDescent="0.25">
      <c r="A208" s="1" t="s">
        <v>211</v>
      </c>
      <c r="B208" s="4"/>
      <c r="F208" s="3">
        <f>9%*Table1[[#This Row],[Cost ]]</f>
        <v>0</v>
      </c>
      <c r="J208" s="11">
        <f>SUMIF('Multi-level BOM'!C$3:C$464,Table1[[#This Row],[Part Number]],'Multi-level BOM'!F$3:F$464)</f>
        <v>0</v>
      </c>
      <c r="K208" s="11">
        <f>Table1[[#This Row],[extended quantity]]*(Table1[[#This Row],[Cost ]]+Table1[[#This Row],[shipping]]+Table1[[#This Row],[Tax]])</f>
        <v>0</v>
      </c>
      <c r="L208" s="11"/>
      <c r="M208" s="42"/>
      <c r="N208" s="53" t="e">
        <f>CEILING((Table1[[#This Row],[extended quantity]]-Table1[[#This Row],[quantity on-hand]])/Table1[[#This Row],[Minimum order quantity]],1)*Table1[[#This Row],[Minimum order quantity]]</f>
        <v>#DIV/0!</v>
      </c>
      <c r="O208" s="53" t="e">
        <f>Table1[[#This Row],[Order quantity]]+Table1[[#This Row],[quantity on-hand]]-Table1[[#This Row],[extended quantity]]</f>
        <v>#DIV/0!</v>
      </c>
      <c r="P208" s="11">
        <f>IFERROR(Table1[[#This Row],[Order quantity]]*(Table1[[#This Row],[Cost ]]+Table1[[#This Row],[shipping]]+Table1[[#This Row],[Tax]]),0)</f>
        <v>0</v>
      </c>
      <c r="Q208" s="38">
        <f>IFERROR(Table1[[#This Row],[leftover material]]*(Table1[[#This Row],[Cost ]]+Table1[[#This Row],[shipping]]+Table1[[#This Row],[Tax]]),0)</f>
        <v>0</v>
      </c>
      <c r="R208" s="38"/>
    </row>
    <row r="209" spans="1:18" x14ac:dyDescent="0.25">
      <c r="A209" s="1" t="s">
        <v>212</v>
      </c>
      <c r="B209" s="4"/>
      <c r="F209" s="3">
        <f>9%*Table1[[#This Row],[Cost ]]</f>
        <v>0</v>
      </c>
      <c r="J209" s="11">
        <f>SUMIF('Multi-level BOM'!C$3:C$464,Table1[[#This Row],[Part Number]],'Multi-level BOM'!F$3:F$464)</f>
        <v>0</v>
      </c>
      <c r="K209" s="11">
        <f>Table1[[#This Row],[extended quantity]]*(Table1[[#This Row],[Cost ]]+Table1[[#This Row],[shipping]]+Table1[[#This Row],[Tax]])</f>
        <v>0</v>
      </c>
      <c r="L209" s="11"/>
      <c r="M209" s="42"/>
      <c r="N209" s="53" t="e">
        <f>CEILING((Table1[[#This Row],[extended quantity]]-Table1[[#This Row],[quantity on-hand]])/Table1[[#This Row],[Minimum order quantity]],1)*Table1[[#This Row],[Minimum order quantity]]</f>
        <v>#DIV/0!</v>
      </c>
      <c r="O209" s="53" t="e">
        <f>Table1[[#This Row],[Order quantity]]+Table1[[#This Row],[quantity on-hand]]-Table1[[#This Row],[extended quantity]]</f>
        <v>#DIV/0!</v>
      </c>
      <c r="P209" s="11">
        <f>IFERROR(Table1[[#This Row],[Order quantity]]*(Table1[[#This Row],[Cost ]]+Table1[[#This Row],[shipping]]+Table1[[#This Row],[Tax]]),0)</f>
        <v>0</v>
      </c>
      <c r="Q209" s="38">
        <f>IFERROR(Table1[[#This Row],[leftover material]]*(Table1[[#This Row],[Cost ]]+Table1[[#This Row],[shipping]]+Table1[[#This Row],[Tax]]),0)</f>
        <v>0</v>
      </c>
      <c r="R209" s="38"/>
    </row>
    <row r="210" spans="1:18" x14ac:dyDescent="0.25">
      <c r="A210" s="1" t="s">
        <v>213</v>
      </c>
      <c r="B210" s="4"/>
      <c r="F210" s="3">
        <f>9%*Table1[[#This Row],[Cost ]]</f>
        <v>0</v>
      </c>
      <c r="J210" s="11">
        <f>SUMIF('Multi-level BOM'!C$3:C$464,Table1[[#This Row],[Part Number]],'Multi-level BOM'!F$3:F$464)</f>
        <v>0</v>
      </c>
      <c r="K210" s="11">
        <f>Table1[[#This Row],[extended quantity]]*(Table1[[#This Row],[Cost ]]+Table1[[#This Row],[shipping]]+Table1[[#This Row],[Tax]])</f>
        <v>0</v>
      </c>
      <c r="L210" s="11"/>
      <c r="M210" s="42"/>
      <c r="N210" s="53" t="e">
        <f>CEILING((Table1[[#This Row],[extended quantity]]-Table1[[#This Row],[quantity on-hand]])/Table1[[#This Row],[Minimum order quantity]],1)*Table1[[#This Row],[Minimum order quantity]]</f>
        <v>#DIV/0!</v>
      </c>
      <c r="O210" s="53" t="e">
        <f>Table1[[#This Row],[Order quantity]]+Table1[[#This Row],[quantity on-hand]]-Table1[[#This Row],[extended quantity]]</f>
        <v>#DIV/0!</v>
      </c>
      <c r="P210" s="11">
        <f>IFERROR(Table1[[#This Row],[Order quantity]]*(Table1[[#This Row],[Cost ]]+Table1[[#This Row],[shipping]]+Table1[[#This Row],[Tax]]),0)</f>
        <v>0</v>
      </c>
      <c r="Q210" s="38">
        <f>IFERROR(Table1[[#This Row],[leftover material]]*(Table1[[#This Row],[Cost ]]+Table1[[#This Row],[shipping]]+Table1[[#This Row],[Tax]]),0)</f>
        <v>0</v>
      </c>
      <c r="R210" s="38"/>
    </row>
    <row r="211" spans="1:18" x14ac:dyDescent="0.25">
      <c r="A211" s="1" t="s">
        <v>214</v>
      </c>
      <c r="B211" s="4"/>
      <c r="F211" s="3">
        <f>9%*Table1[[#This Row],[Cost ]]</f>
        <v>0</v>
      </c>
      <c r="J211" s="11">
        <f>SUMIF('Multi-level BOM'!C$3:C$464,Table1[[#This Row],[Part Number]],'Multi-level BOM'!F$3:F$464)</f>
        <v>0</v>
      </c>
      <c r="K211" s="11">
        <f>Table1[[#This Row],[extended quantity]]*(Table1[[#This Row],[Cost ]]+Table1[[#This Row],[shipping]]+Table1[[#This Row],[Tax]])</f>
        <v>0</v>
      </c>
      <c r="L211" s="11"/>
      <c r="M211" s="42"/>
      <c r="N211" s="53" t="e">
        <f>CEILING((Table1[[#This Row],[extended quantity]]-Table1[[#This Row],[quantity on-hand]])/Table1[[#This Row],[Minimum order quantity]],1)*Table1[[#This Row],[Minimum order quantity]]</f>
        <v>#DIV/0!</v>
      </c>
      <c r="O211" s="53" t="e">
        <f>Table1[[#This Row],[Order quantity]]+Table1[[#This Row],[quantity on-hand]]-Table1[[#This Row],[extended quantity]]</f>
        <v>#DIV/0!</v>
      </c>
      <c r="P211" s="11">
        <f>IFERROR(Table1[[#This Row],[Order quantity]]*(Table1[[#This Row],[Cost ]]+Table1[[#This Row],[shipping]]+Table1[[#This Row],[Tax]]),0)</f>
        <v>0</v>
      </c>
      <c r="Q211" s="38">
        <f>IFERROR(Table1[[#This Row],[leftover material]]*(Table1[[#This Row],[Cost ]]+Table1[[#This Row],[shipping]]+Table1[[#This Row],[Tax]]),0)</f>
        <v>0</v>
      </c>
      <c r="R211" s="38"/>
    </row>
    <row r="212" spans="1:18" x14ac:dyDescent="0.25">
      <c r="A212" s="1" t="s">
        <v>215</v>
      </c>
      <c r="B212" s="4"/>
      <c r="F212" s="3">
        <f>9%*Table1[[#This Row],[Cost ]]</f>
        <v>0</v>
      </c>
      <c r="J212" s="11">
        <f>SUMIF('Multi-level BOM'!C$3:C$464,Table1[[#This Row],[Part Number]],'Multi-level BOM'!F$3:F$464)</f>
        <v>0</v>
      </c>
      <c r="K212" s="11">
        <f>Table1[[#This Row],[extended quantity]]*(Table1[[#This Row],[Cost ]]+Table1[[#This Row],[shipping]]+Table1[[#This Row],[Tax]])</f>
        <v>0</v>
      </c>
      <c r="L212" s="11"/>
      <c r="M212" s="42"/>
      <c r="N212" s="53" t="e">
        <f>CEILING((Table1[[#This Row],[extended quantity]]-Table1[[#This Row],[quantity on-hand]])/Table1[[#This Row],[Minimum order quantity]],1)*Table1[[#This Row],[Minimum order quantity]]</f>
        <v>#DIV/0!</v>
      </c>
      <c r="O212" s="53" t="e">
        <f>Table1[[#This Row],[Order quantity]]+Table1[[#This Row],[quantity on-hand]]-Table1[[#This Row],[extended quantity]]</f>
        <v>#DIV/0!</v>
      </c>
      <c r="P212" s="11">
        <f>IFERROR(Table1[[#This Row],[Order quantity]]*(Table1[[#This Row],[Cost ]]+Table1[[#This Row],[shipping]]+Table1[[#This Row],[Tax]]),0)</f>
        <v>0</v>
      </c>
      <c r="Q212" s="38">
        <f>IFERROR(Table1[[#This Row],[leftover material]]*(Table1[[#This Row],[Cost ]]+Table1[[#This Row],[shipping]]+Table1[[#This Row],[Tax]]),0)</f>
        <v>0</v>
      </c>
      <c r="R212" s="38"/>
    </row>
    <row r="213" spans="1:18" x14ac:dyDescent="0.25">
      <c r="A213" s="1" t="s">
        <v>216</v>
      </c>
      <c r="B213" s="4"/>
      <c r="F213" s="3">
        <f>9%*Table1[[#This Row],[Cost ]]</f>
        <v>0</v>
      </c>
      <c r="J213" s="11">
        <f>SUMIF('Multi-level BOM'!C$3:C$464,Table1[[#This Row],[Part Number]],'Multi-level BOM'!F$3:F$464)</f>
        <v>0</v>
      </c>
      <c r="K213" s="11">
        <f>Table1[[#This Row],[extended quantity]]*(Table1[[#This Row],[Cost ]]+Table1[[#This Row],[shipping]]+Table1[[#This Row],[Tax]])</f>
        <v>0</v>
      </c>
      <c r="L213" s="11"/>
      <c r="M213" s="42"/>
      <c r="N213" s="53" t="e">
        <f>CEILING((Table1[[#This Row],[extended quantity]]-Table1[[#This Row],[quantity on-hand]])/Table1[[#This Row],[Minimum order quantity]],1)*Table1[[#This Row],[Minimum order quantity]]</f>
        <v>#DIV/0!</v>
      </c>
      <c r="O213" s="53" t="e">
        <f>Table1[[#This Row],[Order quantity]]+Table1[[#This Row],[quantity on-hand]]-Table1[[#This Row],[extended quantity]]</f>
        <v>#DIV/0!</v>
      </c>
      <c r="P213" s="11">
        <f>IFERROR(Table1[[#This Row],[Order quantity]]*(Table1[[#This Row],[Cost ]]+Table1[[#This Row],[shipping]]+Table1[[#This Row],[Tax]]),0)</f>
        <v>0</v>
      </c>
      <c r="Q213" s="38">
        <f>IFERROR(Table1[[#This Row],[leftover material]]*(Table1[[#This Row],[Cost ]]+Table1[[#This Row],[shipping]]+Table1[[#This Row],[Tax]]),0)</f>
        <v>0</v>
      </c>
      <c r="R213" s="38"/>
    </row>
    <row r="214" spans="1:18" x14ac:dyDescent="0.25">
      <c r="A214" s="1" t="s">
        <v>217</v>
      </c>
      <c r="B214" s="4"/>
      <c r="F214" s="3">
        <f>9%*Table1[[#This Row],[Cost ]]</f>
        <v>0</v>
      </c>
      <c r="J214" s="11">
        <f>SUMIF('Multi-level BOM'!C$3:C$464,Table1[[#This Row],[Part Number]],'Multi-level BOM'!F$3:F$464)</f>
        <v>0</v>
      </c>
      <c r="K214" s="11">
        <f>Table1[[#This Row],[extended quantity]]*(Table1[[#This Row],[Cost ]]+Table1[[#This Row],[shipping]]+Table1[[#This Row],[Tax]])</f>
        <v>0</v>
      </c>
      <c r="L214" s="11"/>
      <c r="M214" s="42"/>
      <c r="N214" s="53" t="e">
        <f>CEILING((Table1[[#This Row],[extended quantity]]-Table1[[#This Row],[quantity on-hand]])/Table1[[#This Row],[Minimum order quantity]],1)*Table1[[#This Row],[Minimum order quantity]]</f>
        <v>#DIV/0!</v>
      </c>
      <c r="O214" s="53" t="e">
        <f>Table1[[#This Row],[Order quantity]]+Table1[[#This Row],[quantity on-hand]]-Table1[[#This Row],[extended quantity]]</f>
        <v>#DIV/0!</v>
      </c>
      <c r="P214" s="11">
        <f>IFERROR(Table1[[#This Row],[Order quantity]]*(Table1[[#This Row],[Cost ]]+Table1[[#This Row],[shipping]]+Table1[[#This Row],[Tax]]),0)</f>
        <v>0</v>
      </c>
      <c r="Q214" s="38">
        <f>IFERROR(Table1[[#This Row],[leftover material]]*(Table1[[#This Row],[Cost ]]+Table1[[#This Row],[shipping]]+Table1[[#This Row],[Tax]]),0)</f>
        <v>0</v>
      </c>
      <c r="R214" s="38"/>
    </row>
    <row r="215" spans="1:18" x14ac:dyDescent="0.25">
      <c r="A215" s="1" t="s">
        <v>218</v>
      </c>
      <c r="B215" s="4"/>
      <c r="F215" s="3">
        <f>9%*Table1[[#This Row],[Cost ]]</f>
        <v>0</v>
      </c>
      <c r="J215" s="11">
        <f>SUMIF('Multi-level BOM'!C$3:C$464,Table1[[#This Row],[Part Number]],'Multi-level BOM'!F$3:F$464)</f>
        <v>0</v>
      </c>
      <c r="K215" s="11">
        <f>Table1[[#This Row],[extended quantity]]*(Table1[[#This Row],[Cost ]]+Table1[[#This Row],[shipping]]+Table1[[#This Row],[Tax]])</f>
        <v>0</v>
      </c>
      <c r="L215" s="11"/>
      <c r="M215" s="42"/>
      <c r="N215" s="53" t="e">
        <f>CEILING((Table1[[#This Row],[extended quantity]]-Table1[[#This Row],[quantity on-hand]])/Table1[[#This Row],[Minimum order quantity]],1)*Table1[[#This Row],[Minimum order quantity]]</f>
        <v>#DIV/0!</v>
      </c>
      <c r="O215" s="53" t="e">
        <f>Table1[[#This Row],[Order quantity]]+Table1[[#This Row],[quantity on-hand]]-Table1[[#This Row],[extended quantity]]</f>
        <v>#DIV/0!</v>
      </c>
      <c r="P215" s="11">
        <f>IFERROR(Table1[[#This Row],[Order quantity]]*(Table1[[#This Row],[Cost ]]+Table1[[#This Row],[shipping]]+Table1[[#This Row],[Tax]]),0)</f>
        <v>0</v>
      </c>
      <c r="Q215" s="38">
        <f>IFERROR(Table1[[#This Row],[leftover material]]*(Table1[[#This Row],[Cost ]]+Table1[[#This Row],[shipping]]+Table1[[#This Row],[Tax]]),0)</f>
        <v>0</v>
      </c>
      <c r="R215" s="38"/>
    </row>
    <row r="216" spans="1:18" x14ac:dyDescent="0.25">
      <c r="A216" s="1" t="s">
        <v>219</v>
      </c>
      <c r="B216" s="4"/>
      <c r="F216" s="3">
        <f>9%*Table1[[#This Row],[Cost ]]</f>
        <v>0</v>
      </c>
      <c r="J216" s="11">
        <f>SUMIF('Multi-level BOM'!C$3:C$464,Table1[[#This Row],[Part Number]],'Multi-level BOM'!F$3:F$464)</f>
        <v>0</v>
      </c>
      <c r="K216" s="11">
        <f>Table1[[#This Row],[extended quantity]]*(Table1[[#This Row],[Cost ]]+Table1[[#This Row],[shipping]]+Table1[[#This Row],[Tax]])</f>
        <v>0</v>
      </c>
      <c r="L216" s="11"/>
      <c r="M216" s="42"/>
      <c r="N216" s="53" t="e">
        <f>CEILING((Table1[[#This Row],[extended quantity]]-Table1[[#This Row],[quantity on-hand]])/Table1[[#This Row],[Minimum order quantity]],1)*Table1[[#This Row],[Minimum order quantity]]</f>
        <v>#DIV/0!</v>
      </c>
      <c r="O216" s="53" t="e">
        <f>Table1[[#This Row],[Order quantity]]+Table1[[#This Row],[quantity on-hand]]-Table1[[#This Row],[extended quantity]]</f>
        <v>#DIV/0!</v>
      </c>
      <c r="P216" s="11">
        <f>IFERROR(Table1[[#This Row],[Order quantity]]*(Table1[[#This Row],[Cost ]]+Table1[[#This Row],[shipping]]+Table1[[#This Row],[Tax]]),0)</f>
        <v>0</v>
      </c>
      <c r="Q216" s="38">
        <f>IFERROR(Table1[[#This Row],[leftover material]]*(Table1[[#This Row],[Cost ]]+Table1[[#This Row],[shipping]]+Table1[[#This Row],[Tax]]),0)</f>
        <v>0</v>
      </c>
      <c r="R216" s="38"/>
    </row>
    <row r="217" spans="1:18" x14ac:dyDescent="0.25">
      <c r="A217" s="1" t="s">
        <v>220</v>
      </c>
      <c r="B217" s="4"/>
      <c r="F217" s="3">
        <f>9%*Table1[[#This Row],[Cost ]]</f>
        <v>0</v>
      </c>
      <c r="J217" s="11">
        <f>SUMIF('Multi-level BOM'!C$3:C$464,Table1[[#This Row],[Part Number]],'Multi-level BOM'!F$3:F$464)</f>
        <v>0</v>
      </c>
      <c r="K217" s="11">
        <f>Table1[[#This Row],[extended quantity]]*(Table1[[#This Row],[Cost ]]+Table1[[#This Row],[shipping]]+Table1[[#This Row],[Tax]])</f>
        <v>0</v>
      </c>
      <c r="L217" s="11"/>
      <c r="M217" s="42"/>
      <c r="N217" s="53" t="e">
        <f>CEILING((Table1[[#This Row],[extended quantity]]-Table1[[#This Row],[quantity on-hand]])/Table1[[#This Row],[Minimum order quantity]],1)*Table1[[#This Row],[Minimum order quantity]]</f>
        <v>#DIV/0!</v>
      </c>
      <c r="O217" s="53" t="e">
        <f>Table1[[#This Row],[Order quantity]]+Table1[[#This Row],[quantity on-hand]]-Table1[[#This Row],[extended quantity]]</f>
        <v>#DIV/0!</v>
      </c>
      <c r="P217" s="11">
        <f>IFERROR(Table1[[#This Row],[Order quantity]]*(Table1[[#This Row],[Cost ]]+Table1[[#This Row],[shipping]]+Table1[[#This Row],[Tax]]),0)</f>
        <v>0</v>
      </c>
      <c r="Q217" s="38">
        <f>IFERROR(Table1[[#This Row],[leftover material]]*(Table1[[#This Row],[Cost ]]+Table1[[#This Row],[shipping]]+Table1[[#This Row],[Tax]]),0)</f>
        <v>0</v>
      </c>
      <c r="R217" s="38"/>
    </row>
    <row r="218" spans="1:18" x14ac:dyDescent="0.25">
      <c r="A218" s="1" t="s">
        <v>221</v>
      </c>
      <c r="B218" s="4"/>
      <c r="F218" s="3">
        <f>9%*Table1[[#This Row],[Cost ]]</f>
        <v>0</v>
      </c>
      <c r="J218" s="11">
        <f>SUMIF('Multi-level BOM'!C$3:C$464,Table1[[#This Row],[Part Number]],'Multi-level BOM'!F$3:F$464)</f>
        <v>0</v>
      </c>
      <c r="K218" s="11">
        <f>Table1[[#This Row],[extended quantity]]*(Table1[[#This Row],[Cost ]]+Table1[[#This Row],[shipping]]+Table1[[#This Row],[Tax]])</f>
        <v>0</v>
      </c>
      <c r="L218" s="11"/>
      <c r="M218" s="42"/>
      <c r="N218" s="53" t="e">
        <f>CEILING((Table1[[#This Row],[extended quantity]]-Table1[[#This Row],[quantity on-hand]])/Table1[[#This Row],[Minimum order quantity]],1)*Table1[[#This Row],[Minimum order quantity]]</f>
        <v>#DIV/0!</v>
      </c>
      <c r="O218" s="53" t="e">
        <f>Table1[[#This Row],[Order quantity]]+Table1[[#This Row],[quantity on-hand]]-Table1[[#This Row],[extended quantity]]</f>
        <v>#DIV/0!</v>
      </c>
      <c r="P218" s="11">
        <f>IFERROR(Table1[[#This Row],[Order quantity]]*(Table1[[#This Row],[Cost ]]+Table1[[#This Row],[shipping]]+Table1[[#This Row],[Tax]]),0)</f>
        <v>0</v>
      </c>
      <c r="Q218" s="38">
        <f>IFERROR(Table1[[#This Row],[leftover material]]*(Table1[[#This Row],[Cost ]]+Table1[[#This Row],[shipping]]+Table1[[#This Row],[Tax]]),0)</f>
        <v>0</v>
      </c>
      <c r="R218" s="38"/>
    </row>
    <row r="219" spans="1:18" x14ac:dyDescent="0.25">
      <c r="A219" s="1" t="s">
        <v>222</v>
      </c>
      <c r="B219" s="4"/>
      <c r="F219" s="3">
        <f>9%*Table1[[#This Row],[Cost ]]</f>
        <v>0</v>
      </c>
      <c r="J219" s="11">
        <f>SUMIF('Multi-level BOM'!C$3:C$464,Table1[[#This Row],[Part Number]],'Multi-level BOM'!F$3:F$464)</f>
        <v>0</v>
      </c>
      <c r="K219" s="11">
        <f>Table1[[#This Row],[extended quantity]]*(Table1[[#This Row],[Cost ]]+Table1[[#This Row],[shipping]]+Table1[[#This Row],[Tax]])</f>
        <v>0</v>
      </c>
      <c r="L219" s="11"/>
      <c r="M219" s="42"/>
      <c r="N219" s="53" t="e">
        <f>CEILING((Table1[[#This Row],[extended quantity]]-Table1[[#This Row],[quantity on-hand]])/Table1[[#This Row],[Minimum order quantity]],1)*Table1[[#This Row],[Minimum order quantity]]</f>
        <v>#DIV/0!</v>
      </c>
      <c r="O219" s="53" t="e">
        <f>Table1[[#This Row],[Order quantity]]+Table1[[#This Row],[quantity on-hand]]-Table1[[#This Row],[extended quantity]]</f>
        <v>#DIV/0!</v>
      </c>
      <c r="P219" s="11">
        <f>IFERROR(Table1[[#This Row],[Order quantity]]*(Table1[[#This Row],[Cost ]]+Table1[[#This Row],[shipping]]+Table1[[#This Row],[Tax]]),0)</f>
        <v>0</v>
      </c>
      <c r="Q219" s="38">
        <f>IFERROR(Table1[[#This Row],[leftover material]]*(Table1[[#This Row],[Cost ]]+Table1[[#This Row],[shipping]]+Table1[[#This Row],[Tax]]),0)</f>
        <v>0</v>
      </c>
      <c r="R219" s="38"/>
    </row>
    <row r="220" spans="1:18" x14ac:dyDescent="0.25">
      <c r="A220" s="1" t="s">
        <v>223</v>
      </c>
      <c r="B220" s="4"/>
      <c r="F220" s="3">
        <f>9%*Table1[[#This Row],[Cost ]]</f>
        <v>0</v>
      </c>
      <c r="J220" s="11">
        <f>SUMIF('Multi-level BOM'!C$3:C$464,Table1[[#This Row],[Part Number]],'Multi-level BOM'!F$3:F$464)</f>
        <v>0</v>
      </c>
      <c r="K220" s="11">
        <f>Table1[[#This Row],[extended quantity]]*(Table1[[#This Row],[Cost ]]+Table1[[#This Row],[shipping]]+Table1[[#This Row],[Tax]])</f>
        <v>0</v>
      </c>
      <c r="L220" s="11"/>
      <c r="M220" s="42"/>
      <c r="N220" s="53" t="e">
        <f>CEILING((Table1[[#This Row],[extended quantity]]-Table1[[#This Row],[quantity on-hand]])/Table1[[#This Row],[Minimum order quantity]],1)*Table1[[#This Row],[Minimum order quantity]]</f>
        <v>#DIV/0!</v>
      </c>
      <c r="O220" s="53" t="e">
        <f>Table1[[#This Row],[Order quantity]]+Table1[[#This Row],[quantity on-hand]]-Table1[[#This Row],[extended quantity]]</f>
        <v>#DIV/0!</v>
      </c>
      <c r="P220" s="11">
        <f>IFERROR(Table1[[#This Row],[Order quantity]]*(Table1[[#This Row],[Cost ]]+Table1[[#This Row],[shipping]]+Table1[[#This Row],[Tax]]),0)</f>
        <v>0</v>
      </c>
      <c r="Q220" s="38">
        <f>IFERROR(Table1[[#This Row],[leftover material]]*(Table1[[#This Row],[Cost ]]+Table1[[#This Row],[shipping]]+Table1[[#This Row],[Tax]]),0)</f>
        <v>0</v>
      </c>
      <c r="R220" s="38"/>
    </row>
    <row r="221" spans="1:18" x14ac:dyDescent="0.25">
      <c r="A221" s="1" t="s">
        <v>224</v>
      </c>
      <c r="B221" s="4"/>
      <c r="F221" s="3">
        <f>9%*Table1[[#This Row],[Cost ]]</f>
        <v>0</v>
      </c>
      <c r="J221" s="11">
        <f>SUMIF('Multi-level BOM'!C$3:C$464,Table1[[#This Row],[Part Number]],'Multi-level BOM'!F$3:F$464)</f>
        <v>0</v>
      </c>
      <c r="K221" s="11">
        <f>Table1[[#This Row],[extended quantity]]*(Table1[[#This Row],[Cost ]]+Table1[[#This Row],[shipping]]+Table1[[#This Row],[Tax]])</f>
        <v>0</v>
      </c>
      <c r="L221" s="11"/>
      <c r="M221" s="42"/>
      <c r="N221" s="53" t="e">
        <f>CEILING((Table1[[#This Row],[extended quantity]]-Table1[[#This Row],[quantity on-hand]])/Table1[[#This Row],[Minimum order quantity]],1)*Table1[[#This Row],[Minimum order quantity]]</f>
        <v>#DIV/0!</v>
      </c>
      <c r="O221" s="53" t="e">
        <f>Table1[[#This Row],[Order quantity]]+Table1[[#This Row],[quantity on-hand]]-Table1[[#This Row],[extended quantity]]</f>
        <v>#DIV/0!</v>
      </c>
      <c r="P221" s="11">
        <f>IFERROR(Table1[[#This Row],[Order quantity]]*(Table1[[#This Row],[Cost ]]+Table1[[#This Row],[shipping]]+Table1[[#This Row],[Tax]]),0)</f>
        <v>0</v>
      </c>
      <c r="Q221" s="38">
        <f>IFERROR(Table1[[#This Row],[leftover material]]*(Table1[[#This Row],[Cost ]]+Table1[[#This Row],[shipping]]+Table1[[#This Row],[Tax]]),0)</f>
        <v>0</v>
      </c>
      <c r="R221" s="38"/>
    </row>
    <row r="222" spans="1:18" x14ac:dyDescent="0.25">
      <c r="A222" s="1" t="s">
        <v>225</v>
      </c>
      <c r="B222" s="4"/>
      <c r="F222" s="3">
        <f>9%*Table1[[#This Row],[Cost ]]</f>
        <v>0</v>
      </c>
      <c r="J222" s="11">
        <f>SUMIF('Multi-level BOM'!C$3:C$464,Table1[[#This Row],[Part Number]],'Multi-level BOM'!F$3:F$464)</f>
        <v>0</v>
      </c>
      <c r="K222" s="11">
        <f>Table1[[#This Row],[extended quantity]]*(Table1[[#This Row],[Cost ]]+Table1[[#This Row],[shipping]]+Table1[[#This Row],[Tax]])</f>
        <v>0</v>
      </c>
      <c r="L222" s="11"/>
      <c r="M222" s="42"/>
      <c r="N222" s="53" t="e">
        <f>CEILING((Table1[[#This Row],[extended quantity]]-Table1[[#This Row],[quantity on-hand]])/Table1[[#This Row],[Minimum order quantity]],1)*Table1[[#This Row],[Minimum order quantity]]</f>
        <v>#DIV/0!</v>
      </c>
      <c r="O222" s="53" t="e">
        <f>Table1[[#This Row],[Order quantity]]+Table1[[#This Row],[quantity on-hand]]-Table1[[#This Row],[extended quantity]]</f>
        <v>#DIV/0!</v>
      </c>
      <c r="P222" s="11">
        <f>IFERROR(Table1[[#This Row],[Order quantity]]*(Table1[[#This Row],[Cost ]]+Table1[[#This Row],[shipping]]+Table1[[#This Row],[Tax]]),0)</f>
        <v>0</v>
      </c>
      <c r="Q222" s="38">
        <f>IFERROR(Table1[[#This Row],[leftover material]]*(Table1[[#This Row],[Cost ]]+Table1[[#This Row],[shipping]]+Table1[[#This Row],[Tax]]),0)</f>
        <v>0</v>
      </c>
      <c r="R222" s="38"/>
    </row>
    <row r="223" spans="1:18" x14ac:dyDescent="0.25">
      <c r="A223" s="1" t="s">
        <v>226</v>
      </c>
      <c r="B223" s="4"/>
      <c r="F223" s="3">
        <f>9%*Table1[[#This Row],[Cost ]]</f>
        <v>0</v>
      </c>
      <c r="J223" s="11">
        <f>SUMIF('Multi-level BOM'!C$3:C$464,Table1[[#This Row],[Part Number]],'Multi-level BOM'!F$3:F$464)</f>
        <v>0</v>
      </c>
      <c r="K223" s="11">
        <f>Table1[[#This Row],[extended quantity]]*(Table1[[#This Row],[Cost ]]+Table1[[#This Row],[shipping]]+Table1[[#This Row],[Tax]])</f>
        <v>0</v>
      </c>
      <c r="L223" s="11"/>
      <c r="M223" s="42"/>
      <c r="N223" s="53" t="e">
        <f>CEILING((Table1[[#This Row],[extended quantity]]-Table1[[#This Row],[quantity on-hand]])/Table1[[#This Row],[Minimum order quantity]],1)*Table1[[#This Row],[Minimum order quantity]]</f>
        <v>#DIV/0!</v>
      </c>
      <c r="O223" s="53" t="e">
        <f>Table1[[#This Row],[Order quantity]]+Table1[[#This Row],[quantity on-hand]]-Table1[[#This Row],[extended quantity]]</f>
        <v>#DIV/0!</v>
      </c>
      <c r="P223" s="11">
        <f>IFERROR(Table1[[#This Row],[Order quantity]]*(Table1[[#This Row],[Cost ]]+Table1[[#This Row],[shipping]]+Table1[[#This Row],[Tax]]),0)</f>
        <v>0</v>
      </c>
      <c r="Q223" s="38">
        <f>IFERROR(Table1[[#This Row],[leftover material]]*(Table1[[#This Row],[Cost ]]+Table1[[#This Row],[shipping]]+Table1[[#This Row],[Tax]]),0)</f>
        <v>0</v>
      </c>
      <c r="R223" s="38"/>
    </row>
    <row r="224" spans="1:18" x14ac:dyDescent="0.25">
      <c r="A224" s="1" t="s">
        <v>227</v>
      </c>
      <c r="B224" s="4"/>
      <c r="F224" s="3">
        <f>9%*Table1[[#This Row],[Cost ]]</f>
        <v>0</v>
      </c>
      <c r="J224" s="11">
        <f>SUMIF('Multi-level BOM'!C$3:C$464,Table1[[#This Row],[Part Number]],'Multi-level BOM'!F$3:F$464)</f>
        <v>0</v>
      </c>
      <c r="K224" s="11">
        <f>Table1[[#This Row],[extended quantity]]*(Table1[[#This Row],[Cost ]]+Table1[[#This Row],[shipping]]+Table1[[#This Row],[Tax]])</f>
        <v>0</v>
      </c>
      <c r="L224" s="11"/>
      <c r="M224" s="42"/>
      <c r="N224" s="53" t="e">
        <f>CEILING((Table1[[#This Row],[extended quantity]]-Table1[[#This Row],[quantity on-hand]])/Table1[[#This Row],[Minimum order quantity]],1)*Table1[[#This Row],[Minimum order quantity]]</f>
        <v>#DIV/0!</v>
      </c>
      <c r="O224" s="53" t="e">
        <f>Table1[[#This Row],[Order quantity]]+Table1[[#This Row],[quantity on-hand]]-Table1[[#This Row],[extended quantity]]</f>
        <v>#DIV/0!</v>
      </c>
      <c r="P224" s="11">
        <f>IFERROR(Table1[[#This Row],[Order quantity]]*(Table1[[#This Row],[Cost ]]+Table1[[#This Row],[shipping]]+Table1[[#This Row],[Tax]]),0)</f>
        <v>0</v>
      </c>
      <c r="Q224" s="38">
        <f>IFERROR(Table1[[#This Row],[leftover material]]*(Table1[[#This Row],[Cost ]]+Table1[[#This Row],[shipping]]+Table1[[#This Row],[Tax]]),0)</f>
        <v>0</v>
      </c>
      <c r="R224" s="38"/>
    </row>
    <row r="225" spans="1:18" x14ac:dyDescent="0.25">
      <c r="A225" s="1" t="s">
        <v>228</v>
      </c>
      <c r="B225" s="4"/>
      <c r="F225" s="3">
        <f>9%*Table1[[#This Row],[Cost ]]</f>
        <v>0</v>
      </c>
      <c r="J225" s="11">
        <f>SUMIF('Multi-level BOM'!C$3:C$464,Table1[[#This Row],[Part Number]],'Multi-level BOM'!F$3:F$464)</f>
        <v>0</v>
      </c>
      <c r="K225" s="11">
        <f>Table1[[#This Row],[extended quantity]]*(Table1[[#This Row],[Cost ]]+Table1[[#This Row],[shipping]]+Table1[[#This Row],[Tax]])</f>
        <v>0</v>
      </c>
      <c r="L225" s="11"/>
      <c r="M225" s="42"/>
      <c r="N225" s="53" t="e">
        <f>CEILING((Table1[[#This Row],[extended quantity]]-Table1[[#This Row],[quantity on-hand]])/Table1[[#This Row],[Minimum order quantity]],1)*Table1[[#This Row],[Minimum order quantity]]</f>
        <v>#DIV/0!</v>
      </c>
      <c r="O225" s="53" t="e">
        <f>Table1[[#This Row],[Order quantity]]+Table1[[#This Row],[quantity on-hand]]-Table1[[#This Row],[extended quantity]]</f>
        <v>#DIV/0!</v>
      </c>
      <c r="P225" s="11">
        <f>IFERROR(Table1[[#This Row],[Order quantity]]*(Table1[[#This Row],[Cost ]]+Table1[[#This Row],[shipping]]+Table1[[#This Row],[Tax]]),0)</f>
        <v>0</v>
      </c>
      <c r="Q225" s="38">
        <f>IFERROR(Table1[[#This Row],[leftover material]]*(Table1[[#This Row],[Cost ]]+Table1[[#This Row],[shipping]]+Table1[[#This Row],[Tax]]),0)</f>
        <v>0</v>
      </c>
      <c r="R225" s="38"/>
    </row>
    <row r="226" spans="1:18" x14ac:dyDescent="0.25">
      <c r="A226" s="1" t="s">
        <v>229</v>
      </c>
      <c r="B226" s="4"/>
      <c r="F226" s="3">
        <f>9%*Table1[[#This Row],[Cost ]]</f>
        <v>0</v>
      </c>
      <c r="J226" s="11">
        <f>SUMIF('Multi-level BOM'!C$3:C$464,Table1[[#This Row],[Part Number]],'Multi-level BOM'!F$3:F$464)</f>
        <v>0</v>
      </c>
      <c r="K226" s="11">
        <f>Table1[[#This Row],[extended quantity]]*(Table1[[#This Row],[Cost ]]+Table1[[#This Row],[shipping]]+Table1[[#This Row],[Tax]])</f>
        <v>0</v>
      </c>
      <c r="L226" s="11"/>
      <c r="M226" s="42"/>
      <c r="N226" s="53" t="e">
        <f>CEILING((Table1[[#This Row],[extended quantity]]-Table1[[#This Row],[quantity on-hand]])/Table1[[#This Row],[Minimum order quantity]],1)*Table1[[#This Row],[Minimum order quantity]]</f>
        <v>#DIV/0!</v>
      </c>
      <c r="O226" s="53" t="e">
        <f>Table1[[#This Row],[Order quantity]]+Table1[[#This Row],[quantity on-hand]]-Table1[[#This Row],[extended quantity]]</f>
        <v>#DIV/0!</v>
      </c>
      <c r="P226" s="11">
        <f>IFERROR(Table1[[#This Row],[Order quantity]]*(Table1[[#This Row],[Cost ]]+Table1[[#This Row],[shipping]]+Table1[[#This Row],[Tax]]),0)</f>
        <v>0</v>
      </c>
      <c r="Q226" s="38">
        <f>IFERROR(Table1[[#This Row],[leftover material]]*(Table1[[#This Row],[Cost ]]+Table1[[#This Row],[shipping]]+Table1[[#This Row],[Tax]]),0)</f>
        <v>0</v>
      </c>
      <c r="R226" s="38"/>
    </row>
    <row r="227" spans="1:18" x14ac:dyDescent="0.25">
      <c r="A227" s="1" t="s">
        <v>230</v>
      </c>
      <c r="B227" s="4"/>
      <c r="F227" s="3">
        <f>9%*Table1[[#This Row],[Cost ]]</f>
        <v>0</v>
      </c>
      <c r="J227" s="11">
        <f>SUMIF('Multi-level BOM'!C$3:C$464,Table1[[#This Row],[Part Number]],'Multi-level BOM'!F$3:F$464)</f>
        <v>0</v>
      </c>
      <c r="K227" s="11">
        <f>Table1[[#This Row],[extended quantity]]*(Table1[[#This Row],[Cost ]]+Table1[[#This Row],[shipping]]+Table1[[#This Row],[Tax]])</f>
        <v>0</v>
      </c>
      <c r="L227" s="11"/>
      <c r="M227" s="42"/>
      <c r="N227" s="53" t="e">
        <f>CEILING((Table1[[#This Row],[extended quantity]]-Table1[[#This Row],[quantity on-hand]])/Table1[[#This Row],[Minimum order quantity]],1)*Table1[[#This Row],[Minimum order quantity]]</f>
        <v>#DIV/0!</v>
      </c>
      <c r="O227" s="53" t="e">
        <f>Table1[[#This Row],[Order quantity]]+Table1[[#This Row],[quantity on-hand]]-Table1[[#This Row],[extended quantity]]</f>
        <v>#DIV/0!</v>
      </c>
      <c r="P227" s="11">
        <f>IFERROR(Table1[[#This Row],[Order quantity]]*(Table1[[#This Row],[Cost ]]+Table1[[#This Row],[shipping]]+Table1[[#This Row],[Tax]]),0)</f>
        <v>0</v>
      </c>
      <c r="Q227" s="38">
        <f>IFERROR(Table1[[#This Row],[leftover material]]*(Table1[[#This Row],[Cost ]]+Table1[[#This Row],[shipping]]+Table1[[#This Row],[Tax]]),0)</f>
        <v>0</v>
      </c>
      <c r="R227" s="38"/>
    </row>
    <row r="228" spans="1:18" x14ac:dyDescent="0.25">
      <c r="A228" s="1" t="s">
        <v>231</v>
      </c>
      <c r="B228" s="4"/>
      <c r="F228" s="3">
        <f>9%*Table1[[#This Row],[Cost ]]</f>
        <v>0</v>
      </c>
      <c r="J228" s="11">
        <f>SUMIF('Multi-level BOM'!C$3:C$464,Table1[[#This Row],[Part Number]],'Multi-level BOM'!F$3:F$464)</f>
        <v>0</v>
      </c>
      <c r="K228" s="11">
        <f>Table1[[#This Row],[extended quantity]]*(Table1[[#This Row],[Cost ]]+Table1[[#This Row],[shipping]]+Table1[[#This Row],[Tax]])</f>
        <v>0</v>
      </c>
      <c r="L228" s="11"/>
      <c r="M228" s="42"/>
      <c r="N228" s="53" t="e">
        <f>CEILING((Table1[[#This Row],[extended quantity]]-Table1[[#This Row],[quantity on-hand]])/Table1[[#This Row],[Minimum order quantity]],1)*Table1[[#This Row],[Minimum order quantity]]</f>
        <v>#DIV/0!</v>
      </c>
      <c r="O228" s="53" t="e">
        <f>Table1[[#This Row],[Order quantity]]+Table1[[#This Row],[quantity on-hand]]-Table1[[#This Row],[extended quantity]]</f>
        <v>#DIV/0!</v>
      </c>
      <c r="P228" s="11">
        <f>IFERROR(Table1[[#This Row],[Order quantity]]*(Table1[[#This Row],[Cost ]]+Table1[[#This Row],[shipping]]+Table1[[#This Row],[Tax]]),0)</f>
        <v>0</v>
      </c>
      <c r="Q228" s="38">
        <f>IFERROR(Table1[[#This Row],[leftover material]]*(Table1[[#This Row],[Cost ]]+Table1[[#This Row],[shipping]]+Table1[[#This Row],[Tax]]),0)</f>
        <v>0</v>
      </c>
      <c r="R228" s="38"/>
    </row>
    <row r="229" spans="1:18" x14ac:dyDescent="0.25">
      <c r="A229" s="1" t="s">
        <v>232</v>
      </c>
      <c r="B229" s="4"/>
      <c r="F229" s="3">
        <f>9%*Table1[[#This Row],[Cost ]]</f>
        <v>0</v>
      </c>
      <c r="J229" s="11">
        <f>SUMIF('Multi-level BOM'!C$3:C$464,Table1[[#This Row],[Part Number]],'Multi-level BOM'!F$3:F$464)</f>
        <v>0</v>
      </c>
      <c r="K229" s="11">
        <f>Table1[[#This Row],[extended quantity]]*(Table1[[#This Row],[Cost ]]+Table1[[#This Row],[shipping]]+Table1[[#This Row],[Tax]])</f>
        <v>0</v>
      </c>
      <c r="L229" s="11"/>
      <c r="M229" s="42"/>
      <c r="N229" s="53" t="e">
        <f>CEILING((Table1[[#This Row],[extended quantity]]-Table1[[#This Row],[quantity on-hand]])/Table1[[#This Row],[Minimum order quantity]],1)*Table1[[#This Row],[Minimum order quantity]]</f>
        <v>#DIV/0!</v>
      </c>
      <c r="O229" s="53" t="e">
        <f>Table1[[#This Row],[Order quantity]]+Table1[[#This Row],[quantity on-hand]]-Table1[[#This Row],[extended quantity]]</f>
        <v>#DIV/0!</v>
      </c>
      <c r="P229" s="11">
        <f>IFERROR(Table1[[#This Row],[Order quantity]]*(Table1[[#This Row],[Cost ]]+Table1[[#This Row],[shipping]]+Table1[[#This Row],[Tax]]),0)</f>
        <v>0</v>
      </c>
      <c r="Q229" s="38">
        <f>IFERROR(Table1[[#This Row],[leftover material]]*(Table1[[#This Row],[Cost ]]+Table1[[#This Row],[shipping]]+Table1[[#This Row],[Tax]]),0)</f>
        <v>0</v>
      </c>
      <c r="R229" s="38"/>
    </row>
    <row r="230" spans="1:18" x14ac:dyDescent="0.25">
      <c r="A230" s="1" t="s">
        <v>233</v>
      </c>
      <c r="B230" s="4"/>
      <c r="F230" s="3">
        <f>9%*Table1[[#This Row],[Cost ]]</f>
        <v>0</v>
      </c>
      <c r="J230" s="11">
        <f>SUMIF('Multi-level BOM'!C$3:C$464,Table1[[#This Row],[Part Number]],'Multi-level BOM'!F$3:F$464)</f>
        <v>0</v>
      </c>
      <c r="K230" s="11">
        <f>Table1[[#This Row],[extended quantity]]*(Table1[[#This Row],[Cost ]]+Table1[[#This Row],[shipping]]+Table1[[#This Row],[Tax]])</f>
        <v>0</v>
      </c>
      <c r="L230" s="11"/>
      <c r="M230" s="42"/>
      <c r="N230" s="53" t="e">
        <f>CEILING((Table1[[#This Row],[extended quantity]]-Table1[[#This Row],[quantity on-hand]])/Table1[[#This Row],[Minimum order quantity]],1)*Table1[[#This Row],[Minimum order quantity]]</f>
        <v>#DIV/0!</v>
      </c>
      <c r="O230" s="53" t="e">
        <f>Table1[[#This Row],[Order quantity]]+Table1[[#This Row],[quantity on-hand]]-Table1[[#This Row],[extended quantity]]</f>
        <v>#DIV/0!</v>
      </c>
      <c r="P230" s="11">
        <f>IFERROR(Table1[[#This Row],[Order quantity]]*(Table1[[#This Row],[Cost ]]+Table1[[#This Row],[shipping]]+Table1[[#This Row],[Tax]]),0)</f>
        <v>0</v>
      </c>
      <c r="Q230" s="38">
        <f>IFERROR(Table1[[#This Row],[leftover material]]*(Table1[[#This Row],[Cost ]]+Table1[[#This Row],[shipping]]+Table1[[#This Row],[Tax]]),0)</f>
        <v>0</v>
      </c>
      <c r="R230" s="38"/>
    </row>
    <row r="231" spans="1:18" x14ac:dyDescent="0.25">
      <c r="A231" s="1" t="s">
        <v>234</v>
      </c>
      <c r="B231" s="4"/>
      <c r="F231" s="3">
        <f>9%*Table1[[#This Row],[Cost ]]</f>
        <v>0</v>
      </c>
      <c r="J231" s="11">
        <f>SUMIF('Multi-level BOM'!C$3:C$464,Table1[[#This Row],[Part Number]],'Multi-level BOM'!F$3:F$464)</f>
        <v>0</v>
      </c>
      <c r="K231" s="11">
        <f>Table1[[#This Row],[extended quantity]]*(Table1[[#This Row],[Cost ]]+Table1[[#This Row],[shipping]]+Table1[[#This Row],[Tax]])</f>
        <v>0</v>
      </c>
      <c r="L231" s="11"/>
      <c r="M231" s="42"/>
      <c r="N231" s="53" t="e">
        <f>CEILING((Table1[[#This Row],[extended quantity]]-Table1[[#This Row],[quantity on-hand]])/Table1[[#This Row],[Minimum order quantity]],1)*Table1[[#This Row],[Minimum order quantity]]</f>
        <v>#DIV/0!</v>
      </c>
      <c r="O231" s="53" t="e">
        <f>Table1[[#This Row],[Order quantity]]+Table1[[#This Row],[quantity on-hand]]-Table1[[#This Row],[extended quantity]]</f>
        <v>#DIV/0!</v>
      </c>
      <c r="P231" s="11">
        <f>IFERROR(Table1[[#This Row],[Order quantity]]*(Table1[[#This Row],[Cost ]]+Table1[[#This Row],[shipping]]+Table1[[#This Row],[Tax]]),0)</f>
        <v>0</v>
      </c>
      <c r="Q231" s="38">
        <f>IFERROR(Table1[[#This Row],[leftover material]]*(Table1[[#This Row],[Cost ]]+Table1[[#This Row],[shipping]]+Table1[[#This Row],[Tax]]),0)</f>
        <v>0</v>
      </c>
      <c r="R231" s="38"/>
    </row>
    <row r="232" spans="1:18" x14ac:dyDescent="0.25">
      <c r="A232" s="1" t="s">
        <v>235</v>
      </c>
      <c r="B232" s="4"/>
      <c r="F232" s="3">
        <f>9%*Table1[[#This Row],[Cost ]]</f>
        <v>0</v>
      </c>
      <c r="J232" s="11">
        <f>SUMIF('Multi-level BOM'!C$3:C$464,Table1[[#This Row],[Part Number]],'Multi-level BOM'!F$3:F$464)</f>
        <v>0</v>
      </c>
      <c r="K232" s="11">
        <f>Table1[[#This Row],[extended quantity]]*(Table1[[#This Row],[Cost ]]+Table1[[#This Row],[shipping]]+Table1[[#This Row],[Tax]])</f>
        <v>0</v>
      </c>
      <c r="L232" s="11"/>
      <c r="M232" s="42"/>
      <c r="N232" s="53" t="e">
        <f>CEILING((Table1[[#This Row],[extended quantity]]-Table1[[#This Row],[quantity on-hand]])/Table1[[#This Row],[Minimum order quantity]],1)*Table1[[#This Row],[Minimum order quantity]]</f>
        <v>#DIV/0!</v>
      </c>
      <c r="O232" s="53" t="e">
        <f>Table1[[#This Row],[Order quantity]]+Table1[[#This Row],[quantity on-hand]]-Table1[[#This Row],[extended quantity]]</f>
        <v>#DIV/0!</v>
      </c>
      <c r="P232" s="11">
        <f>IFERROR(Table1[[#This Row],[Order quantity]]*(Table1[[#This Row],[Cost ]]+Table1[[#This Row],[shipping]]+Table1[[#This Row],[Tax]]),0)</f>
        <v>0</v>
      </c>
      <c r="Q232" s="38">
        <f>IFERROR(Table1[[#This Row],[leftover material]]*(Table1[[#This Row],[Cost ]]+Table1[[#This Row],[shipping]]+Table1[[#This Row],[Tax]]),0)</f>
        <v>0</v>
      </c>
      <c r="R232" s="38"/>
    </row>
    <row r="233" spans="1:18" x14ac:dyDescent="0.25">
      <c r="A233" s="1" t="s">
        <v>236</v>
      </c>
      <c r="B233" s="4"/>
      <c r="F233" s="3">
        <f>9%*Table1[[#This Row],[Cost ]]</f>
        <v>0</v>
      </c>
      <c r="J233" s="11">
        <f>SUMIF('Multi-level BOM'!C$3:C$464,Table1[[#This Row],[Part Number]],'Multi-level BOM'!F$3:F$464)</f>
        <v>0</v>
      </c>
      <c r="K233" s="11">
        <f>Table1[[#This Row],[extended quantity]]*(Table1[[#This Row],[Cost ]]+Table1[[#This Row],[shipping]]+Table1[[#This Row],[Tax]])</f>
        <v>0</v>
      </c>
      <c r="L233" s="11"/>
      <c r="M233" s="42"/>
      <c r="N233" s="53" t="e">
        <f>CEILING((Table1[[#This Row],[extended quantity]]-Table1[[#This Row],[quantity on-hand]])/Table1[[#This Row],[Minimum order quantity]],1)*Table1[[#This Row],[Minimum order quantity]]</f>
        <v>#DIV/0!</v>
      </c>
      <c r="O233" s="53" t="e">
        <f>Table1[[#This Row],[Order quantity]]+Table1[[#This Row],[quantity on-hand]]-Table1[[#This Row],[extended quantity]]</f>
        <v>#DIV/0!</v>
      </c>
      <c r="P233" s="11">
        <f>IFERROR(Table1[[#This Row],[Order quantity]]*(Table1[[#This Row],[Cost ]]+Table1[[#This Row],[shipping]]+Table1[[#This Row],[Tax]]),0)</f>
        <v>0</v>
      </c>
      <c r="Q233" s="38">
        <f>IFERROR(Table1[[#This Row],[leftover material]]*(Table1[[#This Row],[Cost ]]+Table1[[#This Row],[shipping]]+Table1[[#This Row],[Tax]]),0)</f>
        <v>0</v>
      </c>
      <c r="R233" s="38"/>
    </row>
    <row r="234" spans="1:18" x14ac:dyDescent="0.25">
      <c r="A234" s="1" t="s">
        <v>237</v>
      </c>
      <c r="B234" s="4"/>
      <c r="F234" s="3">
        <f>9%*Table1[[#This Row],[Cost ]]</f>
        <v>0</v>
      </c>
      <c r="J234" s="11">
        <f>SUMIF('Multi-level BOM'!C$3:C$464,Table1[[#This Row],[Part Number]],'Multi-level BOM'!F$3:F$464)</f>
        <v>0</v>
      </c>
      <c r="K234" s="11">
        <f>Table1[[#This Row],[extended quantity]]*(Table1[[#This Row],[Cost ]]+Table1[[#This Row],[shipping]]+Table1[[#This Row],[Tax]])</f>
        <v>0</v>
      </c>
      <c r="L234" s="11"/>
      <c r="M234" s="42"/>
      <c r="N234" s="53" t="e">
        <f>CEILING((Table1[[#This Row],[extended quantity]]-Table1[[#This Row],[quantity on-hand]])/Table1[[#This Row],[Minimum order quantity]],1)*Table1[[#This Row],[Minimum order quantity]]</f>
        <v>#DIV/0!</v>
      </c>
      <c r="O234" s="53" t="e">
        <f>Table1[[#This Row],[Order quantity]]+Table1[[#This Row],[quantity on-hand]]-Table1[[#This Row],[extended quantity]]</f>
        <v>#DIV/0!</v>
      </c>
      <c r="P234" s="11">
        <f>IFERROR(Table1[[#This Row],[Order quantity]]*(Table1[[#This Row],[Cost ]]+Table1[[#This Row],[shipping]]+Table1[[#This Row],[Tax]]),0)</f>
        <v>0</v>
      </c>
      <c r="Q234" s="38">
        <f>IFERROR(Table1[[#This Row],[leftover material]]*(Table1[[#This Row],[Cost ]]+Table1[[#This Row],[shipping]]+Table1[[#This Row],[Tax]]),0)</f>
        <v>0</v>
      </c>
      <c r="R234" s="38"/>
    </row>
    <row r="235" spans="1:18" x14ac:dyDescent="0.25">
      <c r="A235" s="1" t="s">
        <v>238</v>
      </c>
      <c r="B235" s="4"/>
      <c r="F235" s="3">
        <f>9%*Table1[[#This Row],[Cost ]]</f>
        <v>0</v>
      </c>
      <c r="J235" s="11">
        <f>SUMIF('Multi-level BOM'!C$3:C$464,Table1[[#This Row],[Part Number]],'Multi-level BOM'!F$3:F$464)</f>
        <v>0</v>
      </c>
      <c r="K235" s="11">
        <f>Table1[[#This Row],[extended quantity]]*(Table1[[#This Row],[Cost ]]+Table1[[#This Row],[shipping]]+Table1[[#This Row],[Tax]])</f>
        <v>0</v>
      </c>
      <c r="L235" s="11"/>
      <c r="M235" s="42"/>
      <c r="N235" s="53" t="e">
        <f>CEILING((Table1[[#This Row],[extended quantity]]-Table1[[#This Row],[quantity on-hand]])/Table1[[#This Row],[Minimum order quantity]],1)*Table1[[#This Row],[Minimum order quantity]]</f>
        <v>#DIV/0!</v>
      </c>
      <c r="O235" s="53" t="e">
        <f>Table1[[#This Row],[Order quantity]]+Table1[[#This Row],[quantity on-hand]]-Table1[[#This Row],[extended quantity]]</f>
        <v>#DIV/0!</v>
      </c>
      <c r="P235" s="11">
        <f>IFERROR(Table1[[#This Row],[Order quantity]]*(Table1[[#This Row],[Cost ]]+Table1[[#This Row],[shipping]]+Table1[[#This Row],[Tax]]),0)</f>
        <v>0</v>
      </c>
      <c r="Q235" s="38">
        <f>IFERROR(Table1[[#This Row],[leftover material]]*(Table1[[#This Row],[Cost ]]+Table1[[#This Row],[shipping]]+Table1[[#This Row],[Tax]]),0)</f>
        <v>0</v>
      </c>
      <c r="R235" s="38"/>
    </row>
    <row r="236" spans="1:18" x14ac:dyDescent="0.25">
      <c r="A236" s="1" t="s">
        <v>239</v>
      </c>
      <c r="B236" s="4"/>
      <c r="F236" s="3">
        <f>9%*Table1[[#This Row],[Cost ]]</f>
        <v>0</v>
      </c>
      <c r="J236" s="11">
        <f>SUMIF('Multi-level BOM'!C$3:C$464,Table1[[#This Row],[Part Number]],'Multi-level BOM'!F$3:F$464)</f>
        <v>0</v>
      </c>
      <c r="K236" s="11">
        <f>Table1[[#This Row],[extended quantity]]*(Table1[[#This Row],[Cost ]]+Table1[[#This Row],[shipping]]+Table1[[#This Row],[Tax]])</f>
        <v>0</v>
      </c>
      <c r="L236" s="11"/>
      <c r="M236" s="42"/>
      <c r="N236" s="53" t="e">
        <f>CEILING((Table1[[#This Row],[extended quantity]]-Table1[[#This Row],[quantity on-hand]])/Table1[[#This Row],[Minimum order quantity]],1)*Table1[[#This Row],[Minimum order quantity]]</f>
        <v>#DIV/0!</v>
      </c>
      <c r="O236" s="53" t="e">
        <f>Table1[[#This Row],[Order quantity]]+Table1[[#This Row],[quantity on-hand]]-Table1[[#This Row],[extended quantity]]</f>
        <v>#DIV/0!</v>
      </c>
      <c r="P236" s="11">
        <f>IFERROR(Table1[[#This Row],[Order quantity]]*(Table1[[#This Row],[Cost ]]+Table1[[#This Row],[shipping]]+Table1[[#This Row],[Tax]]),0)</f>
        <v>0</v>
      </c>
      <c r="Q236" s="38">
        <f>IFERROR(Table1[[#This Row],[leftover material]]*(Table1[[#This Row],[Cost ]]+Table1[[#This Row],[shipping]]+Table1[[#This Row],[Tax]]),0)</f>
        <v>0</v>
      </c>
      <c r="R236" s="38"/>
    </row>
    <row r="237" spans="1:18" x14ac:dyDescent="0.25">
      <c r="A237" s="1" t="s">
        <v>240</v>
      </c>
      <c r="B237" s="4"/>
      <c r="F237" s="3">
        <f>9%*Table1[[#This Row],[Cost ]]</f>
        <v>0</v>
      </c>
      <c r="J237" s="11">
        <f>SUMIF('Multi-level BOM'!C$3:C$464,Table1[[#This Row],[Part Number]],'Multi-level BOM'!F$3:F$464)</f>
        <v>0</v>
      </c>
      <c r="K237" s="11">
        <f>Table1[[#This Row],[extended quantity]]*(Table1[[#This Row],[Cost ]]+Table1[[#This Row],[shipping]]+Table1[[#This Row],[Tax]])</f>
        <v>0</v>
      </c>
      <c r="L237" s="11"/>
      <c r="M237" s="42"/>
      <c r="N237" s="53" t="e">
        <f>CEILING((Table1[[#This Row],[extended quantity]]-Table1[[#This Row],[quantity on-hand]])/Table1[[#This Row],[Minimum order quantity]],1)*Table1[[#This Row],[Minimum order quantity]]</f>
        <v>#DIV/0!</v>
      </c>
      <c r="O237" s="53" t="e">
        <f>Table1[[#This Row],[Order quantity]]+Table1[[#This Row],[quantity on-hand]]-Table1[[#This Row],[extended quantity]]</f>
        <v>#DIV/0!</v>
      </c>
      <c r="P237" s="11">
        <f>IFERROR(Table1[[#This Row],[Order quantity]]*(Table1[[#This Row],[Cost ]]+Table1[[#This Row],[shipping]]+Table1[[#This Row],[Tax]]),0)</f>
        <v>0</v>
      </c>
      <c r="Q237" s="38">
        <f>IFERROR(Table1[[#This Row],[leftover material]]*(Table1[[#This Row],[Cost ]]+Table1[[#This Row],[shipping]]+Table1[[#This Row],[Tax]]),0)</f>
        <v>0</v>
      </c>
      <c r="R237" s="38"/>
    </row>
    <row r="238" spans="1:18" x14ac:dyDescent="0.25">
      <c r="A238" s="1" t="s">
        <v>241</v>
      </c>
      <c r="B238" s="4"/>
      <c r="F238" s="3">
        <f>9%*Table1[[#This Row],[Cost ]]</f>
        <v>0</v>
      </c>
      <c r="J238" s="11">
        <f>SUMIF('Multi-level BOM'!C$3:C$464,Table1[[#This Row],[Part Number]],'Multi-level BOM'!F$3:F$464)</f>
        <v>0</v>
      </c>
      <c r="K238" s="11">
        <f>Table1[[#This Row],[extended quantity]]*(Table1[[#This Row],[Cost ]]+Table1[[#This Row],[shipping]]+Table1[[#This Row],[Tax]])</f>
        <v>0</v>
      </c>
      <c r="L238" s="11"/>
      <c r="M238" s="42"/>
      <c r="N238" s="53" t="e">
        <f>CEILING((Table1[[#This Row],[extended quantity]]-Table1[[#This Row],[quantity on-hand]])/Table1[[#This Row],[Minimum order quantity]],1)*Table1[[#This Row],[Minimum order quantity]]</f>
        <v>#DIV/0!</v>
      </c>
      <c r="O238" s="53" t="e">
        <f>Table1[[#This Row],[Order quantity]]+Table1[[#This Row],[quantity on-hand]]-Table1[[#This Row],[extended quantity]]</f>
        <v>#DIV/0!</v>
      </c>
      <c r="P238" s="11">
        <f>IFERROR(Table1[[#This Row],[Order quantity]]*(Table1[[#This Row],[Cost ]]+Table1[[#This Row],[shipping]]+Table1[[#This Row],[Tax]]),0)</f>
        <v>0</v>
      </c>
      <c r="Q238" s="38">
        <f>IFERROR(Table1[[#This Row],[leftover material]]*(Table1[[#This Row],[Cost ]]+Table1[[#This Row],[shipping]]+Table1[[#This Row],[Tax]]),0)</f>
        <v>0</v>
      </c>
      <c r="R238" s="38"/>
    </row>
    <row r="239" spans="1:18" x14ac:dyDescent="0.25">
      <c r="A239" s="1" t="s">
        <v>242</v>
      </c>
      <c r="B239" s="4"/>
      <c r="F239" s="3">
        <f>9%*Table1[[#This Row],[Cost ]]</f>
        <v>0</v>
      </c>
      <c r="J239" s="11">
        <f>SUMIF('Multi-level BOM'!C$3:C$464,Table1[[#This Row],[Part Number]],'Multi-level BOM'!F$3:F$464)</f>
        <v>0</v>
      </c>
      <c r="K239" s="11">
        <f>Table1[[#This Row],[extended quantity]]*(Table1[[#This Row],[Cost ]]+Table1[[#This Row],[shipping]]+Table1[[#This Row],[Tax]])</f>
        <v>0</v>
      </c>
      <c r="L239" s="11"/>
      <c r="M239" s="42"/>
      <c r="N239" s="53" t="e">
        <f>CEILING((Table1[[#This Row],[extended quantity]]-Table1[[#This Row],[quantity on-hand]])/Table1[[#This Row],[Minimum order quantity]],1)*Table1[[#This Row],[Minimum order quantity]]</f>
        <v>#DIV/0!</v>
      </c>
      <c r="O239" s="53" t="e">
        <f>Table1[[#This Row],[Order quantity]]+Table1[[#This Row],[quantity on-hand]]-Table1[[#This Row],[extended quantity]]</f>
        <v>#DIV/0!</v>
      </c>
      <c r="P239" s="11">
        <f>IFERROR(Table1[[#This Row],[Order quantity]]*(Table1[[#This Row],[Cost ]]+Table1[[#This Row],[shipping]]+Table1[[#This Row],[Tax]]),0)</f>
        <v>0</v>
      </c>
      <c r="Q239" s="38">
        <f>IFERROR(Table1[[#This Row],[leftover material]]*(Table1[[#This Row],[Cost ]]+Table1[[#This Row],[shipping]]+Table1[[#This Row],[Tax]]),0)</f>
        <v>0</v>
      </c>
      <c r="R239" s="38"/>
    </row>
    <row r="240" spans="1:18" x14ac:dyDescent="0.25">
      <c r="A240" s="1" t="s">
        <v>243</v>
      </c>
      <c r="B240" s="4"/>
      <c r="F240" s="3">
        <f>9%*Table1[[#This Row],[Cost ]]</f>
        <v>0</v>
      </c>
      <c r="J240" s="11">
        <f>SUMIF('Multi-level BOM'!C$3:C$464,Table1[[#This Row],[Part Number]],'Multi-level BOM'!F$3:F$464)</f>
        <v>0</v>
      </c>
      <c r="K240" s="11">
        <f>Table1[[#This Row],[extended quantity]]*(Table1[[#This Row],[Cost ]]+Table1[[#This Row],[shipping]]+Table1[[#This Row],[Tax]])</f>
        <v>0</v>
      </c>
      <c r="L240" s="11"/>
      <c r="M240" s="42"/>
      <c r="N240" s="53" t="e">
        <f>CEILING((Table1[[#This Row],[extended quantity]]-Table1[[#This Row],[quantity on-hand]])/Table1[[#This Row],[Minimum order quantity]],1)*Table1[[#This Row],[Minimum order quantity]]</f>
        <v>#DIV/0!</v>
      </c>
      <c r="O240" s="53" t="e">
        <f>Table1[[#This Row],[Order quantity]]+Table1[[#This Row],[quantity on-hand]]-Table1[[#This Row],[extended quantity]]</f>
        <v>#DIV/0!</v>
      </c>
      <c r="P240" s="11">
        <f>IFERROR(Table1[[#This Row],[Order quantity]]*(Table1[[#This Row],[Cost ]]+Table1[[#This Row],[shipping]]+Table1[[#This Row],[Tax]]),0)</f>
        <v>0</v>
      </c>
      <c r="Q240" s="38">
        <f>IFERROR(Table1[[#This Row],[leftover material]]*(Table1[[#This Row],[Cost ]]+Table1[[#This Row],[shipping]]+Table1[[#This Row],[Tax]]),0)</f>
        <v>0</v>
      </c>
      <c r="R240" s="38"/>
    </row>
    <row r="241" spans="1:18" x14ac:dyDescent="0.25">
      <c r="A241" s="1" t="s">
        <v>244</v>
      </c>
      <c r="B241" s="4"/>
      <c r="F241" s="3">
        <f>9%*Table1[[#This Row],[Cost ]]</f>
        <v>0</v>
      </c>
      <c r="J241" s="11">
        <f>SUMIF('Multi-level BOM'!C$3:C$464,Table1[[#This Row],[Part Number]],'Multi-level BOM'!F$3:F$464)</f>
        <v>0</v>
      </c>
      <c r="K241" s="11">
        <f>Table1[[#This Row],[extended quantity]]*(Table1[[#This Row],[Cost ]]+Table1[[#This Row],[shipping]]+Table1[[#This Row],[Tax]])</f>
        <v>0</v>
      </c>
      <c r="L241" s="11"/>
      <c r="M241" s="42"/>
      <c r="N241" s="53" t="e">
        <f>CEILING((Table1[[#This Row],[extended quantity]]-Table1[[#This Row],[quantity on-hand]])/Table1[[#This Row],[Minimum order quantity]],1)*Table1[[#This Row],[Minimum order quantity]]</f>
        <v>#DIV/0!</v>
      </c>
      <c r="O241" s="53" t="e">
        <f>Table1[[#This Row],[Order quantity]]+Table1[[#This Row],[quantity on-hand]]-Table1[[#This Row],[extended quantity]]</f>
        <v>#DIV/0!</v>
      </c>
      <c r="P241" s="11">
        <f>IFERROR(Table1[[#This Row],[Order quantity]]*(Table1[[#This Row],[Cost ]]+Table1[[#This Row],[shipping]]+Table1[[#This Row],[Tax]]),0)</f>
        <v>0</v>
      </c>
      <c r="Q241" s="38">
        <f>IFERROR(Table1[[#This Row],[leftover material]]*(Table1[[#This Row],[Cost ]]+Table1[[#This Row],[shipping]]+Table1[[#This Row],[Tax]]),0)</f>
        <v>0</v>
      </c>
      <c r="R241" s="38"/>
    </row>
    <row r="242" spans="1:18" x14ac:dyDescent="0.25">
      <c r="A242" s="1" t="s">
        <v>245</v>
      </c>
      <c r="B242" s="4"/>
      <c r="F242" s="3">
        <f>9%*Table1[[#This Row],[Cost ]]</f>
        <v>0</v>
      </c>
      <c r="J242" s="11">
        <f>SUMIF('Multi-level BOM'!C$3:C$464,Table1[[#This Row],[Part Number]],'Multi-level BOM'!F$3:F$464)</f>
        <v>0</v>
      </c>
      <c r="K242" s="11">
        <f>Table1[[#This Row],[extended quantity]]*(Table1[[#This Row],[Cost ]]+Table1[[#This Row],[shipping]]+Table1[[#This Row],[Tax]])</f>
        <v>0</v>
      </c>
      <c r="L242" s="11"/>
      <c r="M242" s="42"/>
      <c r="N242" s="53" t="e">
        <f>CEILING((Table1[[#This Row],[extended quantity]]-Table1[[#This Row],[quantity on-hand]])/Table1[[#This Row],[Minimum order quantity]],1)*Table1[[#This Row],[Minimum order quantity]]</f>
        <v>#DIV/0!</v>
      </c>
      <c r="O242" s="53" t="e">
        <f>Table1[[#This Row],[Order quantity]]+Table1[[#This Row],[quantity on-hand]]-Table1[[#This Row],[extended quantity]]</f>
        <v>#DIV/0!</v>
      </c>
      <c r="P242" s="11">
        <f>IFERROR(Table1[[#This Row],[Order quantity]]*(Table1[[#This Row],[Cost ]]+Table1[[#This Row],[shipping]]+Table1[[#This Row],[Tax]]),0)</f>
        <v>0</v>
      </c>
      <c r="Q242" s="38">
        <f>IFERROR(Table1[[#This Row],[leftover material]]*(Table1[[#This Row],[Cost ]]+Table1[[#This Row],[shipping]]+Table1[[#This Row],[Tax]]),0)</f>
        <v>0</v>
      </c>
      <c r="R242" s="38"/>
    </row>
    <row r="243" spans="1:18" x14ac:dyDescent="0.25">
      <c r="A243" s="1" t="s">
        <v>246</v>
      </c>
      <c r="B243" s="4"/>
      <c r="F243" s="3">
        <f>9%*Table1[[#This Row],[Cost ]]</f>
        <v>0</v>
      </c>
      <c r="J243" s="11">
        <f>SUMIF('Multi-level BOM'!C$3:C$464,Table1[[#This Row],[Part Number]],'Multi-level BOM'!F$3:F$464)</f>
        <v>0</v>
      </c>
      <c r="K243" s="11">
        <f>Table1[[#This Row],[extended quantity]]*(Table1[[#This Row],[Cost ]]+Table1[[#This Row],[shipping]]+Table1[[#This Row],[Tax]])</f>
        <v>0</v>
      </c>
      <c r="L243" s="11"/>
      <c r="M243" s="42"/>
      <c r="N243" s="53" t="e">
        <f>CEILING((Table1[[#This Row],[extended quantity]]-Table1[[#This Row],[quantity on-hand]])/Table1[[#This Row],[Minimum order quantity]],1)*Table1[[#This Row],[Minimum order quantity]]</f>
        <v>#DIV/0!</v>
      </c>
      <c r="O243" s="53" t="e">
        <f>Table1[[#This Row],[Order quantity]]+Table1[[#This Row],[quantity on-hand]]-Table1[[#This Row],[extended quantity]]</f>
        <v>#DIV/0!</v>
      </c>
      <c r="P243" s="11">
        <f>IFERROR(Table1[[#This Row],[Order quantity]]*(Table1[[#This Row],[Cost ]]+Table1[[#This Row],[shipping]]+Table1[[#This Row],[Tax]]),0)</f>
        <v>0</v>
      </c>
      <c r="Q243" s="38">
        <f>IFERROR(Table1[[#This Row],[leftover material]]*(Table1[[#This Row],[Cost ]]+Table1[[#This Row],[shipping]]+Table1[[#This Row],[Tax]]),0)</f>
        <v>0</v>
      </c>
      <c r="R243" s="38"/>
    </row>
    <row r="244" spans="1:18" x14ac:dyDescent="0.25">
      <c r="A244" s="1" t="s">
        <v>247</v>
      </c>
      <c r="B244" s="4"/>
      <c r="F244" s="3">
        <f>9%*Table1[[#This Row],[Cost ]]</f>
        <v>0</v>
      </c>
      <c r="J244" s="11">
        <f>SUMIF('Multi-level BOM'!C$3:C$464,Table1[[#This Row],[Part Number]],'Multi-level BOM'!F$3:F$464)</f>
        <v>0</v>
      </c>
      <c r="K244" s="11">
        <f>Table1[[#This Row],[extended quantity]]*(Table1[[#This Row],[Cost ]]+Table1[[#This Row],[shipping]]+Table1[[#This Row],[Tax]])</f>
        <v>0</v>
      </c>
      <c r="L244" s="11"/>
      <c r="M244" s="42"/>
      <c r="N244" s="53" t="e">
        <f>CEILING((Table1[[#This Row],[extended quantity]]-Table1[[#This Row],[quantity on-hand]])/Table1[[#This Row],[Minimum order quantity]],1)*Table1[[#This Row],[Minimum order quantity]]</f>
        <v>#DIV/0!</v>
      </c>
      <c r="O244" s="53" t="e">
        <f>Table1[[#This Row],[Order quantity]]+Table1[[#This Row],[quantity on-hand]]-Table1[[#This Row],[extended quantity]]</f>
        <v>#DIV/0!</v>
      </c>
      <c r="P244" s="11">
        <f>IFERROR(Table1[[#This Row],[Order quantity]]*(Table1[[#This Row],[Cost ]]+Table1[[#This Row],[shipping]]+Table1[[#This Row],[Tax]]),0)</f>
        <v>0</v>
      </c>
      <c r="Q244" s="38">
        <f>IFERROR(Table1[[#This Row],[leftover material]]*(Table1[[#This Row],[Cost ]]+Table1[[#This Row],[shipping]]+Table1[[#This Row],[Tax]]),0)</f>
        <v>0</v>
      </c>
      <c r="R244" s="38"/>
    </row>
    <row r="245" spans="1:18" x14ac:dyDescent="0.25">
      <c r="A245" s="1" t="s">
        <v>248</v>
      </c>
      <c r="B245" s="4"/>
      <c r="F245" s="3">
        <f>9%*Table1[[#This Row],[Cost ]]</f>
        <v>0</v>
      </c>
      <c r="J245" s="11">
        <f>SUMIF('Multi-level BOM'!C$3:C$464,Table1[[#This Row],[Part Number]],'Multi-level BOM'!F$3:F$464)</f>
        <v>0</v>
      </c>
      <c r="K245" s="11">
        <f>Table1[[#This Row],[extended quantity]]*(Table1[[#This Row],[Cost ]]+Table1[[#This Row],[shipping]]+Table1[[#This Row],[Tax]])</f>
        <v>0</v>
      </c>
      <c r="L245" s="11"/>
      <c r="M245" s="42"/>
      <c r="N245" s="53" t="e">
        <f>CEILING((Table1[[#This Row],[extended quantity]]-Table1[[#This Row],[quantity on-hand]])/Table1[[#This Row],[Minimum order quantity]],1)*Table1[[#This Row],[Minimum order quantity]]</f>
        <v>#DIV/0!</v>
      </c>
      <c r="O245" s="53" t="e">
        <f>Table1[[#This Row],[Order quantity]]+Table1[[#This Row],[quantity on-hand]]-Table1[[#This Row],[extended quantity]]</f>
        <v>#DIV/0!</v>
      </c>
      <c r="P245" s="11">
        <f>IFERROR(Table1[[#This Row],[Order quantity]]*(Table1[[#This Row],[Cost ]]+Table1[[#This Row],[shipping]]+Table1[[#This Row],[Tax]]),0)</f>
        <v>0</v>
      </c>
      <c r="Q245" s="38">
        <f>IFERROR(Table1[[#This Row],[leftover material]]*(Table1[[#This Row],[Cost ]]+Table1[[#This Row],[shipping]]+Table1[[#This Row],[Tax]]),0)</f>
        <v>0</v>
      </c>
      <c r="R245" s="38"/>
    </row>
    <row r="246" spans="1:18" x14ac:dyDescent="0.25">
      <c r="A246" s="1" t="s">
        <v>249</v>
      </c>
      <c r="B246" s="4"/>
      <c r="F246" s="3">
        <f>9%*Table1[[#This Row],[Cost ]]</f>
        <v>0</v>
      </c>
      <c r="J246" s="11">
        <f>SUMIF('Multi-level BOM'!C$3:C$464,Table1[[#This Row],[Part Number]],'Multi-level BOM'!F$3:F$464)</f>
        <v>0</v>
      </c>
      <c r="K246" s="11">
        <f>Table1[[#This Row],[extended quantity]]*(Table1[[#This Row],[Cost ]]+Table1[[#This Row],[shipping]]+Table1[[#This Row],[Tax]])</f>
        <v>0</v>
      </c>
      <c r="L246" s="11"/>
      <c r="M246" s="42"/>
      <c r="N246" s="53" t="e">
        <f>CEILING((Table1[[#This Row],[extended quantity]]-Table1[[#This Row],[quantity on-hand]])/Table1[[#This Row],[Minimum order quantity]],1)*Table1[[#This Row],[Minimum order quantity]]</f>
        <v>#DIV/0!</v>
      </c>
      <c r="O246" s="53" t="e">
        <f>Table1[[#This Row],[Order quantity]]+Table1[[#This Row],[quantity on-hand]]-Table1[[#This Row],[extended quantity]]</f>
        <v>#DIV/0!</v>
      </c>
      <c r="P246" s="11">
        <f>IFERROR(Table1[[#This Row],[Order quantity]]*(Table1[[#This Row],[Cost ]]+Table1[[#This Row],[shipping]]+Table1[[#This Row],[Tax]]),0)</f>
        <v>0</v>
      </c>
      <c r="Q246" s="38">
        <f>IFERROR(Table1[[#This Row],[leftover material]]*(Table1[[#This Row],[Cost ]]+Table1[[#This Row],[shipping]]+Table1[[#This Row],[Tax]]),0)</f>
        <v>0</v>
      </c>
      <c r="R246" s="38"/>
    </row>
    <row r="247" spans="1:18" x14ac:dyDescent="0.25">
      <c r="A247" s="1" t="s">
        <v>250</v>
      </c>
      <c r="B247" s="4"/>
      <c r="F247" s="3">
        <f>9%*Table1[[#This Row],[Cost ]]</f>
        <v>0</v>
      </c>
      <c r="J247" s="11">
        <f>SUMIF('Multi-level BOM'!C$3:C$464,Table1[[#This Row],[Part Number]],'Multi-level BOM'!F$3:F$464)</f>
        <v>0</v>
      </c>
      <c r="K247" s="11">
        <f>Table1[[#This Row],[extended quantity]]*(Table1[[#This Row],[Cost ]]+Table1[[#This Row],[shipping]]+Table1[[#This Row],[Tax]])</f>
        <v>0</v>
      </c>
      <c r="L247" s="11"/>
      <c r="M247" s="42"/>
      <c r="N247" s="53" t="e">
        <f>CEILING((Table1[[#This Row],[extended quantity]]-Table1[[#This Row],[quantity on-hand]])/Table1[[#This Row],[Minimum order quantity]],1)*Table1[[#This Row],[Minimum order quantity]]</f>
        <v>#DIV/0!</v>
      </c>
      <c r="O247" s="53" t="e">
        <f>Table1[[#This Row],[Order quantity]]+Table1[[#This Row],[quantity on-hand]]-Table1[[#This Row],[extended quantity]]</f>
        <v>#DIV/0!</v>
      </c>
      <c r="P247" s="11">
        <f>IFERROR(Table1[[#This Row],[Order quantity]]*(Table1[[#This Row],[Cost ]]+Table1[[#This Row],[shipping]]+Table1[[#This Row],[Tax]]),0)</f>
        <v>0</v>
      </c>
      <c r="Q247" s="38">
        <f>IFERROR(Table1[[#This Row],[leftover material]]*(Table1[[#This Row],[Cost ]]+Table1[[#This Row],[shipping]]+Table1[[#This Row],[Tax]]),0)</f>
        <v>0</v>
      </c>
      <c r="R247" s="38"/>
    </row>
    <row r="248" spans="1:18" x14ac:dyDescent="0.25">
      <c r="A248" s="1" t="s">
        <v>251</v>
      </c>
      <c r="B248" s="4"/>
      <c r="F248" s="3">
        <f>9%*Table1[[#This Row],[Cost ]]</f>
        <v>0</v>
      </c>
      <c r="J248" s="11">
        <f>SUMIF('Multi-level BOM'!C$3:C$464,Table1[[#This Row],[Part Number]],'Multi-level BOM'!F$3:F$464)</f>
        <v>0</v>
      </c>
      <c r="K248" s="11">
        <f>Table1[[#This Row],[extended quantity]]*(Table1[[#This Row],[Cost ]]+Table1[[#This Row],[shipping]]+Table1[[#This Row],[Tax]])</f>
        <v>0</v>
      </c>
      <c r="L248" s="11"/>
      <c r="M248" s="42"/>
      <c r="N248" s="53" t="e">
        <f>CEILING((Table1[[#This Row],[extended quantity]]-Table1[[#This Row],[quantity on-hand]])/Table1[[#This Row],[Minimum order quantity]],1)*Table1[[#This Row],[Minimum order quantity]]</f>
        <v>#DIV/0!</v>
      </c>
      <c r="O248" s="53" t="e">
        <f>Table1[[#This Row],[Order quantity]]+Table1[[#This Row],[quantity on-hand]]-Table1[[#This Row],[extended quantity]]</f>
        <v>#DIV/0!</v>
      </c>
      <c r="P248" s="11">
        <f>IFERROR(Table1[[#This Row],[Order quantity]]*(Table1[[#This Row],[Cost ]]+Table1[[#This Row],[shipping]]+Table1[[#This Row],[Tax]]),0)</f>
        <v>0</v>
      </c>
      <c r="Q248" s="38">
        <f>IFERROR(Table1[[#This Row],[leftover material]]*(Table1[[#This Row],[Cost ]]+Table1[[#This Row],[shipping]]+Table1[[#This Row],[Tax]]),0)</f>
        <v>0</v>
      </c>
      <c r="R248" s="38"/>
    </row>
    <row r="249" spans="1:18" x14ac:dyDescent="0.25">
      <c r="A249" s="1" t="s">
        <v>252</v>
      </c>
      <c r="B249" s="4"/>
      <c r="F249" s="3">
        <f>9%*Table1[[#This Row],[Cost ]]</f>
        <v>0</v>
      </c>
      <c r="J249" s="11">
        <f>SUMIF('Multi-level BOM'!C$3:C$464,Table1[[#This Row],[Part Number]],'Multi-level BOM'!F$3:F$464)</f>
        <v>0</v>
      </c>
      <c r="K249" s="11">
        <f>Table1[[#This Row],[extended quantity]]*(Table1[[#This Row],[Cost ]]+Table1[[#This Row],[shipping]]+Table1[[#This Row],[Tax]])</f>
        <v>0</v>
      </c>
      <c r="L249" s="11"/>
      <c r="M249" s="42"/>
      <c r="N249" s="53" t="e">
        <f>CEILING((Table1[[#This Row],[extended quantity]]-Table1[[#This Row],[quantity on-hand]])/Table1[[#This Row],[Minimum order quantity]],1)*Table1[[#This Row],[Minimum order quantity]]</f>
        <v>#DIV/0!</v>
      </c>
      <c r="O249" s="53" t="e">
        <f>Table1[[#This Row],[Order quantity]]+Table1[[#This Row],[quantity on-hand]]-Table1[[#This Row],[extended quantity]]</f>
        <v>#DIV/0!</v>
      </c>
      <c r="P249" s="11">
        <f>IFERROR(Table1[[#This Row],[Order quantity]]*(Table1[[#This Row],[Cost ]]+Table1[[#This Row],[shipping]]+Table1[[#This Row],[Tax]]),0)</f>
        <v>0</v>
      </c>
      <c r="Q249" s="38">
        <f>IFERROR(Table1[[#This Row],[leftover material]]*(Table1[[#This Row],[Cost ]]+Table1[[#This Row],[shipping]]+Table1[[#This Row],[Tax]]),0)</f>
        <v>0</v>
      </c>
      <c r="R249" s="38"/>
    </row>
    <row r="250" spans="1:18" x14ac:dyDescent="0.25">
      <c r="A250" s="1" t="s">
        <v>253</v>
      </c>
      <c r="B250" s="4"/>
      <c r="F250" s="3">
        <f>9%*Table1[[#This Row],[Cost ]]</f>
        <v>0</v>
      </c>
      <c r="J250" s="11">
        <f>SUMIF('Multi-level BOM'!C$3:C$464,Table1[[#This Row],[Part Number]],'Multi-level BOM'!F$3:F$464)</f>
        <v>0</v>
      </c>
      <c r="K250" s="11">
        <f>Table1[[#This Row],[extended quantity]]*(Table1[[#This Row],[Cost ]]+Table1[[#This Row],[shipping]]+Table1[[#This Row],[Tax]])</f>
        <v>0</v>
      </c>
      <c r="L250" s="11"/>
      <c r="M250" s="42"/>
      <c r="N250" s="53" t="e">
        <f>CEILING((Table1[[#This Row],[extended quantity]]-Table1[[#This Row],[quantity on-hand]])/Table1[[#This Row],[Minimum order quantity]],1)*Table1[[#This Row],[Minimum order quantity]]</f>
        <v>#DIV/0!</v>
      </c>
      <c r="O250" s="53" t="e">
        <f>Table1[[#This Row],[Order quantity]]+Table1[[#This Row],[quantity on-hand]]-Table1[[#This Row],[extended quantity]]</f>
        <v>#DIV/0!</v>
      </c>
      <c r="P250" s="11">
        <f>IFERROR(Table1[[#This Row],[Order quantity]]*(Table1[[#This Row],[Cost ]]+Table1[[#This Row],[shipping]]+Table1[[#This Row],[Tax]]),0)</f>
        <v>0</v>
      </c>
      <c r="Q250" s="38">
        <f>IFERROR(Table1[[#This Row],[leftover material]]*(Table1[[#This Row],[Cost ]]+Table1[[#This Row],[shipping]]+Table1[[#This Row],[Tax]]),0)</f>
        <v>0</v>
      </c>
      <c r="R250" s="38"/>
    </row>
    <row r="251" spans="1:18" x14ac:dyDescent="0.25">
      <c r="A251" s="1" t="s">
        <v>254</v>
      </c>
      <c r="B251" s="4"/>
      <c r="F251" s="3">
        <f>9%*Table1[[#This Row],[Cost ]]</f>
        <v>0</v>
      </c>
      <c r="J251" s="11">
        <f>SUMIF('Multi-level BOM'!C$3:C$464,Table1[[#This Row],[Part Number]],'Multi-level BOM'!F$3:F$464)</f>
        <v>0</v>
      </c>
      <c r="K251" s="11">
        <f>Table1[[#This Row],[extended quantity]]*(Table1[[#This Row],[Cost ]]+Table1[[#This Row],[shipping]]+Table1[[#This Row],[Tax]])</f>
        <v>0</v>
      </c>
      <c r="L251" s="11"/>
      <c r="M251" s="42"/>
      <c r="N251" s="53" t="e">
        <f>CEILING((Table1[[#This Row],[extended quantity]]-Table1[[#This Row],[quantity on-hand]])/Table1[[#This Row],[Minimum order quantity]],1)*Table1[[#This Row],[Minimum order quantity]]</f>
        <v>#DIV/0!</v>
      </c>
      <c r="O251" s="53" t="e">
        <f>Table1[[#This Row],[Order quantity]]+Table1[[#This Row],[quantity on-hand]]-Table1[[#This Row],[extended quantity]]</f>
        <v>#DIV/0!</v>
      </c>
      <c r="P251" s="11">
        <f>IFERROR(Table1[[#This Row],[Order quantity]]*(Table1[[#This Row],[Cost ]]+Table1[[#This Row],[shipping]]+Table1[[#This Row],[Tax]]),0)</f>
        <v>0</v>
      </c>
      <c r="Q251" s="38">
        <f>IFERROR(Table1[[#This Row],[leftover material]]*(Table1[[#This Row],[Cost ]]+Table1[[#This Row],[shipping]]+Table1[[#This Row],[Tax]]),0)</f>
        <v>0</v>
      </c>
      <c r="R251" s="38"/>
    </row>
    <row r="252" spans="1:18" x14ac:dyDescent="0.25">
      <c r="A252" s="1" t="s">
        <v>255</v>
      </c>
      <c r="B252" s="4"/>
      <c r="F252" s="3">
        <f>9%*Table1[[#This Row],[Cost ]]</f>
        <v>0</v>
      </c>
      <c r="J252" s="11">
        <f>SUMIF('Multi-level BOM'!C$3:C$464,Table1[[#This Row],[Part Number]],'Multi-level BOM'!F$3:F$464)</f>
        <v>0</v>
      </c>
      <c r="K252" s="11">
        <f>Table1[[#This Row],[extended quantity]]*(Table1[[#This Row],[Cost ]]+Table1[[#This Row],[shipping]]+Table1[[#This Row],[Tax]])</f>
        <v>0</v>
      </c>
      <c r="L252" s="11"/>
      <c r="M252" s="42"/>
      <c r="N252" s="53" t="e">
        <f>CEILING((Table1[[#This Row],[extended quantity]]-Table1[[#This Row],[quantity on-hand]])/Table1[[#This Row],[Minimum order quantity]],1)*Table1[[#This Row],[Minimum order quantity]]</f>
        <v>#DIV/0!</v>
      </c>
      <c r="O252" s="53" t="e">
        <f>Table1[[#This Row],[Order quantity]]+Table1[[#This Row],[quantity on-hand]]-Table1[[#This Row],[extended quantity]]</f>
        <v>#DIV/0!</v>
      </c>
      <c r="P252" s="11">
        <f>IFERROR(Table1[[#This Row],[Order quantity]]*(Table1[[#This Row],[Cost ]]+Table1[[#This Row],[shipping]]+Table1[[#This Row],[Tax]]),0)</f>
        <v>0</v>
      </c>
      <c r="Q252" s="38">
        <f>IFERROR(Table1[[#This Row],[leftover material]]*(Table1[[#This Row],[Cost ]]+Table1[[#This Row],[shipping]]+Table1[[#This Row],[Tax]]),0)</f>
        <v>0</v>
      </c>
      <c r="R252" s="38"/>
    </row>
    <row r="253" spans="1:18" x14ac:dyDescent="0.25">
      <c r="A253" s="1" t="s">
        <v>256</v>
      </c>
      <c r="B253" s="4"/>
      <c r="F253" s="3">
        <f>9%*Table1[[#This Row],[Cost ]]</f>
        <v>0</v>
      </c>
      <c r="J253" s="11">
        <f>SUMIF('Multi-level BOM'!C$3:C$464,Table1[[#This Row],[Part Number]],'Multi-level BOM'!F$3:F$464)</f>
        <v>0</v>
      </c>
      <c r="K253" s="11">
        <f>Table1[[#This Row],[extended quantity]]*(Table1[[#This Row],[Cost ]]+Table1[[#This Row],[shipping]]+Table1[[#This Row],[Tax]])</f>
        <v>0</v>
      </c>
      <c r="L253" s="11"/>
      <c r="M253" s="42"/>
      <c r="N253" s="53" t="e">
        <f>CEILING((Table1[[#This Row],[extended quantity]]-Table1[[#This Row],[quantity on-hand]])/Table1[[#This Row],[Minimum order quantity]],1)*Table1[[#This Row],[Minimum order quantity]]</f>
        <v>#DIV/0!</v>
      </c>
      <c r="O253" s="53" t="e">
        <f>Table1[[#This Row],[Order quantity]]+Table1[[#This Row],[quantity on-hand]]-Table1[[#This Row],[extended quantity]]</f>
        <v>#DIV/0!</v>
      </c>
      <c r="P253" s="11">
        <f>IFERROR(Table1[[#This Row],[Order quantity]]*(Table1[[#This Row],[Cost ]]+Table1[[#This Row],[shipping]]+Table1[[#This Row],[Tax]]),0)</f>
        <v>0</v>
      </c>
      <c r="Q253" s="38">
        <f>IFERROR(Table1[[#This Row],[leftover material]]*(Table1[[#This Row],[Cost ]]+Table1[[#This Row],[shipping]]+Table1[[#This Row],[Tax]]),0)</f>
        <v>0</v>
      </c>
      <c r="R253" s="38"/>
    </row>
    <row r="254" spans="1:18" x14ac:dyDescent="0.25">
      <c r="A254" s="1" t="s">
        <v>257</v>
      </c>
      <c r="B254" s="4"/>
      <c r="F254" s="3">
        <f>9%*Table1[[#This Row],[Cost ]]</f>
        <v>0</v>
      </c>
      <c r="J254" s="11">
        <f>SUMIF('Multi-level BOM'!C$3:C$464,Table1[[#This Row],[Part Number]],'Multi-level BOM'!F$3:F$464)</f>
        <v>0</v>
      </c>
      <c r="K254" s="11">
        <f>Table1[[#This Row],[extended quantity]]*(Table1[[#This Row],[Cost ]]+Table1[[#This Row],[shipping]]+Table1[[#This Row],[Tax]])</f>
        <v>0</v>
      </c>
      <c r="L254" s="11"/>
      <c r="M254" s="42"/>
      <c r="N254" s="53" t="e">
        <f>CEILING((Table1[[#This Row],[extended quantity]]-Table1[[#This Row],[quantity on-hand]])/Table1[[#This Row],[Minimum order quantity]],1)*Table1[[#This Row],[Minimum order quantity]]</f>
        <v>#DIV/0!</v>
      </c>
      <c r="O254" s="53" t="e">
        <f>Table1[[#This Row],[Order quantity]]+Table1[[#This Row],[quantity on-hand]]-Table1[[#This Row],[extended quantity]]</f>
        <v>#DIV/0!</v>
      </c>
      <c r="P254" s="11">
        <f>IFERROR(Table1[[#This Row],[Order quantity]]*(Table1[[#This Row],[Cost ]]+Table1[[#This Row],[shipping]]+Table1[[#This Row],[Tax]]),0)</f>
        <v>0</v>
      </c>
      <c r="Q254" s="38">
        <f>IFERROR(Table1[[#This Row],[leftover material]]*(Table1[[#This Row],[Cost ]]+Table1[[#This Row],[shipping]]+Table1[[#This Row],[Tax]]),0)</f>
        <v>0</v>
      </c>
      <c r="R254" s="38"/>
    </row>
    <row r="255" spans="1:18" x14ac:dyDescent="0.25">
      <c r="A255" s="1" t="s">
        <v>258</v>
      </c>
      <c r="B255" s="4"/>
      <c r="F255" s="3">
        <f>9%*Table1[[#This Row],[Cost ]]</f>
        <v>0</v>
      </c>
      <c r="J255" s="11">
        <f>SUMIF('Multi-level BOM'!C$3:C$464,Table1[[#This Row],[Part Number]],'Multi-level BOM'!F$3:F$464)</f>
        <v>0</v>
      </c>
      <c r="K255" s="11">
        <f>Table1[[#This Row],[extended quantity]]*(Table1[[#This Row],[Cost ]]+Table1[[#This Row],[shipping]]+Table1[[#This Row],[Tax]])</f>
        <v>0</v>
      </c>
      <c r="L255" s="11"/>
      <c r="M255" s="42"/>
      <c r="N255" s="53" t="e">
        <f>CEILING((Table1[[#This Row],[extended quantity]]-Table1[[#This Row],[quantity on-hand]])/Table1[[#This Row],[Minimum order quantity]],1)*Table1[[#This Row],[Minimum order quantity]]</f>
        <v>#DIV/0!</v>
      </c>
      <c r="O255" s="53" t="e">
        <f>Table1[[#This Row],[Order quantity]]+Table1[[#This Row],[quantity on-hand]]-Table1[[#This Row],[extended quantity]]</f>
        <v>#DIV/0!</v>
      </c>
      <c r="P255" s="11">
        <f>IFERROR(Table1[[#This Row],[Order quantity]]*(Table1[[#This Row],[Cost ]]+Table1[[#This Row],[shipping]]+Table1[[#This Row],[Tax]]),0)</f>
        <v>0</v>
      </c>
      <c r="Q255" s="38">
        <f>IFERROR(Table1[[#This Row],[leftover material]]*(Table1[[#This Row],[Cost ]]+Table1[[#This Row],[shipping]]+Table1[[#This Row],[Tax]]),0)</f>
        <v>0</v>
      </c>
      <c r="R255" s="38"/>
    </row>
    <row r="256" spans="1:18" x14ac:dyDescent="0.25">
      <c r="A256" s="1" t="s">
        <v>259</v>
      </c>
      <c r="B256" s="4"/>
      <c r="F256" s="3">
        <f>9%*Table1[[#This Row],[Cost ]]</f>
        <v>0</v>
      </c>
      <c r="J256" s="11">
        <f>SUMIF('Multi-level BOM'!C$3:C$464,Table1[[#This Row],[Part Number]],'Multi-level BOM'!F$3:F$464)</f>
        <v>0</v>
      </c>
      <c r="K256" s="11">
        <f>Table1[[#This Row],[extended quantity]]*(Table1[[#This Row],[Cost ]]+Table1[[#This Row],[shipping]]+Table1[[#This Row],[Tax]])</f>
        <v>0</v>
      </c>
      <c r="L256" s="11"/>
      <c r="M256" s="42"/>
      <c r="N256" s="53" t="e">
        <f>CEILING((Table1[[#This Row],[extended quantity]]-Table1[[#This Row],[quantity on-hand]])/Table1[[#This Row],[Minimum order quantity]],1)*Table1[[#This Row],[Minimum order quantity]]</f>
        <v>#DIV/0!</v>
      </c>
      <c r="O256" s="53" t="e">
        <f>Table1[[#This Row],[Order quantity]]+Table1[[#This Row],[quantity on-hand]]-Table1[[#This Row],[extended quantity]]</f>
        <v>#DIV/0!</v>
      </c>
      <c r="P256" s="11">
        <f>IFERROR(Table1[[#This Row],[Order quantity]]*(Table1[[#This Row],[Cost ]]+Table1[[#This Row],[shipping]]+Table1[[#This Row],[Tax]]),0)</f>
        <v>0</v>
      </c>
      <c r="Q256" s="38">
        <f>IFERROR(Table1[[#This Row],[leftover material]]*(Table1[[#This Row],[Cost ]]+Table1[[#This Row],[shipping]]+Table1[[#This Row],[Tax]]),0)</f>
        <v>0</v>
      </c>
      <c r="R256" s="38"/>
    </row>
    <row r="257" spans="1:18" x14ac:dyDescent="0.25">
      <c r="A257" s="1" t="s">
        <v>260</v>
      </c>
      <c r="B257" s="4"/>
      <c r="F257" s="3">
        <f>9%*Table1[[#This Row],[Cost ]]</f>
        <v>0</v>
      </c>
      <c r="J257" s="11">
        <f>SUMIF('Multi-level BOM'!C$3:C$464,Table1[[#This Row],[Part Number]],'Multi-level BOM'!F$3:F$464)</f>
        <v>0</v>
      </c>
      <c r="K257" s="11">
        <f>Table1[[#This Row],[extended quantity]]*(Table1[[#This Row],[Cost ]]+Table1[[#This Row],[shipping]]+Table1[[#This Row],[Tax]])</f>
        <v>0</v>
      </c>
      <c r="L257" s="11"/>
      <c r="M257" s="42"/>
      <c r="N257" s="53" t="e">
        <f>CEILING((Table1[[#This Row],[extended quantity]]-Table1[[#This Row],[quantity on-hand]])/Table1[[#This Row],[Minimum order quantity]],1)*Table1[[#This Row],[Minimum order quantity]]</f>
        <v>#DIV/0!</v>
      </c>
      <c r="O257" s="53" t="e">
        <f>Table1[[#This Row],[Order quantity]]+Table1[[#This Row],[quantity on-hand]]-Table1[[#This Row],[extended quantity]]</f>
        <v>#DIV/0!</v>
      </c>
      <c r="P257" s="11">
        <f>IFERROR(Table1[[#This Row],[Order quantity]]*(Table1[[#This Row],[Cost ]]+Table1[[#This Row],[shipping]]+Table1[[#This Row],[Tax]]),0)</f>
        <v>0</v>
      </c>
      <c r="Q257" s="38">
        <f>IFERROR(Table1[[#This Row],[leftover material]]*(Table1[[#This Row],[Cost ]]+Table1[[#This Row],[shipping]]+Table1[[#This Row],[Tax]]),0)</f>
        <v>0</v>
      </c>
      <c r="R257" s="38"/>
    </row>
    <row r="258" spans="1:18" x14ac:dyDescent="0.25">
      <c r="A258" s="1" t="s">
        <v>261</v>
      </c>
      <c r="B258" s="4"/>
      <c r="F258" s="3">
        <f>9%*Table1[[#This Row],[Cost ]]</f>
        <v>0</v>
      </c>
      <c r="J258" s="11">
        <f>SUMIF('Multi-level BOM'!C$3:C$464,Table1[[#This Row],[Part Number]],'Multi-level BOM'!F$3:F$464)</f>
        <v>0</v>
      </c>
      <c r="K258" s="11">
        <f>Table1[[#This Row],[extended quantity]]*(Table1[[#This Row],[Cost ]]+Table1[[#This Row],[shipping]]+Table1[[#This Row],[Tax]])</f>
        <v>0</v>
      </c>
      <c r="L258" s="11"/>
      <c r="M258" s="42"/>
      <c r="N258" s="53" t="e">
        <f>CEILING((Table1[[#This Row],[extended quantity]]-Table1[[#This Row],[quantity on-hand]])/Table1[[#This Row],[Minimum order quantity]],1)*Table1[[#This Row],[Minimum order quantity]]</f>
        <v>#DIV/0!</v>
      </c>
      <c r="O258" s="53" t="e">
        <f>Table1[[#This Row],[Order quantity]]+Table1[[#This Row],[quantity on-hand]]-Table1[[#This Row],[extended quantity]]</f>
        <v>#DIV/0!</v>
      </c>
      <c r="P258" s="11">
        <f>IFERROR(Table1[[#This Row],[Order quantity]]*(Table1[[#This Row],[Cost ]]+Table1[[#This Row],[shipping]]+Table1[[#This Row],[Tax]]),0)</f>
        <v>0</v>
      </c>
      <c r="Q258" s="38">
        <f>IFERROR(Table1[[#This Row],[leftover material]]*(Table1[[#This Row],[Cost ]]+Table1[[#This Row],[shipping]]+Table1[[#This Row],[Tax]]),0)</f>
        <v>0</v>
      </c>
      <c r="R258" s="38"/>
    </row>
    <row r="259" spans="1:18" x14ac:dyDescent="0.25">
      <c r="A259" s="1" t="s">
        <v>262</v>
      </c>
      <c r="B259" s="4"/>
      <c r="F259" s="3">
        <f>9%*Table1[[#This Row],[Cost ]]</f>
        <v>0</v>
      </c>
      <c r="J259" s="11">
        <f>SUMIF('Multi-level BOM'!C$3:C$464,Table1[[#This Row],[Part Number]],'Multi-level BOM'!F$3:F$464)</f>
        <v>0</v>
      </c>
      <c r="K259" s="11">
        <f>Table1[[#This Row],[extended quantity]]*(Table1[[#This Row],[Cost ]]+Table1[[#This Row],[shipping]]+Table1[[#This Row],[Tax]])</f>
        <v>0</v>
      </c>
      <c r="L259" s="11"/>
      <c r="M259" s="42"/>
      <c r="N259" s="53" t="e">
        <f>CEILING((Table1[[#This Row],[extended quantity]]-Table1[[#This Row],[quantity on-hand]])/Table1[[#This Row],[Minimum order quantity]],1)*Table1[[#This Row],[Minimum order quantity]]</f>
        <v>#DIV/0!</v>
      </c>
      <c r="O259" s="53" t="e">
        <f>Table1[[#This Row],[Order quantity]]+Table1[[#This Row],[quantity on-hand]]-Table1[[#This Row],[extended quantity]]</f>
        <v>#DIV/0!</v>
      </c>
      <c r="P259" s="11">
        <f>IFERROR(Table1[[#This Row],[Order quantity]]*(Table1[[#This Row],[Cost ]]+Table1[[#This Row],[shipping]]+Table1[[#This Row],[Tax]]),0)</f>
        <v>0</v>
      </c>
      <c r="Q259" s="38">
        <f>IFERROR(Table1[[#This Row],[leftover material]]*(Table1[[#This Row],[Cost ]]+Table1[[#This Row],[shipping]]+Table1[[#This Row],[Tax]]),0)</f>
        <v>0</v>
      </c>
      <c r="R259" s="38"/>
    </row>
    <row r="260" spans="1:18" x14ac:dyDescent="0.25">
      <c r="A260" s="1" t="s">
        <v>263</v>
      </c>
      <c r="B260" s="4"/>
      <c r="F260" s="3">
        <f>9%*Table1[[#This Row],[Cost ]]</f>
        <v>0</v>
      </c>
      <c r="J260" s="11">
        <f>SUMIF('Multi-level BOM'!C$3:C$464,Table1[[#This Row],[Part Number]],'Multi-level BOM'!F$3:F$464)</f>
        <v>0</v>
      </c>
      <c r="K260" s="11">
        <f>Table1[[#This Row],[extended quantity]]*(Table1[[#This Row],[Cost ]]+Table1[[#This Row],[shipping]]+Table1[[#This Row],[Tax]])</f>
        <v>0</v>
      </c>
      <c r="L260" s="11"/>
      <c r="M260" s="42"/>
      <c r="N260" s="53" t="e">
        <f>CEILING((Table1[[#This Row],[extended quantity]]-Table1[[#This Row],[quantity on-hand]])/Table1[[#This Row],[Minimum order quantity]],1)*Table1[[#This Row],[Minimum order quantity]]</f>
        <v>#DIV/0!</v>
      </c>
      <c r="O260" s="53" t="e">
        <f>Table1[[#This Row],[Order quantity]]+Table1[[#This Row],[quantity on-hand]]-Table1[[#This Row],[extended quantity]]</f>
        <v>#DIV/0!</v>
      </c>
      <c r="P260" s="11">
        <f>IFERROR(Table1[[#This Row],[Order quantity]]*(Table1[[#This Row],[Cost ]]+Table1[[#This Row],[shipping]]+Table1[[#This Row],[Tax]]),0)</f>
        <v>0</v>
      </c>
      <c r="Q260" s="38">
        <f>IFERROR(Table1[[#This Row],[leftover material]]*(Table1[[#This Row],[Cost ]]+Table1[[#This Row],[shipping]]+Table1[[#This Row],[Tax]]),0)</f>
        <v>0</v>
      </c>
      <c r="R260" s="38"/>
    </row>
    <row r="261" spans="1:18" x14ac:dyDescent="0.25">
      <c r="A261" s="1" t="s">
        <v>264</v>
      </c>
      <c r="B261" s="4"/>
      <c r="F261" s="3">
        <f>9%*Table1[[#This Row],[Cost ]]</f>
        <v>0</v>
      </c>
      <c r="J261" s="11">
        <f>SUMIF('Multi-level BOM'!C$3:C$464,Table1[[#This Row],[Part Number]],'Multi-level BOM'!F$3:F$464)</f>
        <v>0</v>
      </c>
      <c r="K261" s="11">
        <f>Table1[[#This Row],[extended quantity]]*(Table1[[#This Row],[Cost ]]+Table1[[#This Row],[shipping]]+Table1[[#This Row],[Tax]])</f>
        <v>0</v>
      </c>
      <c r="L261" s="11"/>
      <c r="M261" s="42"/>
      <c r="N261" s="53" t="e">
        <f>CEILING((Table1[[#This Row],[extended quantity]]-Table1[[#This Row],[quantity on-hand]])/Table1[[#This Row],[Minimum order quantity]],1)*Table1[[#This Row],[Minimum order quantity]]</f>
        <v>#DIV/0!</v>
      </c>
      <c r="O261" s="53" t="e">
        <f>Table1[[#This Row],[Order quantity]]+Table1[[#This Row],[quantity on-hand]]-Table1[[#This Row],[extended quantity]]</f>
        <v>#DIV/0!</v>
      </c>
      <c r="P261" s="11">
        <f>IFERROR(Table1[[#This Row],[Order quantity]]*(Table1[[#This Row],[Cost ]]+Table1[[#This Row],[shipping]]+Table1[[#This Row],[Tax]]),0)</f>
        <v>0</v>
      </c>
      <c r="Q261" s="38">
        <f>IFERROR(Table1[[#This Row],[leftover material]]*(Table1[[#This Row],[Cost ]]+Table1[[#This Row],[shipping]]+Table1[[#This Row],[Tax]]),0)</f>
        <v>0</v>
      </c>
      <c r="R261" s="38"/>
    </row>
    <row r="262" spans="1:18" x14ac:dyDescent="0.25">
      <c r="A262" s="1" t="s">
        <v>265</v>
      </c>
      <c r="B262" s="4"/>
      <c r="F262" s="3">
        <f>9%*Table1[[#This Row],[Cost ]]</f>
        <v>0</v>
      </c>
      <c r="J262" s="11">
        <f>SUMIF('Multi-level BOM'!C$3:C$464,Table1[[#This Row],[Part Number]],'Multi-level BOM'!F$3:F$464)</f>
        <v>0</v>
      </c>
      <c r="K262" s="11">
        <f>Table1[[#This Row],[extended quantity]]*(Table1[[#This Row],[Cost ]]+Table1[[#This Row],[shipping]]+Table1[[#This Row],[Tax]])</f>
        <v>0</v>
      </c>
      <c r="L262" s="11"/>
      <c r="M262" s="42"/>
      <c r="N262" s="53" t="e">
        <f>CEILING((Table1[[#This Row],[extended quantity]]-Table1[[#This Row],[quantity on-hand]])/Table1[[#This Row],[Minimum order quantity]],1)*Table1[[#This Row],[Minimum order quantity]]</f>
        <v>#DIV/0!</v>
      </c>
      <c r="O262" s="53" t="e">
        <f>Table1[[#This Row],[Order quantity]]+Table1[[#This Row],[quantity on-hand]]-Table1[[#This Row],[extended quantity]]</f>
        <v>#DIV/0!</v>
      </c>
      <c r="P262" s="11">
        <f>IFERROR(Table1[[#This Row],[Order quantity]]*(Table1[[#This Row],[Cost ]]+Table1[[#This Row],[shipping]]+Table1[[#This Row],[Tax]]),0)</f>
        <v>0</v>
      </c>
      <c r="Q262" s="38">
        <f>IFERROR(Table1[[#This Row],[leftover material]]*(Table1[[#This Row],[Cost ]]+Table1[[#This Row],[shipping]]+Table1[[#This Row],[Tax]]),0)</f>
        <v>0</v>
      </c>
      <c r="R262" s="38"/>
    </row>
    <row r="263" spans="1:18" x14ac:dyDescent="0.25">
      <c r="A263" s="1" t="s">
        <v>266</v>
      </c>
      <c r="B263" s="4"/>
      <c r="F263" s="3">
        <f>9%*Table1[[#This Row],[Cost ]]</f>
        <v>0</v>
      </c>
      <c r="J263" s="11">
        <f>SUMIF('Multi-level BOM'!C$3:C$464,Table1[[#This Row],[Part Number]],'Multi-level BOM'!F$3:F$464)</f>
        <v>0</v>
      </c>
      <c r="K263" s="11">
        <f>Table1[[#This Row],[extended quantity]]*(Table1[[#This Row],[Cost ]]+Table1[[#This Row],[shipping]]+Table1[[#This Row],[Tax]])</f>
        <v>0</v>
      </c>
      <c r="L263" s="11"/>
      <c r="M263" s="42"/>
      <c r="N263" s="53" t="e">
        <f>CEILING((Table1[[#This Row],[extended quantity]]-Table1[[#This Row],[quantity on-hand]])/Table1[[#This Row],[Minimum order quantity]],1)*Table1[[#This Row],[Minimum order quantity]]</f>
        <v>#DIV/0!</v>
      </c>
      <c r="O263" s="53" t="e">
        <f>Table1[[#This Row],[Order quantity]]+Table1[[#This Row],[quantity on-hand]]-Table1[[#This Row],[extended quantity]]</f>
        <v>#DIV/0!</v>
      </c>
      <c r="P263" s="11">
        <f>IFERROR(Table1[[#This Row],[Order quantity]]*(Table1[[#This Row],[Cost ]]+Table1[[#This Row],[shipping]]+Table1[[#This Row],[Tax]]),0)</f>
        <v>0</v>
      </c>
      <c r="Q263" s="38">
        <f>IFERROR(Table1[[#This Row],[leftover material]]*(Table1[[#This Row],[Cost ]]+Table1[[#This Row],[shipping]]+Table1[[#This Row],[Tax]]),0)</f>
        <v>0</v>
      </c>
      <c r="R263" s="38"/>
    </row>
    <row r="264" spans="1:18" x14ac:dyDescent="0.25">
      <c r="A264" s="1" t="s">
        <v>267</v>
      </c>
      <c r="B264" s="4"/>
      <c r="F264" s="3">
        <f>9%*Table1[[#This Row],[Cost ]]</f>
        <v>0</v>
      </c>
      <c r="J264" s="11">
        <f>SUMIF('Multi-level BOM'!C$3:C$464,Table1[[#This Row],[Part Number]],'Multi-level BOM'!F$3:F$464)</f>
        <v>0</v>
      </c>
      <c r="K264" s="11">
        <f>Table1[[#This Row],[extended quantity]]*(Table1[[#This Row],[Cost ]]+Table1[[#This Row],[shipping]]+Table1[[#This Row],[Tax]])</f>
        <v>0</v>
      </c>
      <c r="L264" s="11"/>
      <c r="M264" s="42"/>
      <c r="N264" s="53" t="e">
        <f>CEILING((Table1[[#This Row],[extended quantity]]-Table1[[#This Row],[quantity on-hand]])/Table1[[#This Row],[Minimum order quantity]],1)*Table1[[#This Row],[Minimum order quantity]]</f>
        <v>#DIV/0!</v>
      </c>
      <c r="O264" s="53" t="e">
        <f>Table1[[#This Row],[Order quantity]]+Table1[[#This Row],[quantity on-hand]]-Table1[[#This Row],[extended quantity]]</f>
        <v>#DIV/0!</v>
      </c>
      <c r="P264" s="11">
        <f>IFERROR(Table1[[#This Row],[Order quantity]]*(Table1[[#This Row],[Cost ]]+Table1[[#This Row],[shipping]]+Table1[[#This Row],[Tax]]),0)</f>
        <v>0</v>
      </c>
      <c r="Q264" s="38">
        <f>IFERROR(Table1[[#This Row],[leftover material]]*(Table1[[#This Row],[Cost ]]+Table1[[#This Row],[shipping]]+Table1[[#This Row],[Tax]]),0)</f>
        <v>0</v>
      </c>
      <c r="R264" s="38"/>
    </row>
    <row r="265" spans="1:18" x14ac:dyDescent="0.25">
      <c r="A265" s="1" t="s">
        <v>268</v>
      </c>
      <c r="B265" s="4"/>
      <c r="F265" s="3">
        <f>9%*Table1[[#This Row],[Cost ]]</f>
        <v>0</v>
      </c>
      <c r="J265" s="11">
        <f>SUMIF('Multi-level BOM'!C$3:C$464,Table1[[#This Row],[Part Number]],'Multi-level BOM'!F$3:F$464)</f>
        <v>0</v>
      </c>
      <c r="K265" s="11">
        <f>Table1[[#This Row],[extended quantity]]*(Table1[[#This Row],[Cost ]]+Table1[[#This Row],[shipping]]+Table1[[#This Row],[Tax]])</f>
        <v>0</v>
      </c>
      <c r="L265" s="11"/>
      <c r="M265" s="42"/>
      <c r="N265" s="53" t="e">
        <f>CEILING((Table1[[#This Row],[extended quantity]]-Table1[[#This Row],[quantity on-hand]])/Table1[[#This Row],[Minimum order quantity]],1)*Table1[[#This Row],[Minimum order quantity]]</f>
        <v>#DIV/0!</v>
      </c>
      <c r="O265" s="53" t="e">
        <f>Table1[[#This Row],[Order quantity]]+Table1[[#This Row],[quantity on-hand]]-Table1[[#This Row],[extended quantity]]</f>
        <v>#DIV/0!</v>
      </c>
      <c r="P265" s="11">
        <f>IFERROR(Table1[[#This Row],[Order quantity]]*(Table1[[#This Row],[Cost ]]+Table1[[#This Row],[shipping]]+Table1[[#This Row],[Tax]]),0)</f>
        <v>0</v>
      </c>
      <c r="Q265" s="38">
        <f>IFERROR(Table1[[#This Row],[leftover material]]*(Table1[[#This Row],[Cost ]]+Table1[[#This Row],[shipping]]+Table1[[#This Row],[Tax]]),0)</f>
        <v>0</v>
      </c>
      <c r="R265" s="38"/>
    </row>
    <row r="266" spans="1:18" x14ac:dyDescent="0.25">
      <c r="A266" s="1" t="s">
        <v>269</v>
      </c>
      <c r="B266" s="4"/>
      <c r="F266" s="3">
        <f>9%*Table1[[#This Row],[Cost ]]</f>
        <v>0</v>
      </c>
      <c r="J266" s="11">
        <f>SUMIF('Multi-level BOM'!C$3:C$464,Table1[[#This Row],[Part Number]],'Multi-level BOM'!F$3:F$464)</f>
        <v>0</v>
      </c>
      <c r="K266" s="11">
        <f>Table1[[#This Row],[extended quantity]]*(Table1[[#This Row],[Cost ]]+Table1[[#This Row],[shipping]]+Table1[[#This Row],[Tax]])</f>
        <v>0</v>
      </c>
      <c r="L266" s="11"/>
      <c r="M266" s="42"/>
      <c r="N266" s="53" t="e">
        <f>CEILING((Table1[[#This Row],[extended quantity]]-Table1[[#This Row],[quantity on-hand]])/Table1[[#This Row],[Minimum order quantity]],1)*Table1[[#This Row],[Minimum order quantity]]</f>
        <v>#DIV/0!</v>
      </c>
      <c r="O266" s="53" t="e">
        <f>Table1[[#This Row],[Order quantity]]+Table1[[#This Row],[quantity on-hand]]-Table1[[#This Row],[extended quantity]]</f>
        <v>#DIV/0!</v>
      </c>
      <c r="P266" s="11">
        <f>IFERROR(Table1[[#This Row],[Order quantity]]*(Table1[[#This Row],[Cost ]]+Table1[[#This Row],[shipping]]+Table1[[#This Row],[Tax]]),0)</f>
        <v>0</v>
      </c>
      <c r="Q266" s="38">
        <f>IFERROR(Table1[[#This Row],[leftover material]]*(Table1[[#This Row],[Cost ]]+Table1[[#This Row],[shipping]]+Table1[[#This Row],[Tax]]),0)</f>
        <v>0</v>
      </c>
      <c r="R266" s="38"/>
    </row>
    <row r="267" spans="1:18" x14ac:dyDescent="0.25">
      <c r="A267" s="1" t="s">
        <v>270</v>
      </c>
      <c r="B267" s="4"/>
      <c r="F267" s="3">
        <f>9%*Table1[[#This Row],[Cost ]]</f>
        <v>0</v>
      </c>
      <c r="J267" s="11">
        <f>SUMIF('Multi-level BOM'!C$3:C$464,Table1[[#This Row],[Part Number]],'Multi-level BOM'!F$3:F$464)</f>
        <v>0</v>
      </c>
      <c r="K267" s="11">
        <f>Table1[[#This Row],[extended quantity]]*(Table1[[#This Row],[Cost ]]+Table1[[#This Row],[shipping]]+Table1[[#This Row],[Tax]])</f>
        <v>0</v>
      </c>
      <c r="L267" s="11"/>
      <c r="M267" s="42"/>
      <c r="N267" s="53" t="e">
        <f>CEILING((Table1[[#This Row],[extended quantity]]-Table1[[#This Row],[quantity on-hand]])/Table1[[#This Row],[Minimum order quantity]],1)*Table1[[#This Row],[Minimum order quantity]]</f>
        <v>#DIV/0!</v>
      </c>
      <c r="O267" s="53" t="e">
        <f>Table1[[#This Row],[Order quantity]]+Table1[[#This Row],[quantity on-hand]]-Table1[[#This Row],[extended quantity]]</f>
        <v>#DIV/0!</v>
      </c>
      <c r="P267" s="11">
        <f>IFERROR(Table1[[#This Row],[Order quantity]]*(Table1[[#This Row],[Cost ]]+Table1[[#This Row],[shipping]]+Table1[[#This Row],[Tax]]),0)</f>
        <v>0</v>
      </c>
      <c r="Q267" s="38">
        <f>IFERROR(Table1[[#This Row],[leftover material]]*(Table1[[#This Row],[Cost ]]+Table1[[#This Row],[shipping]]+Table1[[#This Row],[Tax]]),0)</f>
        <v>0</v>
      </c>
      <c r="R267" s="38"/>
    </row>
    <row r="268" spans="1:18" x14ac:dyDescent="0.25">
      <c r="A268" s="1" t="s">
        <v>271</v>
      </c>
      <c r="B268" s="4"/>
      <c r="F268" s="3">
        <f>9%*Table1[[#This Row],[Cost ]]</f>
        <v>0</v>
      </c>
      <c r="J268" s="11">
        <f>SUMIF('Multi-level BOM'!C$3:C$464,Table1[[#This Row],[Part Number]],'Multi-level BOM'!F$3:F$464)</f>
        <v>0</v>
      </c>
      <c r="K268" s="11">
        <f>Table1[[#This Row],[extended quantity]]*(Table1[[#This Row],[Cost ]]+Table1[[#This Row],[shipping]]+Table1[[#This Row],[Tax]])</f>
        <v>0</v>
      </c>
      <c r="L268" s="11"/>
      <c r="M268" s="42"/>
      <c r="N268" s="53" t="e">
        <f>CEILING((Table1[[#This Row],[extended quantity]]-Table1[[#This Row],[quantity on-hand]])/Table1[[#This Row],[Minimum order quantity]],1)*Table1[[#This Row],[Minimum order quantity]]</f>
        <v>#DIV/0!</v>
      </c>
      <c r="O268" s="53" t="e">
        <f>Table1[[#This Row],[Order quantity]]+Table1[[#This Row],[quantity on-hand]]-Table1[[#This Row],[extended quantity]]</f>
        <v>#DIV/0!</v>
      </c>
      <c r="P268" s="11">
        <f>IFERROR(Table1[[#This Row],[Order quantity]]*(Table1[[#This Row],[Cost ]]+Table1[[#This Row],[shipping]]+Table1[[#This Row],[Tax]]),0)</f>
        <v>0</v>
      </c>
      <c r="Q268" s="38">
        <f>IFERROR(Table1[[#This Row],[leftover material]]*(Table1[[#This Row],[Cost ]]+Table1[[#This Row],[shipping]]+Table1[[#This Row],[Tax]]),0)</f>
        <v>0</v>
      </c>
      <c r="R268" s="38"/>
    </row>
    <row r="269" spans="1:18" x14ac:dyDescent="0.25">
      <c r="A269" s="1" t="s">
        <v>272</v>
      </c>
      <c r="B269" s="4"/>
      <c r="F269" s="3">
        <f>9%*Table1[[#This Row],[Cost ]]</f>
        <v>0</v>
      </c>
      <c r="J269" s="11">
        <f>SUMIF('Multi-level BOM'!C$3:C$464,Table1[[#This Row],[Part Number]],'Multi-level BOM'!F$3:F$464)</f>
        <v>0</v>
      </c>
      <c r="K269" s="11">
        <f>Table1[[#This Row],[extended quantity]]*(Table1[[#This Row],[Cost ]]+Table1[[#This Row],[shipping]]+Table1[[#This Row],[Tax]])</f>
        <v>0</v>
      </c>
      <c r="L269" s="11"/>
      <c r="M269" s="42"/>
      <c r="N269" s="53" t="e">
        <f>CEILING((Table1[[#This Row],[extended quantity]]-Table1[[#This Row],[quantity on-hand]])/Table1[[#This Row],[Minimum order quantity]],1)*Table1[[#This Row],[Minimum order quantity]]</f>
        <v>#DIV/0!</v>
      </c>
      <c r="O269" s="53" t="e">
        <f>Table1[[#This Row],[Order quantity]]+Table1[[#This Row],[quantity on-hand]]-Table1[[#This Row],[extended quantity]]</f>
        <v>#DIV/0!</v>
      </c>
      <c r="P269" s="11">
        <f>IFERROR(Table1[[#This Row],[Order quantity]]*(Table1[[#This Row],[Cost ]]+Table1[[#This Row],[shipping]]+Table1[[#This Row],[Tax]]),0)</f>
        <v>0</v>
      </c>
      <c r="Q269" s="38">
        <f>IFERROR(Table1[[#This Row],[leftover material]]*(Table1[[#This Row],[Cost ]]+Table1[[#This Row],[shipping]]+Table1[[#This Row],[Tax]]),0)</f>
        <v>0</v>
      </c>
      <c r="R269" s="38"/>
    </row>
    <row r="270" spans="1:18" x14ac:dyDescent="0.25">
      <c r="A270" s="1" t="s">
        <v>273</v>
      </c>
      <c r="B270" s="4"/>
      <c r="F270" s="3">
        <f>9%*Table1[[#This Row],[Cost ]]</f>
        <v>0</v>
      </c>
      <c r="J270" s="11">
        <f>SUMIF('Multi-level BOM'!C$3:C$464,Table1[[#This Row],[Part Number]],'Multi-level BOM'!F$3:F$464)</f>
        <v>0</v>
      </c>
      <c r="K270" s="11">
        <f>Table1[[#This Row],[extended quantity]]*(Table1[[#This Row],[Cost ]]+Table1[[#This Row],[shipping]]+Table1[[#This Row],[Tax]])</f>
        <v>0</v>
      </c>
      <c r="L270" s="11"/>
      <c r="M270" s="42"/>
      <c r="N270" s="53" t="e">
        <f>CEILING((Table1[[#This Row],[extended quantity]]-Table1[[#This Row],[quantity on-hand]])/Table1[[#This Row],[Minimum order quantity]],1)*Table1[[#This Row],[Minimum order quantity]]</f>
        <v>#DIV/0!</v>
      </c>
      <c r="O270" s="53" t="e">
        <f>Table1[[#This Row],[Order quantity]]+Table1[[#This Row],[quantity on-hand]]-Table1[[#This Row],[extended quantity]]</f>
        <v>#DIV/0!</v>
      </c>
      <c r="P270" s="11">
        <f>IFERROR(Table1[[#This Row],[Order quantity]]*(Table1[[#This Row],[Cost ]]+Table1[[#This Row],[shipping]]+Table1[[#This Row],[Tax]]),0)</f>
        <v>0</v>
      </c>
      <c r="Q270" s="38">
        <f>IFERROR(Table1[[#This Row],[leftover material]]*(Table1[[#This Row],[Cost ]]+Table1[[#This Row],[shipping]]+Table1[[#This Row],[Tax]]),0)</f>
        <v>0</v>
      </c>
      <c r="R270" s="38"/>
    </row>
    <row r="271" spans="1:18" x14ac:dyDescent="0.25">
      <c r="A271" s="1" t="s">
        <v>274</v>
      </c>
      <c r="B271" s="4"/>
      <c r="F271" s="3">
        <f>9%*Table1[[#This Row],[Cost ]]</f>
        <v>0</v>
      </c>
      <c r="J271" s="11">
        <f>SUMIF('Multi-level BOM'!C$3:C$464,Table1[[#This Row],[Part Number]],'Multi-level BOM'!F$3:F$464)</f>
        <v>0</v>
      </c>
      <c r="K271" s="11">
        <f>Table1[[#This Row],[extended quantity]]*(Table1[[#This Row],[Cost ]]+Table1[[#This Row],[shipping]]+Table1[[#This Row],[Tax]])</f>
        <v>0</v>
      </c>
      <c r="L271" s="11"/>
      <c r="M271" s="42"/>
      <c r="N271" s="53" t="e">
        <f>CEILING((Table1[[#This Row],[extended quantity]]-Table1[[#This Row],[quantity on-hand]])/Table1[[#This Row],[Minimum order quantity]],1)*Table1[[#This Row],[Minimum order quantity]]</f>
        <v>#DIV/0!</v>
      </c>
      <c r="O271" s="53" t="e">
        <f>Table1[[#This Row],[Order quantity]]+Table1[[#This Row],[quantity on-hand]]-Table1[[#This Row],[extended quantity]]</f>
        <v>#DIV/0!</v>
      </c>
      <c r="P271" s="11">
        <f>IFERROR(Table1[[#This Row],[Order quantity]]*(Table1[[#This Row],[Cost ]]+Table1[[#This Row],[shipping]]+Table1[[#This Row],[Tax]]),0)</f>
        <v>0</v>
      </c>
      <c r="Q271" s="38">
        <f>IFERROR(Table1[[#This Row],[leftover material]]*(Table1[[#This Row],[Cost ]]+Table1[[#This Row],[shipping]]+Table1[[#This Row],[Tax]]),0)</f>
        <v>0</v>
      </c>
      <c r="R271" s="38"/>
    </row>
    <row r="272" spans="1:18" x14ac:dyDescent="0.25">
      <c r="A272" s="1" t="s">
        <v>275</v>
      </c>
      <c r="B272" s="4"/>
      <c r="F272" s="3">
        <f>9%*Table1[[#This Row],[Cost ]]</f>
        <v>0</v>
      </c>
      <c r="J272" s="11">
        <f>SUMIF('Multi-level BOM'!C$3:C$464,Table1[[#This Row],[Part Number]],'Multi-level BOM'!F$3:F$464)</f>
        <v>0</v>
      </c>
      <c r="K272" s="11">
        <f>Table1[[#This Row],[extended quantity]]*(Table1[[#This Row],[Cost ]]+Table1[[#This Row],[shipping]]+Table1[[#This Row],[Tax]])</f>
        <v>0</v>
      </c>
      <c r="L272" s="11"/>
      <c r="M272" s="42"/>
      <c r="N272" s="53" t="e">
        <f>CEILING((Table1[[#This Row],[extended quantity]]-Table1[[#This Row],[quantity on-hand]])/Table1[[#This Row],[Minimum order quantity]],1)*Table1[[#This Row],[Minimum order quantity]]</f>
        <v>#DIV/0!</v>
      </c>
      <c r="O272" s="53" t="e">
        <f>Table1[[#This Row],[Order quantity]]+Table1[[#This Row],[quantity on-hand]]-Table1[[#This Row],[extended quantity]]</f>
        <v>#DIV/0!</v>
      </c>
      <c r="P272" s="11">
        <f>IFERROR(Table1[[#This Row],[Order quantity]]*(Table1[[#This Row],[Cost ]]+Table1[[#This Row],[shipping]]+Table1[[#This Row],[Tax]]),0)</f>
        <v>0</v>
      </c>
      <c r="Q272" s="38">
        <f>IFERROR(Table1[[#This Row],[leftover material]]*(Table1[[#This Row],[Cost ]]+Table1[[#This Row],[shipping]]+Table1[[#This Row],[Tax]]),0)</f>
        <v>0</v>
      </c>
      <c r="R272" s="38"/>
    </row>
    <row r="273" spans="1:18" x14ac:dyDescent="0.25">
      <c r="A273" s="1" t="s">
        <v>276</v>
      </c>
      <c r="B273" s="4"/>
      <c r="F273" s="3">
        <f>9%*Table1[[#This Row],[Cost ]]</f>
        <v>0</v>
      </c>
      <c r="J273" s="11">
        <f>SUMIF('Multi-level BOM'!C$3:C$464,Table1[[#This Row],[Part Number]],'Multi-level BOM'!F$3:F$464)</f>
        <v>0</v>
      </c>
      <c r="K273" s="11">
        <f>Table1[[#This Row],[extended quantity]]*(Table1[[#This Row],[Cost ]]+Table1[[#This Row],[shipping]]+Table1[[#This Row],[Tax]])</f>
        <v>0</v>
      </c>
      <c r="L273" s="11"/>
      <c r="M273" s="42"/>
      <c r="N273" s="53" t="e">
        <f>CEILING((Table1[[#This Row],[extended quantity]]-Table1[[#This Row],[quantity on-hand]])/Table1[[#This Row],[Minimum order quantity]],1)*Table1[[#This Row],[Minimum order quantity]]</f>
        <v>#DIV/0!</v>
      </c>
      <c r="O273" s="53" t="e">
        <f>Table1[[#This Row],[Order quantity]]+Table1[[#This Row],[quantity on-hand]]-Table1[[#This Row],[extended quantity]]</f>
        <v>#DIV/0!</v>
      </c>
      <c r="P273" s="11">
        <f>IFERROR(Table1[[#This Row],[Order quantity]]*(Table1[[#This Row],[Cost ]]+Table1[[#This Row],[shipping]]+Table1[[#This Row],[Tax]]),0)</f>
        <v>0</v>
      </c>
      <c r="Q273" s="38">
        <f>IFERROR(Table1[[#This Row],[leftover material]]*(Table1[[#This Row],[Cost ]]+Table1[[#This Row],[shipping]]+Table1[[#This Row],[Tax]]),0)</f>
        <v>0</v>
      </c>
      <c r="R273" s="38"/>
    </row>
    <row r="274" spans="1:18" x14ac:dyDescent="0.25">
      <c r="A274" s="1" t="s">
        <v>277</v>
      </c>
      <c r="B274" s="4"/>
      <c r="F274" s="3">
        <f>9%*Table1[[#This Row],[Cost ]]</f>
        <v>0</v>
      </c>
      <c r="J274" s="11">
        <f>SUMIF('Multi-level BOM'!C$3:C$464,Table1[[#This Row],[Part Number]],'Multi-level BOM'!F$3:F$464)</f>
        <v>0</v>
      </c>
      <c r="K274" s="11">
        <f>Table1[[#This Row],[extended quantity]]*(Table1[[#This Row],[Cost ]]+Table1[[#This Row],[shipping]]+Table1[[#This Row],[Tax]])</f>
        <v>0</v>
      </c>
      <c r="L274" s="11"/>
      <c r="M274" s="42"/>
      <c r="N274" s="53" t="e">
        <f>CEILING((Table1[[#This Row],[extended quantity]]-Table1[[#This Row],[quantity on-hand]])/Table1[[#This Row],[Minimum order quantity]],1)*Table1[[#This Row],[Minimum order quantity]]</f>
        <v>#DIV/0!</v>
      </c>
      <c r="O274" s="53" t="e">
        <f>Table1[[#This Row],[Order quantity]]+Table1[[#This Row],[quantity on-hand]]-Table1[[#This Row],[extended quantity]]</f>
        <v>#DIV/0!</v>
      </c>
      <c r="P274" s="11">
        <f>IFERROR(Table1[[#This Row],[Order quantity]]*(Table1[[#This Row],[Cost ]]+Table1[[#This Row],[shipping]]+Table1[[#This Row],[Tax]]),0)</f>
        <v>0</v>
      </c>
      <c r="Q274" s="38">
        <f>IFERROR(Table1[[#This Row],[leftover material]]*(Table1[[#This Row],[Cost ]]+Table1[[#This Row],[shipping]]+Table1[[#This Row],[Tax]]),0)</f>
        <v>0</v>
      </c>
      <c r="R274" s="38"/>
    </row>
    <row r="275" spans="1:18" x14ac:dyDescent="0.25">
      <c r="A275" s="1" t="s">
        <v>278</v>
      </c>
      <c r="B275" s="4"/>
      <c r="F275" s="3">
        <f>9%*Table1[[#This Row],[Cost ]]</f>
        <v>0</v>
      </c>
      <c r="J275" s="11">
        <f>SUMIF('Multi-level BOM'!C$3:C$464,Table1[[#This Row],[Part Number]],'Multi-level BOM'!F$3:F$464)</f>
        <v>0</v>
      </c>
      <c r="K275" s="11">
        <f>Table1[[#This Row],[extended quantity]]*(Table1[[#This Row],[Cost ]]+Table1[[#This Row],[shipping]]+Table1[[#This Row],[Tax]])</f>
        <v>0</v>
      </c>
      <c r="L275" s="11"/>
      <c r="M275" s="42"/>
      <c r="N275" s="53" t="e">
        <f>CEILING((Table1[[#This Row],[extended quantity]]-Table1[[#This Row],[quantity on-hand]])/Table1[[#This Row],[Minimum order quantity]],1)*Table1[[#This Row],[Minimum order quantity]]</f>
        <v>#DIV/0!</v>
      </c>
      <c r="O275" s="53" t="e">
        <f>Table1[[#This Row],[Order quantity]]+Table1[[#This Row],[quantity on-hand]]-Table1[[#This Row],[extended quantity]]</f>
        <v>#DIV/0!</v>
      </c>
      <c r="P275" s="11">
        <f>IFERROR(Table1[[#This Row],[Order quantity]]*(Table1[[#This Row],[Cost ]]+Table1[[#This Row],[shipping]]+Table1[[#This Row],[Tax]]),0)</f>
        <v>0</v>
      </c>
      <c r="Q275" s="38">
        <f>IFERROR(Table1[[#This Row],[leftover material]]*(Table1[[#This Row],[Cost ]]+Table1[[#This Row],[shipping]]+Table1[[#This Row],[Tax]]),0)</f>
        <v>0</v>
      </c>
      <c r="R275" s="38"/>
    </row>
    <row r="276" spans="1:18" x14ac:dyDescent="0.25">
      <c r="A276" s="1" t="s">
        <v>279</v>
      </c>
      <c r="B276" s="4"/>
      <c r="F276" s="3">
        <f>9%*Table1[[#This Row],[Cost ]]</f>
        <v>0</v>
      </c>
      <c r="J276" s="11">
        <f>SUMIF('Multi-level BOM'!C$3:C$464,Table1[[#This Row],[Part Number]],'Multi-level BOM'!F$3:F$464)</f>
        <v>0</v>
      </c>
      <c r="K276" s="11">
        <f>Table1[[#This Row],[extended quantity]]*(Table1[[#This Row],[Cost ]]+Table1[[#This Row],[shipping]]+Table1[[#This Row],[Tax]])</f>
        <v>0</v>
      </c>
      <c r="L276" s="11"/>
      <c r="M276" s="42"/>
      <c r="N276" s="53" t="e">
        <f>CEILING((Table1[[#This Row],[extended quantity]]-Table1[[#This Row],[quantity on-hand]])/Table1[[#This Row],[Minimum order quantity]],1)*Table1[[#This Row],[Minimum order quantity]]</f>
        <v>#DIV/0!</v>
      </c>
      <c r="O276" s="53" t="e">
        <f>Table1[[#This Row],[Order quantity]]+Table1[[#This Row],[quantity on-hand]]-Table1[[#This Row],[extended quantity]]</f>
        <v>#DIV/0!</v>
      </c>
      <c r="P276" s="11">
        <f>IFERROR(Table1[[#This Row],[Order quantity]]*(Table1[[#This Row],[Cost ]]+Table1[[#This Row],[shipping]]+Table1[[#This Row],[Tax]]),0)</f>
        <v>0</v>
      </c>
      <c r="Q276" s="38">
        <f>IFERROR(Table1[[#This Row],[leftover material]]*(Table1[[#This Row],[Cost ]]+Table1[[#This Row],[shipping]]+Table1[[#This Row],[Tax]]),0)</f>
        <v>0</v>
      </c>
      <c r="R276" s="38"/>
    </row>
    <row r="277" spans="1:18" x14ac:dyDescent="0.25">
      <c r="A277" s="1" t="s">
        <v>280</v>
      </c>
      <c r="B277" s="4"/>
      <c r="F277" s="3">
        <f>9%*Table1[[#This Row],[Cost ]]</f>
        <v>0</v>
      </c>
      <c r="J277" s="11">
        <f>SUMIF('Multi-level BOM'!C$3:C$464,Table1[[#This Row],[Part Number]],'Multi-level BOM'!F$3:F$464)</f>
        <v>0</v>
      </c>
      <c r="K277" s="11">
        <f>Table1[[#This Row],[extended quantity]]*(Table1[[#This Row],[Cost ]]+Table1[[#This Row],[shipping]]+Table1[[#This Row],[Tax]])</f>
        <v>0</v>
      </c>
      <c r="L277" s="11"/>
      <c r="M277" s="42"/>
      <c r="N277" s="53" t="e">
        <f>CEILING((Table1[[#This Row],[extended quantity]]-Table1[[#This Row],[quantity on-hand]])/Table1[[#This Row],[Minimum order quantity]],1)*Table1[[#This Row],[Minimum order quantity]]</f>
        <v>#DIV/0!</v>
      </c>
      <c r="O277" s="53" t="e">
        <f>Table1[[#This Row],[Order quantity]]+Table1[[#This Row],[quantity on-hand]]-Table1[[#This Row],[extended quantity]]</f>
        <v>#DIV/0!</v>
      </c>
      <c r="P277" s="11">
        <f>IFERROR(Table1[[#This Row],[Order quantity]]*(Table1[[#This Row],[Cost ]]+Table1[[#This Row],[shipping]]+Table1[[#This Row],[Tax]]),0)</f>
        <v>0</v>
      </c>
      <c r="Q277" s="38">
        <f>IFERROR(Table1[[#This Row],[leftover material]]*(Table1[[#This Row],[Cost ]]+Table1[[#This Row],[shipping]]+Table1[[#This Row],[Tax]]),0)</f>
        <v>0</v>
      </c>
      <c r="R277" s="38"/>
    </row>
    <row r="278" spans="1:18" x14ac:dyDescent="0.25">
      <c r="A278" s="1" t="s">
        <v>281</v>
      </c>
      <c r="B278" s="4"/>
      <c r="F278" s="3">
        <f>9%*Table1[[#This Row],[Cost ]]</f>
        <v>0</v>
      </c>
      <c r="J278" s="11">
        <f>SUMIF('Multi-level BOM'!C$3:C$464,Table1[[#This Row],[Part Number]],'Multi-level BOM'!F$3:F$464)</f>
        <v>0</v>
      </c>
      <c r="K278" s="11">
        <f>Table1[[#This Row],[extended quantity]]*(Table1[[#This Row],[Cost ]]+Table1[[#This Row],[shipping]]+Table1[[#This Row],[Tax]])</f>
        <v>0</v>
      </c>
      <c r="L278" s="11"/>
      <c r="M278" s="42"/>
      <c r="N278" s="53" t="e">
        <f>CEILING((Table1[[#This Row],[extended quantity]]-Table1[[#This Row],[quantity on-hand]])/Table1[[#This Row],[Minimum order quantity]],1)*Table1[[#This Row],[Minimum order quantity]]</f>
        <v>#DIV/0!</v>
      </c>
      <c r="O278" s="53" t="e">
        <f>Table1[[#This Row],[Order quantity]]+Table1[[#This Row],[quantity on-hand]]-Table1[[#This Row],[extended quantity]]</f>
        <v>#DIV/0!</v>
      </c>
      <c r="P278" s="11">
        <f>IFERROR(Table1[[#This Row],[Order quantity]]*(Table1[[#This Row],[Cost ]]+Table1[[#This Row],[shipping]]+Table1[[#This Row],[Tax]]),0)</f>
        <v>0</v>
      </c>
      <c r="Q278" s="38">
        <f>IFERROR(Table1[[#This Row],[leftover material]]*(Table1[[#This Row],[Cost ]]+Table1[[#This Row],[shipping]]+Table1[[#This Row],[Tax]]),0)</f>
        <v>0</v>
      </c>
      <c r="R278" s="38"/>
    </row>
    <row r="279" spans="1:18" x14ac:dyDescent="0.25">
      <c r="A279" s="1" t="s">
        <v>282</v>
      </c>
      <c r="B279" s="4"/>
      <c r="F279" s="3">
        <f>9%*Table1[[#This Row],[Cost ]]</f>
        <v>0</v>
      </c>
      <c r="J279" s="11">
        <f>SUMIF('Multi-level BOM'!C$3:C$464,Table1[[#This Row],[Part Number]],'Multi-level BOM'!F$3:F$464)</f>
        <v>0</v>
      </c>
      <c r="K279" s="11">
        <f>Table1[[#This Row],[extended quantity]]*(Table1[[#This Row],[Cost ]]+Table1[[#This Row],[shipping]]+Table1[[#This Row],[Tax]])</f>
        <v>0</v>
      </c>
      <c r="L279" s="11"/>
      <c r="M279" s="42"/>
      <c r="N279" s="53" t="e">
        <f>CEILING((Table1[[#This Row],[extended quantity]]-Table1[[#This Row],[quantity on-hand]])/Table1[[#This Row],[Minimum order quantity]],1)*Table1[[#This Row],[Minimum order quantity]]</f>
        <v>#DIV/0!</v>
      </c>
      <c r="O279" s="53" t="e">
        <f>Table1[[#This Row],[Order quantity]]+Table1[[#This Row],[quantity on-hand]]-Table1[[#This Row],[extended quantity]]</f>
        <v>#DIV/0!</v>
      </c>
      <c r="P279" s="11">
        <f>IFERROR(Table1[[#This Row],[Order quantity]]*(Table1[[#This Row],[Cost ]]+Table1[[#This Row],[shipping]]+Table1[[#This Row],[Tax]]),0)</f>
        <v>0</v>
      </c>
      <c r="Q279" s="38">
        <f>IFERROR(Table1[[#This Row],[leftover material]]*(Table1[[#This Row],[Cost ]]+Table1[[#This Row],[shipping]]+Table1[[#This Row],[Tax]]),0)</f>
        <v>0</v>
      </c>
      <c r="R279" s="38"/>
    </row>
    <row r="280" spans="1:18" x14ac:dyDescent="0.25">
      <c r="A280" s="1" t="s">
        <v>283</v>
      </c>
      <c r="B280" s="4"/>
      <c r="F280" s="3">
        <f>9%*Table1[[#This Row],[Cost ]]</f>
        <v>0</v>
      </c>
      <c r="J280" s="11">
        <f>SUMIF('Multi-level BOM'!C$3:C$464,Table1[[#This Row],[Part Number]],'Multi-level BOM'!F$3:F$464)</f>
        <v>0</v>
      </c>
      <c r="K280" s="11">
        <f>Table1[[#This Row],[extended quantity]]*(Table1[[#This Row],[Cost ]]+Table1[[#This Row],[shipping]]+Table1[[#This Row],[Tax]])</f>
        <v>0</v>
      </c>
      <c r="L280" s="11"/>
      <c r="M280" s="42"/>
      <c r="N280" s="53" t="e">
        <f>CEILING((Table1[[#This Row],[extended quantity]]-Table1[[#This Row],[quantity on-hand]])/Table1[[#This Row],[Minimum order quantity]],1)*Table1[[#This Row],[Minimum order quantity]]</f>
        <v>#DIV/0!</v>
      </c>
      <c r="O280" s="53" t="e">
        <f>Table1[[#This Row],[Order quantity]]+Table1[[#This Row],[quantity on-hand]]-Table1[[#This Row],[extended quantity]]</f>
        <v>#DIV/0!</v>
      </c>
      <c r="P280" s="11">
        <f>IFERROR(Table1[[#This Row],[Order quantity]]*(Table1[[#This Row],[Cost ]]+Table1[[#This Row],[shipping]]+Table1[[#This Row],[Tax]]),0)</f>
        <v>0</v>
      </c>
      <c r="Q280" s="38">
        <f>IFERROR(Table1[[#This Row],[leftover material]]*(Table1[[#This Row],[Cost ]]+Table1[[#This Row],[shipping]]+Table1[[#This Row],[Tax]]),0)</f>
        <v>0</v>
      </c>
      <c r="R280" s="38"/>
    </row>
    <row r="281" spans="1:18" x14ac:dyDescent="0.25">
      <c r="A281" s="1" t="s">
        <v>284</v>
      </c>
      <c r="B281" s="4"/>
      <c r="F281" s="3">
        <f>9%*Table1[[#This Row],[Cost ]]</f>
        <v>0</v>
      </c>
      <c r="J281" s="11">
        <f>SUMIF('Multi-level BOM'!C$3:C$464,Table1[[#This Row],[Part Number]],'Multi-level BOM'!F$3:F$464)</f>
        <v>0</v>
      </c>
      <c r="K281" s="11">
        <f>Table1[[#This Row],[extended quantity]]*(Table1[[#This Row],[Cost ]]+Table1[[#This Row],[shipping]]+Table1[[#This Row],[Tax]])</f>
        <v>0</v>
      </c>
      <c r="L281" s="11"/>
      <c r="M281" s="42"/>
      <c r="N281" s="53" t="e">
        <f>CEILING((Table1[[#This Row],[extended quantity]]-Table1[[#This Row],[quantity on-hand]])/Table1[[#This Row],[Minimum order quantity]],1)*Table1[[#This Row],[Minimum order quantity]]</f>
        <v>#DIV/0!</v>
      </c>
      <c r="O281" s="53" t="e">
        <f>Table1[[#This Row],[Order quantity]]+Table1[[#This Row],[quantity on-hand]]-Table1[[#This Row],[extended quantity]]</f>
        <v>#DIV/0!</v>
      </c>
      <c r="P281" s="11">
        <f>IFERROR(Table1[[#This Row],[Order quantity]]*(Table1[[#This Row],[Cost ]]+Table1[[#This Row],[shipping]]+Table1[[#This Row],[Tax]]),0)</f>
        <v>0</v>
      </c>
      <c r="Q281" s="38">
        <f>IFERROR(Table1[[#This Row],[leftover material]]*(Table1[[#This Row],[Cost ]]+Table1[[#This Row],[shipping]]+Table1[[#This Row],[Tax]]),0)</f>
        <v>0</v>
      </c>
      <c r="R281" s="38"/>
    </row>
    <row r="282" spans="1:18" x14ac:dyDescent="0.25">
      <c r="A282" s="1" t="s">
        <v>285</v>
      </c>
      <c r="B282" s="4"/>
      <c r="F282" s="3">
        <f>9%*Table1[[#This Row],[Cost ]]</f>
        <v>0</v>
      </c>
      <c r="J282" s="11">
        <f>SUMIF('Multi-level BOM'!C$3:C$464,Table1[[#This Row],[Part Number]],'Multi-level BOM'!F$3:F$464)</f>
        <v>0</v>
      </c>
      <c r="K282" s="11">
        <f>Table1[[#This Row],[extended quantity]]*(Table1[[#This Row],[Cost ]]+Table1[[#This Row],[shipping]]+Table1[[#This Row],[Tax]])</f>
        <v>0</v>
      </c>
      <c r="L282" s="11"/>
      <c r="M282" s="42"/>
      <c r="N282" s="53" t="e">
        <f>CEILING((Table1[[#This Row],[extended quantity]]-Table1[[#This Row],[quantity on-hand]])/Table1[[#This Row],[Minimum order quantity]],1)*Table1[[#This Row],[Minimum order quantity]]</f>
        <v>#DIV/0!</v>
      </c>
      <c r="O282" s="53" t="e">
        <f>Table1[[#This Row],[Order quantity]]+Table1[[#This Row],[quantity on-hand]]-Table1[[#This Row],[extended quantity]]</f>
        <v>#DIV/0!</v>
      </c>
      <c r="P282" s="11">
        <f>IFERROR(Table1[[#This Row],[Order quantity]]*(Table1[[#This Row],[Cost ]]+Table1[[#This Row],[shipping]]+Table1[[#This Row],[Tax]]),0)</f>
        <v>0</v>
      </c>
      <c r="Q282" s="38">
        <f>IFERROR(Table1[[#This Row],[leftover material]]*(Table1[[#This Row],[Cost ]]+Table1[[#This Row],[shipping]]+Table1[[#This Row],[Tax]]),0)</f>
        <v>0</v>
      </c>
      <c r="R282" s="38"/>
    </row>
    <row r="283" spans="1:18" x14ac:dyDescent="0.25">
      <c r="A283" s="1" t="s">
        <v>286</v>
      </c>
      <c r="B283" s="4"/>
      <c r="F283" s="3">
        <f>9%*Table1[[#This Row],[Cost ]]</f>
        <v>0</v>
      </c>
      <c r="J283" s="11">
        <f>SUMIF('Multi-level BOM'!C$3:C$464,Table1[[#This Row],[Part Number]],'Multi-level BOM'!F$3:F$464)</f>
        <v>0</v>
      </c>
      <c r="K283" s="11">
        <f>Table1[[#This Row],[extended quantity]]*(Table1[[#This Row],[Cost ]]+Table1[[#This Row],[shipping]]+Table1[[#This Row],[Tax]])</f>
        <v>0</v>
      </c>
      <c r="L283" s="11"/>
      <c r="M283" s="42"/>
      <c r="N283" s="53" t="e">
        <f>CEILING((Table1[[#This Row],[extended quantity]]-Table1[[#This Row],[quantity on-hand]])/Table1[[#This Row],[Minimum order quantity]],1)*Table1[[#This Row],[Minimum order quantity]]</f>
        <v>#DIV/0!</v>
      </c>
      <c r="O283" s="53" t="e">
        <f>Table1[[#This Row],[Order quantity]]+Table1[[#This Row],[quantity on-hand]]-Table1[[#This Row],[extended quantity]]</f>
        <v>#DIV/0!</v>
      </c>
      <c r="P283" s="11">
        <f>IFERROR(Table1[[#This Row],[Order quantity]]*(Table1[[#This Row],[Cost ]]+Table1[[#This Row],[shipping]]+Table1[[#This Row],[Tax]]),0)</f>
        <v>0</v>
      </c>
      <c r="Q283" s="38">
        <f>IFERROR(Table1[[#This Row],[leftover material]]*(Table1[[#This Row],[Cost ]]+Table1[[#This Row],[shipping]]+Table1[[#This Row],[Tax]]),0)</f>
        <v>0</v>
      </c>
      <c r="R283" s="38"/>
    </row>
    <row r="284" spans="1:18" x14ac:dyDescent="0.25">
      <c r="A284" s="1" t="s">
        <v>287</v>
      </c>
      <c r="B284" s="4"/>
      <c r="F284" s="3">
        <f>9%*Table1[[#This Row],[Cost ]]</f>
        <v>0</v>
      </c>
      <c r="J284" s="11">
        <f>SUMIF('Multi-level BOM'!C$3:C$464,Table1[[#This Row],[Part Number]],'Multi-level BOM'!F$3:F$464)</f>
        <v>0</v>
      </c>
      <c r="K284" s="11">
        <f>Table1[[#This Row],[extended quantity]]*(Table1[[#This Row],[Cost ]]+Table1[[#This Row],[shipping]]+Table1[[#This Row],[Tax]])</f>
        <v>0</v>
      </c>
      <c r="L284" s="11"/>
      <c r="M284" s="42"/>
      <c r="N284" s="53" t="e">
        <f>CEILING((Table1[[#This Row],[extended quantity]]-Table1[[#This Row],[quantity on-hand]])/Table1[[#This Row],[Minimum order quantity]],1)*Table1[[#This Row],[Minimum order quantity]]</f>
        <v>#DIV/0!</v>
      </c>
      <c r="O284" s="53" t="e">
        <f>Table1[[#This Row],[Order quantity]]+Table1[[#This Row],[quantity on-hand]]-Table1[[#This Row],[extended quantity]]</f>
        <v>#DIV/0!</v>
      </c>
      <c r="P284" s="11">
        <f>IFERROR(Table1[[#This Row],[Order quantity]]*(Table1[[#This Row],[Cost ]]+Table1[[#This Row],[shipping]]+Table1[[#This Row],[Tax]]),0)</f>
        <v>0</v>
      </c>
      <c r="Q284" s="38">
        <f>IFERROR(Table1[[#This Row],[leftover material]]*(Table1[[#This Row],[Cost ]]+Table1[[#This Row],[shipping]]+Table1[[#This Row],[Tax]]),0)</f>
        <v>0</v>
      </c>
      <c r="R284" s="38"/>
    </row>
    <row r="285" spans="1:18" x14ac:dyDescent="0.25">
      <c r="A285" s="1" t="s">
        <v>288</v>
      </c>
      <c r="B285" s="4"/>
      <c r="F285" s="3">
        <f>9%*Table1[[#This Row],[Cost ]]</f>
        <v>0</v>
      </c>
      <c r="J285" s="11">
        <f>SUMIF('Multi-level BOM'!C$3:C$464,Table1[[#This Row],[Part Number]],'Multi-level BOM'!F$3:F$464)</f>
        <v>0</v>
      </c>
      <c r="K285" s="11">
        <f>Table1[[#This Row],[extended quantity]]*(Table1[[#This Row],[Cost ]]+Table1[[#This Row],[shipping]]+Table1[[#This Row],[Tax]])</f>
        <v>0</v>
      </c>
      <c r="L285" s="11"/>
      <c r="M285" s="42"/>
      <c r="N285" s="53" t="e">
        <f>CEILING((Table1[[#This Row],[extended quantity]]-Table1[[#This Row],[quantity on-hand]])/Table1[[#This Row],[Minimum order quantity]],1)*Table1[[#This Row],[Minimum order quantity]]</f>
        <v>#DIV/0!</v>
      </c>
      <c r="O285" s="53" t="e">
        <f>Table1[[#This Row],[Order quantity]]+Table1[[#This Row],[quantity on-hand]]-Table1[[#This Row],[extended quantity]]</f>
        <v>#DIV/0!</v>
      </c>
      <c r="P285" s="11">
        <f>IFERROR(Table1[[#This Row],[Order quantity]]*(Table1[[#This Row],[Cost ]]+Table1[[#This Row],[shipping]]+Table1[[#This Row],[Tax]]),0)</f>
        <v>0</v>
      </c>
      <c r="Q285" s="38">
        <f>IFERROR(Table1[[#This Row],[leftover material]]*(Table1[[#This Row],[Cost ]]+Table1[[#This Row],[shipping]]+Table1[[#This Row],[Tax]]),0)</f>
        <v>0</v>
      </c>
      <c r="R285" s="38"/>
    </row>
    <row r="286" spans="1:18" x14ac:dyDescent="0.25">
      <c r="A286" s="1" t="s">
        <v>289</v>
      </c>
      <c r="B286" s="4"/>
      <c r="F286" s="3">
        <f>9%*Table1[[#This Row],[Cost ]]</f>
        <v>0</v>
      </c>
      <c r="J286" s="11">
        <f>SUMIF('Multi-level BOM'!C$3:C$464,Table1[[#This Row],[Part Number]],'Multi-level BOM'!F$3:F$464)</f>
        <v>0</v>
      </c>
      <c r="K286" s="11">
        <f>Table1[[#This Row],[extended quantity]]*(Table1[[#This Row],[Cost ]]+Table1[[#This Row],[shipping]]+Table1[[#This Row],[Tax]])</f>
        <v>0</v>
      </c>
      <c r="L286" s="11"/>
      <c r="M286" s="42"/>
      <c r="N286" s="53" t="e">
        <f>CEILING((Table1[[#This Row],[extended quantity]]-Table1[[#This Row],[quantity on-hand]])/Table1[[#This Row],[Minimum order quantity]],1)*Table1[[#This Row],[Minimum order quantity]]</f>
        <v>#DIV/0!</v>
      </c>
      <c r="O286" s="53" t="e">
        <f>Table1[[#This Row],[Order quantity]]+Table1[[#This Row],[quantity on-hand]]-Table1[[#This Row],[extended quantity]]</f>
        <v>#DIV/0!</v>
      </c>
      <c r="P286" s="11">
        <f>IFERROR(Table1[[#This Row],[Order quantity]]*(Table1[[#This Row],[Cost ]]+Table1[[#This Row],[shipping]]+Table1[[#This Row],[Tax]]),0)</f>
        <v>0</v>
      </c>
      <c r="Q286" s="38">
        <f>IFERROR(Table1[[#This Row],[leftover material]]*(Table1[[#This Row],[Cost ]]+Table1[[#This Row],[shipping]]+Table1[[#This Row],[Tax]]),0)</f>
        <v>0</v>
      </c>
      <c r="R286" s="38"/>
    </row>
    <row r="287" spans="1:18" x14ac:dyDescent="0.25">
      <c r="A287" s="1" t="s">
        <v>290</v>
      </c>
      <c r="B287" s="4"/>
      <c r="F287" s="3">
        <f>9%*Table1[[#This Row],[Cost ]]</f>
        <v>0</v>
      </c>
      <c r="J287" s="11">
        <f>SUMIF('Multi-level BOM'!C$3:C$464,Table1[[#This Row],[Part Number]],'Multi-level BOM'!F$3:F$464)</f>
        <v>0</v>
      </c>
      <c r="K287" s="11">
        <f>Table1[[#This Row],[extended quantity]]*(Table1[[#This Row],[Cost ]]+Table1[[#This Row],[shipping]]+Table1[[#This Row],[Tax]])</f>
        <v>0</v>
      </c>
      <c r="L287" s="11"/>
      <c r="M287" s="42"/>
      <c r="N287" s="53" t="e">
        <f>CEILING((Table1[[#This Row],[extended quantity]]-Table1[[#This Row],[quantity on-hand]])/Table1[[#This Row],[Minimum order quantity]],1)*Table1[[#This Row],[Minimum order quantity]]</f>
        <v>#DIV/0!</v>
      </c>
      <c r="O287" s="53" t="e">
        <f>Table1[[#This Row],[Order quantity]]+Table1[[#This Row],[quantity on-hand]]-Table1[[#This Row],[extended quantity]]</f>
        <v>#DIV/0!</v>
      </c>
      <c r="P287" s="11">
        <f>IFERROR(Table1[[#This Row],[Order quantity]]*(Table1[[#This Row],[Cost ]]+Table1[[#This Row],[shipping]]+Table1[[#This Row],[Tax]]),0)</f>
        <v>0</v>
      </c>
      <c r="Q287" s="38">
        <f>IFERROR(Table1[[#This Row],[leftover material]]*(Table1[[#This Row],[Cost ]]+Table1[[#This Row],[shipping]]+Table1[[#This Row],[Tax]]),0)</f>
        <v>0</v>
      </c>
      <c r="R287" s="38"/>
    </row>
    <row r="288" spans="1:18" x14ac:dyDescent="0.25">
      <c r="A288" s="1" t="s">
        <v>291</v>
      </c>
      <c r="B288" s="4"/>
      <c r="F288" s="3">
        <f>9%*Table1[[#This Row],[Cost ]]</f>
        <v>0</v>
      </c>
      <c r="J288" s="11">
        <f>SUMIF('Multi-level BOM'!C$3:C$464,Table1[[#This Row],[Part Number]],'Multi-level BOM'!F$3:F$464)</f>
        <v>0</v>
      </c>
      <c r="K288" s="11">
        <f>Table1[[#This Row],[extended quantity]]*(Table1[[#This Row],[Cost ]]+Table1[[#This Row],[shipping]]+Table1[[#This Row],[Tax]])</f>
        <v>0</v>
      </c>
      <c r="L288" s="11"/>
      <c r="M288" s="42"/>
      <c r="N288" s="53" t="e">
        <f>CEILING((Table1[[#This Row],[extended quantity]]-Table1[[#This Row],[quantity on-hand]])/Table1[[#This Row],[Minimum order quantity]],1)*Table1[[#This Row],[Minimum order quantity]]</f>
        <v>#DIV/0!</v>
      </c>
      <c r="O288" s="53" t="e">
        <f>Table1[[#This Row],[Order quantity]]+Table1[[#This Row],[quantity on-hand]]-Table1[[#This Row],[extended quantity]]</f>
        <v>#DIV/0!</v>
      </c>
      <c r="P288" s="11">
        <f>IFERROR(Table1[[#This Row],[Order quantity]]*(Table1[[#This Row],[Cost ]]+Table1[[#This Row],[shipping]]+Table1[[#This Row],[Tax]]),0)</f>
        <v>0</v>
      </c>
      <c r="Q288" s="38">
        <f>IFERROR(Table1[[#This Row],[leftover material]]*(Table1[[#This Row],[Cost ]]+Table1[[#This Row],[shipping]]+Table1[[#This Row],[Tax]]),0)</f>
        <v>0</v>
      </c>
      <c r="R288" s="38"/>
    </row>
    <row r="289" spans="1:18" x14ac:dyDescent="0.25">
      <c r="A289" s="1" t="s">
        <v>292</v>
      </c>
      <c r="B289" s="4"/>
      <c r="F289" s="3">
        <f>9%*Table1[[#This Row],[Cost ]]</f>
        <v>0</v>
      </c>
      <c r="J289" s="11">
        <f>SUMIF('Multi-level BOM'!C$3:C$464,Table1[[#This Row],[Part Number]],'Multi-level BOM'!F$3:F$464)</f>
        <v>0</v>
      </c>
      <c r="K289" s="11">
        <f>Table1[[#This Row],[extended quantity]]*(Table1[[#This Row],[Cost ]]+Table1[[#This Row],[shipping]]+Table1[[#This Row],[Tax]])</f>
        <v>0</v>
      </c>
      <c r="L289" s="11"/>
      <c r="M289" s="42"/>
      <c r="N289" s="53" t="e">
        <f>CEILING((Table1[[#This Row],[extended quantity]]-Table1[[#This Row],[quantity on-hand]])/Table1[[#This Row],[Minimum order quantity]],1)*Table1[[#This Row],[Minimum order quantity]]</f>
        <v>#DIV/0!</v>
      </c>
      <c r="O289" s="53" t="e">
        <f>Table1[[#This Row],[Order quantity]]+Table1[[#This Row],[quantity on-hand]]-Table1[[#This Row],[extended quantity]]</f>
        <v>#DIV/0!</v>
      </c>
      <c r="P289" s="11">
        <f>IFERROR(Table1[[#This Row],[Order quantity]]*(Table1[[#This Row],[Cost ]]+Table1[[#This Row],[shipping]]+Table1[[#This Row],[Tax]]),0)</f>
        <v>0</v>
      </c>
      <c r="Q289" s="38">
        <f>IFERROR(Table1[[#This Row],[leftover material]]*(Table1[[#This Row],[Cost ]]+Table1[[#This Row],[shipping]]+Table1[[#This Row],[Tax]]),0)</f>
        <v>0</v>
      </c>
      <c r="R289" s="38"/>
    </row>
    <row r="290" spans="1:18" x14ac:dyDescent="0.25">
      <c r="A290" s="1" t="s">
        <v>293</v>
      </c>
      <c r="B290" s="4"/>
      <c r="F290" s="3">
        <f>9%*Table1[[#This Row],[Cost ]]</f>
        <v>0</v>
      </c>
      <c r="J290" s="11">
        <f>SUMIF('Multi-level BOM'!C$3:C$464,Table1[[#This Row],[Part Number]],'Multi-level BOM'!F$3:F$464)</f>
        <v>0</v>
      </c>
      <c r="K290" s="11">
        <f>Table1[[#This Row],[extended quantity]]*(Table1[[#This Row],[Cost ]]+Table1[[#This Row],[shipping]]+Table1[[#This Row],[Tax]])</f>
        <v>0</v>
      </c>
      <c r="L290" s="11"/>
      <c r="M290" s="42"/>
      <c r="N290" s="53" t="e">
        <f>CEILING((Table1[[#This Row],[extended quantity]]-Table1[[#This Row],[quantity on-hand]])/Table1[[#This Row],[Minimum order quantity]],1)*Table1[[#This Row],[Minimum order quantity]]</f>
        <v>#DIV/0!</v>
      </c>
      <c r="O290" s="53" t="e">
        <f>Table1[[#This Row],[Order quantity]]+Table1[[#This Row],[quantity on-hand]]-Table1[[#This Row],[extended quantity]]</f>
        <v>#DIV/0!</v>
      </c>
      <c r="P290" s="11">
        <f>IFERROR(Table1[[#This Row],[Order quantity]]*(Table1[[#This Row],[Cost ]]+Table1[[#This Row],[shipping]]+Table1[[#This Row],[Tax]]),0)</f>
        <v>0</v>
      </c>
      <c r="Q290" s="38">
        <f>IFERROR(Table1[[#This Row],[leftover material]]*(Table1[[#This Row],[Cost ]]+Table1[[#This Row],[shipping]]+Table1[[#This Row],[Tax]]),0)</f>
        <v>0</v>
      </c>
      <c r="R290" s="38"/>
    </row>
    <row r="291" spans="1:18" x14ac:dyDescent="0.25">
      <c r="A291" s="1" t="s">
        <v>294</v>
      </c>
      <c r="B291" s="4"/>
      <c r="F291" s="3">
        <f>9%*Table1[[#This Row],[Cost ]]</f>
        <v>0</v>
      </c>
      <c r="J291" s="11">
        <f>SUMIF('Multi-level BOM'!C$3:C$464,Table1[[#This Row],[Part Number]],'Multi-level BOM'!F$3:F$464)</f>
        <v>0</v>
      </c>
      <c r="K291" s="11">
        <f>Table1[[#This Row],[extended quantity]]*(Table1[[#This Row],[Cost ]]+Table1[[#This Row],[shipping]]+Table1[[#This Row],[Tax]])</f>
        <v>0</v>
      </c>
      <c r="L291" s="11"/>
      <c r="M291" s="42"/>
      <c r="N291" s="53" t="e">
        <f>CEILING((Table1[[#This Row],[extended quantity]]-Table1[[#This Row],[quantity on-hand]])/Table1[[#This Row],[Minimum order quantity]],1)*Table1[[#This Row],[Minimum order quantity]]</f>
        <v>#DIV/0!</v>
      </c>
      <c r="O291" s="53" t="e">
        <f>Table1[[#This Row],[Order quantity]]+Table1[[#This Row],[quantity on-hand]]-Table1[[#This Row],[extended quantity]]</f>
        <v>#DIV/0!</v>
      </c>
      <c r="P291" s="11">
        <f>IFERROR(Table1[[#This Row],[Order quantity]]*(Table1[[#This Row],[Cost ]]+Table1[[#This Row],[shipping]]+Table1[[#This Row],[Tax]]),0)</f>
        <v>0</v>
      </c>
      <c r="Q291" s="38">
        <f>IFERROR(Table1[[#This Row],[leftover material]]*(Table1[[#This Row],[Cost ]]+Table1[[#This Row],[shipping]]+Table1[[#This Row],[Tax]]),0)</f>
        <v>0</v>
      </c>
      <c r="R291" s="38"/>
    </row>
    <row r="292" spans="1:18" x14ac:dyDescent="0.25">
      <c r="A292" s="1" t="s">
        <v>295</v>
      </c>
      <c r="B292" s="4"/>
      <c r="F292" s="3">
        <f>9%*Table1[[#This Row],[Cost ]]</f>
        <v>0</v>
      </c>
      <c r="J292" s="11">
        <f>SUMIF('Multi-level BOM'!C$3:C$464,Table1[[#This Row],[Part Number]],'Multi-level BOM'!F$3:F$464)</f>
        <v>0</v>
      </c>
      <c r="K292" s="11">
        <f>Table1[[#This Row],[extended quantity]]*(Table1[[#This Row],[Cost ]]+Table1[[#This Row],[shipping]]+Table1[[#This Row],[Tax]])</f>
        <v>0</v>
      </c>
      <c r="L292" s="11"/>
      <c r="M292" s="42"/>
      <c r="N292" s="53" t="e">
        <f>CEILING((Table1[[#This Row],[extended quantity]]-Table1[[#This Row],[quantity on-hand]])/Table1[[#This Row],[Minimum order quantity]],1)*Table1[[#This Row],[Minimum order quantity]]</f>
        <v>#DIV/0!</v>
      </c>
      <c r="O292" s="53" t="e">
        <f>Table1[[#This Row],[Order quantity]]+Table1[[#This Row],[quantity on-hand]]-Table1[[#This Row],[extended quantity]]</f>
        <v>#DIV/0!</v>
      </c>
      <c r="P292" s="11">
        <f>IFERROR(Table1[[#This Row],[Order quantity]]*(Table1[[#This Row],[Cost ]]+Table1[[#This Row],[shipping]]+Table1[[#This Row],[Tax]]),0)</f>
        <v>0</v>
      </c>
      <c r="Q292" s="38">
        <f>IFERROR(Table1[[#This Row],[leftover material]]*(Table1[[#This Row],[Cost ]]+Table1[[#This Row],[shipping]]+Table1[[#This Row],[Tax]]),0)</f>
        <v>0</v>
      </c>
      <c r="R292" s="38"/>
    </row>
    <row r="293" spans="1:18" x14ac:dyDescent="0.25">
      <c r="A293" s="1" t="s">
        <v>296</v>
      </c>
      <c r="B293" s="4"/>
      <c r="F293" s="3">
        <f>9%*Table1[[#This Row],[Cost ]]</f>
        <v>0</v>
      </c>
      <c r="J293" s="11">
        <f>SUMIF('Multi-level BOM'!C$3:C$464,Table1[[#This Row],[Part Number]],'Multi-level BOM'!F$3:F$464)</f>
        <v>0</v>
      </c>
      <c r="K293" s="11">
        <f>Table1[[#This Row],[extended quantity]]*(Table1[[#This Row],[Cost ]]+Table1[[#This Row],[shipping]]+Table1[[#This Row],[Tax]])</f>
        <v>0</v>
      </c>
      <c r="L293" s="11"/>
      <c r="M293" s="42"/>
      <c r="N293" s="53" t="e">
        <f>CEILING((Table1[[#This Row],[extended quantity]]-Table1[[#This Row],[quantity on-hand]])/Table1[[#This Row],[Minimum order quantity]],1)*Table1[[#This Row],[Minimum order quantity]]</f>
        <v>#DIV/0!</v>
      </c>
      <c r="O293" s="53" t="e">
        <f>Table1[[#This Row],[Order quantity]]+Table1[[#This Row],[quantity on-hand]]-Table1[[#This Row],[extended quantity]]</f>
        <v>#DIV/0!</v>
      </c>
      <c r="P293" s="11">
        <f>IFERROR(Table1[[#This Row],[Order quantity]]*(Table1[[#This Row],[Cost ]]+Table1[[#This Row],[shipping]]+Table1[[#This Row],[Tax]]),0)</f>
        <v>0</v>
      </c>
      <c r="Q293" s="38">
        <f>IFERROR(Table1[[#This Row],[leftover material]]*(Table1[[#This Row],[Cost ]]+Table1[[#This Row],[shipping]]+Table1[[#This Row],[Tax]]),0)</f>
        <v>0</v>
      </c>
      <c r="R293" s="38"/>
    </row>
    <row r="294" spans="1:18" x14ac:dyDescent="0.25">
      <c r="A294" s="1" t="s">
        <v>297</v>
      </c>
      <c r="B294" s="4"/>
      <c r="F294" s="3">
        <f>9%*Table1[[#This Row],[Cost ]]</f>
        <v>0</v>
      </c>
      <c r="J294" s="11">
        <f>SUMIF('Multi-level BOM'!C$3:C$464,Table1[[#This Row],[Part Number]],'Multi-level BOM'!F$3:F$464)</f>
        <v>0</v>
      </c>
      <c r="K294" s="11">
        <f>Table1[[#This Row],[extended quantity]]*(Table1[[#This Row],[Cost ]]+Table1[[#This Row],[shipping]]+Table1[[#This Row],[Tax]])</f>
        <v>0</v>
      </c>
      <c r="L294" s="11"/>
      <c r="M294" s="42"/>
      <c r="N294" s="53" t="e">
        <f>CEILING((Table1[[#This Row],[extended quantity]]-Table1[[#This Row],[quantity on-hand]])/Table1[[#This Row],[Minimum order quantity]],1)*Table1[[#This Row],[Minimum order quantity]]</f>
        <v>#DIV/0!</v>
      </c>
      <c r="O294" s="53" t="e">
        <f>Table1[[#This Row],[Order quantity]]+Table1[[#This Row],[quantity on-hand]]-Table1[[#This Row],[extended quantity]]</f>
        <v>#DIV/0!</v>
      </c>
      <c r="P294" s="11">
        <f>IFERROR(Table1[[#This Row],[Order quantity]]*(Table1[[#This Row],[Cost ]]+Table1[[#This Row],[shipping]]+Table1[[#This Row],[Tax]]),0)</f>
        <v>0</v>
      </c>
      <c r="Q294" s="38">
        <f>IFERROR(Table1[[#This Row],[leftover material]]*(Table1[[#This Row],[Cost ]]+Table1[[#This Row],[shipping]]+Table1[[#This Row],[Tax]]),0)</f>
        <v>0</v>
      </c>
      <c r="R294" s="38"/>
    </row>
    <row r="295" spans="1:18" x14ac:dyDescent="0.25">
      <c r="A295" s="1" t="s">
        <v>298</v>
      </c>
      <c r="B295" s="4"/>
      <c r="F295" s="3">
        <f>9%*Table1[[#This Row],[Cost ]]</f>
        <v>0</v>
      </c>
      <c r="J295" s="11">
        <f>SUMIF('Multi-level BOM'!C$3:C$464,Table1[[#This Row],[Part Number]],'Multi-level BOM'!F$3:F$464)</f>
        <v>0</v>
      </c>
      <c r="K295" s="11">
        <f>Table1[[#This Row],[extended quantity]]*(Table1[[#This Row],[Cost ]]+Table1[[#This Row],[shipping]]+Table1[[#This Row],[Tax]])</f>
        <v>0</v>
      </c>
      <c r="L295" s="11"/>
      <c r="M295" s="42"/>
      <c r="N295" s="53" t="e">
        <f>CEILING((Table1[[#This Row],[extended quantity]]-Table1[[#This Row],[quantity on-hand]])/Table1[[#This Row],[Minimum order quantity]],1)*Table1[[#This Row],[Minimum order quantity]]</f>
        <v>#DIV/0!</v>
      </c>
      <c r="O295" s="53" t="e">
        <f>Table1[[#This Row],[Order quantity]]+Table1[[#This Row],[quantity on-hand]]-Table1[[#This Row],[extended quantity]]</f>
        <v>#DIV/0!</v>
      </c>
      <c r="P295" s="11">
        <f>IFERROR(Table1[[#This Row],[Order quantity]]*(Table1[[#This Row],[Cost ]]+Table1[[#This Row],[shipping]]+Table1[[#This Row],[Tax]]),0)</f>
        <v>0</v>
      </c>
      <c r="Q295" s="38">
        <f>IFERROR(Table1[[#This Row],[leftover material]]*(Table1[[#This Row],[Cost ]]+Table1[[#This Row],[shipping]]+Table1[[#This Row],[Tax]]),0)</f>
        <v>0</v>
      </c>
      <c r="R295" s="38"/>
    </row>
    <row r="296" spans="1:18" x14ac:dyDescent="0.25">
      <c r="A296" s="1" t="s">
        <v>299</v>
      </c>
      <c r="B296" s="4"/>
      <c r="F296" s="3">
        <f>9%*Table1[[#This Row],[Cost ]]</f>
        <v>0</v>
      </c>
      <c r="J296" s="11">
        <f>SUMIF('Multi-level BOM'!C$3:C$464,Table1[[#This Row],[Part Number]],'Multi-level BOM'!F$3:F$464)</f>
        <v>0</v>
      </c>
      <c r="K296" s="11">
        <f>Table1[[#This Row],[extended quantity]]*(Table1[[#This Row],[Cost ]]+Table1[[#This Row],[shipping]]+Table1[[#This Row],[Tax]])</f>
        <v>0</v>
      </c>
      <c r="L296" s="11"/>
      <c r="M296" s="42"/>
      <c r="N296" s="53" t="e">
        <f>CEILING((Table1[[#This Row],[extended quantity]]-Table1[[#This Row],[quantity on-hand]])/Table1[[#This Row],[Minimum order quantity]],1)*Table1[[#This Row],[Minimum order quantity]]</f>
        <v>#DIV/0!</v>
      </c>
      <c r="O296" s="53" t="e">
        <f>Table1[[#This Row],[Order quantity]]+Table1[[#This Row],[quantity on-hand]]-Table1[[#This Row],[extended quantity]]</f>
        <v>#DIV/0!</v>
      </c>
      <c r="P296" s="11">
        <f>IFERROR(Table1[[#This Row],[Order quantity]]*(Table1[[#This Row],[Cost ]]+Table1[[#This Row],[shipping]]+Table1[[#This Row],[Tax]]),0)</f>
        <v>0</v>
      </c>
      <c r="Q296" s="38">
        <f>IFERROR(Table1[[#This Row],[leftover material]]*(Table1[[#This Row],[Cost ]]+Table1[[#This Row],[shipping]]+Table1[[#This Row],[Tax]]),0)</f>
        <v>0</v>
      </c>
      <c r="R296" s="38"/>
    </row>
    <row r="297" spans="1:18" x14ac:dyDescent="0.25">
      <c r="A297" s="1" t="s">
        <v>300</v>
      </c>
      <c r="B297" s="4"/>
      <c r="F297" s="3">
        <f>9%*Table1[[#This Row],[Cost ]]</f>
        <v>0</v>
      </c>
      <c r="J297" s="11">
        <f>SUMIF('Multi-level BOM'!C$3:C$464,Table1[[#This Row],[Part Number]],'Multi-level BOM'!F$3:F$464)</f>
        <v>0</v>
      </c>
      <c r="K297" s="11">
        <f>Table1[[#This Row],[extended quantity]]*(Table1[[#This Row],[Cost ]]+Table1[[#This Row],[shipping]]+Table1[[#This Row],[Tax]])</f>
        <v>0</v>
      </c>
      <c r="L297" s="11"/>
      <c r="M297" s="42"/>
      <c r="N297" s="53" t="e">
        <f>CEILING((Table1[[#This Row],[extended quantity]]-Table1[[#This Row],[quantity on-hand]])/Table1[[#This Row],[Minimum order quantity]],1)*Table1[[#This Row],[Minimum order quantity]]</f>
        <v>#DIV/0!</v>
      </c>
      <c r="O297" s="53" t="e">
        <f>Table1[[#This Row],[Order quantity]]+Table1[[#This Row],[quantity on-hand]]-Table1[[#This Row],[extended quantity]]</f>
        <v>#DIV/0!</v>
      </c>
      <c r="P297" s="11">
        <f>IFERROR(Table1[[#This Row],[Order quantity]]*(Table1[[#This Row],[Cost ]]+Table1[[#This Row],[shipping]]+Table1[[#This Row],[Tax]]),0)</f>
        <v>0</v>
      </c>
      <c r="Q297" s="38">
        <f>IFERROR(Table1[[#This Row],[leftover material]]*(Table1[[#This Row],[Cost ]]+Table1[[#This Row],[shipping]]+Table1[[#This Row],[Tax]]),0)</f>
        <v>0</v>
      </c>
      <c r="R297" s="38"/>
    </row>
    <row r="298" spans="1:18" x14ac:dyDescent="0.25">
      <c r="A298" s="1" t="s">
        <v>301</v>
      </c>
      <c r="B298" s="4"/>
      <c r="F298" s="3">
        <f>9%*Table1[[#This Row],[Cost ]]</f>
        <v>0</v>
      </c>
      <c r="J298" s="11">
        <f>SUMIF('Multi-level BOM'!C$3:C$464,Table1[[#This Row],[Part Number]],'Multi-level BOM'!F$3:F$464)</f>
        <v>0</v>
      </c>
      <c r="K298" s="11">
        <f>Table1[[#This Row],[extended quantity]]*(Table1[[#This Row],[Cost ]]+Table1[[#This Row],[shipping]]+Table1[[#This Row],[Tax]])</f>
        <v>0</v>
      </c>
      <c r="L298" s="11"/>
      <c r="M298" s="42"/>
      <c r="N298" s="53" t="e">
        <f>CEILING((Table1[[#This Row],[extended quantity]]-Table1[[#This Row],[quantity on-hand]])/Table1[[#This Row],[Minimum order quantity]],1)*Table1[[#This Row],[Minimum order quantity]]</f>
        <v>#DIV/0!</v>
      </c>
      <c r="O298" s="53" t="e">
        <f>Table1[[#This Row],[Order quantity]]+Table1[[#This Row],[quantity on-hand]]-Table1[[#This Row],[extended quantity]]</f>
        <v>#DIV/0!</v>
      </c>
      <c r="P298" s="11">
        <f>IFERROR(Table1[[#This Row],[Order quantity]]*(Table1[[#This Row],[Cost ]]+Table1[[#This Row],[shipping]]+Table1[[#This Row],[Tax]]),0)</f>
        <v>0</v>
      </c>
      <c r="Q298" s="38">
        <f>IFERROR(Table1[[#This Row],[leftover material]]*(Table1[[#This Row],[Cost ]]+Table1[[#This Row],[shipping]]+Table1[[#This Row],[Tax]]),0)</f>
        <v>0</v>
      </c>
      <c r="R298" s="38"/>
    </row>
    <row r="299" spans="1:18" x14ac:dyDescent="0.25">
      <c r="A299" s="1" t="s">
        <v>302</v>
      </c>
      <c r="B299" s="4"/>
      <c r="F299" s="3">
        <f>9%*Table1[[#This Row],[Cost ]]</f>
        <v>0</v>
      </c>
      <c r="J299" s="11">
        <f>SUMIF('Multi-level BOM'!C$3:C$464,Table1[[#This Row],[Part Number]],'Multi-level BOM'!F$3:F$464)</f>
        <v>0</v>
      </c>
      <c r="K299" s="11">
        <f>Table1[[#This Row],[extended quantity]]*(Table1[[#This Row],[Cost ]]+Table1[[#This Row],[shipping]]+Table1[[#This Row],[Tax]])</f>
        <v>0</v>
      </c>
      <c r="L299" s="11"/>
      <c r="M299" s="42"/>
      <c r="N299" s="53" t="e">
        <f>CEILING((Table1[[#This Row],[extended quantity]]-Table1[[#This Row],[quantity on-hand]])/Table1[[#This Row],[Minimum order quantity]],1)*Table1[[#This Row],[Minimum order quantity]]</f>
        <v>#DIV/0!</v>
      </c>
      <c r="O299" s="53" t="e">
        <f>Table1[[#This Row],[Order quantity]]+Table1[[#This Row],[quantity on-hand]]-Table1[[#This Row],[extended quantity]]</f>
        <v>#DIV/0!</v>
      </c>
      <c r="P299" s="11">
        <f>IFERROR(Table1[[#This Row],[Order quantity]]*(Table1[[#This Row],[Cost ]]+Table1[[#This Row],[shipping]]+Table1[[#This Row],[Tax]]),0)</f>
        <v>0</v>
      </c>
      <c r="Q299" s="38">
        <f>IFERROR(Table1[[#This Row],[leftover material]]*(Table1[[#This Row],[Cost ]]+Table1[[#This Row],[shipping]]+Table1[[#This Row],[Tax]]),0)</f>
        <v>0</v>
      </c>
      <c r="R299" s="38"/>
    </row>
    <row r="300" spans="1:18" x14ac:dyDescent="0.25">
      <c r="A300" s="1" t="s">
        <v>303</v>
      </c>
      <c r="B300" s="4"/>
      <c r="F300" s="3">
        <f>9%*Table1[[#This Row],[Cost ]]</f>
        <v>0</v>
      </c>
      <c r="J300" s="11">
        <f>SUMIF('Multi-level BOM'!C$3:C$464,Table1[[#This Row],[Part Number]],'Multi-level BOM'!F$3:F$464)</f>
        <v>0</v>
      </c>
      <c r="K300" s="11">
        <f>Table1[[#This Row],[extended quantity]]*(Table1[[#This Row],[Cost ]]+Table1[[#This Row],[shipping]]+Table1[[#This Row],[Tax]])</f>
        <v>0</v>
      </c>
      <c r="L300" s="11"/>
      <c r="M300" s="42"/>
      <c r="N300" s="53" t="e">
        <f>CEILING((Table1[[#This Row],[extended quantity]]-Table1[[#This Row],[quantity on-hand]])/Table1[[#This Row],[Minimum order quantity]],1)*Table1[[#This Row],[Minimum order quantity]]</f>
        <v>#DIV/0!</v>
      </c>
      <c r="O300" s="53" t="e">
        <f>Table1[[#This Row],[Order quantity]]+Table1[[#This Row],[quantity on-hand]]-Table1[[#This Row],[extended quantity]]</f>
        <v>#DIV/0!</v>
      </c>
      <c r="P300" s="11">
        <f>IFERROR(Table1[[#This Row],[Order quantity]]*(Table1[[#This Row],[Cost ]]+Table1[[#This Row],[shipping]]+Table1[[#This Row],[Tax]]),0)</f>
        <v>0</v>
      </c>
      <c r="Q300" s="38">
        <f>IFERROR(Table1[[#This Row],[leftover material]]*(Table1[[#This Row],[Cost ]]+Table1[[#This Row],[shipping]]+Table1[[#This Row],[Tax]]),0)</f>
        <v>0</v>
      </c>
      <c r="R300" s="38"/>
    </row>
    <row r="301" spans="1:18" x14ac:dyDescent="0.25">
      <c r="A301" s="1" t="s">
        <v>304</v>
      </c>
      <c r="B301" s="4"/>
      <c r="F301" s="3">
        <f>9%*Table1[[#This Row],[Cost ]]</f>
        <v>0</v>
      </c>
      <c r="J301" s="11">
        <f>SUMIF('Multi-level BOM'!C$3:C$464,Table1[[#This Row],[Part Number]],'Multi-level BOM'!F$3:F$464)</f>
        <v>0</v>
      </c>
      <c r="K301" s="11">
        <f>Table1[[#This Row],[extended quantity]]*(Table1[[#This Row],[Cost ]]+Table1[[#This Row],[shipping]]+Table1[[#This Row],[Tax]])</f>
        <v>0</v>
      </c>
      <c r="L301" s="11"/>
      <c r="M301" s="42"/>
      <c r="N301" s="53" t="e">
        <f>CEILING((Table1[[#This Row],[extended quantity]]-Table1[[#This Row],[quantity on-hand]])/Table1[[#This Row],[Minimum order quantity]],1)*Table1[[#This Row],[Minimum order quantity]]</f>
        <v>#DIV/0!</v>
      </c>
      <c r="O301" s="53" t="e">
        <f>Table1[[#This Row],[Order quantity]]+Table1[[#This Row],[quantity on-hand]]-Table1[[#This Row],[extended quantity]]</f>
        <v>#DIV/0!</v>
      </c>
      <c r="P301" s="11">
        <f>IFERROR(Table1[[#This Row],[Order quantity]]*(Table1[[#This Row],[Cost ]]+Table1[[#This Row],[shipping]]+Table1[[#This Row],[Tax]]),0)</f>
        <v>0</v>
      </c>
      <c r="Q301" s="38">
        <f>IFERROR(Table1[[#This Row],[leftover material]]*(Table1[[#This Row],[Cost ]]+Table1[[#This Row],[shipping]]+Table1[[#This Row],[Tax]]),0)</f>
        <v>0</v>
      </c>
      <c r="R301" s="38"/>
    </row>
    <row r="302" spans="1:18" x14ac:dyDescent="0.25">
      <c r="A302" s="1" t="s">
        <v>305</v>
      </c>
      <c r="B302" s="4"/>
      <c r="F302" s="3">
        <f>9%*Table1[[#This Row],[Cost ]]</f>
        <v>0</v>
      </c>
      <c r="J302" s="11">
        <f>SUMIF('Multi-level BOM'!C$3:C$464,Table1[[#This Row],[Part Number]],'Multi-level BOM'!F$3:F$464)</f>
        <v>0</v>
      </c>
      <c r="K302" s="11">
        <f>Table1[[#This Row],[extended quantity]]*(Table1[[#This Row],[Cost ]]+Table1[[#This Row],[shipping]]+Table1[[#This Row],[Tax]])</f>
        <v>0</v>
      </c>
      <c r="L302" s="11"/>
      <c r="M302" s="42"/>
      <c r="N302" s="53" t="e">
        <f>CEILING((Table1[[#This Row],[extended quantity]]-Table1[[#This Row],[quantity on-hand]])/Table1[[#This Row],[Minimum order quantity]],1)*Table1[[#This Row],[Minimum order quantity]]</f>
        <v>#DIV/0!</v>
      </c>
      <c r="O302" s="53" t="e">
        <f>Table1[[#This Row],[Order quantity]]+Table1[[#This Row],[quantity on-hand]]-Table1[[#This Row],[extended quantity]]</f>
        <v>#DIV/0!</v>
      </c>
      <c r="P302" s="11">
        <f>IFERROR(Table1[[#This Row],[Order quantity]]*(Table1[[#This Row],[Cost ]]+Table1[[#This Row],[shipping]]+Table1[[#This Row],[Tax]]),0)</f>
        <v>0</v>
      </c>
      <c r="Q302" s="38">
        <f>IFERROR(Table1[[#This Row],[leftover material]]*(Table1[[#This Row],[Cost ]]+Table1[[#This Row],[shipping]]+Table1[[#This Row],[Tax]]),0)</f>
        <v>0</v>
      </c>
      <c r="R302" s="38"/>
    </row>
    <row r="303" spans="1:18" x14ac:dyDescent="0.25">
      <c r="A303" s="1" t="s">
        <v>306</v>
      </c>
      <c r="B303" s="4"/>
      <c r="F303" s="3">
        <f>9%*Table1[[#This Row],[Cost ]]</f>
        <v>0</v>
      </c>
      <c r="J303" s="11">
        <f>SUMIF('Multi-level BOM'!C$3:C$464,Table1[[#This Row],[Part Number]],'Multi-level BOM'!F$3:F$464)</f>
        <v>0</v>
      </c>
      <c r="K303" s="11">
        <f>Table1[[#This Row],[extended quantity]]*(Table1[[#This Row],[Cost ]]+Table1[[#This Row],[shipping]]+Table1[[#This Row],[Tax]])</f>
        <v>0</v>
      </c>
      <c r="L303" s="11"/>
      <c r="M303" s="42"/>
      <c r="N303" s="53" t="e">
        <f>CEILING((Table1[[#This Row],[extended quantity]]-Table1[[#This Row],[quantity on-hand]])/Table1[[#This Row],[Minimum order quantity]],1)*Table1[[#This Row],[Minimum order quantity]]</f>
        <v>#DIV/0!</v>
      </c>
      <c r="O303" s="53" t="e">
        <f>Table1[[#This Row],[Order quantity]]+Table1[[#This Row],[quantity on-hand]]-Table1[[#This Row],[extended quantity]]</f>
        <v>#DIV/0!</v>
      </c>
      <c r="P303" s="11">
        <f>IFERROR(Table1[[#This Row],[Order quantity]]*(Table1[[#This Row],[Cost ]]+Table1[[#This Row],[shipping]]+Table1[[#This Row],[Tax]]),0)</f>
        <v>0</v>
      </c>
      <c r="Q303" s="38">
        <f>IFERROR(Table1[[#This Row],[leftover material]]*(Table1[[#This Row],[Cost ]]+Table1[[#This Row],[shipping]]+Table1[[#This Row],[Tax]]),0)</f>
        <v>0</v>
      </c>
      <c r="R303" s="38"/>
    </row>
    <row r="304" spans="1:18" x14ac:dyDescent="0.25">
      <c r="A304" s="1" t="s">
        <v>307</v>
      </c>
      <c r="B304" s="4"/>
      <c r="F304" s="3">
        <f>9%*Table1[[#This Row],[Cost ]]</f>
        <v>0</v>
      </c>
      <c r="J304" s="11">
        <f>SUMIF('Multi-level BOM'!C$3:C$464,Table1[[#This Row],[Part Number]],'Multi-level BOM'!F$3:F$464)</f>
        <v>0</v>
      </c>
      <c r="K304" s="11">
        <f>Table1[[#This Row],[extended quantity]]*(Table1[[#This Row],[Cost ]]+Table1[[#This Row],[shipping]]+Table1[[#This Row],[Tax]])</f>
        <v>0</v>
      </c>
      <c r="L304" s="11"/>
      <c r="M304" s="42"/>
      <c r="N304" s="53" t="e">
        <f>CEILING((Table1[[#This Row],[extended quantity]]-Table1[[#This Row],[quantity on-hand]])/Table1[[#This Row],[Minimum order quantity]],1)*Table1[[#This Row],[Minimum order quantity]]</f>
        <v>#DIV/0!</v>
      </c>
      <c r="O304" s="53" t="e">
        <f>Table1[[#This Row],[Order quantity]]+Table1[[#This Row],[quantity on-hand]]-Table1[[#This Row],[extended quantity]]</f>
        <v>#DIV/0!</v>
      </c>
      <c r="P304" s="11">
        <f>IFERROR(Table1[[#This Row],[Order quantity]]*(Table1[[#This Row],[Cost ]]+Table1[[#This Row],[shipping]]+Table1[[#This Row],[Tax]]),0)</f>
        <v>0</v>
      </c>
      <c r="Q304" s="38">
        <f>IFERROR(Table1[[#This Row],[leftover material]]*(Table1[[#This Row],[Cost ]]+Table1[[#This Row],[shipping]]+Table1[[#This Row],[Tax]]),0)</f>
        <v>0</v>
      </c>
      <c r="R304" s="38"/>
    </row>
    <row r="305" spans="1:18" x14ac:dyDescent="0.25">
      <c r="A305" s="1" t="s">
        <v>308</v>
      </c>
      <c r="B305" s="4"/>
      <c r="F305" s="3">
        <f>9%*Table1[[#This Row],[Cost ]]</f>
        <v>0</v>
      </c>
      <c r="J305" s="11">
        <f>SUMIF('Multi-level BOM'!C$3:C$464,Table1[[#This Row],[Part Number]],'Multi-level BOM'!F$3:F$464)</f>
        <v>0</v>
      </c>
      <c r="K305" s="11">
        <f>Table1[[#This Row],[extended quantity]]*(Table1[[#This Row],[Cost ]]+Table1[[#This Row],[shipping]]+Table1[[#This Row],[Tax]])</f>
        <v>0</v>
      </c>
      <c r="L305" s="11"/>
      <c r="M305" s="42"/>
      <c r="N305" s="53" t="e">
        <f>CEILING((Table1[[#This Row],[extended quantity]]-Table1[[#This Row],[quantity on-hand]])/Table1[[#This Row],[Minimum order quantity]],1)*Table1[[#This Row],[Minimum order quantity]]</f>
        <v>#DIV/0!</v>
      </c>
      <c r="O305" s="53" t="e">
        <f>Table1[[#This Row],[Order quantity]]+Table1[[#This Row],[quantity on-hand]]-Table1[[#This Row],[extended quantity]]</f>
        <v>#DIV/0!</v>
      </c>
      <c r="P305" s="11">
        <f>IFERROR(Table1[[#This Row],[Order quantity]]*(Table1[[#This Row],[Cost ]]+Table1[[#This Row],[shipping]]+Table1[[#This Row],[Tax]]),0)</f>
        <v>0</v>
      </c>
      <c r="Q305" s="38">
        <f>IFERROR(Table1[[#This Row],[leftover material]]*(Table1[[#This Row],[Cost ]]+Table1[[#This Row],[shipping]]+Table1[[#This Row],[Tax]]),0)</f>
        <v>0</v>
      </c>
      <c r="R305" s="38"/>
    </row>
    <row r="306" spans="1:18" x14ac:dyDescent="0.25">
      <c r="A306" s="1" t="s">
        <v>309</v>
      </c>
      <c r="B306" s="4"/>
      <c r="F306" s="3">
        <f>9%*Table1[[#This Row],[Cost ]]</f>
        <v>0</v>
      </c>
      <c r="J306" s="11">
        <f>SUMIF('Multi-level BOM'!C$3:C$464,Table1[[#This Row],[Part Number]],'Multi-level BOM'!F$3:F$464)</f>
        <v>0</v>
      </c>
      <c r="K306" s="11">
        <f>Table1[[#This Row],[extended quantity]]*(Table1[[#This Row],[Cost ]]+Table1[[#This Row],[shipping]]+Table1[[#This Row],[Tax]])</f>
        <v>0</v>
      </c>
      <c r="L306" s="11"/>
      <c r="M306" s="42"/>
      <c r="N306" s="53" t="e">
        <f>CEILING((Table1[[#This Row],[extended quantity]]-Table1[[#This Row],[quantity on-hand]])/Table1[[#This Row],[Minimum order quantity]],1)*Table1[[#This Row],[Minimum order quantity]]</f>
        <v>#DIV/0!</v>
      </c>
      <c r="O306" s="53" t="e">
        <f>Table1[[#This Row],[Order quantity]]+Table1[[#This Row],[quantity on-hand]]-Table1[[#This Row],[extended quantity]]</f>
        <v>#DIV/0!</v>
      </c>
      <c r="P306" s="11">
        <f>IFERROR(Table1[[#This Row],[Order quantity]]*(Table1[[#This Row],[Cost ]]+Table1[[#This Row],[shipping]]+Table1[[#This Row],[Tax]]),0)</f>
        <v>0</v>
      </c>
      <c r="Q306" s="38">
        <f>IFERROR(Table1[[#This Row],[leftover material]]*(Table1[[#This Row],[Cost ]]+Table1[[#This Row],[shipping]]+Table1[[#This Row],[Tax]]),0)</f>
        <v>0</v>
      </c>
      <c r="R306" s="38"/>
    </row>
    <row r="307" spans="1:18" x14ac:dyDescent="0.25">
      <c r="A307" s="1" t="s">
        <v>310</v>
      </c>
      <c r="B307" s="4"/>
      <c r="F307" s="3">
        <f>9%*Table1[[#This Row],[Cost ]]</f>
        <v>0</v>
      </c>
      <c r="J307" s="11">
        <f>SUMIF('Multi-level BOM'!C$3:C$464,Table1[[#This Row],[Part Number]],'Multi-level BOM'!F$3:F$464)</f>
        <v>0</v>
      </c>
      <c r="K307" s="11">
        <f>Table1[[#This Row],[extended quantity]]*(Table1[[#This Row],[Cost ]]+Table1[[#This Row],[shipping]]+Table1[[#This Row],[Tax]])</f>
        <v>0</v>
      </c>
      <c r="L307" s="11"/>
      <c r="M307" s="42"/>
      <c r="N307" s="53" t="e">
        <f>CEILING((Table1[[#This Row],[extended quantity]]-Table1[[#This Row],[quantity on-hand]])/Table1[[#This Row],[Minimum order quantity]],1)*Table1[[#This Row],[Minimum order quantity]]</f>
        <v>#DIV/0!</v>
      </c>
      <c r="O307" s="53" t="e">
        <f>Table1[[#This Row],[Order quantity]]+Table1[[#This Row],[quantity on-hand]]-Table1[[#This Row],[extended quantity]]</f>
        <v>#DIV/0!</v>
      </c>
      <c r="P307" s="11">
        <f>IFERROR(Table1[[#This Row],[Order quantity]]*(Table1[[#This Row],[Cost ]]+Table1[[#This Row],[shipping]]+Table1[[#This Row],[Tax]]),0)</f>
        <v>0</v>
      </c>
      <c r="Q307" s="38">
        <f>IFERROR(Table1[[#This Row],[leftover material]]*(Table1[[#This Row],[Cost ]]+Table1[[#This Row],[shipping]]+Table1[[#This Row],[Tax]]),0)</f>
        <v>0</v>
      </c>
      <c r="R307" s="38"/>
    </row>
    <row r="308" spans="1:18" x14ac:dyDescent="0.25">
      <c r="A308" s="1" t="s">
        <v>311</v>
      </c>
      <c r="B308" s="4"/>
      <c r="F308" s="3">
        <f>9%*Table1[[#This Row],[Cost ]]</f>
        <v>0</v>
      </c>
      <c r="J308" s="11">
        <f>SUMIF('Multi-level BOM'!C$3:C$464,Table1[[#This Row],[Part Number]],'Multi-level BOM'!F$3:F$464)</f>
        <v>0</v>
      </c>
      <c r="K308" s="11">
        <f>Table1[[#This Row],[extended quantity]]*(Table1[[#This Row],[Cost ]]+Table1[[#This Row],[shipping]]+Table1[[#This Row],[Tax]])</f>
        <v>0</v>
      </c>
      <c r="L308" s="11"/>
      <c r="M308" s="42"/>
      <c r="N308" s="53" t="e">
        <f>CEILING((Table1[[#This Row],[extended quantity]]-Table1[[#This Row],[quantity on-hand]])/Table1[[#This Row],[Minimum order quantity]],1)*Table1[[#This Row],[Minimum order quantity]]</f>
        <v>#DIV/0!</v>
      </c>
      <c r="O308" s="53" t="e">
        <f>Table1[[#This Row],[Order quantity]]+Table1[[#This Row],[quantity on-hand]]-Table1[[#This Row],[extended quantity]]</f>
        <v>#DIV/0!</v>
      </c>
      <c r="P308" s="11">
        <f>IFERROR(Table1[[#This Row],[Order quantity]]*(Table1[[#This Row],[Cost ]]+Table1[[#This Row],[shipping]]+Table1[[#This Row],[Tax]]),0)</f>
        <v>0</v>
      </c>
      <c r="Q308" s="38">
        <f>IFERROR(Table1[[#This Row],[leftover material]]*(Table1[[#This Row],[Cost ]]+Table1[[#This Row],[shipping]]+Table1[[#This Row],[Tax]]),0)</f>
        <v>0</v>
      </c>
      <c r="R308" s="38"/>
    </row>
    <row r="309" spans="1:18" x14ac:dyDescent="0.25">
      <c r="A309" s="1" t="s">
        <v>312</v>
      </c>
      <c r="B309" s="4"/>
      <c r="F309" s="3">
        <f>9%*Table1[[#This Row],[Cost ]]</f>
        <v>0</v>
      </c>
      <c r="J309" s="11">
        <f>SUMIF('Multi-level BOM'!C$3:C$464,Table1[[#This Row],[Part Number]],'Multi-level BOM'!F$3:F$464)</f>
        <v>0</v>
      </c>
      <c r="K309" s="11">
        <f>Table1[[#This Row],[extended quantity]]*(Table1[[#This Row],[Cost ]]+Table1[[#This Row],[shipping]]+Table1[[#This Row],[Tax]])</f>
        <v>0</v>
      </c>
      <c r="L309" s="11"/>
      <c r="M309" s="42"/>
      <c r="N309" s="53" t="e">
        <f>CEILING((Table1[[#This Row],[extended quantity]]-Table1[[#This Row],[quantity on-hand]])/Table1[[#This Row],[Minimum order quantity]],1)*Table1[[#This Row],[Minimum order quantity]]</f>
        <v>#DIV/0!</v>
      </c>
      <c r="O309" s="53" t="e">
        <f>Table1[[#This Row],[Order quantity]]+Table1[[#This Row],[quantity on-hand]]-Table1[[#This Row],[extended quantity]]</f>
        <v>#DIV/0!</v>
      </c>
      <c r="P309" s="11">
        <f>IFERROR(Table1[[#This Row],[Order quantity]]*(Table1[[#This Row],[Cost ]]+Table1[[#This Row],[shipping]]+Table1[[#This Row],[Tax]]),0)</f>
        <v>0</v>
      </c>
      <c r="Q309" s="38">
        <f>IFERROR(Table1[[#This Row],[leftover material]]*(Table1[[#This Row],[Cost ]]+Table1[[#This Row],[shipping]]+Table1[[#This Row],[Tax]]),0)</f>
        <v>0</v>
      </c>
      <c r="R309" s="38"/>
    </row>
    <row r="310" spans="1:18" x14ac:dyDescent="0.25">
      <c r="A310" s="1" t="s">
        <v>313</v>
      </c>
      <c r="B310" s="4"/>
      <c r="F310" s="3">
        <f>9%*Table1[[#This Row],[Cost ]]</f>
        <v>0</v>
      </c>
      <c r="J310" s="11">
        <f>SUMIF('Multi-level BOM'!C$3:C$464,Table1[[#This Row],[Part Number]],'Multi-level BOM'!F$3:F$464)</f>
        <v>0</v>
      </c>
      <c r="K310" s="11">
        <f>Table1[[#This Row],[extended quantity]]*(Table1[[#This Row],[Cost ]]+Table1[[#This Row],[shipping]]+Table1[[#This Row],[Tax]])</f>
        <v>0</v>
      </c>
      <c r="L310" s="11"/>
      <c r="M310" s="42"/>
      <c r="N310" s="53" t="e">
        <f>CEILING((Table1[[#This Row],[extended quantity]]-Table1[[#This Row],[quantity on-hand]])/Table1[[#This Row],[Minimum order quantity]],1)*Table1[[#This Row],[Minimum order quantity]]</f>
        <v>#DIV/0!</v>
      </c>
      <c r="O310" s="53" t="e">
        <f>Table1[[#This Row],[Order quantity]]+Table1[[#This Row],[quantity on-hand]]-Table1[[#This Row],[extended quantity]]</f>
        <v>#DIV/0!</v>
      </c>
      <c r="P310" s="11">
        <f>IFERROR(Table1[[#This Row],[Order quantity]]*(Table1[[#This Row],[Cost ]]+Table1[[#This Row],[shipping]]+Table1[[#This Row],[Tax]]),0)</f>
        <v>0</v>
      </c>
      <c r="Q310" s="38">
        <f>IFERROR(Table1[[#This Row],[leftover material]]*(Table1[[#This Row],[Cost ]]+Table1[[#This Row],[shipping]]+Table1[[#This Row],[Tax]]),0)</f>
        <v>0</v>
      </c>
      <c r="R310" s="38"/>
    </row>
    <row r="311" spans="1:18" x14ac:dyDescent="0.25">
      <c r="A311" s="1" t="s">
        <v>314</v>
      </c>
      <c r="B311" s="4"/>
      <c r="F311" s="3">
        <f>9%*Table1[[#This Row],[Cost ]]</f>
        <v>0</v>
      </c>
      <c r="J311" s="11">
        <f>SUMIF('Multi-level BOM'!C$3:C$464,Table1[[#This Row],[Part Number]],'Multi-level BOM'!F$3:F$464)</f>
        <v>0</v>
      </c>
      <c r="K311" s="11">
        <f>Table1[[#This Row],[extended quantity]]*(Table1[[#This Row],[Cost ]]+Table1[[#This Row],[shipping]]+Table1[[#This Row],[Tax]])</f>
        <v>0</v>
      </c>
      <c r="L311" s="11"/>
      <c r="M311" s="42"/>
      <c r="N311" s="53" t="e">
        <f>CEILING((Table1[[#This Row],[extended quantity]]-Table1[[#This Row],[quantity on-hand]])/Table1[[#This Row],[Minimum order quantity]],1)*Table1[[#This Row],[Minimum order quantity]]</f>
        <v>#DIV/0!</v>
      </c>
      <c r="O311" s="53" t="e">
        <f>Table1[[#This Row],[Order quantity]]+Table1[[#This Row],[quantity on-hand]]-Table1[[#This Row],[extended quantity]]</f>
        <v>#DIV/0!</v>
      </c>
      <c r="P311" s="11">
        <f>IFERROR(Table1[[#This Row],[Order quantity]]*(Table1[[#This Row],[Cost ]]+Table1[[#This Row],[shipping]]+Table1[[#This Row],[Tax]]),0)</f>
        <v>0</v>
      </c>
      <c r="Q311" s="38">
        <f>IFERROR(Table1[[#This Row],[leftover material]]*(Table1[[#This Row],[Cost ]]+Table1[[#This Row],[shipping]]+Table1[[#This Row],[Tax]]),0)</f>
        <v>0</v>
      </c>
      <c r="R311" s="38"/>
    </row>
    <row r="312" spans="1:18" x14ac:dyDescent="0.25">
      <c r="A312" s="1" t="s">
        <v>315</v>
      </c>
      <c r="B312" s="4"/>
      <c r="F312" s="3">
        <f>9%*Table1[[#This Row],[Cost ]]</f>
        <v>0</v>
      </c>
      <c r="J312" s="11">
        <f>SUMIF('Multi-level BOM'!C$3:C$464,Table1[[#This Row],[Part Number]],'Multi-level BOM'!F$3:F$464)</f>
        <v>0</v>
      </c>
      <c r="K312" s="11">
        <f>Table1[[#This Row],[extended quantity]]*(Table1[[#This Row],[Cost ]]+Table1[[#This Row],[shipping]]+Table1[[#This Row],[Tax]])</f>
        <v>0</v>
      </c>
      <c r="L312" s="11"/>
      <c r="M312" s="42"/>
      <c r="N312" s="53" t="e">
        <f>CEILING((Table1[[#This Row],[extended quantity]]-Table1[[#This Row],[quantity on-hand]])/Table1[[#This Row],[Minimum order quantity]],1)*Table1[[#This Row],[Minimum order quantity]]</f>
        <v>#DIV/0!</v>
      </c>
      <c r="O312" s="53" t="e">
        <f>Table1[[#This Row],[Order quantity]]+Table1[[#This Row],[quantity on-hand]]-Table1[[#This Row],[extended quantity]]</f>
        <v>#DIV/0!</v>
      </c>
      <c r="P312" s="11">
        <f>IFERROR(Table1[[#This Row],[Order quantity]]*(Table1[[#This Row],[Cost ]]+Table1[[#This Row],[shipping]]+Table1[[#This Row],[Tax]]),0)</f>
        <v>0</v>
      </c>
      <c r="Q312" s="38">
        <f>IFERROR(Table1[[#This Row],[leftover material]]*(Table1[[#This Row],[Cost ]]+Table1[[#This Row],[shipping]]+Table1[[#This Row],[Tax]]),0)</f>
        <v>0</v>
      </c>
      <c r="R312" s="38"/>
    </row>
    <row r="313" spans="1:18" x14ac:dyDescent="0.25">
      <c r="A313" s="1" t="s">
        <v>316</v>
      </c>
      <c r="B313" s="4"/>
      <c r="F313" s="3">
        <f>9%*Table1[[#This Row],[Cost ]]</f>
        <v>0</v>
      </c>
      <c r="J313" s="11">
        <f>SUMIF('Multi-level BOM'!C$3:C$464,Table1[[#This Row],[Part Number]],'Multi-level BOM'!F$3:F$464)</f>
        <v>0</v>
      </c>
      <c r="K313" s="11">
        <f>Table1[[#This Row],[extended quantity]]*(Table1[[#This Row],[Cost ]]+Table1[[#This Row],[shipping]]+Table1[[#This Row],[Tax]])</f>
        <v>0</v>
      </c>
      <c r="L313" s="11"/>
      <c r="M313" s="42"/>
      <c r="N313" s="53" t="e">
        <f>CEILING((Table1[[#This Row],[extended quantity]]-Table1[[#This Row],[quantity on-hand]])/Table1[[#This Row],[Minimum order quantity]],1)*Table1[[#This Row],[Minimum order quantity]]</f>
        <v>#DIV/0!</v>
      </c>
      <c r="O313" s="53" t="e">
        <f>Table1[[#This Row],[Order quantity]]+Table1[[#This Row],[quantity on-hand]]-Table1[[#This Row],[extended quantity]]</f>
        <v>#DIV/0!</v>
      </c>
      <c r="P313" s="11">
        <f>IFERROR(Table1[[#This Row],[Order quantity]]*(Table1[[#This Row],[Cost ]]+Table1[[#This Row],[shipping]]+Table1[[#This Row],[Tax]]),0)</f>
        <v>0</v>
      </c>
      <c r="Q313" s="38">
        <f>IFERROR(Table1[[#This Row],[leftover material]]*(Table1[[#This Row],[Cost ]]+Table1[[#This Row],[shipping]]+Table1[[#This Row],[Tax]]),0)</f>
        <v>0</v>
      </c>
      <c r="R313" s="38"/>
    </row>
    <row r="314" spans="1:18" x14ac:dyDescent="0.25">
      <c r="A314" s="1" t="s">
        <v>317</v>
      </c>
      <c r="B314" s="4"/>
      <c r="F314" s="3">
        <f>9%*Table1[[#This Row],[Cost ]]</f>
        <v>0</v>
      </c>
      <c r="J314" s="11">
        <f>SUMIF('Multi-level BOM'!C$3:C$464,Table1[[#This Row],[Part Number]],'Multi-level BOM'!F$3:F$464)</f>
        <v>0</v>
      </c>
      <c r="K314" s="11">
        <f>Table1[[#This Row],[extended quantity]]*(Table1[[#This Row],[Cost ]]+Table1[[#This Row],[shipping]]+Table1[[#This Row],[Tax]])</f>
        <v>0</v>
      </c>
      <c r="L314" s="11"/>
      <c r="M314" s="42"/>
      <c r="N314" s="53" t="e">
        <f>CEILING((Table1[[#This Row],[extended quantity]]-Table1[[#This Row],[quantity on-hand]])/Table1[[#This Row],[Minimum order quantity]],1)*Table1[[#This Row],[Minimum order quantity]]</f>
        <v>#DIV/0!</v>
      </c>
      <c r="O314" s="53" t="e">
        <f>Table1[[#This Row],[Order quantity]]+Table1[[#This Row],[quantity on-hand]]-Table1[[#This Row],[extended quantity]]</f>
        <v>#DIV/0!</v>
      </c>
      <c r="P314" s="11">
        <f>IFERROR(Table1[[#This Row],[Order quantity]]*(Table1[[#This Row],[Cost ]]+Table1[[#This Row],[shipping]]+Table1[[#This Row],[Tax]]),0)</f>
        <v>0</v>
      </c>
      <c r="Q314" s="38">
        <f>IFERROR(Table1[[#This Row],[leftover material]]*(Table1[[#This Row],[Cost ]]+Table1[[#This Row],[shipping]]+Table1[[#This Row],[Tax]]),0)</f>
        <v>0</v>
      </c>
      <c r="R314" s="38"/>
    </row>
    <row r="315" spans="1:18" x14ac:dyDescent="0.25">
      <c r="A315" s="1" t="s">
        <v>318</v>
      </c>
      <c r="B315" s="4"/>
      <c r="F315" s="3">
        <f>9%*Table1[[#This Row],[Cost ]]</f>
        <v>0</v>
      </c>
      <c r="J315" s="11">
        <f>SUMIF('Multi-level BOM'!C$3:C$464,Table1[[#This Row],[Part Number]],'Multi-level BOM'!F$3:F$464)</f>
        <v>0</v>
      </c>
      <c r="K315" s="11">
        <f>Table1[[#This Row],[extended quantity]]*(Table1[[#This Row],[Cost ]]+Table1[[#This Row],[shipping]]+Table1[[#This Row],[Tax]])</f>
        <v>0</v>
      </c>
      <c r="L315" s="11"/>
      <c r="M315" s="42"/>
      <c r="N315" s="53" t="e">
        <f>CEILING((Table1[[#This Row],[extended quantity]]-Table1[[#This Row],[quantity on-hand]])/Table1[[#This Row],[Minimum order quantity]],1)*Table1[[#This Row],[Minimum order quantity]]</f>
        <v>#DIV/0!</v>
      </c>
      <c r="O315" s="53" t="e">
        <f>Table1[[#This Row],[Order quantity]]+Table1[[#This Row],[quantity on-hand]]-Table1[[#This Row],[extended quantity]]</f>
        <v>#DIV/0!</v>
      </c>
      <c r="P315" s="11">
        <f>IFERROR(Table1[[#This Row],[Order quantity]]*(Table1[[#This Row],[Cost ]]+Table1[[#This Row],[shipping]]+Table1[[#This Row],[Tax]]),0)</f>
        <v>0</v>
      </c>
      <c r="Q315" s="38">
        <f>IFERROR(Table1[[#This Row],[leftover material]]*(Table1[[#This Row],[Cost ]]+Table1[[#This Row],[shipping]]+Table1[[#This Row],[Tax]]),0)</f>
        <v>0</v>
      </c>
      <c r="R315" s="38"/>
    </row>
    <row r="316" spans="1:18" x14ac:dyDescent="0.25">
      <c r="A316" s="1" t="s">
        <v>319</v>
      </c>
      <c r="B316" s="4"/>
      <c r="F316" s="3">
        <f>9%*Table1[[#This Row],[Cost ]]</f>
        <v>0</v>
      </c>
      <c r="J316" s="11">
        <f>SUMIF('Multi-level BOM'!C$3:C$464,Table1[[#This Row],[Part Number]],'Multi-level BOM'!F$3:F$464)</f>
        <v>0</v>
      </c>
      <c r="K316" s="11">
        <f>Table1[[#This Row],[extended quantity]]*(Table1[[#This Row],[Cost ]]+Table1[[#This Row],[shipping]]+Table1[[#This Row],[Tax]])</f>
        <v>0</v>
      </c>
      <c r="L316" s="11"/>
      <c r="M316" s="42"/>
      <c r="N316" s="53" t="e">
        <f>CEILING((Table1[[#This Row],[extended quantity]]-Table1[[#This Row],[quantity on-hand]])/Table1[[#This Row],[Minimum order quantity]],1)*Table1[[#This Row],[Minimum order quantity]]</f>
        <v>#DIV/0!</v>
      </c>
      <c r="O316" s="53" t="e">
        <f>Table1[[#This Row],[Order quantity]]+Table1[[#This Row],[quantity on-hand]]-Table1[[#This Row],[extended quantity]]</f>
        <v>#DIV/0!</v>
      </c>
      <c r="P316" s="11">
        <f>IFERROR(Table1[[#This Row],[Order quantity]]*(Table1[[#This Row],[Cost ]]+Table1[[#This Row],[shipping]]+Table1[[#This Row],[Tax]]),0)</f>
        <v>0</v>
      </c>
      <c r="Q316" s="38">
        <f>IFERROR(Table1[[#This Row],[leftover material]]*(Table1[[#This Row],[Cost ]]+Table1[[#This Row],[shipping]]+Table1[[#This Row],[Tax]]),0)</f>
        <v>0</v>
      </c>
      <c r="R316" s="38"/>
    </row>
    <row r="317" spans="1:18" x14ac:dyDescent="0.25">
      <c r="A317" s="1" t="s">
        <v>320</v>
      </c>
      <c r="B317" s="4"/>
      <c r="F317" s="3">
        <f>9%*Table1[[#This Row],[Cost ]]</f>
        <v>0</v>
      </c>
      <c r="J317" s="11">
        <f>SUMIF('Multi-level BOM'!C$3:C$464,Table1[[#This Row],[Part Number]],'Multi-level BOM'!F$3:F$464)</f>
        <v>0</v>
      </c>
      <c r="K317" s="11">
        <f>Table1[[#This Row],[extended quantity]]*(Table1[[#This Row],[Cost ]]+Table1[[#This Row],[shipping]]+Table1[[#This Row],[Tax]])</f>
        <v>0</v>
      </c>
      <c r="L317" s="11"/>
      <c r="M317" s="42"/>
      <c r="N317" s="53" t="e">
        <f>CEILING((Table1[[#This Row],[extended quantity]]-Table1[[#This Row],[quantity on-hand]])/Table1[[#This Row],[Minimum order quantity]],1)*Table1[[#This Row],[Minimum order quantity]]</f>
        <v>#DIV/0!</v>
      </c>
      <c r="O317" s="53" t="e">
        <f>Table1[[#This Row],[Order quantity]]+Table1[[#This Row],[quantity on-hand]]-Table1[[#This Row],[extended quantity]]</f>
        <v>#DIV/0!</v>
      </c>
      <c r="P317" s="11">
        <f>IFERROR(Table1[[#This Row],[Order quantity]]*(Table1[[#This Row],[Cost ]]+Table1[[#This Row],[shipping]]+Table1[[#This Row],[Tax]]),0)</f>
        <v>0</v>
      </c>
      <c r="Q317" s="38">
        <f>IFERROR(Table1[[#This Row],[leftover material]]*(Table1[[#This Row],[Cost ]]+Table1[[#This Row],[shipping]]+Table1[[#This Row],[Tax]]),0)</f>
        <v>0</v>
      </c>
      <c r="R317" s="38"/>
    </row>
    <row r="318" spans="1:18" x14ac:dyDescent="0.25">
      <c r="A318" s="1" t="s">
        <v>321</v>
      </c>
      <c r="B318" s="4"/>
      <c r="F318" s="3">
        <f>9%*Table1[[#This Row],[Cost ]]</f>
        <v>0</v>
      </c>
      <c r="J318" s="11">
        <f>SUMIF('Multi-level BOM'!C$3:C$464,Table1[[#This Row],[Part Number]],'Multi-level BOM'!F$3:F$464)</f>
        <v>0</v>
      </c>
      <c r="K318" s="11">
        <f>Table1[[#This Row],[extended quantity]]*(Table1[[#This Row],[Cost ]]+Table1[[#This Row],[shipping]]+Table1[[#This Row],[Tax]])</f>
        <v>0</v>
      </c>
      <c r="L318" s="11"/>
      <c r="M318" s="42"/>
      <c r="N318" s="53" t="e">
        <f>CEILING((Table1[[#This Row],[extended quantity]]-Table1[[#This Row],[quantity on-hand]])/Table1[[#This Row],[Minimum order quantity]],1)*Table1[[#This Row],[Minimum order quantity]]</f>
        <v>#DIV/0!</v>
      </c>
      <c r="O318" s="53" t="e">
        <f>Table1[[#This Row],[Order quantity]]+Table1[[#This Row],[quantity on-hand]]-Table1[[#This Row],[extended quantity]]</f>
        <v>#DIV/0!</v>
      </c>
      <c r="P318" s="11">
        <f>IFERROR(Table1[[#This Row],[Order quantity]]*(Table1[[#This Row],[Cost ]]+Table1[[#This Row],[shipping]]+Table1[[#This Row],[Tax]]),0)</f>
        <v>0</v>
      </c>
      <c r="Q318" s="38">
        <f>IFERROR(Table1[[#This Row],[leftover material]]*(Table1[[#This Row],[Cost ]]+Table1[[#This Row],[shipping]]+Table1[[#This Row],[Tax]]),0)</f>
        <v>0</v>
      </c>
      <c r="R318" s="38"/>
    </row>
    <row r="319" spans="1:18" x14ac:dyDescent="0.25">
      <c r="A319" s="1" t="s">
        <v>322</v>
      </c>
      <c r="B319" s="4"/>
      <c r="F319" s="3">
        <f>9%*Table1[[#This Row],[Cost ]]</f>
        <v>0</v>
      </c>
      <c r="J319" s="11">
        <f>SUMIF('Multi-level BOM'!C$3:C$464,Table1[[#This Row],[Part Number]],'Multi-level BOM'!F$3:F$464)</f>
        <v>0</v>
      </c>
      <c r="K319" s="11">
        <f>Table1[[#This Row],[extended quantity]]*(Table1[[#This Row],[Cost ]]+Table1[[#This Row],[shipping]]+Table1[[#This Row],[Tax]])</f>
        <v>0</v>
      </c>
      <c r="L319" s="11"/>
      <c r="M319" s="42"/>
      <c r="N319" s="53" t="e">
        <f>CEILING((Table1[[#This Row],[extended quantity]]-Table1[[#This Row],[quantity on-hand]])/Table1[[#This Row],[Minimum order quantity]],1)*Table1[[#This Row],[Minimum order quantity]]</f>
        <v>#DIV/0!</v>
      </c>
      <c r="O319" s="53" t="e">
        <f>Table1[[#This Row],[Order quantity]]+Table1[[#This Row],[quantity on-hand]]-Table1[[#This Row],[extended quantity]]</f>
        <v>#DIV/0!</v>
      </c>
      <c r="P319" s="11">
        <f>IFERROR(Table1[[#This Row],[Order quantity]]*(Table1[[#This Row],[Cost ]]+Table1[[#This Row],[shipping]]+Table1[[#This Row],[Tax]]),0)</f>
        <v>0</v>
      </c>
      <c r="Q319" s="38">
        <f>IFERROR(Table1[[#This Row],[leftover material]]*(Table1[[#This Row],[Cost ]]+Table1[[#This Row],[shipping]]+Table1[[#This Row],[Tax]]),0)</f>
        <v>0</v>
      </c>
      <c r="R319" s="38"/>
    </row>
    <row r="320" spans="1:18" x14ac:dyDescent="0.25">
      <c r="A320" s="1" t="s">
        <v>323</v>
      </c>
      <c r="B320" s="4"/>
      <c r="F320" s="3">
        <f>9%*Table1[[#This Row],[Cost ]]</f>
        <v>0</v>
      </c>
      <c r="J320" s="11">
        <f>SUMIF('Multi-level BOM'!C$3:C$464,Table1[[#This Row],[Part Number]],'Multi-level BOM'!F$3:F$464)</f>
        <v>0</v>
      </c>
      <c r="K320" s="11">
        <f>Table1[[#This Row],[extended quantity]]*(Table1[[#This Row],[Cost ]]+Table1[[#This Row],[shipping]]+Table1[[#This Row],[Tax]])</f>
        <v>0</v>
      </c>
      <c r="L320" s="11"/>
      <c r="M320" s="42"/>
      <c r="N320" s="53" t="e">
        <f>CEILING((Table1[[#This Row],[extended quantity]]-Table1[[#This Row],[quantity on-hand]])/Table1[[#This Row],[Minimum order quantity]],1)*Table1[[#This Row],[Minimum order quantity]]</f>
        <v>#DIV/0!</v>
      </c>
      <c r="O320" s="53" t="e">
        <f>Table1[[#This Row],[Order quantity]]+Table1[[#This Row],[quantity on-hand]]-Table1[[#This Row],[extended quantity]]</f>
        <v>#DIV/0!</v>
      </c>
      <c r="P320" s="11">
        <f>IFERROR(Table1[[#This Row],[Order quantity]]*(Table1[[#This Row],[Cost ]]+Table1[[#This Row],[shipping]]+Table1[[#This Row],[Tax]]),0)</f>
        <v>0</v>
      </c>
      <c r="Q320" s="38">
        <f>IFERROR(Table1[[#This Row],[leftover material]]*(Table1[[#This Row],[Cost ]]+Table1[[#This Row],[shipping]]+Table1[[#This Row],[Tax]]),0)</f>
        <v>0</v>
      </c>
      <c r="R320" s="38"/>
    </row>
    <row r="321" spans="1:18" x14ac:dyDescent="0.25">
      <c r="A321" s="1" t="s">
        <v>324</v>
      </c>
      <c r="B321" s="4"/>
      <c r="F321" s="3">
        <f>9%*Table1[[#This Row],[Cost ]]</f>
        <v>0</v>
      </c>
      <c r="J321" s="11">
        <f>SUMIF('Multi-level BOM'!C$3:C$464,Table1[[#This Row],[Part Number]],'Multi-level BOM'!F$3:F$464)</f>
        <v>0</v>
      </c>
      <c r="K321" s="11">
        <f>Table1[[#This Row],[extended quantity]]*(Table1[[#This Row],[Cost ]]+Table1[[#This Row],[shipping]]+Table1[[#This Row],[Tax]])</f>
        <v>0</v>
      </c>
      <c r="L321" s="11"/>
      <c r="M321" s="42"/>
      <c r="N321" s="53" t="e">
        <f>CEILING((Table1[[#This Row],[extended quantity]]-Table1[[#This Row],[quantity on-hand]])/Table1[[#This Row],[Minimum order quantity]],1)*Table1[[#This Row],[Minimum order quantity]]</f>
        <v>#DIV/0!</v>
      </c>
      <c r="O321" s="53" t="e">
        <f>Table1[[#This Row],[Order quantity]]+Table1[[#This Row],[quantity on-hand]]-Table1[[#This Row],[extended quantity]]</f>
        <v>#DIV/0!</v>
      </c>
      <c r="P321" s="11">
        <f>IFERROR(Table1[[#This Row],[Order quantity]]*(Table1[[#This Row],[Cost ]]+Table1[[#This Row],[shipping]]+Table1[[#This Row],[Tax]]),0)</f>
        <v>0</v>
      </c>
      <c r="Q321" s="38">
        <f>IFERROR(Table1[[#This Row],[leftover material]]*(Table1[[#This Row],[Cost ]]+Table1[[#This Row],[shipping]]+Table1[[#This Row],[Tax]]),0)</f>
        <v>0</v>
      </c>
      <c r="R321" s="38"/>
    </row>
    <row r="322" spans="1:18" x14ac:dyDescent="0.25">
      <c r="A322" s="1" t="s">
        <v>325</v>
      </c>
      <c r="B322" s="4"/>
      <c r="F322" s="3">
        <f>9%*Table1[[#This Row],[Cost ]]</f>
        <v>0</v>
      </c>
      <c r="J322" s="11">
        <f>SUMIF('Multi-level BOM'!C$3:C$464,Table1[[#This Row],[Part Number]],'Multi-level BOM'!F$3:F$464)</f>
        <v>0</v>
      </c>
      <c r="K322" s="11">
        <f>Table1[[#This Row],[extended quantity]]*(Table1[[#This Row],[Cost ]]+Table1[[#This Row],[shipping]]+Table1[[#This Row],[Tax]])</f>
        <v>0</v>
      </c>
      <c r="L322" s="11"/>
      <c r="M322" s="42"/>
      <c r="N322" s="53" t="e">
        <f>CEILING((Table1[[#This Row],[extended quantity]]-Table1[[#This Row],[quantity on-hand]])/Table1[[#This Row],[Minimum order quantity]],1)*Table1[[#This Row],[Minimum order quantity]]</f>
        <v>#DIV/0!</v>
      </c>
      <c r="O322" s="53" t="e">
        <f>Table1[[#This Row],[Order quantity]]+Table1[[#This Row],[quantity on-hand]]-Table1[[#This Row],[extended quantity]]</f>
        <v>#DIV/0!</v>
      </c>
      <c r="P322" s="11">
        <f>IFERROR(Table1[[#This Row],[Order quantity]]*(Table1[[#This Row],[Cost ]]+Table1[[#This Row],[shipping]]+Table1[[#This Row],[Tax]]),0)</f>
        <v>0</v>
      </c>
      <c r="Q322" s="38">
        <f>IFERROR(Table1[[#This Row],[leftover material]]*(Table1[[#This Row],[Cost ]]+Table1[[#This Row],[shipping]]+Table1[[#This Row],[Tax]]),0)</f>
        <v>0</v>
      </c>
      <c r="R322" s="38"/>
    </row>
    <row r="323" spans="1:18" x14ac:dyDescent="0.25">
      <c r="A323" s="1" t="s">
        <v>326</v>
      </c>
      <c r="B323" s="4"/>
      <c r="F323" s="3">
        <f>9%*Table1[[#This Row],[Cost ]]</f>
        <v>0</v>
      </c>
      <c r="J323" s="11">
        <f>SUMIF('Multi-level BOM'!C$3:C$464,Table1[[#This Row],[Part Number]],'Multi-level BOM'!F$3:F$464)</f>
        <v>0</v>
      </c>
      <c r="K323" s="11">
        <f>Table1[[#This Row],[extended quantity]]*(Table1[[#This Row],[Cost ]]+Table1[[#This Row],[shipping]]+Table1[[#This Row],[Tax]])</f>
        <v>0</v>
      </c>
      <c r="L323" s="11"/>
      <c r="M323" s="42"/>
      <c r="N323" s="53" t="e">
        <f>CEILING((Table1[[#This Row],[extended quantity]]-Table1[[#This Row],[quantity on-hand]])/Table1[[#This Row],[Minimum order quantity]],1)*Table1[[#This Row],[Minimum order quantity]]</f>
        <v>#DIV/0!</v>
      </c>
      <c r="O323" s="53" t="e">
        <f>Table1[[#This Row],[Order quantity]]+Table1[[#This Row],[quantity on-hand]]-Table1[[#This Row],[extended quantity]]</f>
        <v>#DIV/0!</v>
      </c>
      <c r="P323" s="11">
        <f>IFERROR(Table1[[#This Row],[Order quantity]]*(Table1[[#This Row],[Cost ]]+Table1[[#This Row],[shipping]]+Table1[[#This Row],[Tax]]),0)</f>
        <v>0</v>
      </c>
      <c r="Q323" s="38">
        <f>IFERROR(Table1[[#This Row],[leftover material]]*(Table1[[#This Row],[Cost ]]+Table1[[#This Row],[shipping]]+Table1[[#This Row],[Tax]]),0)</f>
        <v>0</v>
      </c>
      <c r="R323" s="38"/>
    </row>
    <row r="324" spans="1:18" x14ac:dyDescent="0.25">
      <c r="A324" s="1" t="s">
        <v>327</v>
      </c>
      <c r="B324" s="4"/>
      <c r="F324" s="3">
        <f>9%*Table1[[#This Row],[Cost ]]</f>
        <v>0</v>
      </c>
      <c r="J324" s="11">
        <f>SUMIF('Multi-level BOM'!C$3:C$464,Table1[[#This Row],[Part Number]],'Multi-level BOM'!F$3:F$464)</f>
        <v>0</v>
      </c>
      <c r="K324" s="11">
        <f>Table1[[#This Row],[extended quantity]]*(Table1[[#This Row],[Cost ]]+Table1[[#This Row],[shipping]]+Table1[[#This Row],[Tax]])</f>
        <v>0</v>
      </c>
      <c r="L324" s="11"/>
      <c r="M324" s="42"/>
      <c r="N324" s="53" t="e">
        <f>CEILING((Table1[[#This Row],[extended quantity]]-Table1[[#This Row],[quantity on-hand]])/Table1[[#This Row],[Minimum order quantity]],1)*Table1[[#This Row],[Minimum order quantity]]</f>
        <v>#DIV/0!</v>
      </c>
      <c r="O324" s="53" t="e">
        <f>Table1[[#This Row],[Order quantity]]+Table1[[#This Row],[quantity on-hand]]-Table1[[#This Row],[extended quantity]]</f>
        <v>#DIV/0!</v>
      </c>
      <c r="P324" s="11">
        <f>IFERROR(Table1[[#This Row],[Order quantity]]*(Table1[[#This Row],[Cost ]]+Table1[[#This Row],[shipping]]+Table1[[#This Row],[Tax]]),0)</f>
        <v>0</v>
      </c>
      <c r="Q324" s="38">
        <f>IFERROR(Table1[[#This Row],[leftover material]]*(Table1[[#This Row],[Cost ]]+Table1[[#This Row],[shipping]]+Table1[[#This Row],[Tax]]),0)</f>
        <v>0</v>
      </c>
      <c r="R324" s="38"/>
    </row>
    <row r="325" spans="1:18" x14ac:dyDescent="0.25">
      <c r="A325" s="1" t="s">
        <v>328</v>
      </c>
      <c r="B325" s="4"/>
      <c r="F325" s="3">
        <f>9%*Table1[[#This Row],[Cost ]]</f>
        <v>0</v>
      </c>
      <c r="J325" s="11">
        <f>SUMIF('Multi-level BOM'!C$3:C$464,Table1[[#This Row],[Part Number]],'Multi-level BOM'!F$3:F$464)</f>
        <v>0</v>
      </c>
      <c r="K325" s="11">
        <f>Table1[[#This Row],[extended quantity]]*(Table1[[#This Row],[Cost ]]+Table1[[#This Row],[shipping]]+Table1[[#This Row],[Tax]])</f>
        <v>0</v>
      </c>
      <c r="L325" s="11"/>
      <c r="M325" s="42"/>
      <c r="N325" s="53" t="e">
        <f>CEILING((Table1[[#This Row],[extended quantity]]-Table1[[#This Row],[quantity on-hand]])/Table1[[#This Row],[Minimum order quantity]],1)*Table1[[#This Row],[Minimum order quantity]]</f>
        <v>#DIV/0!</v>
      </c>
      <c r="O325" s="53" t="e">
        <f>Table1[[#This Row],[Order quantity]]+Table1[[#This Row],[quantity on-hand]]-Table1[[#This Row],[extended quantity]]</f>
        <v>#DIV/0!</v>
      </c>
      <c r="P325" s="11">
        <f>IFERROR(Table1[[#This Row],[Order quantity]]*(Table1[[#This Row],[Cost ]]+Table1[[#This Row],[shipping]]+Table1[[#This Row],[Tax]]),0)</f>
        <v>0</v>
      </c>
      <c r="Q325" s="38">
        <f>IFERROR(Table1[[#This Row],[leftover material]]*(Table1[[#This Row],[Cost ]]+Table1[[#This Row],[shipping]]+Table1[[#This Row],[Tax]]),0)</f>
        <v>0</v>
      </c>
      <c r="R325" s="38"/>
    </row>
    <row r="326" spans="1:18" x14ac:dyDescent="0.25">
      <c r="A326" s="1" t="s">
        <v>329</v>
      </c>
      <c r="B326" s="4"/>
      <c r="F326" s="3">
        <f>9%*Table1[[#This Row],[Cost ]]</f>
        <v>0</v>
      </c>
      <c r="J326" s="11">
        <f>SUMIF('Multi-level BOM'!C$3:C$464,Table1[[#This Row],[Part Number]],'Multi-level BOM'!F$3:F$464)</f>
        <v>0</v>
      </c>
      <c r="K326" s="11">
        <f>Table1[[#This Row],[extended quantity]]*(Table1[[#This Row],[Cost ]]+Table1[[#This Row],[shipping]]+Table1[[#This Row],[Tax]])</f>
        <v>0</v>
      </c>
      <c r="L326" s="11"/>
      <c r="M326" s="42"/>
      <c r="N326" s="53" t="e">
        <f>CEILING((Table1[[#This Row],[extended quantity]]-Table1[[#This Row],[quantity on-hand]])/Table1[[#This Row],[Minimum order quantity]],1)*Table1[[#This Row],[Minimum order quantity]]</f>
        <v>#DIV/0!</v>
      </c>
      <c r="O326" s="53" t="e">
        <f>Table1[[#This Row],[Order quantity]]+Table1[[#This Row],[quantity on-hand]]-Table1[[#This Row],[extended quantity]]</f>
        <v>#DIV/0!</v>
      </c>
      <c r="P326" s="11">
        <f>IFERROR(Table1[[#This Row],[Order quantity]]*(Table1[[#This Row],[Cost ]]+Table1[[#This Row],[shipping]]+Table1[[#This Row],[Tax]]),0)</f>
        <v>0</v>
      </c>
      <c r="Q326" s="38">
        <f>IFERROR(Table1[[#This Row],[leftover material]]*(Table1[[#This Row],[Cost ]]+Table1[[#This Row],[shipping]]+Table1[[#This Row],[Tax]]),0)</f>
        <v>0</v>
      </c>
      <c r="R326" s="38"/>
    </row>
    <row r="327" spans="1:18" x14ac:dyDescent="0.25">
      <c r="A327" s="1" t="s">
        <v>330</v>
      </c>
      <c r="B327" s="4"/>
      <c r="F327" s="3">
        <f>9%*Table1[[#This Row],[Cost ]]</f>
        <v>0</v>
      </c>
      <c r="J327" s="11">
        <f>SUMIF('Multi-level BOM'!C$3:C$464,Table1[[#This Row],[Part Number]],'Multi-level BOM'!F$3:F$464)</f>
        <v>0</v>
      </c>
      <c r="K327" s="11">
        <f>Table1[[#This Row],[extended quantity]]*(Table1[[#This Row],[Cost ]]+Table1[[#This Row],[shipping]]+Table1[[#This Row],[Tax]])</f>
        <v>0</v>
      </c>
      <c r="L327" s="11"/>
      <c r="M327" s="42"/>
      <c r="N327" s="53" t="e">
        <f>CEILING((Table1[[#This Row],[extended quantity]]-Table1[[#This Row],[quantity on-hand]])/Table1[[#This Row],[Minimum order quantity]],1)*Table1[[#This Row],[Minimum order quantity]]</f>
        <v>#DIV/0!</v>
      </c>
      <c r="O327" s="53" t="e">
        <f>Table1[[#This Row],[Order quantity]]+Table1[[#This Row],[quantity on-hand]]-Table1[[#This Row],[extended quantity]]</f>
        <v>#DIV/0!</v>
      </c>
      <c r="P327" s="11">
        <f>IFERROR(Table1[[#This Row],[Order quantity]]*(Table1[[#This Row],[Cost ]]+Table1[[#This Row],[shipping]]+Table1[[#This Row],[Tax]]),0)</f>
        <v>0</v>
      </c>
      <c r="Q327" s="38">
        <f>IFERROR(Table1[[#This Row],[leftover material]]*(Table1[[#This Row],[Cost ]]+Table1[[#This Row],[shipping]]+Table1[[#This Row],[Tax]]),0)</f>
        <v>0</v>
      </c>
      <c r="R327" s="38"/>
    </row>
    <row r="328" spans="1:18" x14ac:dyDescent="0.25">
      <c r="A328" s="1" t="s">
        <v>331</v>
      </c>
      <c r="B328" s="4"/>
      <c r="F328" s="3">
        <f>9%*Table1[[#This Row],[Cost ]]</f>
        <v>0</v>
      </c>
      <c r="J328" s="11">
        <f>SUMIF('Multi-level BOM'!C$3:C$464,Table1[[#This Row],[Part Number]],'Multi-level BOM'!F$3:F$464)</f>
        <v>0</v>
      </c>
      <c r="K328" s="11">
        <f>Table1[[#This Row],[extended quantity]]*(Table1[[#This Row],[Cost ]]+Table1[[#This Row],[shipping]]+Table1[[#This Row],[Tax]])</f>
        <v>0</v>
      </c>
      <c r="L328" s="11"/>
      <c r="M328" s="42"/>
      <c r="N328" s="53" t="e">
        <f>CEILING((Table1[[#This Row],[extended quantity]]-Table1[[#This Row],[quantity on-hand]])/Table1[[#This Row],[Minimum order quantity]],1)*Table1[[#This Row],[Minimum order quantity]]</f>
        <v>#DIV/0!</v>
      </c>
      <c r="O328" s="53" t="e">
        <f>Table1[[#This Row],[Order quantity]]+Table1[[#This Row],[quantity on-hand]]-Table1[[#This Row],[extended quantity]]</f>
        <v>#DIV/0!</v>
      </c>
      <c r="P328" s="11">
        <f>IFERROR(Table1[[#This Row],[Order quantity]]*(Table1[[#This Row],[Cost ]]+Table1[[#This Row],[shipping]]+Table1[[#This Row],[Tax]]),0)</f>
        <v>0</v>
      </c>
      <c r="Q328" s="38">
        <f>IFERROR(Table1[[#This Row],[leftover material]]*(Table1[[#This Row],[Cost ]]+Table1[[#This Row],[shipping]]+Table1[[#This Row],[Tax]]),0)</f>
        <v>0</v>
      </c>
      <c r="R328" s="38"/>
    </row>
    <row r="329" spans="1:18" x14ac:dyDescent="0.25">
      <c r="A329" s="1" t="s">
        <v>332</v>
      </c>
      <c r="B329" s="4"/>
      <c r="F329" s="3">
        <f>9%*Table1[[#This Row],[Cost ]]</f>
        <v>0</v>
      </c>
      <c r="J329" s="11">
        <f>SUMIF('Multi-level BOM'!C$3:C$464,Table1[[#This Row],[Part Number]],'Multi-level BOM'!F$3:F$464)</f>
        <v>0</v>
      </c>
      <c r="K329" s="11">
        <f>Table1[[#This Row],[extended quantity]]*(Table1[[#This Row],[Cost ]]+Table1[[#This Row],[shipping]]+Table1[[#This Row],[Tax]])</f>
        <v>0</v>
      </c>
      <c r="L329" s="11"/>
      <c r="M329" s="42"/>
      <c r="N329" s="53" t="e">
        <f>CEILING((Table1[[#This Row],[extended quantity]]-Table1[[#This Row],[quantity on-hand]])/Table1[[#This Row],[Minimum order quantity]],1)*Table1[[#This Row],[Minimum order quantity]]</f>
        <v>#DIV/0!</v>
      </c>
      <c r="O329" s="53" t="e">
        <f>Table1[[#This Row],[Order quantity]]+Table1[[#This Row],[quantity on-hand]]-Table1[[#This Row],[extended quantity]]</f>
        <v>#DIV/0!</v>
      </c>
      <c r="P329" s="11">
        <f>IFERROR(Table1[[#This Row],[Order quantity]]*(Table1[[#This Row],[Cost ]]+Table1[[#This Row],[shipping]]+Table1[[#This Row],[Tax]]),0)</f>
        <v>0</v>
      </c>
      <c r="Q329" s="38">
        <f>IFERROR(Table1[[#This Row],[leftover material]]*(Table1[[#This Row],[Cost ]]+Table1[[#This Row],[shipping]]+Table1[[#This Row],[Tax]]),0)</f>
        <v>0</v>
      </c>
      <c r="R329" s="38"/>
    </row>
    <row r="330" spans="1:18" x14ac:dyDescent="0.25">
      <c r="A330" s="1" t="s">
        <v>333</v>
      </c>
      <c r="B330" s="4"/>
      <c r="F330" s="3">
        <f>9%*Table1[[#This Row],[Cost ]]</f>
        <v>0</v>
      </c>
      <c r="J330" s="11">
        <f>SUMIF('Multi-level BOM'!C$3:C$464,Table1[[#This Row],[Part Number]],'Multi-level BOM'!F$3:F$464)</f>
        <v>0</v>
      </c>
      <c r="K330" s="11">
        <f>Table1[[#This Row],[extended quantity]]*(Table1[[#This Row],[Cost ]]+Table1[[#This Row],[shipping]]+Table1[[#This Row],[Tax]])</f>
        <v>0</v>
      </c>
      <c r="L330" s="11"/>
      <c r="M330" s="42"/>
      <c r="N330" s="53" t="e">
        <f>CEILING((Table1[[#This Row],[extended quantity]]-Table1[[#This Row],[quantity on-hand]])/Table1[[#This Row],[Minimum order quantity]],1)*Table1[[#This Row],[Minimum order quantity]]</f>
        <v>#DIV/0!</v>
      </c>
      <c r="O330" s="53" t="e">
        <f>Table1[[#This Row],[Order quantity]]+Table1[[#This Row],[quantity on-hand]]-Table1[[#This Row],[extended quantity]]</f>
        <v>#DIV/0!</v>
      </c>
      <c r="P330" s="11">
        <f>IFERROR(Table1[[#This Row],[Order quantity]]*(Table1[[#This Row],[Cost ]]+Table1[[#This Row],[shipping]]+Table1[[#This Row],[Tax]]),0)</f>
        <v>0</v>
      </c>
      <c r="Q330" s="38">
        <f>IFERROR(Table1[[#This Row],[leftover material]]*(Table1[[#This Row],[Cost ]]+Table1[[#This Row],[shipping]]+Table1[[#This Row],[Tax]]),0)</f>
        <v>0</v>
      </c>
      <c r="R330" s="38"/>
    </row>
    <row r="331" spans="1:18" x14ac:dyDescent="0.25">
      <c r="A331" s="1" t="s">
        <v>334</v>
      </c>
      <c r="B331" s="4"/>
      <c r="F331" s="3">
        <f>9%*Table1[[#This Row],[Cost ]]</f>
        <v>0</v>
      </c>
      <c r="J331" s="11">
        <f>SUMIF('Multi-level BOM'!C$3:C$464,Table1[[#This Row],[Part Number]],'Multi-level BOM'!F$3:F$464)</f>
        <v>0</v>
      </c>
      <c r="K331" s="11">
        <f>Table1[[#This Row],[extended quantity]]*(Table1[[#This Row],[Cost ]]+Table1[[#This Row],[shipping]]+Table1[[#This Row],[Tax]])</f>
        <v>0</v>
      </c>
      <c r="L331" s="11"/>
      <c r="M331" s="42"/>
      <c r="N331" s="53" t="e">
        <f>CEILING((Table1[[#This Row],[extended quantity]]-Table1[[#This Row],[quantity on-hand]])/Table1[[#This Row],[Minimum order quantity]],1)*Table1[[#This Row],[Minimum order quantity]]</f>
        <v>#DIV/0!</v>
      </c>
      <c r="O331" s="53" t="e">
        <f>Table1[[#This Row],[Order quantity]]+Table1[[#This Row],[quantity on-hand]]-Table1[[#This Row],[extended quantity]]</f>
        <v>#DIV/0!</v>
      </c>
      <c r="P331" s="11">
        <f>IFERROR(Table1[[#This Row],[Order quantity]]*(Table1[[#This Row],[Cost ]]+Table1[[#This Row],[shipping]]+Table1[[#This Row],[Tax]]),0)</f>
        <v>0</v>
      </c>
      <c r="Q331" s="38">
        <f>IFERROR(Table1[[#This Row],[leftover material]]*(Table1[[#This Row],[Cost ]]+Table1[[#This Row],[shipping]]+Table1[[#This Row],[Tax]]),0)</f>
        <v>0</v>
      </c>
      <c r="R331" s="38"/>
    </row>
    <row r="332" spans="1:18" x14ac:dyDescent="0.25">
      <c r="A332" s="1" t="s">
        <v>335</v>
      </c>
      <c r="B332" s="4"/>
      <c r="F332" s="3">
        <f>9%*Table1[[#This Row],[Cost ]]</f>
        <v>0</v>
      </c>
      <c r="J332" s="11">
        <f>SUMIF('Multi-level BOM'!C$3:C$464,Table1[[#This Row],[Part Number]],'Multi-level BOM'!F$3:F$464)</f>
        <v>0</v>
      </c>
      <c r="K332" s="11">
        <f>Table1[[#This Row],[extended quantity]]*(Table1[[#This Row],[Cost ]]+Table1[[#This Row],[shipping]]+Table1[[#This Row],[Tax]])</f>
        <v>0</v>
      </c>
      <c r="L332" s="11"/>
      <c r="M332" s="42"/>
      <c r="N332" s="53" t="e">
        <f>CEILING((Table1[[#This Row],[extended quantity]]-Table1[[#This Row],[quantity on-hand]])/Table1[[#This Row],[Minimum order quantity]],1)*Table1[[#This Row],[Minimum order quantity]]</f>
        <v>#DIV/0!</v>
      </c>
      <c r="O332" s="53" t="e">
        <f>Table1[[#This Row],[Order quantity]]+Table1[[#This Row],[quantity on-hand]]-Table1[[#This Row],[extended quantity]]</f>
        <v>#DIV/0!</v>
      </c>
      <c r="P332" s="11">
        <f>IFERROR(Table1[[#This Row],[Order quantity]]*(Table1[[#This Row],[Cost ]]+Table1[[#This Row],[shipping]]+Table1[[#This Row],[Tax]]),0)</f>
        <v>0</v>
      </c>
      <c r="Q332" s="38">
        <f>IFERROR(Table1[[#This Row],[leftover material]]*(Table1[[#This Row],[Cost ]]+Table1[[#This Row],[shipping]]+Table1[[#This Row],[Tax]]),0)</f>
        <v>0</v>
      </c>
      <c r="R332" s="38"/>
    </row>
    <row r="333" spans="1:18" x14ac:dyDescent="0.25">
      <c r="A333" s="1" t="s">
        <v>336</v>
      </c>
      <c r="B333" s="4"/>
      <c r="F333" s="3">
        <f>9%*Table1[[#This Row],[Cost ]]</f>
        <v>0</v>
      </c>
      <c r="J333" s="11">
        <f>SUMIF('Multi-level BOM'!C$3:C$464,Table1[[#This Row],[Part Number]],'Multi-level BOM'!F$3:F$464)</f>
        <v>0</v>
      </c>
      <c r="K333" s="11">
        <f>Table1[[#This Row],[extended quantity]]*(Table1[[#This Row],[Cost ]]+Table1[[#This Row],[shipping]]+Table1[[#This Row],[Tax]])</f>
        <v>0</v>
      </c>
      <c r="L333" s="11"/>
      <c r="M333" s="42"/>
      <c r="N333" s="53" t="e">
        <f>CEILING((Table1[[#This Row],[extended quantity]]-Table1[[#This Row],[quantity on-hand]])/Table1[[#This Row],[Minimum order quantity]],1)*Table1[[#This Row],[Minimum order quantity]]</f>
        <v>#DIV/0!</v>
      </c>
      <c r="O333" s="53" t="e">
        <f>Table1[[#This Row],[Order quantity]]+Table1[[#This Row],[quantity on-hand]]-Table1[[#This Row],[extended quantity]]</f>
        <v>#DIV/0!</v>
      </c>
      <c r="P333" s="11">
        <f>IFERROR(Table1[[#This Row],[Order quantity]]*(Table1[[#This Row],[Cost ]]+Table1[[#This Row],[shipping]]+Table1[[#This Row],[Tax]]),0)</f>
        <v>0</v>
      </c>
      <c r="Q333" s="38">
        <f>IFERROR(Table1[[#This Row],[leftover material]]*(Table1[[#This Row],[Cost ]]+Table1[[#This Row],[shipping]]+Table1[[#This Row],[Tax]]),0)</f>
        <v>0</v>
      </c>
      <c r="R333" s="38"/>
    </row>
    <row r="334" spans="1:18" x14ac:dyDescent="0.25">
      <c r="A334" s="1" t="s">
        <v>337</v>
      </c>
      <c r="B334" s="4"/>
      <c r="F334" s="3">
        <f>9%*Table1[[#This Row],[Cost ]]</f>
        <v>0</v>
      </c>
      <c r="J334" s="11">
        <f>SUMIF('Multi-level BOM'!C$3:C$464,Table1[[#This Row],[Part Number]],'Multi-level BOM'!F$3:F$464)</f>
        <v>0</v>
      </c>
      <c r="K334" s="11">
        <f>Table1[[#This Row],[extended quantity]]*(Table1[[#This Row],[Cost ]]+Table1[[#This Row],[shipping]]+Table1[[#This Row],[Tax]])</f>
        <v>0</v>
      </c>
      <c r="L334" s="11"/>
      <c r="M334" s="42"/>
      <c r="N334" s="53" t="e">
        <f>CEILING((Table1[[#This Row],[extended quantity]]-Table1[[#This Row],[quantity on-hand]])/Table1[[#This Row],[Minimum order quantity]],1)*Table1[[#This Row],[Minimum order quantity]]</f>
        <v>#DIV/0!</v>
      </c>
      <c r="O334" s="53" t="e">
        <f>Table1[[#This Row],[Order quantity]]+Table1[[#This Row],[quantity on-hand]]-Table1[[#This Row],[extended quantity]]</f>
        <v>#DIV/0!</v>
      </c>
      <c r="P334" s="11">
        <f>IFERROR(Table1[[#This Row],[Order quantity]]*(Table1[[#This Row],[Cost ]]+Table1[[#This Row],[shipping]]+Table1[[#This Row],[Tax]]),0)</f>
        <v>0</v>
      </c>
      <c r="Q334" s="38">
        <f>IFERROR(Table1[[#This Row],[leftover material]]*(Table1[[#This Row],[Cost ]]+Table1[[#This Row],[shipping]]+Table1[[#This Row],[Tax]]),0)</f>
        <v>0</v>
      </c>
      <c r="R334" s="38"/>
    </row>
    <row r="335" spans="1:18" x14ac:dyDescent="0.25">
      <c r="A335" s="1" t="s">
        <v>338</v>
      </c>
      <c r="B335" s="4"/>
      <c r="F335" s="3">
        <f>9%*Table1[[#This Row],[Cost ]]</f>
        <v>0</v>
      </c>
      <c r="J335" s="11">
        <f>SUMIF('Multi-level BOM'!C$3:C$464,Table1[[#This Row],[Part Number]],'Multi-level BOM'!F$3:F$464)</f>
        <v>0</v>
      </c>
      <c r="K335" s="11">
        <f>Table1[[#This Row],[extended quantity]]*(Table1[[#This Row],[Cost ]]+Table1[[#This Row],[shipping]]+Table1[[#This Row],[Tax]])</f>
        <v>0</v>
      </c>
      <c r="L335" s="11"/>
      <c r="M335" s="42"/>
      <c r="N335" s="53" t="e">
        <f>CEILING((Table1[[#This Row],[extended quantity]]-Table1[[#This Row],[quantity on-hand]])/Table1[[#This Row],[Minimum order quantity]],1)*Table1[[#This Row],[Minimum order quantity]]</f>
        <v>#DIV/0!</v>
      </c>
      <c r="O335" s="53" t="e">
        <f>Table1[[#This Row],[Order quantity]]+Table1[[#This Row],[quantity on-hand]]-Table1[[#This Row],[extended quantity]]</f>
        <v>#DIV/0!</v>
      </c>
      <c r="P335" s="11">
        <f>IFERROR(Table1[[#This Row],[Order quantity]]*(Table1[[#This Row],[Cost ]]+Table1[[#This Row],[shipping]]+Table1[[#This Row],[Tax]]),0)</f>
        <v>0</v>
      </c>
      <c r="Q335" s="38">
        <f>IFERROR(Table1[[#This Row],[leftover material]]*(Table1[[#This Row],[Cost ]]+Table1[[#This Row],[shipping]]+Table1[[#This Row],[Tax]]),0)</f>
        <v>0</v>
      </c>
      <c r="R335" s="38"/>
    </row>
    <row r="336" spans="1:18" x14ac:dyDescent="0.25">
      <c r="A336" s="1" t="s">
        <v>339</v>
      </c>
      <c r="B336" s="4"/>
      <c r="F336" s="3">
        <f>9%*Table1[[#This Row],[Cost ]]</f>
        <v>0</v>
      </c>
      <c r="J336" s="11">
        <f>SUMIF('Multi-level BOM'!C$3:C$464,Table1[[#This Row],[Part Number]],'Multi-level BOM'!F$3:F$464)</f>
        <v>0</v>
      </c>
      <c r="K336" s="11">
        <f>Table1[[#This Row],[extended quantity]]*(Table1[[#This Row],[Cost ]]+Table1[[#This Row],[shipping]]+Table1[[#This Row],[Tax]])</f>
        <v>0</v>
      </c>
      <c r="L336" s="11"/>
      <c r="M336" s="42"/>
      <c r="N336" s="53" t="e">
        <f>CEILING((Table1[[#This Row],[extended quantity]]-Table1[[#This Row],[quantity on-hand]])/Table1[[#This Row],[Minimum order quantity]],1)*Table1[[#This Row],[Minimum order quantity]]</f>
        <v>#DIV/0!</v>
      </c>
      <c r="O336" s="53" t="e">
        <f>Table1[[#This Row],[Order quantity]]+Table1[[#This Row],[quantity on-hand]]-Table1[[#This Row],[extended quantity]]</f>
        <v>#DIV/0!</v>
      </c>
      <c r="P336" s="11">
        <f>IFERROR(Table1[[#This Row],[Order quantity]]*(Table1[[#This Row],[Cost ]]+Table1[[#This Row],[shipping]]+Table1[[#This Row],[Tax]]),0)</f>
        <v>0</v>
      </c>
      <c r="Q336" s="38">
        <f>IFERROR(Table1[[#This Row],[leftover material]]*(Table1[[#This Row],[Cost ]]+Table1[[#This Row],[shipping]]+Table1[[#This Row],[Tax]]),0)</f>
        <v>0</v>
      </c>
      <c r="R336" s="38"/>
    </row>
    <row r="337" spans="1:18" x14ac:dyDescent="0.25">
      <c r="A337" s="1" t="s">
        <v>340</v>
      </c>
      <c r="B337" s="4"/>
      <c r="F337" s="3">
        <f>9%*Table1[[#This Row],[Cost ]]</f>
        <v>0</v>
      </c>
      <c r="J337" s="11">
        <f>SUMIF('Multi-level BOM'!C$3:C$464,Table1[[#This Row],[Part Number]],'Multi-level BOM'!F$3:F$464)</f>
        <v>0</v>
      </c>
      <c r="K337" s="11">
        <f>Table1[[#This Row],[extended quantity]]*(Table1[[#This Row],[Cost ]]+Table1[[#This Row],[shipping]]+Table1[[#This Row],[Tax]])</f>
        <v>0</v>
      </c>
      <c r="L337" s="11"/>
      <c r="M337" s="42"/>
      <c r="N337" s="53" t="e">
        <f>CEILING((Table1[[#This Row],[extended quantity]]-Table1[[#This Row],[quantity on-hand]])/Table1[[#This Row],[Minimum order quantity]],1)*Table1[[#This Row],[Minimum order quantity]]</f>
        <v>#DIV/0!</v>
      </c>
      <c r="O337" s="53" t="e">
        <f>Table1[[#This Row],[Order quantity]]+Table1[[#This Row],[quantity on-hand]]-Table1[[#This Row],[extended quantity]]</f>
        <v>#DIV/0!</v>
      </c>
      <c r="P337" s="11">
        <f>IFERROR(Table1[[#This Row],[Order quantity]]*(Table1[[#This Row],[Cost ]]+Table1[[#This Row],[shipping]]+Table1[[#This Row],[Tax]]),0)</f>
        <v>0</v>
      </c>
      <c r="Q337" s="38">
        <f>IFERROR(Table1[[#This Row],[leftover material]]*(Table1[[#This Row],[Cost ]]+Table1[[#This Row],[shipping]]+Table1[[#This Row],[Tax]]),0)</f>
        <v>0</v>
      </c>
      <c r="R337" s="38"/>
    </row>
    <row r="338" spans="1:18" x14ac:dyDescent="0.25">
      <c r="A338" s="1" t="s">
        <v>341</v>
      </c>
      <c r="B338" s="4"/>
      <c r="F338" s="3">
        <f>9%*Table1[[#This Row],[Cost ]]</f>
        <v>0</v>
      </c>
      <c r="J338" s="11">
        <f>SUMIF('Multi-level BOM'!C$3:C$464,Table1[[#This Row],[Part Number]],'Multi-level BOM'!F$3:F$464)</f>
        <v>0</v>
      </c>
      <c r="K338" s="11">
        <f>Table1[[#This Row],[extended quantity]]*(Table1[[#This Row],[Cost ]]+Table1[[#This Row],[shipping]]+Table1[[#This Row],[Tax]])</f>
        <v>0</v>
      </c>
      <c r="L338" s="11"/>
      <c r="M338" s="42"/>
      <c r="N338" s="53" t="e">
        <f>CEILING((Table1[[#This Row],[extended quantity]]-Table1[[#This Row],[quantity on-hand]])/Table1[[#This Row],[Minimum order quantity]],1)*Table1[[#This Row],[Minimum order quantity]]</f>
        <v>#DIV/0!</v>
      </c>
      <c r="O338" s="53" t="e">
        <f>Table1[[#This Row],[Order quantity]]+Table1[[#This Row],[quantity on-hand]]-Table1[[#This Row],[extended quantity]]</f>
        <v>#DIV/0!</v>
      </c>
      <c r="P338" s="11">
        <f>IFERROR(Table1[[#This Row],[Order quantity]]*(Table1[[#This Row],[Cost ]]+Table1[[#This Row],[shipping]]+Table1[[#This Row],[Tax]]),0)</f>
        <v>0</v>
      </c>
      <c r="Q338" s="38">
        <f>IFERROR(Table1[[#This Row],[leftover material]]*(Table1[[#This Row],[Cost ]]+Table1[[#This Row],[shipping]]+Table1[[#This Row],[Tax]]),0)</f>
        <v>0</v>
      </c>
      <c r="R338" s="38"/>
    </row>
    <row r="339" spans="1:18" x14ac:dyDescent="0.25">
      <c r="A339" s="1" t="s">
        <v>342</v>
      </c>
      <c r="B339" s="4"/>
      <c r="F339" s="3">
        <f>9%*Table1[[#This Row],[Cost ]]</f>
        <v>0</v>
      </c>
      <c r="J339" s="11">
        <f>SUMIF('Multi-level BOM'!C$3:C$464,Table1[[#This Row],[Part Number]],'Multi-level BOM'!F$3:F$464)</f>
        <v>0</v>
      </c>
      <c r="K339" s="11">
        <f>Table1[[#This Row],[extended quantity]]*(Table1[[#This Row],[Cost ]]+Table1[[#This Row],[shipping]]+Table1[[#This Row],[Tax]])</f>
        <v>0</v>
      </c>
      <c r="L339" s="11"/>
      <c r="M339" s="42"/>
      <c r="N339" s="53" t="e">
        <f>CEILING((Table1[[#This Row],[extended quantity]]-Table1[[#This Row],[quantity on-hand]])/Table1[[#This Row],[Minimum order quantity]],1)*Table1[[#This Row],[Minimum order quantity]]</f>
        <v>#DIV/0!</v>
      </c>
      <c r="O339" s="53" t="e">
        <f>Table1[[#This Row],[Order quantity]]+Table1[[#This Row],[quantity on-hand]]-Table1[[#This Row],[extended quantity]]</f>
        <v>#DIV/0!</v>
      </c>
      <c r="P339" s="11">
        <f>IFERROR(Table1[[#This Row],[Order quantity]]*(Table1[[#This Row],[Cost ]]+Table1[[#This Row],[shipping]]+Table1[[#This Row],[Tax]]),0)</f>
        <v>0</v>
      </c>
      <c r="Q339" s="38">
        <f>IFERROR(Table1[[#This Row],[leftover material]]*(Table1[[#This Row],[Cost ]]+Table1[[#This Row],[shipping]]+Table1[[#This Row],[Tax]]),0)</f>
        <v>0</v>
      </c>
      <c r="R339" s="38"/>
    </row>
    <row r="340" spans="1:18" x14ac:dyDescent="0.25">
      <c r="A340" s="1" t="s">
        <v>343</v>
      </c>
      <c r="B340" s="4"/>
      <c r="F340" s="3">
        <f>9%*Table1[[#This Row],[Cost ]]</f>
        <v>0</v>
      </c>
      <c r="J340" s="11">
        <f>SUMIF('Multi-level BOM'!C$3:C$464,Table1[[#This Row],[Part Number]],'Multi-level BOM'!F$3:F$464)</f>
        <v>0</v>
      </c>
      <c r="K340" s="11">
        <f>Table1[[#This Row],[extended quantity]]*(Table1[[#This Row],[Cost ]]+Table1[[#This Row],[shipping]]+Table1[[#This Row],[Tax]])</f>
        <v>0</v>
      </c>
      <c r="L340" s="11"/>
      <c r="M340" s="42"/>
      <c r="N340" s="53" t="e">
        <f>CEILING((Table1[[#This Row],[extended quantity]]-Table1[[#This Row],[quantity on-hand]])/Table1[[#This Row],[Minimum order quantity]],1)*Table1[[#This Row],[Minimum order quantity]]</f>
        <v>#DIV/0!</v>
      </c>
      <c r="O340" s="53" t="e">
        <f>Table1[[#This Row],[Order quantity]]+Table1[[#This Row],[quantity on-hand]]-Table1[[#This Row],[extended quantity]]</f>
        <v>#DIV/0!</v>
      </c>
      <c r="P340" s="11">
        <f>IFERROR(Table1[[#This Row],[Order quantity]]*(Table1[[#This Row],[Cost ]]+Table1[[#This Row],[shipping]]+Table1[[#This Row],[Tax]]),0)</f>
        <v>0</v>
      </c>
      <c r="Q340" s="38">
        <f>IFERROR(Table1[[#This Row],[leftover material]]*(Table1[[#This Row],[Cost ]]+Table1[[#This Row],[shipping]]+Table1[[#This Row],[Tax]]),0)</f>
        <v>0</v>
      </c>
      <c r="R340" s="38"/>
    </row>
    <row r="341" spans="1:18" x14ac:dyDescent="0.25">
      <c r="A341" s="1" t="s">
        <v>344</v>
      </c>
      <c r="B341" s="4"/>
      <c r="F341" s="3">
        <f>9%*Table1[[#This Row],[Cost ]]</f>
        <v>0</v>
      </c>
      <c r="J341" s="11">
        <f>SUMIF('Multi-level BOM'!C$3:C$464,Table1[[#This Row],[Part Number]],'Multi-level BOM'!F$3:F$464)</f>
        <v>0</v>
      </c>
      <c r="K341" s="11">
        <f>Table1[[#This Row],[extended quantity]]*(Table1[[#This Row],[Cost ]]+Table1[[#This Row],[shipping]]+Table1[[#This Row],[Tax]])</f>
        <v>0</v>
      </c>
      <c r="L341" s="11"/>
      <c r="M341" s="42"/>
      <c r="N341" s="53" t="e">
        <f>CEILING((Table1[[#This Row],[extended quantity]]-Table1[[#This Row],[quantity on-hand]])/Table1[[#This Row],[Minimum order quantity]],1)*Table1[[#This Row],[Minimum order quantity]]</f>
        <v>#DIV/0!</v>
      </c>
      <c r="O341" s="53" t="e">
        <f>Table1[[#This Row],[Order quantity]]+Table1[[#This Row],[quantity on-hand]]-Table1[[#This Row],[extended quantity]]</f>
        <v>#DIV/0!</v>
      </c>
      <c r="P341" s="11">
        <f>IFERROR(Table1[[#This Row],[Order quantity]]*(Table1[[#This Row],[Cost ]]+Table1[[#This Row],[shipping]]+Table1[[#This Row],[Tax]]),0)</f>
        <v>0</v>
      </c>
      <c r="Q341" s="38">
        <f>IFERROR(Table1[[#This Row],[leftover material]]*(Table1[[#This Row],[Cost ]]+Table1[[#This Row],[shipping]]+Table1[[#This Row],[Tax]]),0)</f>
        <v>0</v>
      </c>
      <c r="R341" s="38"/>
    </row>
    <row r="342" spans="1:18" x14ac:dyDescent="0.25">
      <c r="A342" s="1" t="s">
        <v>345</v>
      </c>
      <c r="B342" s="4"/>
      <c r="F342" s="3">
        <f>9%*Table1[[#This Row],[Cost ]]</f>
        <v>0</v>
      </c>
      <c r="J342" s="11">
        <f>SUMIF('Multi-level BOM'!C$3:C$464,Table1[[#This Row],[Part Number]],'Multi-level BOM'!F$3:F$464)</f>
        <v>0</v>
      </c>
      <c r="K342" s="11">
        <f>Table1[[#This Row],[extended quantity]]*(Table1[[#This Row],[Cost ]]+Table1[[#This Row],[shipping]]+Table1[[#This Row],[Tax]])</f>
        <v>0</v>
      </c>
      <c r="L342" s="11"/>
      <c r="M342" s="42"/>
      <c r="N342" s="53" t="e">
        <f>CEILING((Table1[[#This Row],[extended quantity]]-Table1[[#This Row],[quantity on-hand]])/Table1[[#This Row],[Minimum order quantity]],1)*Table1[[#This Row],[Minimum order quantity]]</f>
        <v>#DIV/0!</v>
      </c>
      <c r="O342" s="53" t="e">
        <f>Table1[[#This Row],[Order quantity]]+Table1[[#This Row],[quantity on-hand]]-Table1[[#This Row],[extended quantity]]</f>
        <v>#DIV/0!</v>
      </c>
      <c r="P342" s="11">
        <f>IFERROR(Table1[[#This Row],[Order quantity]]*(Table1[[#This Row],[Cost ]]+Table1[[#This Row],[shipping]]+Table1[[#This Row],[Tax]]),0)</f>
        <v>0</v>
      </c>
      <c r="Q342" s="38">
        <f>IFERROR(Table1[[#This Row],[leftover material]]*(Table1[[#This Row],[Cost ]]+Table1[[#This Row],[shipping]]+Table1[[#This Row],[Tax]]),0)</f>
        <v>0</v>
      </c>
      <c r="R342" s="38"/>
    </row>
    <row r="343" spans="1:18" x14ac:dyDescent="0.25">
      <c r="A343" s="1" t="s">
        <v>346</v>
      </c>
      <c r="B343" s="4"/>
      <c r="F343" s="3">
        <f>9%*Table1[[#This Row],[Cost ]]</f>
        <v>0</v>
      </c>
      <c r="J343" s="11">
        <f>SUMIF('Multi-level BOM'!C$3:C$464,Table1[[#This Row],[Part Number]],'Multi-level BOM'!F$3:F$464)</f>
        <v>0</v>
      </c>
      <c r="K343" s="11">
        <f>Table1[[#This Row],[extended quantity]]*(Table1[[#This Row],[Cost ]]+Table1[[#This Row],[shipping]]+Table1[[#This Row],[Tax]])</f>
        <v>0</v>
      </c>
      <c r="L343" s="11"/>
      <c r="M343" s="42"/>
      <c r="N343" s="53" t="e">
        <f>CEILING((Table1[[#This Row],[extended quantity]]-Table1[[#This Row],[quantity on-hand]])/Table1[[#This Row],[Minimum order quantity]],1)*Table1[[#This Row],[Minimum order quantity]]</f>
        <v>#DIV/0!</v>
      </c>
      <c r="O343" s="53" t="e">
        <f>Table1[[#This Row],[Order quantity]]+Table1[[#This Row],[quantity on-hand]]-Table1[[#This Row],[extended quantity]]</f>
        <v>#DIV/0!</v>
      </c>
      <c r="P343" s="11">
        <f>IFERROR(Table1[[#This Row],[Order quantity]]*(Table1[[#This Row],[Cost ]]+Table1[[#This Row],[shipping]]+Table1[[#This Row],[Tax]]),0)</f>
        <v>0</v>
      </c>
      <c r="Q343" s="38">
        <f>IFERROR(Table1[[#This Row],[leftover material]]*(Table1[[#This Row],[Cost ]]+Table1[[#This Row],[shipping]]+Table1[[#This Row],[Tax]]),0)</f>
        <v>0</v>
      </c>
      <c r="R343" s="38"/>
    </row>
    <row r="344" spans="1:18" x14ac:dyDescent="0.25">
      <c r="A344" s="1" t="s">
        <v>347</v>
      </c>
      <c r="B344" s="4"/>
      <c r="F344" s="3">
        <f>9%*Table1[[#This Row],[Cost ]]</f>
        <v>0</v>
      </c>
      <c r="J344" s="11">
        <f>SUMIF('Multi-level BOM'!C$3:C$464,Table1[[#This Row],[Part Number]],'Multi-level BOM'!F$3:F$464)</f>
        <v>0</v>
      </c>
      <c r="K344" s="11">
        <f>Table1[[#This Row],[extended quantity]]*(Table1[[#This Row],[Cost ]]+Table1[[#This Row],[shipping]]+Table1[[#This Row],[Tax]])</f>
        <v>0</v>
      </c>
      <c r="L344" s="11"/>
      <c r="M344" s="42"/>
      <c r="N344" s="53" t="e">
        <f>CEILING((Table1[[#This Row],[extended quantity]]-Table1[[#This Row],[quantity on-hand]])/Table1[[#This Row],[Minimum order quantity]],1)*Table1[[#This Row],[Minimum order quantity]]</f>
        <v>#DIV/0!</v>
      </c>
      <c r="O344" s="53" t="e">
        <f>Table1[[#This Row],[Order quantity]]+Table1[[#This Row],[quantity on-hand]]-Table1[[#This Row],[extended quantity]]</f>
        <v>#DIV/0!</v>
      </c>
      <c r="P344" s="11">
        <f>IFERROR(Table1[[#This Row],[Order quantity]]*(Table1[[#This Row],[Cost ]]+Table1[[#This Row],[shipping]]+Table1[[#This Row],[Tax]]),0)</f>
        <v>0</v>
      </c>
      <c r="Q344" s="38">
        <f>IFERROR(Table1[[#This Row],[leftover material]]*(Table1[[#This Row],[Cost ]]+Table1[[#This Row],[shipping]]+Table1[[#This Row],[Tax]]),0)</f>
        <v>0</v>
      </c>
      <c r="R344" s="38"/>
    </row>
    <row r="345" spans="1:18" x14ac:dyDescent="0.25">
      <c r="A345" s="1" t="s">
        <v>348</v>
      </c>
      <c r="B345" s="4"/>
      <c r="F345" s="3">
        <f>9%*Table1[[#This Row],[Cost ]]</f>
        <v>0</v>
      </c>
      <c r="J345" s="11">
        <f>SUMIF('Multi-level BOM'!C$3:C$464,Table1[[#This Row],[Part Number]],'Multi-level BOM'!F$3:F$464)</f>
        <v>0</v>
      </c>
      <c r="K345" s="11">
        <f>Table1[[#This Row],[extended quantity]]*(Table1[[#This Row],[Cost ]]+Table1[[#This Row],[shipping]]+Table1[[#This Row],[Tax]])</f>
        <v>0</v>
      </c>
      <c r="L345" s="11"/>
      <c r="M345" s="42"/>
      <c r="N345" s="53" t="e">
        <f>CEILING((Table1[[#This Row],[extended quantity]]-Table1[[#This Row],[quantity on-hand]])/Table1[[#This Row],[Minimum order quantity]],1)*Table1[[#This Row],[Minimum order quantity]]</f>
        <v>#DIV/0!</v>
      </c>
      <c r="O345" s="53" t="e">
        <f>Table1[[#This Row],[Order quantity]]+Table1[[#This Row],[quantity on-hand]]-Table1[[#This Row],[extended quantity]]</f>
        <v>#DIV/0!</v>
      </c>
      <c r="P345" s="11">
        <f>IFERROR(Table1[[#This Row],[Order quantity]]*(Table1[[#This Row],[Cost ]]+Table1[[#This Row],[shipping]]+Table1[[#This Row],[Tax]]),0)</f>
        <v>0</v>
      </c>
      <c r="Q345" s="38">
        <f>IFERROR(Table1[[#This Row],[leftover material]]*(Table1[[#This Row],[Cost ]]+Table1[[#This Row],[shipping]]+Table1[[#This Row],[Tax]]),0)</f>
        <v>0</v>
      </c>
      <c r="R345" s="38"/>
    </row>
    <row r="346" spans="1:18" x14ac:dyDescent="0.25">
      <c r="A346" s="1" t="s">
        <v>349</v>
      </c>
      <c r="B346" s="4"/>
      <c r="F346" s="3">
        <f>9%*Table1[[#This Row],[Cost ]]</f>
        <v>0</v>
      </c>
      <c r="J346" s="11">
        <f>SUMIF('Multi-level BOM'!C$3:C$464,Table1[[#This Row],[Part Number]],'Multi-level BOM'!F$3:F$464)</f>
        <v>0</v>
      </c>
      <c r="K346" s="11">
        <f>Table1[[#This Row],[extended quantity]]*(Table1[[#This Row],[Cost ]]+Table1[[#This Row],[shipping]]+Table1[[#This Row],[Tax]])</f>
        <v>0</v>
      </c>
      <c r="L346" s="11"/>
      <c r="M346" s="42"/>
      <c r="N346" s="53" t="e">
        <f>CEILING((Table1[[#This Row],[extended quantity]]-Table1[[#This Row],[quantity on-hand]])/Table1[[#This Row],[Minimum order quantity]],1)*Table1[[#This Row],[Minimum order quantity]]</f>
        <v>#DIV/0!</v>
      </c>
      <c r="O346" s="53" t="e">
        <f>Table1[[#This Row],[Order quantity]]+Table1[[#This Row],[quantity on-hand]]-Table1[[#This Row],[extended quantity]]</f>
        <v>#DIV/0!</v>
      </c>
      <c r="P346" s="11">
        <f>IFERROR(Table1[[#This Row],[Order quantity]]*(Table1[[#This Row],[Cost ]]+Table1[[#This Row],[shipping]]+Table1[[#This Row],[Tax]]),0)</f>
        <v>0</v>
      </c>
      <c r="Q346" s="38">
        <f>IFERROR(Table1[[#This Row],[leftover material]]*(Table1[[#This Row],[Cost ]]+Table1[[#This Row],[shipping]]+Table1[[#This Row],[Tax]]),0)</f>
        <v>0</v>
      </c>
      <c r="R346" s="38"/>
    </row>
    <row r="347" spans="1:18" x14ac:dyDescent="0.25">
      <c r="A347" s="1" t="s">
        <v>350</v>
      </c>
      <c r="B347" s="4"/>
      <c r="F347" s="3">
        <f>9%*Table1[[#This Row],[Cost ]]</f>
        <v>0</v>
      </c>
      <c r="J347" s="11">
        <f>SUMIF('Multi-level BOM'!C$3:C$464,Table1[[#This Row],[Part Number]],'Multi-level BOM'!F$3:F$464)</f>
        <v>0</v>
      </c>
      <c r="K347" s="11">
        <f>Table1[[#This Row],[extended quantity]]*(Table1[[#This Row],[Cost ]]+Table1[[#This Row],[shipping]]+Table1[[#This Row],[Tax]])</f>
        <v>0</v>
      </c>
      <c r="L347" s="11"/>
      <c r="M347" s="42"/>
      <c r="N347" s="53" t="e">
        <f>CEILING((Table1[[#This Row],[extended quantity]]-Table1[[#This Row],[quantity on-hand]])/Table1[[#This Row],[Minimum order quantity]],1)*Table1[[#This Row],[Minimum order quantity]]</f>
        <v>#DIV/0!</v>
      </c>
      <c r="O347" s="53" t="e">
        <f>Table1[[#This Row],[Order quantity]]+Table1[[#This Row],[quantity on-hand]]-Table1[[#This Row],[extended quantity]]</f>
        <v>#DIV/0!</v>
      </c>
      <c r="P347" s="11">
        <f>IFERROR(Table1[[#This Row],[Order quantity]]*(Table1[[#This Row],[Cost ]]+Table1[[#This Row],[shipping]]+Table1[[#This Row],[Tax]]),0)</f>
        <v>0</v>
      </c>
      <c r="Q347" s="38">
        <f>IFERROR(Table1[[#This Row],[leftover material]]*(Table1[[#This Row],[Cost ]]+Table1[[#This Row],[shipping]]+Table1[[#This Row],[Tax]]),0)</f>
        <v>0</v>
      </c>
      <c r="R347" s="38"/>
    </row>
    <row r="348" spans="1:18" x14ac:dyDescent="0.25">
      <c r="A348" s="1" t="s">
        <v>351</v>
      </c>
      <c r="B348" s="4"/>
      <c r="F348" s="3">
        <f>9%*Table1[[#This Row],[Cost ]]</f>
        <v>0</v>
      </c>
      <c r="J348" s="11">
        <f>SUMIF('Multi-level BOM'!C$3:C$464,Table1[[#This Row],[Part Number]],'Multi-level BOM'!F$3:F$464)</f>
        <v>0</v>
      </c>
      <c r="K348" s="11">
        <f>Table1[[#This Row],[extended quantity]]*(Table1[[#This Row],[Cost ]]+Table1[[#This Row],[shipping]]+Table1[[#This Row],[Tax]])</f>
        <v>0</v>
      </c>
      <c r="L348" s="11"/>
      <c r="M348" s="42"/>
      <c r="N348" s="53" t="e">
        <f>CEILING((Table1[[#This Row],[extended quantity]]-Table1[[#This Row],[quantity on-hand]])/Table1[[#This Row],[Minimum order quantity]],1)*Table1[[#This Row],[Minimum order quantity]]</f>
        <v>#DIV/0!</v>
      </c>
      <c r="O348" s="53" t="e">
        <f>Table1[[#This Row],[Order quantity]]+Table1[[#This Row],[quantity on-hand]]-Table1[[#This Row],[extended quantity]]</f>
        <v>#DIV/0!</v>
      </c>
      <c r="P348" s="11">
        <f>IFERROR(Table1[[#This Row],[Order quantity]]*(Table1[[#This Row],[Cost ]]+Table1[[#This Row],[shipping]]+Table1[[#This Row],[Tax]]),0)</f>
        <v>0</v>
      </c>
      <c r="Q348" s="38">
        <f>IFERROR(Table1[[#This Row],[leftover material]]*(Table1[[#This Row],[Cost ]]+Table1[[#This Row],[shipping]]+Table1[[#This Row],[Tax]]),0)</f>
        <v>0</v>
      </c>
      <c r="R348" s="38"/>
    </row>
    <row r="349" spans="1:18" x14ac:dyDescent="0.25">
      <c r="A349" s="1" t="s">
        <v>352</v>
      </c>
      <c r="B349" s="4"/>
      <c r="F349" s="3">
        <f>9%*Table1[[#This Row],[Cost ]]</f>
        <v>0</v>
      </c>
      <c r="J349" s="11">
        <f>SUMIF('Multi-level BOM'!C$3:C$464,Table1[[#This Row],[Part Number]],'Multi-level BOM'!F$3:F$464)</f>
        <v>0</v>
      </c>
      <c r="K349" s="11">
        <f>Table1[[#This Row],[extended quantity]]*(Table1[[#This Row],[Cost ]]+Table1[[#This Row],[shipping]]+Table1[[#This Row],[Tax]])</f>
        <v>0</v>
      </c>
      <c r="L349" s="11"/>
      <c r="M349" s="42"/>
      <c r="N349" s="53" t="e">
        <f>CEILING((Table1[[#This Row],[extended quantity]]-Table1[[#This Row],[quantity on-hand]])/Table1[[#This Row],[Minimum order quantity]],1)*Table1[[#This Row],[Minimum order quantity]]</f>
        <v>#DIV/0!</v>
      </c>
      <c r="O349" s="53" t="e">
        <f>Table1[[#This Row],[Order quantity]]+Table1[[#This Row],[quantity on-hand]]-Table1[[#This Row],[extended quantity]]</f>
        <v>#DIV/0!</v>
      </c>
      <c r="P349" s="11">
        <f>IFERROR(Table1[[#This Row],[Order quantity]]*(Table1[[#This Row],[Cost ]]+Table1[[#This Row],[shipping]]+Table1[[#This Row],[Tax]]),0)</f>
        <v>0</v>
      </c>
      <c r="Q349" s="38">
        <f>IFERROR(Table1[[#This Row],[leftover material]]*(Table1[[#This Row],[Cost ]]+Table1[[#This Row],[shipping]]+Table1[[#This Row],[Tax]]),0)</f>
        <v>0</v>
      </c>
      <c r="R349" s="38"/>
    </row>
    <row r="350" spans="1:18" x14ac:dyDescent="0.25">
      <c r="A350" s="1" t="s">
        <v>353</v>
      </c>
      <c r="B350" s="4"/>
      <c r="F350" s="3">
        <f>9%*Table1[[#This Row],[Cost ]]</f>
        <v>0</v>
      </c>
      <c r="J350" s="11">
        <f>SUMIF('Multi-level BOM'!C$3:C$464,Table1[[#This Row],[Part Number]],'Multi-level BOM'!F$3:F$464)</f>
        <v>0</v>
      </c>
      <c r="K350" s="11">
        <f>Table1[[#This Row],[extended quantity]]*(Table1[[#This Row],[Cost ]]+Table1[[#This Row],[shipping]]+Table1[[#This Row],[Tax]])</f>
        <v>0</v>
      </c>
      <c r="L350" s="11"/>
      <c r="M350" s="42"/>
      <c r="N350" s="53" t="e">
        <f>CEILING((Table1[[#This Row],[extended quantity]]-Table1[[#This Row],[quantity on-hand]])/Table1[[#This Row],[Minimum order quantity]],1)*Table1[[#This Row],[Minimum order quantity]]</f>
        <v>#DIV/0!</v>
      </c>
      <c r="O350" s="53" t="e">
        <f>Table1[[#This Row],[Order quantity]]+Table1[[#This Row],[quantity on-hand]]-Table1[[#This Row],[extended quantity]]</f>
        <v>#DIV/0!</v>
      </c>
      <c r="P350" s="11">
        <f>IFERROR(Table1[[#This Row],[Order quantity]]*(Table1[[#This Row],[Cost ]]+Table1[[#This Row],[shipping]]+Table1[[#This Row],[Tax]]),0)</f>
        <v>0</v>
      </c>
      <c r="Q350" s="38">
        <f>IFERROR(Table1[[#This Row],[leftover material]]*(Table1[[#This Row],[Cost ]]+Table1[[#This Row],[shipping]]+Table1[[#This Row],[Tax]]),0)</f>
        <v>0</v>
      </c>
      <c r="R350" s="38"/>
    </row>
    <row r="351" spans="1:18" x14ac:dyDescent="0.25">
      <c r="A351" s="1" t="s">
        <v>354</v>
      </c>
      <c r="B351" s="4"/>
      <c r="F351" s="3">
        <f>9%*Table1[[#This Row],[Cost ]]</f>
        <v>0</v>
      </c>
      <c r="J351" s="11">
        <f>SUMIF('Multi-level BOM'!C$3:C$464,Table1[[#This Row],[Part Number]],'Multi-level BOM'!F$3:F$464)</f>
        <v>0</v>
      </c>
      <c r="K351" s="11">
        <f>Table1[[#This Row],[extended quantity]]*(Table1[[#This Row],[Cost ]]+Table1[[#This Row],[shipping]]+Table1[[#This Row],[Tax]])</f>
        <v>0</v>
      </c>
      <c r="L351" s="11"/>
      <c r="M351" s="42"/>
      <c r="N351" s="53" t="e">
        <f>CEILING((Table1[[#This Row],[extended quantity]]-Table1[[#This Row],[quantity on-hand]])/Table1[[#This Row],[Minimum order quantity]],1)*Table1[[#This Row],[Minimum order quantity]]</f>
        <v>#DIV/0!</v>
      </c>
      <c r="O351" s="53" t="e">
        <f>Table1[[#This Row],[Order quantity]]+Table1[[#This Row],[quantity on-hand]]-Table1[[#This Row],[extended quantity]]</f>
        <v>#DIV/0!</v>
      </c>
      <c r="P351" s="11">
        <f>IFERROR(Table1[[#This Row],[Order quantity]]*(Table1[[#This Row],[Cost ]]+Table1[[#This Row],[shipping]]+Table1[[#This Row],[Tax]]),0)</f>
        <v>0</v>
      </c>
      <c r="Q351" s="38">
        <f>IFERROR(Table1[[#This Row],[leftover material]]*(Table1[[#This Row],[Cost ]]+Table1[[#This Row],[shipping]]+Table1[[#This Row],[Tax]]),0)</f>
        <v>0</v>
      </c>
      <c r="R351" s="38"/>
    </row>
    <row r="352" spans="1:18" x14ac:dyDescent="0.25">
      <c r="A352" s="1" t="s">
        <v>355</v>
      </c>
      <c r="B352" s="4"/>
      <c r="F352" s="3">
        <f>9%*Table1[[#This Row],[Cost ]]</f>
        <v>0</v>
      </c>
      <c r="J352" s="11">
        <f>SUMIF('Multi-level BOM'!C$3:C$464,Table1[[#This Row],[Part Number]],'Multi-level BOM'!F$3:F$464)</f>
        <v>0</v>
      </c>
      <c r="K352" s="11">
        <f>Table1[[#This Row],[extended quantity]]*(Table1[[#This Row],[Cost ]]+Table1[[#This Row],[shipping]]+Table1[[#This Row],[Tax]])</f>
        <v>0</v>
      </c>
      <c r="L352" s="11"/>
      <c r="M352" s="42"/>
      <c r="N352" s="53" t="e">
        <f>CEILING((Table1[[#This Row],[extended quantity]]-Table1[[#This Row],[quantity on-hand]])/Table1[[#This Row],[Minimum order quantity]],1)*Table1[[#This Row],[Minimum order quantity]]</f>
        <v>#DIV/0!</v>
      </c>
      <c r="O352" s="53" t="e">
        <f>Table1[[#This Row],[Order quantity]]+Table1[[#This Row],[quantity on-hand]]-Table1[[#This Row],[extended quantity]]</f>
        <v>#DIV/0!</v>
      </c>
      <c r="P352" s="11">
        <f>IFERROR(Table1[[#This Row],[Order quantity]]*(Table1[[#This Row],[Cost ]]+Table1[[#This Row],[shipping]]+Table1[[#This Row],[Tax]]),0)</f>
        <v>0</v>
      </c>
      <c r="Q352" s="38">
        <f>IFERROR(Table1[[#This Row],[leftover material]]*(Table1[[#This Row],[Cost ]]+Table1[[#This Row],[shipping]]+Table1[[#This Row],[Tax]]),0)</f>
        <v>0</v>
      </c>
      <c r="R352" s="38"/>
    </row>
    <row r="353" spans="1:18" x14ac:dyDescent="0.25">
      <c r="A353" s="1" t="s">
        <v>356</v>
      </c>
      <c r="B353" s="4"/>
      <c r="F353" s="3">
        <f>9%*Table1[[#This Row],[Cost ]]</f>
        <v>0</v>
      </c>
      <c r="J353" s="11">
        <f>SUMIF('Multi-level BOM'!C$3:C$464,Table1[[#This Row],[Part Number]],'Multi-level BOM'!F$3:F$464)</f>
        <v>0</v>
      </c>
      <c r="K353" s="11">
        <f>Table1[[#This Row],[extended quantity]]*(Table1[[#This Row],[Cost ]]+Table1[[#This Row],[shipping]]+Table1[[#This Row],[Tax]])</f>
        <v>0</v>
      </c>
      <c r="L353" s="11"/>
      <c r="M353" s="42"/>
      <c r="N353" s="53" t="e">
        <f>CEILING((Table1[[#This Row],[extended quantity]]-Table1[[#This Row],[quantity on-hand]])/Table1[[#This Row],[Minimum order quantity]],1)*Table1[[#This Row],[Minimum order quantity]]</f>
        <v>#DIV/0!</v>
      </c>
      <c r="O353" s="53" t="e">
        <f>Table1[[#This Row],[Order quantity]]+Table1[[#This Row],[quantity on-hand]]-Table1[[#This Row],[extended quantity]]</f>
        <v>#DIV/0!</v>
      </c>
      <c r="P353" s="11">
        <f>IFERROR(Table1[[#This Row],[Order quantity]]*(Table1[[#This Row],[Cost ]]+Table1[[#This Row],[shipping]]+Table1[[#This Row],[Tax]]),0)</f>
        <v>0</v>
      </c>
      <c r="Q353" s="38">
        <f>IFERROR(Table1[[#This Row],[leftover material]]*(Table1[[#This Row],[Cost ]]+Table1[[#This Row],[shipping]]+Table1[[#This Row],[Tax]]),0)</f>
        <v>0</v>
      </c>
      <c r="R353" s="38"/>
    </row>
    <row r="354" spans="1:18" x14ac:dyDescent="0.25">
      <c r="A354" s="1" t="s">
        <v>357</v>
      </c>
      <c r="B354" s="4"/>
      <c r="F354" s="3">
        <f>9%*Table1[[#This Row],[Cost ]]</f>
        <v>0</v>
      </c>
      <c r="J354" s="11">
        <f>SUMIF('Multi-level BOM'!C$3:C$464,Table1[[#This Row],[Part Number]],'Multi-level BOM'!F$3:F$464)</f>
        <v>0</v>
      </c>
      <c r="K354" s="11">
        <f>Table1[[#This Row],[extended quantity]]*(Table1[[#This Row],[Cost ]]+Table1[[#This Row],[shipping]]+Table1[[#This Row],[Tax]])</f>
        <v>0</v>
      </c>
      <c r="L354" s="11"/>
      <c r="M354" s="42"/>
      <c r="N354" s="53" t="e">
        <f>CEILING((Table1[[#This Row],[extended quantity]]-Table1[[#This Row],[quantity on-hand]])/Table1[[#This Row],[Minimum order quantity]],1)*Table1[[#This Row],[Minimum order quantity]]</f>
        <v>#DIV/0!</v>
      </c>
      <c r="O354" s="53" t="e">
        <f>Table1[[#This Row],[Order quantity]]+Table1[[#This Row],[quantity on-hand]]-Table1[[#This Row],[extended quantity]]</f>
        <v>#DIV/0!</v>
      </c>
      <c r="P354" s="11">
        <f>IFERROR(Table1[[#This Row],[Order quantity]]*(Table1[[#This Row],[Cost ]]+Table1[[#This Row],[shipping]]+Table1[[#This Row],[Tax]]),0)</f>
        <v>0</v>
      </c>
      <c r="Q354" s="38">
        <f>IFERROR(Table1[[#This Row],[leftover material]]*(Table1[[#This Row],[Cost ]]+Table1[[#This Row],[shipping]]+Table1[[#This Row],[Tax]]),0)</f>
        <v>0</v>
      </c>
      <c r="R354" s="38"/>
    </row>
    <row r="355" spans="1:18" x14ac:dyDescent="0.25">
      <c r="A355" s="1" t="s">
        <v>358</v>
      </c>
      <c r="B355" s="4"/>
      <c r="F355" s="3">
        <f>9%*Table1[[#This Row],[Cost ]]</f>
        <v>0</v>
      </c>
      <c r="J355" s="11">
        <f>SUMIF('Multi-level BOM'!C$3:C$464,Table1[[#This Row],[Part Number]],'Multi-level BOM'!F$3:F$464)</f>
        <v>0</v>
      </c>
      <c r="K355" s="11">
        <f>Table1[[#This Row],[extended quantity]]*(Table1[[#This Row],[Cost ]]+Table1[[#This Row],[shipping]]+Table1[[#This Row],[Tax]])</f>
        <v>0</v>
      </c>
      <c r="L355" s="11"/>
      <c r="M355" s="42"/>
      <c r="N355" s="53" t="e">
        <f>CEILING((Table1[[#This Row],[extended quantity]]-Table1[[#This Row],[quantity on-hand]])/Table1[[#This Row],[Minimum order quantity]],1)*Table1[[#This Row],[Minimum order quantity]]</f>
        <v>#DIV/0!</v>
      </c>
      <c r="O355" s="53" t="e">
        <f>Table1[[#This Row],[Order quantity]]+Table1[[#This Row],[quantity on-hand]]-Table1[[#This Row],[extended quantity]]</f>
        <v>#DIV/0!</v>
      </c>
      <c r="P355" s="11">
        <f>IFERROR(Table1[[#This Row],[Order quantity]]*(Table1[[#This Row],[Cost ]]+Table1[[#This Row],[shipping]]+Table1[[#This Row],[Tax]]),0)</f>
        <v>0</v>
      </c>
      <c r="Q355" s="38">
        <f>IFERROR(Table1[[#This Row],[leftover material]]*(Table1[[#This Row],[Cost ]]+Table1[[#This Row],[shipping]]+Table1[[#This Row],[Tax]]),0)</f>
        <v>0</v>
      </c>
      <c r="R355" s="38"/>
    </row>
    <row r="356" spans="1:18" x14ac:dyDescent="0.25">
      <c r="A356" s="1" t="s">
        <v>359</v>
      </c>
      <c r="B356" s="4"/>
      <c r="F356" s="3">
        <f>9%*Table1[[#This Row],[Cost ]]</f>
        <v>0</v>
      </c>
      <c r="J356" s="11">
        <f>SUMIF('Multi-level BOM'!C$3:C$464,Table1[[#This Row],[Part Number]],'Multi-level BOM'!F$3:F$464)</f>
        <v>0</v>
      </c>
      <c r="K356" s="11">
        <f>Table1[[#This Row],[extended quantity]]*(Table1[[#This Row],[Cost ]]+Table1[[#This Row],[shipping]]+Table1[[#This Row],[Tax]])</f>
        <v>0</v>
      </c>
      <c r="L356" s="11"/>
      <c r="M356" s="42"/>
      <c r="N356" s="53" t="e">
        <f>CEILING((Table1[[#This Row],[extended quantity]]-Table1[[#This Row],[quantity on-hand]])/Table1[[#This Row],[Minimum order quantity]],1)*Table1[[#This Row],[Minimum order quantity]]</f>
        <v>#DIV/0!</v>
      </c>
      <c r="O356" s="53" t="e">
        <f>Table1[[#This Row],[Order quantity]]+Table1[[#This Row],[quantity on-hand]]-Table1[[#This Row],[extended quantity]]</f>
        <v>#DIV/0!</v>
      </c>
      <c r="P356" s="11">
        <f>IFERROR(Table1[[#This Row],[Order quantity]]*(Table1[[#This Row],[Cost ]]+Table1[[#This Row],[shipping]]+Table1[[#This Row],[Tax]]),0)</f>
        <v>0</v>
      </c>
      <c r="Q356" s="38">
        <f>IFERROR(Table1[[#This Row],[leftover material]]*(Table1[[#This Row],[Cost ]]+Table1[[#This Row],[shipping]]+Table1[[#This Row],[Tax]]),0)</f>
        <v>0</v>
      </c>
      <c r="R356" s="38"/>
    </row>
    <row r="357" spans="1:18" x14ac:dyDescent="0.25">
      <c r="A357" s="1" t="s">
        <v>360</v>
      </c>
      <c r="B357" s="4"/>
      <c r="F357" s="3">
        <f>9%*Table1[[#This Row],[Cost ]]</f>
        <v>0</v>
      </c>
      <c r="J357" s="11">
        <f>SUMIF('Multi-level BOM'!C$3:C$464,Table1[[#This Row],[Part Number]],'Multi-level BOM'!F$3:F$464)</f>
        <v>0</v>
      </c>
      <c r="K357" s="11">
        <f>Table1[[#This Row],[extended quantity]]*(Table1[[#This Row],[Cost ]]+Table1[[#This Row],[shipping]]+Table1[[#This Row],[Tax]])</f>
        <v>0</v>
      </c>
      <c r="L357" s="11"/>
      <c r="M357" s="42"/>
      <c r="N357" s="53" t="e">
        <f>CEILING((Table1[[#This Row],[extended quantity]]-Table1[[#This Row],[quantity on-hand]])/Table1[[#This Row],[Minimum order quantity]],1)*Table1[[#This Row],[Minimum order quantity]]</f>
        <v>#DIV/0!</v>
      </c>
      <c r="O357" s="53" t="e">
        <f>Table1[[#This Row],[Order quantity]]+Table1[[#This Row],[quantity on-hand]]-Table1[[#This Row],[extended quantity]]</f>
        <v>#DIV/0!</v>
      </c>
      <c r="P357" s="11">
        <f>IFERROR(Table1[[#This Row],[Order quantity]]*(Table1[[#This Row],[Cost ]]+Table1[[#This Row],[shipping]]+Table1[[#This Row],[Tax]]),0)</f>
        <v>0</v>
      </c>
      <c r="Q357" s="38">
        <f>IFERROR(Table1[[#This Row],[leftover material]]*(Table1[[#This Row],[Cost ]]+Table1[[#This Row],[shipping]]+Table1[[#This Row],[Tax]]),0)</f>
        <v>0</v>
      </c>
      <c r="R357" s="38"/>
    </row>
    <row r="358" spans="1:18" x14ac:dyDescent="0.25">
      <c r="A358" s="1" t="s">
        <v>361</v>
      </c>
      <c r="B358" s="4"/>
      <c r="F358" s="3">
        <f>9%*Table1[[#This Row],[Cost ]]</f>
        <v>0</v>
      </c>
      <c r="J358" s="11">
        <f>SUMIF('Multi-level BOM'!C$3:C$464,Table1[[#This Row],[Part Number]],'Multi-level BOM'!F$3:F$464)</f>
        <v>0</v>
      </c>
      <c r="K358" s="11">
        <f>Table1[[#This Row],[extended quantity]]*(Table1[[#This Row],[Cost ]]+Table1[[#This Row],[shipping]]+Table1[[#This Row],[Tax]])</f>
        <v>0</v>
      </c>
      <c r="L358" s="11"/>
      <c r="M358" s="42"/>
      <c r="N358" s="53" t="e">
        <f>CEILING((Table1[[#This Row],[extended quantity]]-Table1[[#This Row],[quantity on-hand]])/Table1[[#This Row],[Minimum order quantity]],1)*Table1[[#This Row],[Minimum order quantity]]</f>
        <v>#DIV/0!</v>
      </c>
      <c r="O358" s="53" t="e">
        <f>Table1[[#This Row],[Order quantity]]+Table1[[#This Row],[quantity on-hand]]-Table1[[#This Row],[extended quantity]]</f>
        <v>#DIV/0!</v>
      </c>
      <c r="P358" s="11">
        <f>IFERROR(Table1[[#This Row],[Order quantity]]*(Table1[[#This Row],[Cost ]]+Table1[[#This Row],[shipping]]+Table1[[#This Row],[Tax]]),0)</f>
        <v>0</v>
      </c>
      <c r="Q358" s="38">
        <f>IFERROR(Table1[[#This Row],[leftover material]]*(Table1[[#This Row],[Cost ]]+Table1[[#This Row],[shipping]]+Table1[[#This Row],[Tax]]),0)</f>
        <v>0</v>
      </c>
      <c r="R358" s="38"/>
    </row>
    <row r="359" spans="1:18" x14ac:dyDescent="0.25">
      <c r="A359" s="1" t="s">
        <v>362</v>
      </c>
      <c r="B359" s="4"/>
      <c r="F359" s="3">
        <f>9%*Table1[[#This Row],[Cost ]]</f>
        <v>0</v>
      </c>
      <c r="J359" s="11">
        <f>SUMIF('Multi-level BOM'!C$3:C$464,Table1[[#This Row],[Part Number]],'Multi-level BOM'!F$3:F$464)</f>
        <v>0</v>
      </c>
      <c r="K359" s="11">
        <f>Table1[[#This Row],[extended quantity]]*(Table1[[#This Row],[Cost ]]+Table1[[#This Row],[shipping]]+Table1[[#This Row],[Tax]])</f>
        <v>0</v>
      </c>
      <c r="L359" s="11"/>
      <c r="M359" s="42"/>
      <c r="N359" s="53" t="e">
        <f>CEILING((Table1[[#This Row],[extended quantity]]-Table1[[#This Row],[quantity on-hand]])/Table1[[#This Row],[Minimum order quantity]],1)*Table1[[#This Row],[Minimum order quantity]]</f>
        <v>#DIV/0!</v>
      </c>
      <c r="O359" s="53" t="e">
        <f>Table1[[#This Row],[Order quantity]]+Table1[[#This Row],[quantity on-hand]]-Table1[[#This Row],[extended quantity]]</f>
        <v>#DIV/0!</v>
      </c>
      <c r="P359" s="11">
        <f>IFERROR(Table1[[#This Row],[Order quantity]]*(Table1[[#This Row],[Cost ]]+Table1[[#This Row],[shipping]]+Table1[[#This Row],[Tax]]),0)</f>
        <v>0</v>
      </c>
      <c r="Q359" s="38">
        <f>IFERROR(Table1[[#This Row],[leftover material]]*(Table1[[#This Row],[Cost ]]+Table1[[#This Row],[shipping]]+Table1[[#This Row],[Tax]]),0)</f>
        <v>0</v>
      </c>
      <c r="R359" s="38"/>
    </row>
    <row r="360" spans="1:18" x14ac:dyDescent="0.25">
      <c r="A360" s="1" t="s">
        <v>363</v>
      </c>
      <c r="B360" s="4"/>
      <c r="F360" s="3">
        <f>9%*Table1[[#This Row],[Cost ]]</f>
        <v>0</v>
      </c>
      <c r="J360" s="11">
        <f>SUMIF('Multi-level BOM'!C$3:C$464,Table1[[#This Row],[Part Number]],'Multi-level BOM'!F$3:F$464)</f>
        <v>0</v>
      </c>
      <c r="K360" s="11">
        <f>Table1[[#This Row],[extended quantity]]*(Table1[[#This Row],[Cost ]]+Table1[[#This Row],[shipping]]+Table1[[#This Row],[Tax]])</f>
        <v>0</v>
      </c>
      <c r="L360" s="11"/>
      <c r="M360" s="42"/>
      <c r="N360" s="53" t="e">
        <f>CEILING((Table1[[#This Row],[extended quantity]]-Table1[[#This Row],[quantity on-hand]])/Table1[[#This Row],[Minimum order quantity]],1)*Table1[[#This Row],[Minimum order quantity]]</f>
        <v>#DIV/0!</v>
      </c>
      <c r="O360" s="53" t="e">
        <f>Table1[[#This Row],[Order quantity]]+Table1[[#This Row],[quantity on-hand]]-Table1[[#This Row],[extended quantity]]</f>
        <v>#DIV/0!</v>
      </c>
      <c r="P360" s="11">
        <f>IFERROR(Table1[[#This Row],[Order quantity]]*(Table1[[#This Row],[Cost ]]+Table1[[#This Row],[shipping]]+Table1[[#This Row],[Tax]]),0)</f>
        <v>0</v>
      </c>
      <c r="Q360" s="38">
        <f>IFERROR(Table1[[#This Row],[leftover material]]*(Table1[[#This Row],[Cost ]]+Table1[[#This Row],[shipping]]+Table1[[#This Row],[Tax]]),0)</f>
        <v>0</v>
      </c>
      <c r="R360" s="38"/>
    </row>
    <row r="361" spans="1:18" x14ac:dyDescent="0.25">
      <c r="A361" s="1" t="s">
        <v>364</v>
      </c>
      <c r="B361" s="4"/>
      <c r="F361" s="3">
        <f>9%*Table1[[#This Row],[Cost ]]</f>
        <v>0</v>
      </c>
      <c r="J361" s="11">
        <f>SUMIF('Multi-level BOM'!C$3:C$464,Table1[[#This Row],[Part Number]],'Multi-level BOM'!F$3:F$464)</f>
        <v>0</v>
      </c>
      <c r="K361" s="11">
        <f>Table1[[#This Row],[extended quantity]]*(Table1[[#This Row],[Cost ]]+Table1[[#This Row],[shipping]]+Table1[[#This Row],[Tax]])</f>
        <v>0</v>
      </c>
      <c r="L361" s="11"/>
      <c r="M361" s="42"/>
      <c r="N361" s="53" t="e">
        <f>CEILING((Table1[[#This Row],[extended quantity]]-Table1[[#This Row],[quantity on-hand]])/Table1[[#This Row],[Minimum order quantity]],1)*Table1[[#This Row],[Minimum order quantity]]</f>
        <v>#DIV/0!</v>
      </c>
      <c r="O361" s="53" t="e">
        <f>Table1[[#This Row],[Order quantity]]+Table1[[#This Row],[quantity on-hand]]-Table1[[#This Row],[extended quantity]]</f>
        <v>#DIV/0!</v>
      </c>
      <c r="P361" s="11">
        <f>IFERROR(Table1[[#This Row],[Order quantity]]*(Table1[[#This Row],[Cost ]]+Table1[[#This Row],[shipping]]+Table1[[#This Row],[Tax]]),0)</f>
        <v>0</v>
      </c>
      <c r="Q361" s="38">
        <f>IFERROR(Table1[[#This Row],[leftover material]]*(Table1[[#This Row],[Cost ]]+Table1[[#This Row],[shipping]]+Table1[[#This Row],[Tax]]),0)</f>
        <v>0</v>
      </c>
      <c r="R361" s="38"/>
    </row>
    <row r="362" spans="1:18" x14ac:dyDescent="0.25">
      <c r="A362" s="1" t="s">
        <v>365</v>
      </c>
      <c r="B362" s="4"/>
      <c r="F362" s="3">
        <f>9%*Table1[[#This Row],[Cost ]]</f>
        <v>0</v>
      </c>
      <c r="J362" s="11">
        <f>SUMIF('Multi-level BOM'!C$3:C$464,Table1[[#This Row],[Part Number]],'Multi-level BOM'!F$3:F$464)</f>
        <v>0</v>
      </c>
      <c r="K362" s="11">
        <f>Table1[[#This Row],[extended quantity]]*(Table1[[#This Row],[Cost ]]+Table1[[#This Row],[shipping]]+Table1[[#This Row],[Tax]])</f>
        <v>0</v>
      </c>
      <c r="L362" s="11"/>
      <c r="M362" s="42"/>
      <c r="N362" s="53" t="e">
        <f>CEILING((Table1[[#This Row],[extended quantity]]-Table1[[#This Row],[quantity on-hand]])/Table1[[#This Row],[Minimum order quantity]],1)*Table1[[#This Row],[Minimum order quantity]]</f>
        <v>#DIV/0!</v>
      </c>
      <c r="O362" s="53" t="e">
        <f>Table1[[#This Row],[Order quantity]]+Table1[[#This Row],[quantity on-hand]]-Table1[[#This Row],[extended quantity]]</f>
        <v>#DIV/0!</v>
      </c>
      <c r="P362" s="11">
        <f>IFERROR(Table1[[#This Row],[Order quantity]]*(Table1[[#This Row],[Cost ]]+Table1[[#This Row],[shipping]]+Table1[[#This Row],[Tax]]),0)</f>
        <v>0</v>
      </c>
      <c r="Q362" s="38">
        <f>IFERROR(Table1[[#This Row],[leftover material]]*(Table1[[#This Row],[Cost ]]+Table1[[#This Row],[shipping]]+Table1[[#This Row],[Tax]]),0)</f>
        <v>0</v>
      </c>
      <c r="R362" s="38"/>
    </row>
    <row r="363" spans="1:18" x14ac:dyDescent="0.25">
      <c r="A363" s="1" t="s">
        <v>366</v>
      </c>
      <c r="B363" s="4"/>
      <c r="F363" s="3">
        <f>9%*Table1[[#This Row],[Cost ]]</f>
        <v>0</v>
      </c>
      <c r="J363" s="11">
        <f>SUMIF('Multi-level BOM'!C$3:C$464,Table1[[#This Row],[Part Number]],'Multi-level BOM'!F$3:F$464)</f>
        <v>0</v>
      </c>
      <c r="K363" s="11">
        <f>Table1[[#This Row],[extended quantity]]*(Table1[[#This Row],[Cost ]]+Table1[[#This Row],[shipping]]+Table1[[#This Row],[Tax]])</f>
        <v>0</v>
      </c>
      <c r="L363" s="11"/>
      <c r="M363" s="42"/>
      <c r="N363" s="53" t="e">
        <f>CEILING((Table1[[#This Row],[extended quantity]]-Table1[[#This Row],[quantity on-hand]])/Table1[[#This Row],[Minimum order quantity]],1)*Table1[[#This Row],[Minimum order quantity]]</f>
        <v>#DIV/0!</v>
      </c>
      <c r="O363" s="53" t="e">
        <f>Table1[[#This Row],[Order quantity]]+Table1[[#This Row],[quantity on-hand]]-Table1[[#This Row],[extended quantity]]</f>
        <v>#DIV/0!</v>
      </c>
      <c r="P363" s="11">
        <f>IFERROR(Table1[[#This Row],[Order quantity]]*(Table1[[#This Row],[Cost ]]+Table1[[#This Row],[shipping]]+Table1[[#This Row],[Tax]]),0)</f>
        <v>0</v>
      </c>
      <c r="Q363" s="38">
        <f>IFERROR(Table1[[#This Row],[leftover material]]*(Table1[[#This Row],[Cost ]]+Table1[[#This Row],[shipping]]+Table1[[#This Row],[Tax]]),0)</f>
        <v>0</v>
      </c>
      <c r="R363" s="38"/>
    </row>
    <row r="364" spans="1:18" x14ac:dyDescent="0.25">
      <c r="A364" s="1" t="s">
        <v>367</v>
      </c>
      <c r="B364" s="4"/>
      <c r="F364" s="3">
        <f>9%*Table1[[#This Row],[Cost ]]</f>
        <v>0</v>
      </c>
      <c r="J364" s="11">
        <f>SUMIF('Multi-level BOM'!C$3:C$464,Table1[[#This Row],[Part Number]],'Multi-level BOM'!F$3:F$464)</f>
        <v>0</v>
      </c>
      <c r="K364" s="11">
        <f>Table1[[#This Row],[extended quantity]]*(Table1[[#This Row],[Cost ]]+Table1[[#This Row],[shipping]]+Table1[[#This Row],[Tax]])</f>
        <v>0</v>
      </c>
      <c r="L364" s="11"/>
      <c r="M364" s="42"/>
      <c r="N364" s="53" t="e">
        <f>CEILING((Table1[[#This Row],[extended quantity]]-Table1[[#This Row],[quantity on-hand]])/Table1[[#This Row],[Minimum order quantity]],1)*Table1[[#This Row],[Minimum order quantity]]</f>
        <v>#DIV/0!</v>
      </c>
      <c r="O364" s="53" t="e">
        <f>Table1[[#This Row],[Order quantity]]+Table1[[#This Row],[quantity on-hand]]-Table1[[#This Row],[extended quantity]]</f>
        <v>#DIV/0!</v>
      </c>
      <c r="P364" s="11">
        <f>IFERROR(Table1[[#This Row],[Order quantity]]*(Table1[[#This Row],[Cost ]]+Table1[[#This Row],[shipping]]+Table1[[#This Row],[Tax]]),0)</f>
        <v>0</v>
      </c>
      <c r="Q364" s="38">
        <f>IFERROR(Table1[[#This Row],[leftover material]]*(Table1[[#This Row],[Cost ]]+Table1[[#This Row],[shipping]]+Table1[[#This Row],[Tax]]),0)</f>
        <v>0</v>
      </c>
      <c r="R364" s="38"/>
    </row>
    <row r="365" spans="1:18" x14ac:dyDescent="0.25">
      <c r="A365" s="1" t="s">
        <v>368</v>
      </c>
      <c r="B365" s="4"/>
      <c r="F365" s="3">
        <f>9%*Table1[[#This Row],[Cost ]]</f>
        <v>0</v>
      </c>
      <c r="J365" s="11">
        <f>SUMIF('Multi-level BOM'!C$3:C$464,Table1[[#This Row],[Part Number]],'Multi-level BOM'!F$3:F$464)</f>
        <v>0</v>
      </c>
      <c r="K365" s="11">
        <f>Table1[[#This Row],[extended quantity]]*(Table1[[#This Row],[Cost ]]+Table1[[#This Row],[shipping]]+Table1[[#This Row],[Tax]])</f>
        <v>0</v>
      </c>
      <c r="L365" s="11"/>
      <c r="M365" s="42"/>
      <c r="N365" s="53" t="e">
        <f>CEILING((Table1[[#This Row],[extended quantity]]-Table1[[#This Row],[quantity on-hand]])/Table1[[#This Row],[Minimum order quantity]],1)*Table1[[#This Row],[Minimum order quantity]]</f>
        <v>#DIV/0!</v>
      </c>
      <c r="O365" s="53" t="e">
        <f>Table1[[#This Row],[Order quantity]]+Table1[[#This Row],[quantity on-hand]]-Table1[[#This Row],[extended quantity]]</f>
        <v>#DIV/0!</v>
      </c>
      <c r="P365" s="11">
        <f>IFERROR(Table1[[#This Row],[Order quantity]]*(Table1[[#This Row],[Cost ]]+Table1[[#This Row],[shipping]]+Table1[[#This Row],[Tax]]),0)</f>
        <v>0</v>
      </c>
      <c r="Q365" s="38">
        <f>IFERROR(Table1[[#This Row],[leftover material]]*(Table1[[#This Row],[Cost ]]+Table1[[#This Row],[shipping]]+Table1[[#This Row],[Tax]]),0)</f>
        <v>0</v>
      </c>
      <c r="R365" s="38"/>
    </row>
    <row r="366" spans="1:18" x14ac:dyDescent="0.25">
      <c r="A366" s="1" t="s">
        <v>369</v>
      </c>
      <c r="B366" s="4"/>
      <c r="F366" s="3">
        <f>9%*Table1[[#This Row],[Cost ]]</f>
        <v>0</v>
      </c>
      <c r="J366" s="11">
        <f>SUMIF('Multi-level BOM'!C$3:C$464,Table1[[#This Row],[Part Number]],'Multi-level BOM'!F$3:F$464)</f>
        <v>0</v>
      </c>
      <c r="K366" s="11">
        <f>Table1[[#This Row],[extended quantity]]*(Table1[[#This Row],[Cost ]]+Table1[[#This Row],[shipping]]+Table1[[#This Row],[Tax]])</f>
        <v>0</v>
      </c>
      <c r="L366" s="11"/>
      <c r="M366" s="42"/>
      <c r="N366" s="53" t="e">
        <f>CEILING((Table1[[#This Row],[extended quantity]]-Table1[[#This Row],[quantity on-hand]])/Table1[[#This Row],[Minimum order quantity]],1)*Table1[[#This Row],[Minimum order quantity]]</f>
        <v>#DIV/0!</v>
      </c>
      <c r="O366" s="53" t="e">
        <f>Table1[[#This Row],[Order quantity]]+Table1[[#This Row],[quantity on-hand]]-Table1[[#This Row],[extended quantity]]</f>
        <v>#DIV/0!</v>
      </c>
      <c r="P366" s="11">
        <f>IFERROR(Table1[[#This Row],[Order quantity]]*(Table1[[#This Row],[Cost ]]+Table1[[#This Row],[shipping]]+Table1[[#This Row],[Tax]]),0)</f>
        <v>0</v>
      </c>
      <c r="Q366" s="38">
        <f>IFERROR(Table1[[#This Row],[leftover material]]*(Table1[[#This Row],[Cost ]]+Table1[[#This Row],[shipping]]+Table1[[#This Row],[Tax]]),0)</f>
        <v>0</v>
      </c>
      <c r="R366" s="38"/>
    </row>
    <row r="367" spans="1:18" x14ac:dyDescent="0.25">
      <c r="A367" s="1" t="s">
        <v>370</v>
      </c>
      <c r="B367" s="4"/>
      <c r="F367" s="3">
        <f>9%*Table1[[#This Row],[Cost ]]</f>
        <v>0</v>
      </c>
      <c r="J367" s="11">
        <f>SUMIF('Multi-level BOM'!C$3:C$464,Table1[[#This Row],[Part Number]],'Multi-level BOM'!F$3:F$464)</f>
        <v>0</v>
      </c>
      <c r="K367" s="11">
        <f>Table1[[#This Row],[extended quantity]]*(Table1[[#This Row],[Cost ]]+Table1[[#This Row],[shipping]]+Table1[[#This Row],[Tax]])</f>
        <v>0</v>
      </c>
      <c r="L367" s="11"/>
      <c r="M367" s="42"/>
      <c r="N367" s="53" t="e">
        <f>CEILING((Table1[[#This Row],[extended quantity]]-Table1[[#This Row],[quantity on-hand]])/Table1[[#This Row],[Minimum order quantity]],1)*Table1[[#This Row],[Minimum order quantity]]</f>
        <v>#DIV/0!</v>
      </c>
      <c r="O367" s="53" t="e">
        <f>Table1[[#This Row],[Order quantity]]+Table1[[#This Row],[quantity on-hand]]-Table1[[#This Row],[extended quantity]]</f>
        <v>#DIV/0!</v>
      </c>
      <c r="P367" s="11">
        <f>IFERROR(Table1[[#This Row],[Order quantity]]*(Table1[[#This Row],[Cost ]]+Table1[[#This Row],[shipping]]+Table1[[#This Row],[Tax]]),0)</f>
        <v>0</v>
      </c>
      <c r="Q367" s="38">
        <f>IFERROR(Table1[[#This Row],[leftover material]]*(Table1[[#This Row],[Cost ]]+Table1[[#This Row],[shipping]]+Table1[[#This Row],[Tax]]),0)</f>
        <v>0</v>
      </c>
      <c r="R367" s="38"/>
    </row>
    <row r="368" spans="1:18" x14ac:dyDescent="0.25">
      <c r="A368" s="1" t="s">
        <v>371</v>
      </c>
      <c r="B368" s="4"/>
      <c r="F368" s="3">
        <f>9%*Table1[[#This Row],[Cost ]]</f>
        <v>0</v>
      </c>
      <c r="J368" s="11">
        <f>SUMIF('Multi-level BOM'!C$3:C$464,Table1[[#This Row],[Part Number]],'Multi-level BOM'!F$3:F$464)</f>
        <v>0</v>
      </c>
      <c r="K368" s="11">
        <f>Table1[[#This Row],[extended quantity]]*(Table1[[#This Row],[Cost ]]+Table1[[#This Row],[shipping]]+Table1[[#This Row],[Tax]])</f>
        <v>0</v>
      </c>
      <c r="L368" s="11"/>
      <c r="M368" s="42"/>
      <c r="N368" s="53" t="e">
        <f>CEILING((Table1[[#This Row],[extended quantity]]-Table1[[#This Row],[quantity on-hand]])/Table1[[#This Row],[Minimum order quantity]],1)*Table1[[#This Row],[Minimum order quantity]]</f>
        <v>#DIV/0!</v>
      </c>
      <c r="O368" s="53" t="e">
        <f>Table1[[#This Row],[Order quantity]]+Table1[[#This Row],[quantity on-hand]]-Table1[[#This Row],[extended quantity]]</f>
        <v>#DIV/0!</v>
      </c>
      <c r="P368" s="11">
        <f>IFERROR(Table1[[#This Row],[Order quantity]]*(Table1[[#This Row],[Cost ]]+Table1[[#This Row],[shipping]]+Table1[[#This Row],[Tax]]),0)</f>
        <v>0</v>
      </c>
      <c r="Q368" s="38">
        <f>IFERROR(Table1[[#This Row],[leftover material]]*(Table1[[#This Row],[Cost ]]+Table1[[#This Row],[shipping]]+Table1[[#This Row],[Tax]]),0)</f>
        <v>0</v>
      </c>
      <c r="R368" s="38"/>
    </row>
    <row r="369" spans="1:18" x14ac:dyDescent="0.25">
      <c r="A369" s="1" t="s">
        <v>372</v>
      </c>
      <c r="B369" s="4"/>
      <c r="F369" s="3">
        <f>9%*Table1[[#This Row],[Cost ]]</f>
        <v>0</v>
      </c>
      <c r="J369" s="11">
        <f>SUMIF('Multi-level BOM'!C$3:C$464,Table1[[#This Row],[Part Number]],'Multi-level BOM'!F$3:F$464)</f>
        <v>0</v>
      </c>
      <c r="K369" s="11">
        <f>Table1[[#This Row],[extended quantity]]*(Table1[[#This Row],[Cost ]]+Table1[[#This Row],[shipping]]+Table1[[#This Row],[Tax]])</f>
        <v>0</v>
      </c>
      <c r="L369" s="11"/>
      <c r="M369" s="42"/>
      <c r="N369" s="53" t="e">
        <f>CEILING((Table1[[#This Row],[extended quantity]]-Table1[[#This Row],[quantity on-hand]])/Table1[[#This Row],[Minimum order quantity]],1)*Table1[[#This Row],[Minimum order quantity]]</f>
        <v>#DIV/0!</v>
      </c>
      <c r="O369" s="53" t="e">
        <f>Table1[[#This Row],[Order quantity]]+Table1[[#This Row],[quantity on-hand]]-Table1[[#This Row],[extended quantity]]</f>
        <v>#DIV/0!</v>
      </c>
      <c r="P369" s="11">
        <f>IFERROR(Table1[[#This Row],[Order quantity]]*(Table1[[#This Row],[Cost ]]+Table1[[#This Row],[shipping]]+Table1[[#This Row],[Tax]]),0)</f>
        <v>0</v>
      </c>
      <c r="Q369" s="38">
        <f>IFERROR(Table1[[#This Row],[leftover material]]*(Table1[[#This Row],[Cost ]]+Table1[[#This Row],[shipping]]+Table1[[#This Row],[Tax]]),0)</f>
        <v>0</v>
      </c>
      <c r="R369" s="38"/>
    </row>
    <row r="370" spans="1:18" x14ac:dyDescent="0.25">
      <c r="A370" s="1" t="s">
        <v>373</v>
      </c>
      <c r="B370" s="4"/>
      <c r="F370" s="3">
        <f>9%*Table1[[#This Row],[Cost ]]</f>
        <v>0</v>
      </c>
      <c r="J370" s="11">
        <f>SUMIF('Multi-level BOM'!C$3:C$464,Table1[[#This Row],[Part Number]],'Multi-level BOM'!F$3:F$464)</f>
        <v>0</v>
      </c>
      <c r="K370" s="11">
        <f>Table1[[#This Row],[extended quantity]]*(Table1[[#This Row],[Cost ]]+Table1[[#This Row],[shipping]]+Table1[[#This Row],[Tax]])</f>
        <v>0</v>
      </c>
      <c r="L370" s="11"/>
      <c r="M370" s="42"/>
      <c r="N370" s="53" t="e">
        <f>CEILING((Table1[[#This Row],[extended quantity]]-Table1[[#This Row],[quantity on-hand]])/Table1[[#This Row],[Minimum order quantity]],1)*Table1[[#This Row],[Minimum order quantity]]</f>
        <v>#DIV/0!</v>
      </c>
      <c r="O370" s="53" t="e">
        <f>Table1[[#This Row],[Order quantity]]+Table1[[#This Row],[quantity on-hand]]-Table1[[#This Row],[extended quantity]]</f>
        <v>#DIV/0!</v>
      </c>
      <c r="P370" s="11">
        <f>IFERROR(Table1[[#This Row],[Order quantity]]*(Table1[[#This Row],[Cost ]]+Table1[[#This Row],[shipping]]+Table1[[#This Row],[Tax]]),0)</f>
        <v>0</v>
      </c>
      <c r="Q370" s="38">
        <f>IFERROR(Table1[[#This Row],[leftover material]]*(Table1[[#This Row],[Cost ]]+Table1[[#This Row],[shipping]]+Table1[[#This Row],[Tax]]),0)</f>
        <v>0</v>
      </c>
      <c r="R370" s="38"/>
    </row>
    <row r="371" spans="1:18" x14ac:dyDescent="0.25">
      <c r="A371" s="1" t="s">
        <v>374</v>
      </c>
      <c r="B371" s="4"/>
      <c r="F371" s="3">
        <f>9%*Table1[[#This Row],[Cost ]]</f>
        <v>0</v>
      </c>
      <c r="J371" s="11">
        <f>SUMIF('Multi-level BOM'!C$3:C$464,Table1[[#This Row],[Part Number]],'Multi-level BOM'!F$3:F$464)</f>
        <v>0</v>
      </c>
      <c r="K371" s="11">
        <f>Table1[[#This Row],[extended quantity]]*(Table1[[#This Row],[Cost ]]+Table1[[#This Row],[shipping]]+Table1[[#This Row],[Tax]])</f>
        <v>0</v>
      </c>
      <c r="L371" s="11"/>
      <c r="M371" s="42"/>
      <c r="N371" s="53" t="e">
        <f>CEILING((Table1[[#This Row],[extended quantity]]-Table1[[#This Row],[quantity on-hand]])/Table1[[#This Row],[Minimum order quantity]],1)*Table1[[#This Row],[Minimum order quantity]]</f>
        <v>#DIV/0!</v>
      </c>
      <c r="O371" s="53" t="e">
        <f>Table1[[#This Row],[Order quantity]]+Table1[[#This Row],[quantity on-hand]]-Table1[[#This Row],[extended quantity]]</f>
        <v>#DIV/0!</v>
      </c>
      <c r="P371" s="11">
        <f>IFERROR(Table1[[#This Row],[Order quantity]]*(Table1[[#This Row],[Cost ]]+Table1[[#This Row],[shipping]]+Table1[[#This Row],[Tax]]),0)</f>
        <v>0</v>
      </c>
      <c r="Q371" s="38">
        <f>IFERROR(Table1[[#This Row],[leftover material]]*(Table1[[#This Row],[Cost ]]+Table1[[#This Row],[shipping]]+Table1[[#This Row],[Tax]]),0)</f>
        <v>0</v>
      </c>
      <c r="R371" s="38"/>
    </row>
    <row r="372" spans="1:18" x14ac:dyDescent="0.25">
      <c r="A372" s="1" t="s">
        <v>375</v>
      </c>
      <c r="B372" s="4"/>
      <c r="F372" s="3">
        <f>9%*Table1[[#This Row],[Cost ]]</f>
        <v>0</v>
      </c>
      <c r="J372" s="11">
        <f>SUMIF('Multi-level BOM'!C$3:C$464,Table1[[#This Row],[Part Number]],'Multi-level BOM'!F$3:F$464)</f>
        <v>0</v>
      </c>
      <c r="K372" s="11">
        <f>Table1[[#This Row],[extended quantity]]*(Table1[[#This Row],[Cost ]]+Table1[[#This Row],[shipping]]+Table1[[#This Row],[Tax]])</f>
        <v>0</v>
      </c>
      <c r="L372" s="11"/>
      <c r="M372" s="42"/>
      <c r="N372" s="53" t="e">
        <f>CEILING((Table1[[#This Row],[extended quantity]]-Table1[[#This Row],[quantity on-hand]])/Table1[[#This Row],[Minimum order quantity]],1)*Table1[[#This Row],[Minimum order quantity]]</f>
        <v>#DIV/0!</v>
      </c>
      <c r="O372" s="53" t="e">
        <f>Table1[[#This Row],[Order quantity]]+Table1[[#This Row],[quantity on-hand]]-Table1[[#This Row],[extended quantity]]</f>
        <v>#DIV/0!</v>
      </c>
      <c r="P372" s="11">
        <f>IFERROR(Table1[[#This Row],[Order quantity]]*(Table1[[#This Row],[Cost ]]+Table1[[#This Row],[shipping]]+Table1[[#This Row],[Tax]]),0)</f>
        <v>0</v>
      </c>
      <c r="Q372" s="38">
        <f>IFERROR(Table1[[#This Row],[leftover material]]*(Table1[[#This Row],[Cost ]]+Table1[[#This Row],[shipping]]+Table1[[#This Row],[Tax]]),0)</f>
        <v>0</v>
      </c>
      <c r="R372" s="38"/>
    </row>
    <row r="373" spans="1:18" x14ac:dyDescent="0.25">
      <c r="A373" s="1" t="s">
        <v>376</v>
      </c>
      <c r="B373" s="4"/>
      <c r="F373" s="3">
        <f>9%*Table1[[#This Row],[Cost ]]</f>
        <v>0</v>
      </c>
      <c r="J373" s="11">
        <f>SUMIF('Multi-level BOM'!C$3:C$464,Table1[[#This Row],[Part Number]],'Multi-level BOM'!F$3:F$464)</f>
        <v>0</v>
      </c>
      <c r="K373" s="11">
        <f>Table1[[#This Row],[extended quantity]]*(Table1[[#This Row],[Cost ]]+Table1[[#This Row],[shipping]]+Table1[[#This Row],[Tax]])</f>
        <v>0</v>
      </c>
      <c r="L373" s="11"/>
      <c r="M373" s="42"/>
      <c r="N373" s="53" t="e">
        <f>CEILING((Table1[[#This Row],[extended quantity]]-Table1[[#This Row],[quantity on-hand]])/Table1[[#This Row],[Minimum order quantity]],1)*Table1[[#This Row],[Minimum order quantity]]</f>
        <v>#DIV/0!</v>
      </c>
      <c r="O373" s="53" t="e">
        <f>Table1[[#This Row],[Order quantity]]+Table1[[#This Row],[quantity on-hand]]-Table1[[#This Row],[extended quantity]]</f>
        <v>#DIV/0!</v>
      </c>
      <c r="P373" s="11">
        <f>IFERROR(Table1[[#This Row],[Order quantity]]*(Table1[[#This Row],[Cost ]]+Table1[[#This Row],[shipping]]+Table1[[#This Row],[Tax]]),0)</f>
        <v>0</v>
      </c>
      <c r="Q373" s="38">
        <f>IFERROR(Table1[[#This Row],[leftover material]]*(Table1[[#This Row],[Cost ]]+Table1[[#This Row],[shipping]]+Table1[[#This Row],[Tax]]),0)</f>
        <v>0</v>
      </c>
      <c r="R373" s="38"/>
    </row>
    <row r="374" spans="1:18" x14ac:dyDescent="0.25">
      <c r="A374" s="1" t="s">
        <v>377</v>
      </c>
      <c r="B374" s="4"/>
      <c r="F374" s="3">
        <f>9%*Table1[[#This Row],[Cost ]]</f>
        <v>0</v>
      </c>
      <c r="J374" s="11">
        <f>SUMIF('Multi-level BOM'!C$3:C$464,Table1[[#This Row],[Part Number]],'Multi-level BOM'!F$3:F$464)</f>
        <v>0</v>
      </c>
      <c r="K374" s="11">
        <f>Table1[[#This Row],[extended quantity]]*(Table1[[#This Row],[Cost ]]+Table1[[#This Row],[shipping]]+Table1[[#This Row],[Tax]])</f>
        <v>0</v>
      </c>
      <c r="L374" s="11"/>
      <c r="M374" s="42"/>
      <c r="N374" s="53" t="e">
        <f>CEILING((Table1[[#This Row],[extended quantity]]-Table1[[#This Row],[quantity on-hand]])/Table1[[#This Row],[Minimum order quantity]],1)*Table1[[#This Row],[Minimum order quantity]]</f>
        <v>#DIV/0!</v>
      </c>
      <c r="O374" s="53" t="e">
        <f>Table1[[#This Row],[Order quantity]]+Table1[[#This Row],[quantity on-hand]]-Table1[[#This Row],[extended quantity]]</f>
        <v>#DIV/0!</v>
      </c>
      <c r="P374" s="11">
        <f>IFERROR(Table1[[#This Row],[Order quantity]]*(Table1[[#This Row],[Cost ]]+Table1[[#This Row],[shipping]]+Table1[[#This Row],[Tax]]),0)</f>
        <v>0</v>
      </c>
      <c r="Q374" s="38">
        <f>IFERROR(Table1[[#This Row],[leftover material]]*(Table1[[#This Row],[Cost ]]+Table1[[#This Row],[shipping]]+Table1[[#This Row],[Tax]]),0)</f>
        <v>0</v>
      </c>
      <c r="R374" s="38"/>
    </row>
    <row r="375" spans="1:18" x14ac:dyDescent="0.25">
      <c r="A375" s="1" t="s">
        <v>378</v>
      </c>
      <c r="B375" s="4"/>
      <c r="F375" s="3">
        <f>9%*Table1[[#This Row],[Cost ]]</f>
        <v>0</v>
      </c>
      <c r="J375" s="11">
        <f>SUMIF('Multi-level BOM'!C$3:C$464,Table1[[#This Row],[Part Number]],'Multi-level BOM'!F$3:F$464)</f>
        <v>0</v>
      </c>
      <c r="K375" s="11">
        <f>Table1[[#This Row],[extended quantity]]*(Table1[[#This Row],[Cost ]]+Table1[[#This Row],[shipping]]+Table1[[#This Row],[Tax]])</f>
        <v>0</v>
      </c>
      <c r="L375" s="11"/>
      <c r="M375" s="42"/>
      <c r="N375" s="53" t="e">
        <f>CEILING((Table1[[#This Row],[extended quantity]]-Table1[[#This Row],[quantity on-hand]])/Table1[[#This Row],[Minimum order quantity]],1)*Table1[[#This Row],[Minimum order quantity]]</f>
        <v>#DIV/0!</v>
      </c>
      <c r="O375" s="53" t="e">
        <f>Table1[[#This Row],[Order quantity]]+Table1[[#This Row],[quantity on-hand]]-Table1[[#This Row],[extended quantity]]</f>
        <v>#DIV/0!</v>
      </c>
      <c r="P375" s="11">
        <f>IFERROR(Table1[[#This Row],[Order quantity]]*(Table1[[#This Row],[Cost ]]+Table1[[#This Row],[shipping]]+Table1[[#This Row],[Tax]]),0)</f>
        <v>0</v>
      </c>
      <c r="Q375" s="38">
        <f>IFERROR(Table1[[#This Row],[leftover material]]*(Table1[[#This Row],[Cost ]]+Table1[[#This Row],[shipping]]+Table1[[#This Row],[Tax]]),0)</f>
        <v>0</v>
      </c>
      <c r="R375" s="38"/>
    </row>
    <row r="376" spans="1:18" x14ac:dyDescent="0.25">
      <c r="A376" s="1" t="s">
        <v>379</v>
      </c>
      <c r="B376" s="4"/>
      <c r="F376" s="3">
        <f>9%*Table1[[#This Row],[Cost ]]</f>
        <v>0</v>
      </c>
      <c r="J376" s="11">
        <f>SUMIF('Multi-level BOM'!C$3:C$464,Table1[[#This Row],[Part Number]],'Multi-level BOM'!F$3:F$464)</f>
        <v>0</v>
      </c>
      <c r="K376" s="11">
        <f>Table1[[#This Row],[extended quantity]]*(Table1[[#This Row],[Cost ]]+Table1[[#This Row],[shipping]]+Table1[[#This Row],[Tax]])</f>
        <v>0</v>
      </c>
      <c r="L376" s="11"/>
      <c r="M376" s="42"/>
      <c r="N376" s="53" t="e">
        <f>CEILING((Table1[[#This Row],[extended quantity]]-Table1[[#This Row],[quantity on-hand]])/Table1[[#This Row],[Minimum order quantity]],1)*Table1[[#This Row],[Minimum order quantity]]</f>
        <v>#DIV/0!</v>
      </c>
      <c r="O376" s="53" t="e">
        <f>Table1[[#This Row],[Order quantity]]+Table1[[#This Row],[quantity on-hand]]-Table1[[#This Row],[extended quantity]]</f>
        <v>#DIV/0!</v>
      </c>
      <c r="P376" s="11">
        <f>IFERROR(Table1[[#This Row],[Order quantity]]*(Table1[[#This Row],[Cost ]]+Table1[[#This Row],[shipping]]+Table1[[#This Row],[Tax]]),0)</f>
        <v>0</v>
      </c>
      <c r="Q376" s="38">
        <f>IFERROR(Table1[[#This Row],[leftover material]]*(Table1[[#This Row],[Cost ]]+Table1[[#This Row],[shipping]]+Table1[[#This Row],[Tax]]),0)</f>
        <v>0</v>
      </c>
      <c r="R376" s="38"/>
    </row>
    <row r="377" spans="1:18" x14ac:dyDescent="0.25">
      <c r="A377" s="1" t="s">
        <v>380</v>
      </c>
      <c r="B377" s="4"/>
      <c r="F377" s="3">
        <f>9%*Table1[[#This Row],[Cost ]]</f>
        <v>0</v>
      </c>
      <c r="J377" s="11">
        <f>SUMIF('Multi-level BOM'!C$3:C$464,Table1[[#This Row],[Part Number]],'Multi-level BOM'!F$3:F$464)</f>
        <v>0</v>
      </c>
      <c r="K377" s="11">
        <f>Table1[[#This Row],[extended quantity]]*(Table1[[#This Row],[Cost ]]+Table1[[#This Row],[shipping]]+Table1[[#This Row],[Tax]])</f>
        <v>0</v>
      </c>
      <c r="L377" s="11"/>
      <c r="M377" s="42"/>
      <c r="N377" s="53" t="e">
        <f>CEILING((Table1[[#This Row],[extended quantity]]-Table1[[#This Row],[quantity on-hand]])/Table1[[#This Row],[Minimum order quantity]],1)*Table1[[#This Row],[Minimum order quantity]]</f>
        <v>#DIV/0!</v>
      </c>
      <c r="O377" s="53" t="e">
        <f>Table1[[#This Row],[Order quantity]]+Table1[[#This Row],[quantity on-hand]]-Table1[[#This Row],[extended quantity]]</f>
        <v>#DIV/0!</v>
      </c>
      <c r="P377" s="11">
        <f>IFERROR(Table1[[#This Row],[Order quantity]]*(Table1[[#This Row],[Cost ]]+Table1[[#This Row],[shipping]]+Table1[[#This Row],[Tax]]),0)</f>
        <v>0</v>
      </c>
      <c r="Q377" s="38">
        <f>IFERROR(Table1[[#This Row],[leftover material]]*(Table1[[#This Row],[Cost ]]+Table1[[#This Row],[shipping]]+Table1[[#This Row],[Tax]]),0)</f>
        <v>0</v>
      </c>
      <c r="R377" s="38"/>
    </row>
    <row r="378" spans="1:18" x14ac:dyDescent="0.25">
      <c r="A378" s="1" t="s">
        <v>381</v>
      </c>
      <c r="B378" s="4"/>
      <c r="F378" s="3">
        <f>9%*Table1[[#This Row],[Cost ]]</f>
        <v>0</v>
      </c>
      <c r="J378" s="11">
        <f>SUMIF('Multi-level BOM'!C$3:C$464,Table1[[#This Row],[Part Number]],'Multi-level BOM'!F$3:F$464)</f>
        <v>0</v>
      </c>
      <c r="K378" s="11">
        <f>Table1[[#This Row],[extended quantity]]*(Table1[[#This Row],[Cost ]]+Table1[[#This Row],[shipping]]+Table1[[#This Row],[Tax]])</f>
        <v>0</v>
      </c>
      <c r="L378" s="11"/>
      <c r="M378" s="42"/>
      <c r="N378" s="53" t="e">
        <f>CEILING((Table1[[#This Row],[extended quantity]]-Table1[[#This Row],[quantity on-hand]])/Table1[[#This Row],[Minimum order quantity]],1)*Table1[[#This Row],[Minimum order quantity]]</f>
        <v>#DIV/0!</v>
      </c>
      <c r="O378" s="53" t="e">
        <f>Table1[[#This Row],[Order quantity]]+Table1[[#This Row],[quantity on-hand]]-Table1[[#This Row],[extended quantity]]</f>
        <v>#DIV/0!</v>
      </c>
      <c r="P378" s="11">
        <f>IFERROR(Table1[[#This Row],[Order quantity]]*(Table1[[#This Row],[Cost ]]+Table1[[#This Row],[shipping]]+Table1[[#This Row],[Tax]]),0)</f>
        <v>0</v>
      </c>
      <c r="Q378" s="38">
        <f>IFERROR(Table1[[#This Row],[leftover material]]*(Table1[[#This Row],[Cost ]]+Table1[[#This Row],[shipping]]+Table1[[#This Row],[Tax]]),0)</f>
        <v>0</v>
      </c>
      <c r="R378" s="38"/>
    </row>
    <row r="379" spans="1:18" x14ac:dyDescent="0.25">
      <c r="A379" s="1" t="s">
        <v>382</v>
      </c>
      <c r="B379" s="4"/>
      <c r="F379" s="3">
        <f>9%*Table1[[#This Row],[Cost ]]</f>
        <v>0</v>
      </c>
      <c r="J379" s="11">
        <f>SUMIF('Multi-level BOM'!C$3:C$464,Table1[[#This Row],[Part Number]],'Multi-level BOM'!F$3:F$464)</f>
        <v>0</v>
      </c>
      <c r="K379" s="11">
        <f>Table1[[#This Row],[extended quantity]]*(Table1[[#This Row],[Cost ]]+Table1[[#This Row],[shipping]]+Table1[[#This Row],[Tax]])</f>
        <v>0</v>
      </c>
      <c r="L379" s="11"/>
      <c r="M379" s="42"/>
      <c r="N379" s="53" t="e">
        <f>CEILING((Table1[[#This Row],[extended quantity]]-Table1[[#This Row],[quantity on-hand]])/Table1[[#This Row],[Minimum order quantity]],1)*Table1[[#This Row],[Minimum order quantity]]</f>
        <v>#DIV/0!</v>
      </c>
      <c r="O379" s="53" t="e">
        <f>Table1[[#This Row],[Order quantity]]+Table1[[#This Row],[quantity on-hand]]-Table1[[#This Row],[extended quantity]]</f>
        <v>#DIV/0!</v>
      </c>
      <c r="P379" s="11">
        <f>IFERROR(Table1[[#This Row],[Order quantity]]*(Table1[[#This Row],[Cost ]]+Table1[[#This Row],[shipping]]+Table1[[#This Row],[Tax]]),0)</f>
        <v>0</v>
      </c>
      <c r="Q379" s="38">
        <f>IFERROR(Table1[[#This Row],[leftover material]]*(Table1[[#This Row],[Cost ]]+Table1[[#This Row],[shipping]]+Table1[[#This Row],[Tax]]),0)</f>
        <v>0</v>
      </c>
      <c r="R379" s="38"/>
    </row>
    <row r="380" spans="1:18" x14ac:dyDescent="0.25">
      <c r="A380" s="1" t="s">
        <v>383</v>
      </c>
      <c r="B380" s="4"/>
      <c r="F380" s="3">
        <f>9%*Table1[[#This Row],[Cost ]]</f>
        <v>0</v>
      </c>
      <c r="J380" s="11">
        <f>SUMIF('Multi-level BOM'!C$3:C$464,Table1[[#This Row],[Part Number]],'Multi-level BOM'!F$3:F$464)</f>
        <v>0</v>
      </c>
      <c r="K380" s="11">
        <f>Table1[[#This Row],[extended quantity]]*(Table1[[#This Row],[Cost ]]+Table1[[#This Row],[shipping]]+Table1[[#This Row],[Tax]])</f>
        <v>0</v>
      </c>
      <c r="L380" s="11"/>
      <c r="M380" s="42"/>
      <c r="N380" s="53" t="e">
        <f>CEILING((Table1[[#This Row],[extended quantity]]-Table1[[#This Row],[quantity on-hand]])/Table1[[#This Row],[Minimum order quantity]],1)*Table1[[#This Row],[Minimum order quantity]]</f>
        <v>#DIV/0!</v>
      </c>
      <c r="O380" s="53" t="e">
        <f>Table1[[#This Row],[Order quantity]]+Table1[[#This Row],[quantity on-hand]]-Table1[[#This Row],[extended quantity]]</f>
        <v>#DIV/0!</v>
      </c>
      <c r="P380" s="11">
        <f>IFERROR(Table1[[#This Row],[Order quantity]]*(Table1[[#This Row],[Cost ]]+Table1[[#This Row],[shipping]]+Table1[[#This Row],[Tax]]),0)</f>
        <v>0</v>
      </c>
      <c r="Q380" s="38">
        <f>IFERROR(Table1[[#This Row],[leftover material]]*(Table1[[#This Row],[Cost ]]+Table1[[#This Row],[shipping]]+Table1[[#This Row],[Tax]]),0)</f>
        <v>0</v>
      </c>
      <c r="R380" s="38"/>
    </row>
    <row r="381" spans="1:18" x14ac:dyDescent="0.25">
      <c r="A381" s="1" t="s">
        <v>384</v>
      </c>
      <c r="B381" s="4"/>
      <c r="F381" s="3">
        <f>9%*Table1[[#This Row],[Cost ]]</f>
        <v>0</v>
      </c>
      <c r="J381" s="11">
        <f>SUMIF('Multi-level BOM'!C$3:C$464,Table1[[#This Row],[Part Number]],'Multi-level BOM'!F$3:F$464)</f>
        <v>0</v>
      </c>
      <c r="K381" s="11">
        <f>Table1[[#This Row],[extended quantity]]*(Table1[[#This Row],[Cost ]]+Table1[[#This Row],[shipping]]+Table1[[#This Row],[Tax]])</f>
        <v>0</v>
      </c>
      <c r="L381" s="11"/>
      <c r="M381" s="42"/>
      <c r="N381" s="53" t="e">
        <f>CEILING((Table1[[#This Row],[extended quantity]]-Table1[[#This Row],[quantity on-hand]])/Table1[[#This Row],[Minimum order quantity]],1)*Table1[[#This Row],[Minimum order quantity]]</f>
        <v>#DIV/0!</v>
      </c>
      <c r="O381" s="53" t="e">
        <f>Table1[[#This Row],[Order quantity]]+Table1[[#This Row],[quantity on-hand]]-Table1[[#This Row],[extended quantity]]</f>
        <v>#DIV/0!</v>
      </c>
      <c r="P381" s="11">
        <f>IFERROR(Table1[[#This Row],[Order quantity]]*(Table1[[#This Row],[Cost ]]+Table1[[#This Row],[shipping]]+Table1[[#This Row],[Tax]]),0)</f>
        <v>0</v>
      </c>
      <c r="Q381" s="38">
        <f>IFERROR(Table1[[#This Row],[leftover material]]*(Table1[[#This Row],[Cost ]]+Table1[[#This Row],[shipping]]+Table1[[#This Row],[Tax]]),0)</f>
        <v>0</v>
      </c>
      <c r="R381" s="38"/>
    </row>
    <row r="382" spans="1:18" x14ac:dyDescent="0.25">
      <c r="A382" s="1" t="s">
        <v>385</v>
      </c>
      <c r="B382" s="4"/>
      <c r="F382" s="3">
        <f>9%*Table1[[#This Row],[Cost ]]</f>
        <v>0</v>
      </c>
      <c r="J382" s="11">
        <f>SUMIF('Multi-level BOM'!C$3:C$464,Table1[[#This Row],[Part Number]],'Multi-level BOM'!F$3:F$464)</f>
        <v>0</v>
      </c>
      <c r="K382" s="11">
        <f>Table1[[#This Row],[extended quantity]]*(Table1[[#This Row],[Cost ]]+Table1[[#This Row],[shipping]]+Table1[[#This Row],[Tax]])</f>
        <v>0</v>
      </c>
      <c r="L382" s="11"/>
      <c r="M382" s="42"/>
      <c r="N382" s="53" t="e">
        <f>CEILING((Table1[[#This Row],[extended quantity]]-Table1[[#This Row],[quantity on-hand]])/Table1[[#This Row],[Minimum order quantity]],1)*Table1[[#This Row],[Minimum order quantity]]</f>
        <v>#DIV/0!</v>
      </c>
      <c r="O382" s="53" t="e">
        <f>Table1[[#This Row],[Order quantity]]+Table1[[#This Row],[quantity on-hand]]-Table1[[#This Row],[extended quantity]]</f>
        <v>#DIV/0!</v>
      </c>
      <c r="P382" s="11">
        <f>IFERROR(Table1[[#This Row],[Order quantity]]*(Table1[[#This Row],[Cost ]]+Table1[[#This Row],[shipping]]+Table1[[#This Row],[Tax]]),0)</f>
        <v>0</v>
      </c>
      <c r="Q382" s="38">
        <f>IFERROR(Table1[[#This Row],[leftover material]]*(Table1[[#This Row],[Cost ]]+Table1[[#This Row],[shipping]]+Table1[[#This Row],[Tax]]),0)</f>
        <v>0</v>
      </c>
      <c r="R382" s="38"/>
    </row>
    <row r="383" spans="1:18" x14ac:dyDescent="0.25">
      <c r="A383" s="1" t="s">
        <v>386</v>
      </c>
      <c r="B383" s="4"/>
      <c r="F383" s="3">
        <f>9%*Table1[[#This Row],[Cost ]]</f>
        <v>0</v>
      </c>
      <c r="J383" s="11">
        <f>SUMIF('Multi-level BOM'!C$3:C$464,Table1[[#This Row],[Part Number]],'Multi-level BOM'!F$3:F$464)</f>
        <v>0</v>
      </c>
      <c r="K383" s="11">
        <f>Table1[[#This Row],[extended quantity]]*(Table1[[#This Row],[Cost ]]+Table1[[#This Row],[shipping]]+Table1[[#This Row],[Tax]])</f>
        <v>0</v>
      </c>
      <c r="L383" s="11"/>
      <c r="M383" s="42"/>
      <c r="N383" s="53" t="e">
        <f>CEILING((Table1[[#This Row],[extended quantity]]-Table1[[#This Row],[quantity on-hand]])/Table1[[#This Row],[Minimum order quantity]],1)*Table1[[#This Row],[Minimum order quantity]]</f>
        <v>#DIV/0!</v>
      </c>
      <c r="O383" s="53" t="e">
        <f>Table1[[#This Row],[Order quantity]]+Table1[[#This Row],[quantity on-hand]]-Table1[[#This Row],[extended quantity]]</f>
        <v>#DIV/0!</v>
      </c>
      <c r="P383" s="11">
        <f>IFERROR(Table1[[#This Row],[Order quantity]]*(Table1[[#This Row],[Cost ]]+Table1[[#This Row],[shipping]]+Table1[[#This Row],[Tax]]),0)</f>
        <v>0</v>
      </c>
      <c r="Q383" s="38">
        <f>IFERROR(Table1[[#This Row],[leftover material]]*(Table1[[#This Row],[Cost ]]+Table1[[#This Row],[shipping]]+Table1[[#This Row],[Tax]]),0)</f>
        <v>0</v>
      </c>
      <c r="R383" s="38"/>
    </row>
    <row r="384" spans="1:18" x14ac:dyDescent="0.25">
      <c r="A384" s="1" t="s">
        <v>387</v>
      </c>
      <c r="B384" s="4"/>
      <c r="F384" s="3">
        <f>9%*Table1[[#This Row],[Cost ]]</f>
        <v>0</v>
      </c>
      <c r="J384" s="11">
        <f>SUMIF('Multi-level BOM'!C$3:C$464,Table1[[#This Row],[Part Number]],'Multi-level BOM'!F$3:F$464)</f>
        <v>0</v>
      </c>
      <c r="K384" s="11">
        <f>Table1[[#This Row],[extended quantity]]*(Table1[[#This Row],[Cost ]]+Table1[[#This Row],[shipping]]+Table1[[#This Row],[Tax]])</f>
        <v>0</v>
      </c>
      <c r="L384" s="11"/>
      <c r="M384" s="42"/>
      <c r="N384" s="53" t="e">
        <f>CEILING((Table1[[#This Row],[extended quantity]]-Table1[[#This Row],[quantity on-hand]])/Table1[[#This Row],[Minimum order quantity]],1)*Table1[[#This Row],[Minimum order quantity]]</f>
        <v>#DIV/0!</v>
      </c>
      <c r="O384" s="53" t="e">
        <f>Table1[[#This Row],[Order quantity]]+Table1[[#This Row],[quantity on-hand]]-Table1[[#This Row],[extended quantity]]</f>
        <v>#DIV/0!</v>
      </c>
      <c r="P384" s="11">
        <f>IFERROR(Table1[[#This Row],[Order quantity]]*(Table1[[#This Row],[Cost ]]+Table1[[#This Row],[shipping]]+Table1[[#This Row],[Tax]]),0)</f>
        <v>0</v>
      </c>
      <c r="Q384" s="38">
        <f>IFERROR(Table1[[#This Row],[leftover material]]*(Table1[[#This Row],[Cost ]]+Table1[[#This Row],[shipping]]+Table1[[#This Row],[Tax]]),0)</f>
        <v>0</v>
      </c>
      <c r="R384" s="38"/>
    </row>
    <row r="385" spans="1:18" x14ac:dyDescent="0.25">
      <c r="A385" s="1" t="s">
        <v>388</v>
      </c>
      <c r="B385" s="4"/>
      <c r="F385" s="3">
        <f>9%*Table1[[#This Row],[Cost ]]</f>
        <v>0</v>
      </c>
      <c r="J385" s="11">
        <f>SUMIF('Multi-level BOM'!C$3:C$464,Table1[[#This Row],[Part Number]],'Multi-level BOM'!F$3:F$464)</f>
        <v>0</v>
      </c>
      <c r="K385" s="11">
        <f>Table1[[#This Row],[extended quantity]]*(Table1[[#This Row],[Cost ]]+Table1[[#This Row],[shipping]]+Table1[[#This Row],[Tax]])</f>
        <v>0</v>
      </c>
      <c r="L385" s="11"/>
      <c r="M385" s="42"/>
      <c r="N385" s="53" t="e">
        <f>CEILING((Table1[[#This Row],[extended quantity]]-Table1[[#This Row],[quantity on-hand]])/Table1[[#This Row],[Minimum order quantity]],1)*Table1[[#This Row],[Minimum order quantity]]</f>
        <v>#DIV/0!</v>
      </c>
      <c r="O385" s="53" t="e">
        <f>Table1[[#This Row],[Order quantity]]+Table1[[#This Row],[quantity on-hand]]-Table1[[#This Row],[extended quantity]]</f>
        <v>#DIV/0!</v>
      </c>
      <c r="P385" s="11">
        <f>IFERROR(Table1[[#This Row],[Order quantity]]*(Table1[[#This Row],[Cost ]]+Table1[[#This Row],[shipping]]+Table1[[#This Row],[Tax]]),0)</f>
        <v>0</v>
      </c>
      <c r="Q385" s="38">
        <f>IFERROR(Table1[[#This Row],[leftover material]]*(Table1[[#This Row],[Cost ]]+Table1[[#This Row],[shipping]]+Table1[[#This Row],[Tax]]),0)</f>
        <v>0</v>
      </c>
      <c r="R385" s="38"/>
    </row>
    <row r="386" spans="1:18" x14ac:dyDescent="0.25">
      <c r="A386" s="1" t="s">
        <v>389</v>
      </c>
      <c r="B386" s="4"/>
      <c r="F386" s="3">
        <f>9%*Table1[[#This Row],[Cost ]]</f>
        <v>0</v>
      </c>
      <c r="J386" s="11">
        <f>SUMIF('Multi-level BOM'!C$3:C$464,Table1[[#This Row],[Part Number]],'Multi-level BOM'!F$3:F$464)</f>
        <v>0</v>
      </c>
      <c r="K386" s="11">
        <f>Table1[[#This Row],[extended quantity]]*(Table1[[#This Row],[Cost ]]+Table1[[#This Row],[shipping]]+Table1[[#This Row],[Tax]])</f>
        <v>0</v>
      </c>
      <c r="L386" s="11"/>
      <c r="M386" s="42"/>
      <c r="N386" s="53" t="e">
        <f>CEILING((Table1[[#This Row],[extended quantity]]-Table1[[#This Row],[quantity on-hand]])/Table1[[#This Row],[Minimum order quantity]],1)*Table1[[#This Row],[Minimum order quantity]]</f>
        <v>#DIV/0!</v>
      </c>
      <c r="O386" s="53" t="e">
        <f>Table1[[#This Row],[Order quantity]]+Table1[[#This Row],[quantity on-hand]]-Table1[[#This Row],[extended quantity]]</f>
        <v>#DIV/0!</v>
      </c>
      <c r="P386" s="11">
        <f>IFERROR(Table1[[#This Row],[Order quantity]]*(Table1[[#This Row],[Cost ]]+Table1[[#This Row],[shipping]]+Table1[[#This Row],[Tax]]),0)</f>
        <v>0</v>
      </c>
      <c r="Q386" s="38">
        <f>IFERROR(Table1[[#This Row],[leftover material]]*(Table1[[#This Row],[Cost ]]+Table1[[#This Row],[shipping]]+Table1[[#This Row],[Tax]]),0)</f>
        <v>0</v>
      </c>
      <c r="R386" s="38"/>
    </row>
    <row r="387" spans="1:18" x14ac:dyDescent="0.25">
      <c r="A387" s="1" t="s">
        <v>390</v>
      </c>
      <c r="B387" s="4"/>
      <c r="F387" s="3">
        <f>9%*Table1[[#This Row],[Cost ]]</f>
        <v>0</v>
      </c>
      <c r="J387" s="11">
        <f>SUMIF('Multi-level BOM'!C$3:C$464,Table1[[#This Row],[Part Number]],'Multi-level BOM'!F$3:F$464)</f>
        <v>0</v>
      </c>
      <c r="K387" s="11">
        <f>Table1[[#This Row],[extended quantity]]*(Table1[[#This Row],[Cost ]]+Table1[[#This Row],[shipping]]+Table1[[#This Row],[Tax]])</f>
        <v>0</v>
      </c>
      <c r="L387" s="11"/>
      <c r="M387" s="42"/>
      <c r="N387" s="53" t="e">
        <f>CEILING((Table1[[#This Row],[extended quantity]]-Table1[[#This Row],[quantity on-hand]])/Table1[[#This Row],[Minimum order quantity]],1)*Table1[[#This Row],[Minimum order quantity]]</f>
        <v>#DIV/0!</v>
      </c>
      <c r="O387" s="53" t="e">
        <f>Table1[[#This Row],[Order quantity]]+Table1[[#This Row],[quantity on-hand]]-Table1[[#This Row],[extended quantity]]</f>
        <v>#DIV/0!</v>
      </c>
      <c r="P387" s="11">
        <f>IFERROR(Table1[[#This Row],[Order quantity]]*(Table1[[#This Row],[Cost ]]+Table1[[#This Row],[shipping]]+Table1[[#This Row],[Tax]]),0)</f>
        <v>0</v>
      </c>
      <c r="Q387" s="38">
        <f>IFERROR(Table1[[#This Row],[leftover material]]*(Table1[[#This Row],[Cost ]]+Table1[[#This Row],[shipping]]+Table1[[#This Row],[Tax]]),0)</f>
        <v>0</v>
      </c>
      <c r="R387" s="38"/>
    </row>
    <row r="388" spans="1:18" x14ac:dyDescent="0.25">
      <c r="A388" s="1" t="s">
        <v>391</v>
      </c>
      <c r="B388" s="4"/>
      <c r="F388" s="3">
        <f>9%*Table1[[#This Row],[Cost ]]</f>
        <v>0</v>
      </c>
      <c r="J388" s="11">
        <f>SUMIF('Multi-level BOM'!C$3:C$464,Table1[[#This Row],[Part Number]],'Multi-level BOM'!F$3:F$464)</f>
        <v>0</v>
      </c>
      <c r="K388" s="11">
        <f>Table1[[#This Row],[extended quantity]]*(Table1[[#This Row],[Cost ]]+Table1[[#This Row],[shipping]]+Table1[[#This Row],[Tax]])</f>
        <v>0</v>
      </c>
      <c r="L388" s="11"/>
      <c r="M388" s="42"/>
      <c r="N388" s="53" t="e">
        <f>CEILING((Table1[[#This Row],[extended quantity]]-Table1[[#This Row],[quantity on-hand]])/Table1[[#This Row],[Minimum order quantity]],1)*Table1[[#This Row],[Minimum order quantity]]</f>
        <v>#DIV/0!</v>
      </c>
      <c r="O388" s="53" t="e">
        <f>Table1[[#This Row],[Order quantity]]+Table1[[#This Row],[quantity on-hand]]-Table1[[#This Row],[extended quantity]]</f>
        <v>#DIV/0!</v>
      </c>
      <c r="P388" s="11">
        <f>IFERROR(Table1[[#This Row],[Order quantity]]*(Table1[[#This Row],[Cost ]]+Table1[[#This Row],[shipping]]+Table1[[#This Row],[Tax]]),0)</f>
        <v>0</v>
      </c>
      <c r="Q388" s="38">
        <f>IFERROR(Table1[[#This Row],[leftover material]]*(Table1[[#This Row],[Cost ]]+Table1[[#This Row],[shipping]]+Table1[[#This Row],[Tax]]),0)</f>
        <v>0</v>
      </c>
      <c r="R388" s="38"/>
    </row>
    <row r="389" spans="1:18" x14ac:dyDescent="0.25">
      <c r="A389" s="1" t="s">
        <v>392</v>
      </c>
      <c r="B389" s="4"/>
      <c r="F389" s="3">
        <f>9%*Table1[[#This Row],[Cost ]]</f>
        <v>0</v>
      </c>
      <c r="J389" s="11">
        <f>SUMIF('Multi-level BOM'!C$3:C$464,Table1[[#This Row],[Part Number]],'Multi-level BOM'!F$3:F$464)</f>
        <v>0</v>
      </c>
      <c r="K389" s="11">
        <f>Table1[[#This Row],[extended quantity]]*(Table1[[#This Row],[Cost ]]+Table1[[#This Row],[shipping]]+Table1[[#This Row],[Tax]])</f>
        <v>0</v>
      </c>
      <c r="L389" s="11"/>
      <c r="M389" s="42"/>
      <c r="N389" s="53" t="e">
        <f>CEILING((Table1[[#This Row],[extended quantity]]-Table1[[#This Row],[quantity on-hand]])/Table1[[#This Row],[Minimum order quantity]],1)*Table1[[#This Row],[Minimum order quantity]]</f>
        <v>#DIV/0!</v>
      </c>
      <c r="O389" s="53" t="e">
        <f>Table1[[#This Row],[Order quantity]]+Table1[[#This Row],[quantity on-hand]]-Table1[[#This Row],[extended quantity]]</f>
        <v>#DIV/0!</v>
      </c>
      <c r="P389" s="11">
        <f>IFERROR(Table1[[#This Row],[Order quantity]]*(Table1[[#This Row],[Cost ]]+Table1[[#This Row],[shipping]]+Table1[[#This Row],[Tax]]),0)</f>
        <v>0</v>
      </c>
      <c r="Q389" s="38">
        <f>IFERROR(Table1[[#This Row],[leftover material]]*(Table1[[#This Row],[Cost ]]+Table1[[#This Row],[shipping]]+Table1[[#This Row],[Tax]]),0)</f>
        <v>0</v>
      </c>
      <c r="R389" s="38"/>
    </row>
    <row r="390" spans="1:18" x14ac:dyDescent="0.25">
      <c r="A390" s="1" t="s">
        <v>393</v>
      </c>
      <c r="B390" s="4"/>
      <c r="F390" s="3">
        <f>9%*Table1[[#This Row],[Cost ]]</f>
        <v>0</v>
      </c>
      <c r="J390" s="11">
        <f>SUMIF('Multi-level BOM'!C$3:C$464,Table1[[#This Row],[Part Number]],'Multi-level BOM'!F$3:F$464)</f>
        <v>0</v>
      </c>
      <c r="K390" s="11">
        <f>Table1[[#This Row],[extended quantity]]*(Table1[[#This Row],[Cost ]]+Table1[[#This Row],[shipping]]+Table1[[#This Row],[Tax]])</f>
        <v>0</v>
      </c>
      <c r="L390" s="11"/>
      <c r="M390" s="42"/>
      <c r="N390" s="53" t="e">
        <f>CEILING((Table1[[#This Row],[extended quantity]]-Table1[[#This Row],[quantity on-hand]])/Table1[[#This Row],[Minimum order quantity]],1)*Table1[[#This Row],[Minimum order quantity]]</f>
        <v>#DIV/0!</v>
      </c>
      <c r="O390" s="53" t="e">
        <f>Table1[[#This Row],[Order quantity]]+Table1[[#This Row],[quantity on-hand]]-Table1[[#This Row],[extended quantity]]</f>
        <v>#DIV/0!</v>
      </c>
      <c r="P390" s="11">
        <f>IFERROR(Table1[[#This Row],[Order quantity]]*(Table1[[#This Row],[Cost ]]+Table1[[#This Row],[shipping]]+Table1[[#This Row],[Tax]]),0)</f>
        <v>0</v>
      </c>
      <c r="Q390" s="38">
        <f>IFERROR(Table1[[#This Row],[leftover material]]*(Table1[[#This Row],[Cost ]]+Table1[[#This Row],[shipping]]+Table1[[#This Row],[Tax]]),0)</f>
        <v>0</v>
      </c>
      <c r="R390" s="38"/>
    </row>
    <row r="391" spans="1:18" x14ac:dyDescent="0.25">
      <c r="A391" s="1" t="s">
        <v>394</v>
      </c>
      <c r="B391" s="4"/>
      <c r="F391" s="3">
        <f>9%*Table1[[#This Row],[Cost ]]</f>
        <v>0</v>
      </c>
      <c r="J391" s="11">
        <f>SUMIF('Multi-level BOM'!C$3:C$464,Table1[[#This Row],[Part Number]],'Multi-level BOM'!F$3:F$464)</f>
        <v>0</v>
      </c>
      <c r="K391" s="11">
        <f>Table1[[#This Row],[extended quantity]]*(Table1[[#This Row],[Cost ]]+Table1[[#This Row],[shipping]]+Table1[[#This Row],[Tax]])</f>
        <v>0</v>
      </c>
      <c r="L391" s="11"/>
      <c r="M391" s="42"/>
      <c r="N391" s="53" t="e">
        <f>CEILING((Table1[[#This Row],[extended quantity]]-Table1[[#This Row],[quantity on-hand]])/Table1[[#This Row],[Minimum order quantity]],1)*Table1[[#This Row],[Minimum order quantity]]</f>
        <v>#DIV/0!</v>
      </c>
      <c r="O391" s="53" t="e">
        <f>Table1[[#This Row],[Order quantity]]+Table1[[#This Row],[quantity on-hand]]-Table1[[#This Row],[extended quantity]]</f>
        <v>#DIV/0!</v>
      </c>
      <c r="P391" s="11">
        <f>IFERROR(Table1[[#This Row],[Order quantity]]*(Table1[[#This Row],[Cost ]]+Table1[[#This Row],[shipping]]+Table1[[#This Row],[Tax]]),0)</f>
        <v>0</v>
      </c>
      <c r="Q391" s="38">
        <f>IFERROR(Table1[[#This Row],[leftover material]]*(Table1[[#This Row],[Cost ]]+Table1[[#This Row],[shipping]]+Table1[[#This Row],[Tax]]),0)</f>
        <v>0</v>
      </c>
      <c r="R391" s="38"/>
    </row>
    <row r="392" spans="1:18" x14ac:dyDescent="0.25">
      <c r="A392" s="1" t="s">
        <v>395</v>
      </c>
      <c r="B392" s="4"/>
      <c r="F392" s="3">
        <f>9%*Table1[[#This Row],[Cost ]]</f>
        <v>0</v>
      </c>
      <c r="J392" s="11">
        <f>SUMIF('Multi-level BOM'!C$3:C$464,Table1[[#This Row],[Part Number]],'Multi-level BOM'!F$3:F$464)</f>
        <v>0</v>
      </c>
      <c r="K392" s="11">
        <f>Table1[[#This Row],[extended quantity]]*(Table1[[#This Row],[Cost ]]+Table1[[#This Row],[shipping]]+Table1[[#This Row],[Tax]])</f>
        <v>0</v>
      </c>
      <c r="L392" s="11"/>
      <c r="M392" s="42"/>
      <c r="N392" s="53" t="e">
        <f>CEILING((Table1[[#This Row],[extended quantity]]-Table1[[#This Row],[quantity on-hand]])/Table1[[#This Row],[Minimum order quantity]],1)*Table1[[#This Row],[Minimum order quantity]]</f>
        <v>#DIV/0!</v>
      </c>
      <c r="O392" s="53" t="e">
        <f>Table1[[#This Row],[Order quantity]]+Table1[[#This Row],[quantity on-hand]]-Table1[[#This Row],[extended quantity]]</f>
        <v>#DIV/0!</v>
      </c>
      <c r="P392" s="11">
        <f>IFERROR(Table1[[#This Row],[Order quantity]]*(Table1[[#This Row],[Cost ]]+Table1[[#This Row],[shipping]]+Table1[[#This Row],[Tax]]),0)</f>
        <v>0</v>
      </c>
      <c r="Q392" s="38">
        <f>IFERROR(Table1[[#This Row],[leftover material]]*(Table1[[#This Row],[Cost ]]+Table1[[#This Row],[shipping]]+Table1[[#This Row],[Tax]]),0)</f>
        <v>0</v>
      </c>
      <c r="R392" s="38"/>
    </row>
    <row r="393" spans="1:18" x14ac:dyDescent="0.25">
      <c r="A393" s="1" t="s">
        <v>396</v>
      </c>
      <c r="B393" s="4"/>
      <c r="F393" s="3">
        <f>9%*Table1[[#This Row],[Cost ]]</f>
        <v>0</v>
      </c>
      <c r="J393" s="11">
        <f>SUMIF('Multi-level BOM'!C$3:C$464,Table1[[#This Row],[Part Number]],'Multi-level BOM'!F$3:F$464)</f>
        <v>0</v>
      </c>
      <c r="K393" s="11">
        <f>Table1[[#This Row],[extended quantity]]*(Table1[[#This Row],[Cost ]]+Table1[[#This Row],[shipping]]+Table1[[#This Row],[Tax]])</f>
        <v>0</v>
      </c>
      <c r="L393" s="11"/>
      <c r="M393" s="42"/>
      <c r="N393" s="53" t="e">
        <f>CEILING((Table1[[#This Row],[extended quantity]]-Table1[[#This Row],[quantity on-hand]])/Table1[[#This Row],[Minimum order quantity]],1)*Table1[[#This Row],[Minimum order quantity]]</f>
        <v>#DIV/0!</v>
      </c>
      <c r="O393" s="53" t="e">
        <f>Table1[[#This Row],[Order quantity]]+Table1[[#This Row],[quantity on-hand]]-Table1[[#This Row],[extended quantity]]</f>
        <v>#DIV/0!</v>
      </c>
      <c r="P393" s="11">
        <f>IFERROR(Table1[[#This Row],[Order quantity]]*(Table1[[#This Row],[Cost ]]+Table1[[#This Row],[shipping]]+Table1[[#This Row],[Tax]]),0)</f>
        <v>0</v>
      </c>
      <c r="Q393" s="38">
        <f>IFERROR(Table1[[#This Row],[leftover material]]*(Table1[[#This Row],[Cost ]]+Table1[[#This Row],[shipping]]+Table1[[#This Row],[Tax]]),0)</f>
        <v>0</v>
      </c>
      <c r="R393" s="38"/>
    </row>
    <row r="394" spans="1:18" x14ac:dyDescent="0.25">
      <c r="A394" s="1" t="s">
        <v>397</v>
      </c>
      <c r="B394" s="4"/>
      <c r="F394" s="3">
        <f>9%*Table1[[#This Row],[Cost ]]</f>
        <v>0</v>
      </c>
      <c r="J394" s="11">
        <f>SUMIF('Multi-level BOM'!C$3:C$464,Table1[[#This Row],[Part Number]],'Multi-level BOM'!F$3:F$464)</f>
        <v>0</v>
      </c>
      <c r="K394" s="11">
        <f>Table1[[#This Row],[extended quantity]]*(Table1[[#This Row],[Cost ]]+Table1[[#This Row],[shipping]]+Table1[[#This Row],[Tax]])</f>
        <v>0</v>
      </c>
      <c r="L394" s="11"/>
      <c r="M394" s="42"/>
      <c r="N394" s="53" t="e">
        <f>CEILING((Table1[[#This Row],[extended quantity]]-Table1[[#This Row],[quantity on-hand]])/Table1[[#This Row],[Minimum order quantity]],1)*Table1[[#This Row],[Minimum order quantity]]</f>
        <v>#DIV/0!</v>
      </c>
      <c r="O394" s="53" t="e">
        <f>Table1[[#This Row],[Order quantity]]+Table1[[#This Row],[quantity on-hand]]-Table1[[#This Row],[extended quantity]]</f>
        <v>#DIV/0!</v>
      </c>
      <c r="P394" s="11">
        <f>IFERROR(Table1[[#This Row],[Order quantity]]*(Table1[[#This Row],[Cost ]]+Table1[[#This Row],[shipping]]+Table1[[#This Row],[Tax]]),0)</f>
        <v>0</v>
      </c>
      <c r="Q394" s="38">
        <f>IFERROR(Table1[[#This Row],[leftover material]]*(Table1[[#This Row],[Cost ]]+Table1[[#This Row],[shipping]]+Table1[[#This Row],[Tax]]),0)</f>
        <v>0</v>
      </c>
      <c r="R394" s="38"/>
    </row>
    <row r="395" spans="1:18" x14ac:dyDescent="0.25">
      <c r="A395" s="1" t="s">
        <v>398</v>
      </c>
      <c r="B395" s="4"/>
      <c r="F395" s="3">
        <f>9%*Table1[[#This Row],[Cost ]]</f>
        <v>0</v>
      </c>
      <c r="J395" s="11">
        <f>SUMIF('Multi-level BOM'!C$3:C$464,Table1[[#This Row],[Part Number]],'Multi-level BOM'!F$3:F$464)</f>
        <v>0</v>
      </c>
      <c r="K395" s="11">
        <f>Table1[[#This Row],[extended quantity]]*(Table1[[#This Row],[Cost ]]+Table1[[#This Row],[shipping]]+Table1[[#This Row],[Tax]])</f>
        <v>0</v>
      </c>
      <c r="L395" s="11"/>
      <c r="M395" s="42"/>
      <c r="N395" s="53" t="e">
        <f>CEILING((Table1[[#This Row],[extended quantity]]-Table1[[#This Row],[quantity on-hand]])/Table1[[#This Row],[Minimum order quantity]],1)*Table1[[#This Row],[Minimum order quantity]]</f>
        <v>#DIV/0!</v>
      </c>
      <c r="O395" s="53" t="e">
        <f>Table1[[#This Row],[Order quantity]]+Table1[[#This Row],[quantity on-hand]]-Table1[[#This Row],[extended quantity]]</f>
        <v>#DIV/0!</v>
      </c>
      <c r="P395" s="11">
        <f>IFERROR(Table1[[#This Row],[Order quantity]]*(Table1[[#This Row],[Cost ]]+Table1[[#This Row],[shipping]]+Table1[[#This Row],[Tax]]),0)</f>
        <v>0</v>
      </c>
      <c r="Q395" s="38">
        <f>IFERROR(Table1[[#This Row],[leftover material]]*(Table1[[#This Row],[Cost ]]+Table1[[#This Row],[shipping]]+Table1[[#This Row],[Tax]]),0)</f>
        <v>0</v>
      </c>
      <c r="R395" s="38"/>
    </row>
    <row r="396" spans="1:18" x14ac:dyDescent="0.25">
      <c r="A396" s="1" t="s">
        <v>399</v>
      </c>
      <c r="B396" s="4"/>
      <c r="F396" s="3">
        <f>9%*Table1[[#This Row],[Cost ]]</f>
        <v>0</v>
      </c>
      <c r="J396" s="11">
        <f>SUMIF('Multi-level BOM'!C$3:C$464,Table1[[#This Row],[Part Number]],'Multi-level BOM'!F$3:F$464)</f>
        <v>0</v>
      </c>
      <c r="K396" s="11">
        <f>Table1[[#This Row],[extended quantity]]*(Table1[[#This Row],[Cost ]]+Table1[[#This Row],[shipping]]+Table1[[#This Row],[Tax]])</f>
        <v>0</v>
      </c>
      <c r="L396" s="11"/>
      <c r="M396" s="42"/>
      <c r="N396" s="53" t="e">
        <f>CEILING((Table1[[#This Row],[extended quantity]]-Table1[[#This Row],[quantity on-hand]])/Table1[[#This Row],[Minimum order quantity]],1)*Table1[[#This Row],[Minimum order quantity]]</f>
        <v>#DIV/0!</v>
      </c>
      <c r="O396" s="53" t="e">
        <f>Table1[[#This Row],[Order quantity]]+Table1[[#This Row],[quantity on-hand]]-Table1[[#This Row],[extended quantity]]</f>
        <v>#DIV/0!</v>
      </c>
      <c r="P396" s="11">
        <f>IFERROR(Table1[[#This Row],[Order quantity]]*(Table1[[#This Row],[Cost ]]+Table1[[#This Row],[shipping]]+Table1[[#This Row],[Tax]]),0)</f>
        <v>0</v>
      </c>
      <c r="Q396" s="38">
        <f>IFERROR(Table1[[#This Row],[leftover material]]*(Table1[[#This Row],[Cost ]]+Table1[[#This Row],[shipping]]+Table1[[#This Row],[Tax]]),0)</f>
        <v>0</v>
      </c>
      <c r="R396" s="38"/>
    </row>
    <row r="397" spans="1:18" x14ac:dyDescent="0.25">
      <c r="A397" s="1" t="s">
        <v>400</v>
      </c>
      <c r="B397" s="4"/>
      <c r="F397" s="3">
        <f>9%*Table1[[#This Row],[Cost ]]</f>
        <v>0</v>
      </c>
      <c r="J397" s="11">
        <f>SUMIF('Multi-level BOM'!C$3:C$464,Table1[[#This Row],[Part Number]],'Multi-level BOM'!F$3:F$464)</f>
        <v>0</v>
      </c>
      <c r="K397" s="11">
        <f>Table1[[#This Row],[extended quantity]]*(Table1[[#This Row],[Cost ]]+Table1[[#This Row],[shipping]]+Table1[[#This Row],[Tax]])</f>
        <v>0</v>
      </c>
      <c r="L397" s="11"/>
      <c r="M397" s="42"/>
      <c r="N397" s="53" t="e">
        <f>CEILING((Table1[[#This Row],[extended quantity]]-Table1[[#This Row],[quantity on-hand]])/Table1[[#This Row],[Minimum order quantity]],1)*Table1[[#This Row],[Minimum order quantity]]</f>
        <v>#DIV/0!</v>
      </c>
      <c r="O397" s="53" t="e">
        <f>Table1[[#This Row],[Order quantity]]+Table1[[#This Row],[quantity on-hand]]-Table1[[#This Row],[extended quantity]]</f>
        <v>#DIV/0!</v>
      </c>
      <c r="P397" s="11">
        <f>IFERROR(Table1[[#This Row],[Order quantity]]*(Table1[[#This Row],[Cost ]]+Table1[[#This Row],[shipping]]+Table1[[#This Row],[Tax]]),0)</f>
        <v>0</v>
      </c>
      <c r="Q397" s="38">
        <f>IFERROR(Table1[[#This Row],[leftover material]]*(Table1[[#This Row],[Cost ]]+Table1[[#This Row],[shipping]]+Table1[[#This Row],[Tax]]),0)</f>
        <v>0</v>
      </c>
      <c r="R397" s="38"/>
    </row>
    <row r="398" spans="1:18" x14ac:dyDescent="0.25">
      <c r="A398" s="1" t="s">
        <v>401</v>
      </c>
      <c r="B398" s="4"/>
      <c r="F398" s="3">
        <f>9%*Table1[[#This Row],[Cost ]]</f>
        <v>0</v>
      </c>
      <c r="J398" s="11">
        <f>SUMIF('Multi-level BOM'!C$3:C$464,Table1[[#This Row],[Part Number]],'Multi-level BOM'!F$3:F$464)</f>
        <v>0</v>
      </c>
      <c r="K398" s="11">
        <f>Table1[[#This Row],[extended quantity]]*(Table1[[#This Row],[Cost ]]+Table1[[#This Row],[shipping]]+Table1[[#This Row],[Tax]])</f>
        <v>0</v>
      </c>
      <c r="L398" s="11"/>
      <c r="M398" s="42"/>
      <c r="N398" s="53" t="e">
        <f>CEILING((Table1[[#This Row],[extended quantity]]-Table1[[#This Row],[quantity on-hand]])/Table1[[#This Row],[Minimum order quantity]],1)*Table1[[#This Row],[Minimum order quantity]]</f>
        <v>#DIV/0!</v>
      </c>
      <c r="O398" s="53" t="e">
        <f>Table1[[#This Row],[Order quantity]]+Table1[[#This Row],[quantity on-hand]]-Table1[[#This Row],[extended quantity]]</f>
        <v>#DIV/0!</v>
      </c>
      <c r="P398" s="11">
        <f>IFERROR(Table1[[#This Row],[Order quantity]]*(Table1[[#This Row],[Cost ]]+Table1[[#This Row],[shipping]]+Table1[[#This Row],[Tax]]),0)</f>
        <v>0</v>
      </c>
      <c r="Q398" s="38">
        <f>IFERROR(Table1[[#This Row],[leftover material]]*(Table1[[#This Row],[Cost ]]+Table1[[#This Row],[shipping]]+Table1[[#This Row],[Tax]]),0)</f>
        <v>0</v>
      </c>
      <c r="R398" s="38"/>
    </row>
    <row r="399" spans="1:18" x14ac:dyDescent="0.25">
      <c r="A399" s="1" t="s">
        <v>402</v>
      </c>
      <c r="B399" s="4"/>
      <c r="F399" s="3">
        <f>9%*Table1[[#This Row],[Cost ]]</f>
        <v>0</v>
      </c>
      <c r="J399" s="11">
        <f>SUMIF('Multi-level BOM'!C$3:C$464,Table1[[#This Row],[Part Number]],'Multi-level BOM'!F$3:F$464)</f>
        <v>0</v>
      </c>
      <c r="K399" s="11">
        <f>Table1[[#This Row],[extended quantity]]*(Table1[[#This Row],[Cost ]]+Table1[[#This Row],[shipping]]+Table1[[#This Row],[Tax]])</f>
        <v>0</v>
      </c>
      <c r="L399" s="11"/>
      <c r="M399" s="42"/>
      <c r="N399" s="53" t="e">
        <f>CEILING((Table1[[#This Row],[extended quantity]]-Table1[[#This Row],[quantity on-hand]])/Table1[[#This Row],[Minimum order quantity]],1)*Table1[[#This Row],[Minimum order quantity]]</f>
        <v>#DIV/0!</v>
      </c>
      <c r="O399" s="53" t="e">
        <f>Table1[[#This Row],[Order quantity]]+Table1[[#This Row],[quantity on-hand]]-Table1[[#This Row],[extended quantity]]</f>
        <v>#DIV/0!</v>
      </c>
      <c r="P399" s="11">
        <f>IFERROR(Table1[[#This Row],[Order quantity]]*(Table1[[#This Row],[Cost ]]+Table1[[#This Row],[shipping]]+Table1[[#This Row],[Tax]]),0)</f>
        <v>0</v>
      </c>
      <c r="Q399" s="38">
        <f>IFERROR(Table1[[#This Row],[leftover material]]*(Table1[[#This Row],[Cost ]]+Table1[[#This Row],[shipping]]+Table1[[#This Row],[Tax]]),0)</f>
        <v>0</v>
      </c>
      <c r="R399" s="38"/>
    </row>
    <row r="400" spans="1:18" x14ac:dyDescent="0.25">
      <c r="A400" s="1" t="s">
        <v>403</v>
      </c>
      <c r="B400" s="4"/>
      <c r="F400" s="3">
        <f>9%*Table1[[#This Row],[Cost ]]</f>
        <v>0</v>
      </c>
      <c r="J400" s="11">
        <f>SUMIF('Multi-level BOM'!C$3:C$464,Table1[[#This Row],[Part Number]],'Multi-level BOM'!F$3:F$464)</f>
        <v>0</v>
      </c>
      <c r="K400" s="11">
        <f>Table1[[#This Row],[extended quantity]]*(Table1[[#This Row],[Cost ]]+Table1[[#This Row],[shipping]]+Table1[[#This Row],[Tax]])</f>
        <v>0</v>
      </c>
      <c r="L400" s="11"/>
      <c r="M400" s="42"/>
      <c r="N400" s="53" t="e">
        <f>CEILING((Table1[[#This Row],[extended quantity]]-Table1[[#This Row],[quantity on-hand]])/Table1[[#This Row],[Minimum order quantity]],1)*Table1[[#This Row],[Minimum order quantity]]</f>
        <v>#DIV/0!</v>
      </c>
      <c r="O400" s="53" t="e">
        <f>Table1[[#This Row],[Order quantity]]+Table1[[#This Row],[quantity on-hand]]-Table1[[#This Row],[extended quantity]]</f>
        <v>#DIV/0!</v>
      </c>
      <c r="P400" s="11">
        <f>IFERROR(Table1[[#This Row],[Order quantity]]*(Table1[[#This Row],[Cost ]]+Table1[[#This Row],[shipping]]+Table1[[#This Row],[Tax]]),0)</f>
        <v>0</v>
      </c>
      <c r="Q400" s="38">
        <f>IFERROR(Table1[[#This Row],[leftover material]]*(Table1[[#This Row],[Cost ]]+Table1[[#This Row],[shipping]]+Table1[[#This Row],[Tax]]),0)</f>
        <v>0</v>
      </c>
      <c r="R400" s="38"/>
    </row>
    <row r="401" spans="1:18" x14ac:dyDescent="0.25">
      <c r="A401" s="1" t="s">
        <v>404</v>
      </c>
      <c r="B401" s="4"/>
      <c r="F401" s="3">
        <f>9%*Table1[[#This Row],[Cost ]]</f>
        <v>0</v>
      </c>
      <c r="J401" s="11">
        <f>SUMIF('Multi-level BOM'!C$3:C$464,Table1[[#This Row],[Part Number]],'Multi-level BOM'!F$3:F$464)</f>
        <v>0</v>
      </c>
      <c r="K401" s="11">
        <f>Table1[[#This Row],[extended quantity]]*(Table1[[#This Row],[Cost ]]+Table1[[#This Row],[shipping]]+Table1[[#This Row],[Tax]])</f>
        <v>0</v>
      </c>
      <c r="L401" s="11"/>
      <c r="M401" s="42"/>
      <c r="N401" s="53" t="e">
        <f>CEILING((Table1[[#This Row],[extended quantity]]-Table1[[#This Row],[quantity on-hand]])/Table1[[#This Row],[Minimum order quantity]],1)*Table1[[#This Row],[Minimum order quantity]]</f>
        <v>#DIV/0!</v>
      </c>
      <c r="O401" s="53" t="e">
        <f>Table1[[#This Row],[Order quantity]]+Table1[[#This Row],[quantity on-hand]]-Table1[[#This Row],[extended quantity]]</f>
        <v>#DIV/0!</v>
      </c>
      <c r="P401" s="11">
        <f>IFERROR(Table1[[#This Row],[Order quantity]]*(Table1[[#This Row],[Cost ]]+Table1[[#This Row],[shipping]]+Table1[[#This Row],[Tax]]),0)</f>
        <v>0</v>
      </c>
      <c r="Q401" s="38">
        <f>IFERROR(Table1[[#This Row],[leftover material]]*(Table1[[#This Row],[Cost ]]+Table1[[#This Row],[shipping]]+Table1[[#This Row],[Tax]]),0)</f>
        <v>0</v>
      </c>
      <c r="R401" s="38"/>
    </row>
    <row r="402" spans="1:18" x14ac:dyDescent="0.25">
      <c r="A402" s="1" t="s">
        <v>405</v>
      </c>
      <c r="B402" s="4"/>
      <c r="F402" s="3">
        <f>9%*Table1[[#This Row],[Cost ]]</f>
        <v>0</v>
      </c>
      <c r="J402" s="11">
        <f>SUMIF('Multi-level BOM'!C$3:C$464,Table1[[#This Row],[Part Number]],'Multi-level BOM'!F$3:F$464)</f>
        <v>0</v>
      </c>
      <c r="K402" s="11">
        <f>Table1[[#This Row],[extended quantity]]*(Table1[[#This Row],[Cost ]]+Table1[[#This Row],[shipping]]+Table1[[#This Row],[Tax]])</f>
        <v>0</v>
      </c>
      <c r="L402" s="11"/>
      <c r="M402" s="42"/>
      <c r="N402" s="53" t="e">
        <f>CEILING((Table1[[#This Row],[extended quantity]]-Table1[[#This Row],[quantity on-hand]])/Table1[[#This Row],[Minimum order quantity]],1)*Table1[[#This Row],[Minimum order quantity]]</f>
        <v>#DIV/0!</v>
      </c>
      <c r="O402" s="53" t="e">
        <f>Table1[[#This Row],[Order quantity]]+Table1[[#This Row],[quantity on-hand]]-Table1[[#This Row],[extended quantity]]</f>
        <v>#DIV/0!</v>
      </c>
      <c r="P402" s="11">
        <f>IFERROR(Table1[[#This Row],[Order quantity]]*(Table1[[#This Row],[Cost ]]+Table1[[#This Row],[shipping]]+Table1[[#This Row],[Tax]]),0)</f>
        <v>0</v>
      </c>
      <c r="Q402" s="38">
        <f>IFERROR(Table1[[#This Row],[leftover material]]*(Table1[[#This Row],[Cost ]]+Table1[[#This Row],[shipping]]+Table1[[#This Row],[Tax]]),0)</f>
        <v>0</v>
      </c>
      <c r="R402" s="38"/>
    </row>
    <row r="403" spans="1:18" x14ac:dyDescent="0.25">
      <c r="A403" s="1" t="s">
        <v>406</v>
      </c>
      <c r="B403" s="4"/>
      <c r="F403" s="3">
        <f>9%*Table1[[#This Row],[Cost ]]</f>
        <v>0</v>
      </c>
      <c r="J403" s="11">
        <f>SUMIF('Multi-level BOM'!C$3:C$464,Table1[[#This Row],[Part Number]],'Multi-level BOM'!F$3:F$464)</f>
        <v>0</v>
      </c>
      <c r="K403" s="11">
        <f>Table1[[#This Row],[extended quantity]]*(Table1[[#This Row],[Cost ]]+Table1[[#This Row],[shipping]]+Table1[[#This Row],[Tax]])</f>
        <v>0</v>
      </c>
      <c r="L403" s="11"/>
      <c r="M403" s="42"/>
      <c r="N403" s="53" t="e">
        <f>CEILING((Table1[[#This Row],[extended quantity]]-Table1[[#This Row],[quantity on-hand]])/Table1[[#This Row],[Minimum order quantity]],1)*Table1[[#This Row],[Minimum order quantity]]</f>
        <v>#DIV/0!</v>
      </c>
      <c r="O403" s="53" t="e">
        <f>Table1[[#This Row],[Order quantity]]+Table1[[#This Row],[quantity on-hand]]-Table1[[#This Row],[extended quantity]]</f>
        <v>#DIV/0!</v>
      </c>
      <c r="P403" s="11">
        <f>IFERROR(Table1[[#This Row],[Order quantity]]*(Table1[[#This Row],[Cost ]]+Table1[[#This Row],[shipping]]+Table1[[#This Row],[Tax]]),0)</f>
        <v>0</v>
      </c>
      <c r="Q403" s="38">
        <f>IFERROR(Table1[[#This Row],[leftover material]]*(Table1[[#This Row],[Cost ]]+Table1[[#This Row],[shipping]]+Table1[[#This Row],[Tax]]),0)</f>
        <v>0</v>
      </c>
      <c r="R403" s="38"/>
    </row>
    <row r="404" spans="1:18" x14ac:dyDescent="0.25">
      <c r="A404" s="1" t="s">
        <v>407</v>
      </c>
      <c r="B404" s="4"/>
      <c r="F404" s="3">
        <f>9%*Table1[[#This Row],[Cost ]]</f>
        <v>0</v>
      </c>
      <c r="J404" s="11">
        <f>SUMIF('Multi-level BOM'!C$3:C$464,Table1[[#This Row],[Part Number]],'Multi-level BOM'!F$3:F$464)</f>
        <v>0</v>
      </c>
      <c r="K404" s="11">
        <f>Table1[[#This Row],[extended quantity]]*(Table1[[#This Row],[Cost ]]+Table1[[#This Row],[shipping]]+Table1[[#This Row],[Tax]])</f>
        <v>0</v>
      </c>
      <c r="L404" s="11"/>
      <c r="M404" s="42"/>
      <c r="N404" s="53" t="e">
        <f>CEILING((Table1[[#This Row],[extended quantity]]-Table1[[#This Row],[quantity on-hand]])/Table1[[#This Row],[Minimum order quantity]],1)*Table1[[#This Row],[Minimum order quantity]]</f>
        <v>#DIV/0!</v>
      </c>
      <c r="O404" s="53" t="e">
        <f>Table1[[#This Row],[Order quantity]]+Table1[[#This Row],[quantity on-hand]]-Table1[[#This Row],[extended quantity]]</f>
        <v>#DIV/0!</v>
      </c>
      <c r="P404" s="11">
        <f>IFERROR(Table1[[#This Row],[Order quantity]]*(Table1[[#This Row],[Cost ]]+Table1[[#This Row],[shipping]]+Table1[[#This Row],[Tax]]),0)</f>
        <v>0</v>
      </c>
      <c r="Q404" s="38">
        <f>IFERROR(Table1[[#This Row],[leftover material]]*(Table1[[#This Row],[Cost ]]+Table1[[#This Row],[shipping]]+Table1[[#This Row],[Tax]]),0)</f>
        <v>0</v>
      </c>
      <c r="R404" s="38"/>
    </row>
    <row r="405" spans="1:18" x14ac:dyDescent="0.25">
      <c r="A405" s="1" t="s">
        <v>408</v>
      </c>
      <c r="B405" s="4"/>
      <c r="F405" s="3">
        <f>9%*Table1[[#This Row],[Cost ]]</f>
        <v>0</v>
      </c>
      <c r="J405" s="11">
        <f>SUMIF('Multi-level BOM'!C$3:C$464,Table1[[#This Row],[Part Number]],'Multi-level BOM'!F$3:F$464)</f>
        <v>0</v>
      </c>
      <c r="K405" s="11">
        <f>Table1[[#This Row],[extended quantity]]*(Table1[[#This Row],[Cost ]]+Table1[[#This Row],[shipping]]+Table1[[#This Row],[Tax]])</f>
        <v>0</v>
      </c>
      <c r="L405" s="11"/>
      <c r="M405" s="42"/>
      <c r="N405" s="53" t="e">
        <f>CEILING((Table1[[#This Row],[extended quantity]]-Table1[[#This Row],[quantity on-hand]])/Table1[[#This Row],[Minimum order quantity]],1)*Table1[[#This Row],[Minimum order quantity]]</f>
        <v>#DIV/0!</v>
      </c>
      <c r="O405" s="53" t="e">
        <f>Table1[[#This Row],[Order quantity]]+Table1[[#This Row],[quantity on-hand]]-Table1[[#This Row],[extended quantity]]</f>
        <v>#DIV/0!</v>
      </c>
      <c r="P405" s="11">
        <f>IFERROR(Table1[[#This Row],[Order quantity]]*(Table1[[#This Row],[Cost ]]+Table1[[#This Row],[shipping]]+Table1[[#This Row],[Tax]]),0)</f>
        <v>0</v>
      </c>
      <c r="Q405" s="38">
        <f>IFERROR(Table1[[#This Row],[leftover material]]*(Table1[[#This Row],[Cost ]]+Table1[[#This Row],[shipping]]+Table1[[#This Row],[Tax]]),0)</f>
        <v>0</v>
      </c>
      <c r="R405" s="38"/>
    </row>
    <row r="406" spans="1:18" x14ac:dyDescent="0.25">
      <c r="A406" s="1" t="s">
        <v>409</v>
      </c>
      <c r="B406" s="4"/>
      <c r="F406" s="3">
        <f>9%*Table1[[#This Row],[Cost ]]</f>
        <v>0</v>
      </c>
      <c r="J406" s="11">
        <f>SUMIF('Multi-level BOM'!C$3:C$464,Table1[[#This Row],[Part Number]],'Multi-level BOM'!F$3:F$464)</f>
        <v>0</v>
      </c>
      <c r="K406" s="11">
        <f>Table1[[#This Row],[extended quantity]]*(Table1[[#This Row],[Cost ]]+Table1[[#This Row],[shipping]]+Table1[[#This Row],[Tax]])</f>
        <v>0</v>
      </c>
      <c r="L406" s="11"/>
      <c r="M406" s="42"/>
      <c r="N406" s="53" t="e">
        <f>CEILING((Table1[[#This Row],[extended quantity]]-Table1[[#This Row],[quantity on-hand]])/Table1[[#This Row],[Minimum order quantity]],1)*Table1[[#This Row],[Minimum order quantity]]</f>
        <v>#DIV/0!</v>
      </c>
      <c r="O406" s="53" t="e">
        <f>Table1[[#This Row],[Order quantity]]+Table1[[#This Row],[quantity on-hand]]-Table1[[#This Row],[extended quantity]]</f>
        <v>#DIV/0!</v>
      </c>
      <c r="P406" s="11">
        <f>IFERROR(Table1[[#This Row],[Order quantity]]*(Table1[[#This Row],[Cost ]]+Table1[[#This Row],[shipping]]+Table1[[#This Row],[Tax]]),0)</f>
        <v>0</v>
      </c>
      <c r="Q406" s="38">
        <f>IFERROR(Table1[[#This Row],[leftover material]]*(Table1[[#This Row],[Cost ]]+Table1[[#This Row],[shipping]]+Table1[[#This Row],[Tax]]),0)</f>
        <v>0</v>
      </c>
      <c r="R406" s="38"/>
    </row>
    <row r="407" spans="1:18" x14ac:dyDescent="0.25">
      <c r="A407" s="1" t="s">
        <v>410</v>
      </c>
      <c r="B407" s="4"/>
      <c r="F407" s="3">
        <f>9%*Table1[[#This Row],[Cost ]]</f>
        <v>0</v>
      </c>
      <c r="J407" s="11">
        <f>SUMIF('Multi-level BOM'!C$3:C$464,Table1[[#This Row],[Part Number]],'Multi-level BOM'!F$3:F$464)</f>
        <v>0</v>
      </c>
      <c r="K407" s="11">
        <f>Table1[[#This Row],[extended quantity]]*(Table1[[#This Row],[Cost ]]+Table1[[#This Row],[shipping]]+Table1[[#This Row],[Tax]])</f>
        <v>0</v>
      </c>
      <c r="L407" s="11"/>
      <c r="M407" s="42"/>
      <c r="N407" s="53" t="e">
        <f>CEILING((Table1[[#This Row],[extended quantity]]-Table1[[#This Row],[quantity on-hand]])/Table1[[#This Row],[Minimum order quantity]],1)*Table1[[#This Row],[Minimum order quantity]]</f>
        <v>#DIV/0!</v>
      </c>
      <c r="O407" s="53" t="e">
        <f>Table1[[#This Row],[Order quantity]]+Table1[[#This Row],[quantity on-hand]]-Table1[[#This Row],[extended quantity]]</f>
        <v>#DIV/0!</v>
      </c>
      <c r="P407" s="11">
        <f>IFERROR(Table1[[#This Row],[Order quantity]]*(Table1[[#This Row],[Cost ]]+Table1[[#This Row],[shipping]]+Table1[[#This Row],[Tax]]),0)</f>
        <v>0</v>
      </c>
      <c r="Q407" s="38">
        <f>IFERROR(Table1[[#This Row],[leftover material]]*(Table1[[#This Row],[Cost ]]+Table1[[#This Row],[shipping]]+Table1[[#This Row],[Tax]]),0)</f>
        <v>0</v>
      </c>
      <c r="R407" s="38"/>
    </row>
    <row r="408" spans="1:18" x14ac:dyDescent="0.25">
      <c r="A408" s="1" t="s">
        <v>411</v>
      </c>
      <c r="B408" s="4"/>
      <c r="F408" s="3">
        <f>9%*Table1[[#This Row],[Cost ]]</f>
        <v>0</v>
      </c>
      <c r="J408" s="11">
        <f>SUMIF('Multi-level BOM'!C$3:C$464,Table1[[#This Row],[Part Number]],'Multi-level BOM'!F$3:F$464)</f>
        <v>0</v>
      </c>
      <c r="K408" s="11">
        <f>Table1[[#This Row],[extended quantity]]*(Table1[[#This Row],[Cost ]]+Table1[[#This Row],[shipping]]+Table1[[#This Row],[Tax]])</f>
        <v>0</v>
      </c>
      <c r="L408" s="11"/>
      <c r="M408" s="42"/>
      <c r="N408" s="53" t="e">
        <f>CEILING((Table1[[#This Row],[extended quantity]]-Table1[[#This Row],[quantity on-hand]])/Table1[[#This Row],[Minimum order quantity]],1)*Table1[[#This Row],[Minimum order quantity]]</f>
        <v>#DIV/0!</v>
      </c>
      <c r="O408" s="53" t="e">
        <f>Table1[[#This Row],[Order quantity]]+Table1[[#This Row],[quantity on-hand]]-Table1[[#This Row],[extended quantity]]</f>
        <v>#DIV/0!</v>
      </c>
      <c r="P408" s="11">
        <f>IFERROR(Table1[[#This Row],[Order quantity]]*(Table1[[#This Row],[Cost ]]+Table1[[#This Row],[shipping]]+Table1[[#This Row],[Tax]]),0)</f>
        <v>0</v>
      </c>
      <c r="Q408" s="38">
        <f>IFERROR(Table1[[#This Row],[leftover material]]*(Table1[[#This Row],[Cost ]]+Table1[[#This Row],[shipping]]+Table1[[#This Row],[Tax]]),0)</f>
        <v>0</v>
      </c>
      <c r="R408" s="38"/>
    </row>
    <row r="409" spans="1:18" x14ac:dyDescent="0.25">
      <c r="A409" s="1" t="s">
        <v>412</v>
      </c>
      <c r="B409" s="4"/>
      <c r="F409" s="3">
        <f>9%*Table1[[#This Row],[Cost ]]</f>
        <v>0</v>
      </c>
      <c r="J409" s="11">
        <f>SUMIF('Multi-level BOM'!C$3:C$464,Table1[[#This Row],[Part Number]],'Multi-level BOM'!F$3:F$464)</f>
        <v>0</v>
      </c>
      <c r="K409" s="11">
        <f>Table1[[#This Row],[extended quantity]]*(Table1[[#This Row],[Cost ]]+Table1[[#This Row],[shipping]]+Table1[[#This Row],[Tax]])</f>
        <v>0</v>
      </c>
      <c r="L409" s="11"/>
      <c r="M409" s="42"/>
      <c r="N409" s="53" t="e">
        <f>CEILING((Table1[[#This Row],[extended quantity]]-Table1[[#This Row],[quantity on-hand]])/Table1[[#This Row],[Minimum order quantity]],1)*Table1[[#This Row],[Minimum order quantity]]</f>
        <v>#DIV/0!</v>
      </c>
      <c r="O409" s="53" t="e">
        <f>Table1[[#This Row],[Order quantity]]+Table1[[#This Row],[quantity on-hand]]-Table1[[#This Row],[extended quantity]]</f>
        <v>#DIV/0!</v>
      </c>
      <c r="P409" s="11">
        <f>IFERROR(Table1[[#This Row],[Order quantity]]*(Table1[[#This Row],[Cost ]]+Table1[[#This Row],[shipping]]+Table1[[#This Row],[Tax]]),0)</f>
        <v>0</v>
      </c>
      <c r="Q409" s="38">
        <f>IFERROR(Table1[[#This Row],[leftover material]]*(Table1[[#This Row],[Cost ]]+Table1[[#This Row],[shipping]]+Table1[[#This Row],[Tax]]),0)</f>
        <v>0</v>
      </c>
      <c r="R409" s="38"/>
    </row>
    <row r="410" spans="1:18" x14ac:dyDescent="0.25">
      <c r="A410" s="1" t="s">
        <v>413</v>
      </c>
      <c r="B410" s="4"/>
      <c r="F410" s="3">
        <f>9%*Table1[[#This Row],[Cost ]]</f>
        <v>0</v>
      </c>
      <c r="J410" s="11">
        <f>SUMIF('Multi-level BOM'!C$3:C$464,Table1[[#This Row],[Part Number]],'Multi-level BOM'!F$3:F$464)</f>
        <v>0</v>
      </c>
      <c r="K410" s="11">
        <f>Table1[[#This Row],[extended quantity]]*(Table1[[#This Row],[Cost ]]+Table1[[#This Row],[shipping]]+Table1[[#This Row],[Tax]])</f>
        <v>0</v>
      </c>
      <c r="L410" s="11"/>
      <c r="M410" s="42"/>
      <c r="N410" s="53" t="e">
        <f>CEILING((Table1[[#This Row],[extended quantity]]-Table1[[#This Row],[quantity on-hand]])/Table1[[#This Row],[Minimum order quantity]],1)*Table1[[#This Row],[Minimum order quantity]]</f>
        <v>#DIV/0!</v>
      </c>
      <c r="O410" s="53" t="e">
        <f>Table1[[#This Row],[Order quantity]]+Table1[[#This Row],[quantity on-hand]]-Table1[[#This Row],[extended quantity]]</f>
        <v>#DIV/0!</v>
      </c>
      <c r="P410" s="11">
        <f>IFERROR(Table1[[#This Row],[Order quantity]]*(Table1[[#This Row],[Cost ]]+Table1[[#This Row],[shipping]]+Table1[[#This Row],[Tax]]),0)</f>
        <v>0</v>
      </c>
      <c r="Q410" s="38">
        <f>IFERROR(Table1[[#This Row],[leftover material]]*(Table1[[#This Row],[Cost ]]+Table1[[#This Row],[shipping]]+Table1[[#This Row],[Tax]]),0)</f>
        <v>0</v>
      </c>
      <c r="R410" s="38"/>
    </row>
    <row r="411" spans="1:18" x14ac:dyDescent="0.25">
      <c r="A411" s="1" t="s">
        <v>414</v>
      </c>
      <c r="B411" s="4"/>
      <c r="F411" s="3">
        <f>9%*Table1[[#This Row],[Cost ]]</f>
        <v>0</v>
      </c>
      <c r="J411" s="11">
        <f>SUMIF('Multi-level BOM'!C$3:C$464,Table1[[#This Row],[Part Number]],'Multi-level BOM'!F$3:F$464)</f>
        <v>0</v>
      </c>
      <c r="K411" s="11">
        <f>Table1[[#This Row],[extended quantity]]*(Table1[[#This Row],[Cost ]]+Table1[[#This Row],[shipping]]+Table1[[#This Row],[Tax]])</f>
        <v>0</v>
      </c>
      <c r="L411" s="11"/>
      <c r="M411" s="42"/>
      <c r="N411" s="53" t="e">
        <f>CEILING((Table1[[#This Row],[extended quantity]]-Table1[[#This Row],[quantity on-hand]])/Table1[[#This Row],[Minimum order quantity]],1)*Table1[[#This Row],[Minimum order quantity]]</f>
        <v>#DIV/0!</v>
      </c>
      <c r="O411" s="53" t="e">
        <f>Table1[[#This Row],[Order quantity]]+Table1[[#This Row],[quantity on-hand]]-Table1[[#This Row],[extended quantity]]</f>
        <v>#DIV/0!</v>
      </c>
      <c r="P411" s="11">
        <f>IFERROR(Table1[[#This Row],[Order quantity]]*(Table1[[#This Row],[Cost ]]+Table1[[#This Row],[shipping]]+Table1[[#This Row],[Tax]]),0)</f>
        <v>0</v>
      </c>
      <c r="Q411" s="38">
        <f>IFERROR(Table1[[#This Row],[leftover material]]*(Table1[[#This Row],[Cost ]]+Table1[[#This Row],[shipping]]+Table1[[#This Row],[Tax]]),0)</f>
        <v>0</v>
      </c>
      <c r="R411" s="38"/>
    </row>
    <row r="412" spans="1:18" x14ac:dyDescent="0.25">
      <c r="A412" s="1" t="s">
        <v>415</v>
      </c>
      <c r="B412" s="4"/>
      <c r="F412" s="3">
        <f>9%*Table1[[#This Row],[Cost ]]</f>
        <v>0</v>
      </c>
      <c r="J412" s="11">
        <f>SUMIF('Multi-level BOM'!C$3:C$464,Table1[[#This Row],[Part Number]],'Multi-level BOM'!F$3:F$464)</f>
        <v>0</v>
      </c>
      <c r="K412" s="11">
        <f>Table1[[#This Row],[extended quantity]]*(Table1[[#This Row],[Cost ]]+Table1[[#This Row],[shipping]]+Table1[[#This Row],[Tax]])</f>
        <v>0</v>
      </c>
      <c r="L412" s="11"/>
      <c r="M412" s="42"/>
      <c r="N412" s="53" t="e">
        <f>CEILING((Table1[[#This Row],[extended quantity]]-Table1[[#This Row],[quantity on-hand]])/Table1[[#This Row],[Minimum order quantity]],1)*Table1[[#This Row],[Minimum order quantity]]</f>
        <v>#DIV/0!</v>
      </c>
      <c r="O412" s="53" t="e">
        <f>Table1[[#This Row],[Order quantity]]+Table1[[#This Row],[quantity on-hand]]-Table1[[#This Row],[extended quantity]]</f>
        <v>#DIV/0!</v>
      </c>
      <c r="P412" s="11">
        <f>IFERROR(Table1[[#This Row],[Order quantity]]*(Table1[[#This Row],[Cost ]]+Table1[[#This Row],[shipping]]+Table1[[#This Row],[Tax]]),0)</f>
        <v>0</v>
      </c>
      <c r="Q412" s="38">
        <f>IFERROR(Table1[[#This Row],[leftover material]]*(Table1[[#This Row],[Cost ]]+Table1[[#This Row],[shipping]]+Table1[[#This Row],[Tax]]),0)</f>
        <v>0</v>
      </c>
      <c r="R412" s="38"/>
    </row>
    <row r="413" spans="1:18" x14ac:dyDescent="0.25">
      <c r="A413" s="1" t="s">
        <v>416</v>
      </c>
      <c r="B413" s="4"/>
      <c r="F413" s="3">
        <f>9%*Table1[[#This Row],[Cost ]]</f>
        <v>0</v>
      </c>
      <c r="J413" s="11">
        <f>SUMIF('Multi-level BOM'!C$3:C$464,Table1[[#This Row],[Part Number]],'Multi-level BOM'!F$3:F$464)</f>
        <v>0</v>
      </c>
      <c r="K413" s="11">
        <f>Table1[[#This Row],[extended quantity]]*(Table1[[#This Row],[Cost ]]+Table1[[#This Row],[shipping]]+Table1[[#This Row],[Tax]])</f>
        <v>0</v>
      </c>
      <c r="L413" s="11"/>
      <c r="M413" s="42"/>
      <c r="N413" s="53" t="e">
        <f>CEILING((Table1[[#This Row],[extended quantity]]-Table1[[#This Row],[quantity on-hand]])/Table1[[#This Row],[Minimum order quantity]],1)*Table1[[#This Row],[Minimum order quantity]]</f>
        <v>#DIV/0!</v>
      </c>
      <c r="O413" s="53" t="e">
        <f>Table1[[#This Row],[Order quantity]]+Table1[[#This Row],[quantity on-hand]]-Table1[[#This Row],[extended quantity]]</f>
        <v>#DIV/0!</v>
      </c>
      <c r="P413" s="11">
        <f>IFERROR(Table1[[#This Row],[Order quantity]]*(Table1[[#This Row],[Cost ]]+Table1[[#This Row],[shipping]]+Table1[[#This Row],[Tax]]),0)</f>
        <v>0</v>
      </c>
      <c r="Q413" s="38">
        <f>IFERROR(Table1[[#This Row],[leftover material]]*(Table1[[#This Row],[Cost ]]+Table1[[#This Row],[shipping]]+Table1[[#This Row],[Tax]]),0)</f>
        <v>0</v>
      </c>
      <c r="R413" s="38"/>
    </row>
    <row r="414" spans="1:18" x14ac:dyDescent="0.25">
      <c r="A414" s="1" t="s">
        <v>417</v>
      </c>
      <c r="B414" s="4"/>
      <c r="F414" s="3">
        <f>9%*Table1[[#This Row],[Cost ]]</f>
        <v>0</v>
      </c>
      <c r="J414" s="11">
        <f>SUMIF('Multi-level BOM'!C$3:C$464,Table1[[#This Row],[Part Number]],'Multi-level BOM'!F$3:F$464)</f>
        <v>0</v>
      </c>
      <c r="K414" s="11">
        <f>Table1[[#This Row],[extended quantity]]*(Table1[[#This Row],[Cost ]]+Table1[[#This Row],[shipping]]+Table1[[#This Row],[Tax]])</f>
        <v>0</v>
      </c>
      <c r="L414" s="11"/>
      <c r="M414" s="42"/>
      <c r="N414" s="53" t="e">
        <f>CEILING((Table1[[#This Row],[extended quantity]]-Table1[[#This Row],[quantity on-hand]])/Table1[[#This Row],[Minimum order quantity]],1)*Table1[[#This Row],[Minimum order quantity]]</f>
        <v>#DIV/0!</v>
      </c>
      <c r="O414" s="53" t="e">
        <f>Table1[[#This Row],[Order quantity]]+Table1[[#This Row],[quantity on-hand]]-Table1[[#This Row],[extended quantity]]</f>
        <v>#DIV/0!</v>
      </c>
      <c r="P414" s="11">
        <f>IFERROR(Table1[[#This Row],[Order quantity]]*(Table1[[#This Row],[Cost ]]+Table1[[#This Row],[shipping]]+Table1[[#This Row],[Tax]]),0)</f>
        <v>0</v>
      </c>
      <c r="Q414" s="38">
        <f>IFERROR(Table1[[#This Row],[leftover material]]*(Table1[[#This Row],[Cost ]]+Table1[[#This Row],[shipping]]+Table1[[#This Row],[Tax]]),0)</f>
        <v>0</v>
      </c>
      <c r="R414" s="38"/>
    </row>
    <row r="415" spans="1:18" x14ac:dyDescent="0.25">
      <c r="A415" s="1" t="s">
        <v>418</v>
      </c>
      <c r="B415" s="4"/>
      <c r="F415" s="3">
        <f>9%*Table1[[#This Row],[Cost ]]</f>
        <v>0</v>
      </c>
      <c r="J415" s="11">
        <f>SUMIF('Multi-level BOM'!C$3:C$464,Table1[[#This Row],[Part Number]],'Multi-level BOM'!F$3:F$464)</f>
        <v>0</v>
      </c>
      <c r="K415" s="11">
        <f>Table1[[#This Row],[extended quantity]]*(Table1[[#This Row],[Cost ]]+Table1[[#This Row],[shipping]]+Table1[[#This Row],[Tax]])</f>
        <v>0</v>
      </c>
      <c r="L415" s="11"/>
      <c r="M415" s="42"/>
      <c r="N415" s="53" t="e">
        <f>CEILING((Table1[[#This Row],[extended quantity]]-Table1[[#This Row],[quantity on-hand]])/Table1[[#This Row],[Minimum order quantity]],1)*Table1[[#This Row],[Minimum order quantity]]</f>
        <v>#DIV/0!</v>
      </c>
      <c r="O415" s="53" t="e">
        <f>Table1[[#This Row],[Order quantity]]+Table1[[#This Row],[quantity on-hand]]-Table1[[#This Row],[extended quantity]]</f>
        <v>#DIV/0!</v>
      </c>
      <c r="P415" s="11">
        <f>IFERROR(Table1[[#This Row],[Order quantity]]*(Table1[[#This Row],[Cost ]]+Table1[[#This Row],[shipping]]+Table1[[#This Row],[Tax]]),0)</f>
        <v>0</v>
      </c>
      <c r="Q415" s="38">
        <f>IFERROR(Table1[[#This Row],[leftover material]]*(Table1[[#This Row],[Cost ]]+Table1[[#This Row],[shipping]]+Table1[[#This Row],[Tax]]),0)</f>
        <v>0</v>
      </c>
      <c r="R415" s="38"/>
    </row>
    <row r="416" spans="1:18" x14ac:dyDescent="0.25">
      <c r="A416" s="1" t="s">
        <v>419</v>
      </c>
      <c r="B416" s="4"/>
      <c r="F416" s="3">
        <f>9%*Table1[[#This Row],[Cost ]]</f>
        <v>0</v>
      </c>
      <c r="J416" s="11">
        <f>SUMIF('Multi-level BOM'!C$3:C$464,Table1[[#This Row],[Part Number]],'Multi-level BOM'!F$3:F$464)</f>
        <v>0</v>
      </c>
      <c r="K416" s="11">
        <f>Table1[[#This Row],[extended quantity]]*(Table1[[#This Row],[Cost ]]+Table1[[#This Row],[shipping]]+Table1[[#This Row],[Tax]])</f>
        <v>0</v>
      </c>
      <c r="L416" s="11"/>
      <c r="M416" s="42"/>
      <c r="N416" s="53" t="e">
        <f>CEILING((Table1[[#This Row],[extended quantity]]-Table1[[#This Row],[quantity on-hand]])/Table1[[#This Row],[Minimum order quantity]],1)*Table1[[#This Row],[Minimum order quantity]]</f>
        <v>#DIV/0!</v>
      </c>
      <c r="O416" s="53" t="e">
        <f>Table1[[#This Row],[Order quantity]]+Table1[[#This Row],[quantity on-hand]]-Table1[[#This Row],[extended quantity]]</f>
        <v>#DIV/0!</v>
      </c>
      <c r="P416" s="11">
        <f>IFERROR(Table1[[#This Row],[Order quantity]]*(Table1[[#This Row],[Cost ]]+Table1[[#This Row],[shipping]]+Table1[[#This Row],[Tax]]),0)</f>
        <v>0</v>
      </c>
      <c r="Q416" s="38">
        <f>IFERROR(Table1[[#This Row],[leftover material]]*(Table1[[#This Row],[Cost ]]+Table1[[#This Row],[shipping]]+Table1[[#This Row],[Tax]]),0)</f>
        <v>0</v>
      </c>
      <c r="R416" s="38"/>
    </row>
    <row r="417" spans="1:18" x14ac:dyDescent="0.25">
      <c r="A417" s="1" t="s">
        <v>420</v>
      </c>
      <c r="B417" s="4"/>
      <c r="F417" s="3">
        <f>9%*Table1[[#This Row],[Cost ]]</f>
        <v>0</v>
      </c>
      <c r="J417" s="11">
        <f>SUMIF('Multi-level BOM'!C$3:C$464,Table1[[#This Row],[Part Number]],'Multi-level BOM'!F$3:F$464)</f>
        <v>0</v>
      </c>
      <c r="K417" s="11">
        <f>Table1[[#This Row],[extended quantity]]*(Table1[[#This Row],[Cost ]]+Table1[[#This Row],[shipping]]+Table1[[#This Row],[Tax]])</f>
        <v>0</v>
      </c>
      <c r="L417" s="11"/>
      <c r="M417" s="42"/>
      <c r="N417" s="53" t="e">
        <f>CEILING((Table1[[#This Row],[extended quantity]]-Table1[[#This Row],[quantity on-hand]])/Table1[[#This Row],[Minimum order quantity]],1)*Table1[[#This Row],[Minimum order quantity]]</f>
        <v>#DIV/0!</v>
      </c>
      <c r="O417" s="53" t="e">
        <f>Table1[[#This Row],[Order quantity]]+Table1[[#This Row],[quantity on-hand]]-Table1[[#This Row],[extended quantity]]</f>
        <v>#DIV/0!</v>
      </c>
      <c r="P417" s="11">
        <f>IFERROR(Table1[[#This Row],[Order quantity]]*(Table1[[#This Row],[Cost ]]+Table1[[#This Row],[shipping]]+Table1[[#This Row],[Tax]]),0)</f>
        <v>0</v>
      </c>
      <c r="Q417" s="38">
        <f>IFERROR(Table1[[#This Row],[leftover material]]*(Table1[[#This Row],[Cost ]]+Table1[[#This Row],[shipping]]+Table1[[#This Row],[Tax]]),0)</f>
        <v>0</v>
      </c>
      <c r="R417" s="38"/>
    </row>
    <row r="418" spans="1:18" x14ac:dyDescent="0.25">
      <c r="A418" s="1" t="s">
        <v>421</v>
      </c>
      <c r="B418" s="4"/>
      <c r="F418" s="3">
        <f>9%*Table1[[#This Row],[Cost ]]</f>
        <v>0</v>
      </c>
      <c r="J418" s="11">
        <f>SUMIF('Multi-level BOM'!C$3:C$464,Table1[[#This Row],[Part Number]],'Multi-level BOM'!F$3:F$464)</f>
        <v>0</v>
      </c>
      <c r="K418" s="11">
        <f>Table1[[#This Row],[extended quantity]]*(Table1[[#This Row],[Cost ]]+Table1[[#This Row],[shipping]]+Table1[[#This Row],[Tax]])</f>
        <v>0</v>
      </c>
      <c r="L418" s="11"/>
      <c r="M418" s="42"/>
      <c r="N418" s="53" t="e">
        <f>CEILING((Table1[[#This Row],[extended quantity]]-Table1[[#This Row],[quantity on-hand]])/Table1[[#This Row],[Minimum order quantity]],1)*Table1[[#This Row],[Minimum order quantity]]</f>
        <v>#DIV/0!</v>
      </c>
      <c r="O418" s="53" t="e">
        <f>Table1[[#This Row],[Order quantity]]+Table1[[#This Row],[quantity on-hand]]-Table1[[#This Row],[extended quantity]]</f>
        <v>#DIV/0!</v>
      </c>
      <c r="P418" s="11">
        <f>IFERROR(Table1[[#This Row],[Order quantity]]*(Table1[[#This Row],[Cost ]]+Table1[[#This Row],[shipping]]+Table1[[#This Row],[Tax]]),0)</f>
        <v>0</v>
      </c>
      <c r="Q418" s="38">
        <f>IFERROR(Table1[[#This Row],[leftover material]]*(Table1[[#This Row],[Cost ]]+Table1[[#This Row],[shipping]]+Table1[[#This Row],[Tax]]),0)</f>
        <v>0</v>
      </c>
      <c r="R418" s="38"/>
    </row>
    <row r="419" spans="1:18" x14ac:dyDescent="0.25">
      <c r="A419" s="1" t="s">
        <v>422</v>
      </c>
      <c r="B419" s="4"/>
      <c r="F419" s="3">
        <f>9%*Table1[[#This Row],[Cost ]]</f>
        <v>0</v>
      </c>
      <c r="J419" s="11">
        <f>SUMIF('Multi-level BOM'!C$3:C$464,Table1[[#This Row],[Part Number]],'Multi-level BOM'!F$3:F$464)</f>
        <v>0</v>
      </c>
      <c r="K419" s="11">
        <f>Table1[[#This Row],[extended quantity]]*(Table1[[#This Row],[Cost ]]+Table1[[#This Row],[shipping]]+Table1[[#This Row],[Tax]])</f>
        <v>0</v>
      </c>
      <c r="L419" s="11"/>
      <c r="M419" s="42"/>
      <c r="N419" s="53" t="e">
        <f>CEILING((Table1[[#This Row],[extended quantity]]-Table1[[#This Row],[quantity on-hand]])/Table1[[#This Row],[Minimum order quantity]],1)*Table1[[#This Row],[Minimum order quantity]]</f>
        <v>#DIV/0!</v>
      </c>
      <c r="O419" s="53" t="e">
        <f>Table1[[#This Row],[Order quantity]]+Table1[[#This Row],[quantity on-hand]]-Table1[[#This Row],[extended quantity]]</f>
        <v>#DIV/0!</v>
      </c>
      <c r="P419" s="11">
        <f>IFERROR(Table1[[#This Row],[Order quantity]]*(Table1[[#This Row],[Cost ]]+Table1[[#This Row],[shipping]]+Table1[[#This Row],[Tax]]),0)</f>
        <v>0</v>
      </c>
      <c r="Q419" s="38">
        <f>IFERROR(Table1[[#This Row],[leftover material]]*(Table1[[#This Row],[Cost ]]+Table1[[#This Row],[shipping]]+Table1[[#This Row],[Tax]]),0)</f>
        <v>0</v>
      </c>
      <c r="R419" s="38"/>
    </row>
    <row r="420" spans="1:18" x14ac:dyDescent="0.25">
      <c r="A420" s="1" t="s">
        <v>423</v>
      </c>
      <c r="B420" s="4"/>
      <c r="F420" s="3">
        <f>9%*Table1[[#This Row],[Cost ]]</f>
        <v>0</v>
      </c>
      <c r="J420" s="11">
        <f>SUMIF('Multi-level BOM'!C$3:C$464,Table1[[#This Row],[Part Number]],'Multi-level BOM'!F$3:F$464)</f>
        <v>0</v>
      </c>
      <c r="K420" s="11">
        <f>Table1[[#This Row],[extended quantity]]*(Table1[[#This Row],[Cost ]]+Table1[[#This Row],[shipping]]+Table1[[#This Row],[Tax]])</f>
        <v>0</v>
      </c>
      <c r="L420" s="11"/>
      <c r="M420" s="42"/>
      <c r="N420" s="53" t="e">
        <f>CEILING((Table1[[#This Row],[extended quantity]]-Table1[[#This Row],[quantity on-hand]])/Table1[[#This Row],[Minimum order quantity]],1)*Table1[[#This Row],[Minimum order quantity]]</f>
        <v>#DIV/0!</v>
      </c>
      <c r="O420" s="53" t="e">
        <f>Table1[[#This Row],[Order quantity]]+Table1[[#This Row],[quantity on-hand]]-Table1[[#This Row],[extended quantity]]</f>
        <v>#DIV/0!</v>
      </c>
      <c r="P420" s="11">
        <f>IFERROR(Table1[[#This Row],[Order quantity]]*(Table1[[#This Row],[Cost ]]+Table1[[#This Row],[shipping]]+Table1[[#This Row],[Tax]]),0)</f>
        <v>0</v>
      </c>
      <c r="Q420" s="38">
        <f>IFERROR(Table1[[#This Row],[leftover material]]*(Table1[[#This Row],[Cost ]]+Table1[[#This Row],[shipping]]+Table1[[#This Row],[Tax]]),0)</f>
        <v>0</v>
      </c>
      <c r="R420" s="38"/>
    </row>
    <row r="421" spans="1:18" x14ac:dyDescent="0.25">
      <c r="A421" s="1" t="s">
        <v>424</v>
      </c>
      <c r="B421" s="4"/>
      <c r="F421" s="3">
        <f>9%*Table1[[#This Row],[Cost ]]</f>
        <v>0</v>
      </c>
      <c r="J421" s="11">
        <f>SUMIF('Multi-level BOM'!C$3:C$464,Table1[[#This Row],[Part Number]],'Multi-level BOM'!F$3:F$464)</f>
        <v>0</v>
      </c>
      <c r="K421" s="11">
        <f>Table1[[#This Row],[extended quantity]]*(Table1[[#This Row],[Cost ]]+Table1[[#This Row],[shipping]]+Table1[[#This Row],[Tax]])</f>
        <v>0</v>
      </c>
      <c r="L421" s="11"/>
      <c r="M421" s="42"/>
      <c r="N421" s="53" t="e">
        <f>CEILING((Table1[[#This Row],[extended quantity]]-Table1[[#This Row],[quantity on-hand]])/Table1[[#This Row],[Minimum order quantity]],1)*Table1[[#This Row],[Minimum order quantity]]</f>
        <v>#DIV/0!</v>
      </c>
      <c r="O421" s="53" t="e">
        <f>Table1[[#This Row],[Order quantity]]+Table1[[#This Row],[quantity on-hand]]-Table1[[#This Row],[extended quantity]]</f>
        <v>#DIV/0!</v>
      </c>
      <c r="P421" s="11">
        <f>IFERROR(Table1[[#This Row],[Order quantity]]*(Table1[[#This Row],[Cost ]]+Table1[[#This Row],[shipping]]+Table1[[#This Row],[Tax]]),0)</f>
        <v>0</v>
      </c>
      <c r="Q421" s="38">
        <f>IFERROR(Table1[[#This Row],[leftover material]]*(Table1[[#This Row],[Cost ]]+Table1[[#This Row],[shipping]]+Table1[[#This Row],[Tax]]),0)</f>
        <v>0</v>
      </c>
      <c r="R421" s="38"/>
    </row>
    <row r="422" spans="1:18" x14ac:dyDescent="0.25">
      <c r="A422" s="1" t="s">
        <v>425</v>
      </c>
      <c r="B422" s="4"/>
      <c r="F422" s="3">
        <f>9%*Table1[[#This Row],[Cost ]]</f>
        <v>0</v>
      </c>
      <c r="J422" s="11">
        <f>SUMIF('Multi-level BOM'!C$3:C$464,Table1[[#This Row],[Part Number]],'Multi-level BOM'!F$3:F$464)</f>
        <v>0</v>
      </c>
      <c r="K422" s="11">
        <f>Table1[[#This Row],[extended quantity]]*(Table1[[#This Row],[Cost ]]+Table1[[#This Row],[shipping]]+Table1[[#This Row],[Tax]])</f>
        <v>0</v>
      </c>
      <c r="L422" s="11"/>
      <c r="M422" s="42"/>
      <c r="N422" s="53" t="e">
        <f>CEILING((Table1[[#This Row],[extended quantity]]-Table1[[#This Row],[quantity on-hand]])/Table1[[#This Row],[Minimum order quantity]],1)*Table1[[#This Row],[Minimum order quantity]]</f>
        <v>#DIV/0!</v>
      </c>
      <c r="O422" s="53" t="e">
        <f>Table1[[#This Row],[Order quantity]]+Table1[[#This Row],[quantity on-hand]]-Table1[[#This Row],[extended quantity]]</f>
        <v>#DIV/0!</v>
      </c>
      <c r="P422" s="11">
        <f>IFERROR(Table1[[#This Row],[Order quantity]]*(Table1[[#This Row],[Cost ]]+Table1[[#This Row],[shipping]]+Table1[[#This Row],[Tax]]),0)</f>
        <v>0</v>
      </c>
      <c r="Q422" s="38">
        <f>IFERROR(Table1[[#This Row],[leftover material]]*(Table1[[#This Row],[Cost ]]+Table1[[#This Row],[shipping]]+Table1[[#This Row],[Tax]]),0)</f>
        <v>0</v>
      </c>
      <c r="R422" s="38"/>
    </row>
    <row r="423" spans="1:18" x14ac:dyDescent="0.25">
      <c r="A423" s="1" t="s">
        <v>426</v>
      </c>
      <c r="B423" s="4"/>
      <c r="F423" s="3">
        <f>9%*Table1[[#This Row],[Cost ]]</f>
        <v>0</v>
      </c>
      <c r="J423" s="11">
        <f>SUMIF('Multi-level BOM'!C$3:C$464,Table1[[#This Row],[Part Number]],'Multi-level BOM'!F$3:F$464)</f>
        <v>0</v>
      </c>
      <c r="K423" s="11">
        <f>Table1[[#This Row],[extended quantity]]*(Table1[[#This Row],[Cost ]]+Table1[[#This Row],[shipping]]+Table1[[#This Row],[Tax]])</f>
        <v>0</v>
      </c>
      <c r="L423" s="11"/>
      <c r="M423" s="42"/>
      <c r="N423" s="53" t="e">
        <f>CEILING((Table1[[#This Row],[extended quantity]]-Table1[[#This Row],[quantity on-hand]])/Table1[[#This Row],[Minimum order quantity]],1)*Table1[[#This Row],[Minimum order quantity]]</f>
        <v>#DIV/0!</v>
      </c>
      <c r="O423" s="53" t="e">
        <f>Table1[[#This Row],[Order quantity]]+Table1[[#This Row],[quantity on-hand]]-Table1[[#This Row],[extended quantity]]</f>
        <v>#DIV/0!</v>
      </c>
      <c r="P423" s="11">
        <f>IFERROR(Table1[[#This Row],[Order quantity]]*(Table1[[#This Row],[Cost ]]+Table1[[#This Row],[shipping]]+Table1[[#This Row],[Tax]]),0)</f>
        <v>0</v>
      </c>
      <c r="Q423" s="38">
        <f>IFERROR(Table1[[#This Row],[leftover material]]*(Table1[[#This Row],[Cost ]]+Table1[[#This Row],[shipping]]+Table1[[#This Row],[Tax]]),0)</f>
        <v>0</v>
      </c>
      <c r="R423" s="38"/>
    </row>
    <row r="424" spans="1:18" x14ac:dyDescent="0.25">
      <c r="A424" s="1" t="s">
        <v>427</v>
      </c>
      <c r="B424" s="4"/>
      <c r="F424" s="3">
        <f>9%*Table1[[#This Row],[Cost ]]</f>
        <v>0</v>
      </c>
      <c r="J424" s="11">
        <f>SUMIF('Multi-level BOM'!C$3:C$464,Table1[[#This Row],[Part Number]],'Multi-level BOM'!F$3:F$464)</f>
        <v>0</v>
      </c>
      <c r="K424" s="11">
        <f>Table1[[#This Row],[extended quantity]]*(Table1[[#This Row],[Cost ]]+Table1[[#This Row],[shipping]]+Table1[[#This Row],[Tax]])</f>
        <v>0</v>
      </c>
      <c r="L424" s="11"/>
      <c r="M424" s="42"/>
      <c r="N424" s="53" t="e">
        <f>CEILING((Table1[[#This Row],[extended quantity]]-Table1[[#This Row],[quantity on-hand]])/Table1[[#This Row],[Minimum order quantity]],1)*Table1[[#This Row],[Minimum order quantity]]</f>
        <v>#DIV/0!</v>
      </c>
      <c r="O424" s="53" t="e">
        <f>Table1[[#This Row],[Order quantity]]+Table1[[#This Row],[quantity on-hand]]-Table1[[#This Row],[extended quantity]]</f>
        <v>#DIV/0!</v>
      </c>
      <c r="P424" s="11">
        <f>IFERROR(Table1[[#This Row],[Order quantity]]*(Table1[[#This Row],[Cost ]]+Table1[[#This Row],[shipping]]+Table1[[#This Row],[Tax]]),0)</f>
        <v>0</v>
      </c>
      <c r="Q424" s="38">
        <f>IFERROR(Table1[[#This Row],[leftover material]]*(Table1[[#This Row],[Cost ]]+Table1[[#This Row],[shipping]]+Table1[[#This Row],[Tax]]),0)</f>
        <v>0</v>
      </c>
      <c r="R424" s="38"/>
    </row>
    <row r="425" spans="1:18" x14ac:dyDescent="0.25">
      <c r="A425" s="1" t="s">
        <v>428</v>
      </c>
      <c r="B425" s="4"/>
      <c r="F425" s="3">
        <f>9%*Table1[[#This Row],[Cost ]]</f>
        <v>0</v>
      </c>
      <c r="J425" s="11">
        <f>SUMIF('Multi-level BOM'!C$3:C$464,Table1[[#This Row],[Part Number]],'Multi-level BOM'!F$3:F$464)</f>
        <v>0</v>
      </c>
      <c r="K425" s="11">
        <f>Table1[[#This Row],[extended quantity]]*(Table1[[#This Row],[Cost ]]+Table1[[#This Row],[shipping]]+Table1[[#This Row],[Tax]])</f>
        <v>0</v>
      </c>
      <c r="L425" s="11"/>
      <c r="M425" s="42"/>
      <c r="N425" s="53" t="e">
        <f>CEILING((Table1[[#This Row],[extended quantity]]-Table1[[#This Row],[quantity on-hand]])/Table1[[#This Row],[Minimum order quantity]],1)*Table1[[#This Row],[Minimum order quantity]]</f>
        <v>#DIV/0!</v>
      </c>
      <c r="O425" s="53" t="e">
        <f>Table1[[#This Row],[Order quantity]]+Table1[[#This Row],[quantity on-hand]]-Table1[[#This Row],[extended quantity]]</f>
        <v>#DIV/0!</v>
      </c>
      <c r="P425" s="11">
        <f>IFERROR(Table1[[#This Row],[Order quantity]]*(Table1[[#This Row],[Cost ]]+Table1[[#This Row],[shipping]]+Table1[[#This Row],[Tax]]),0)</f>
        <v>0</v>
      </c>
      <c r="Q425" s="38">
        <f>IFERROR(Table1[[#This Row],[leftover material]]*(Table1[[#This Row],[Cost ]]+Table1[[#This Row],[shipping]]+Table1[[#This Row],[Tax]]),0)</f>
        <v>0</v>
      </c>
      <c r="R425" s="38"/>
    </row>
    <row r="426" spans="1:18" x14ac:dyDescent="0.25">
      <c r="A426" s="1" t="s">
        <v>429</v>
      </c>
      <c r="B426" s="4"/>
      <c r="F426" s="3">
        <f>9%*Table1[[#This Row],[Cost ]]</f>
        <v>0</v>
      </c>
      <c r="J426" s="11">
        <f>SUMIF('Multi-level BOM'!C$3:C$464,Table1[[#This Row],[Part Number]],'Multi-level BOM'!F$3:F$464)</f>
        <v>0</v>
      </c>
      <c r="K426" s="11">
        <f>Table1[[#This Row],[extended quantity]]*(Table1[[#This Row],[Cost ]]+Table1[[#This Row],[shipping]]+Table1[[#This Row],[Tax]])</f>
        <v>0</v>
      </c>
      <c r="L426" s="11"/>
      <c r="M426" s="42"/>
      <c r="N426" s="53" t="e">
        <f>CEILING((Table1[[#This Row],[extended quantity]]-Table1[[#This Row],[quantity on-hand]])/Table1[[#This Row],[Minimum order quantity]],1)*Table1[[#This Row],[Minimum order quantity]]</f>
        <v>#DIV/0!</v>
      </c>
      <c r="O426" s="53" t="e">
        <f>Table1[[#This Row],[Order quantity]]+Table1[[#This Row],[quantity on-hand]]-Table1[[#This Row],[extended quantity]]</f>
        <v>#DIV/0!</v>
      </c>
      <c r="P426" s="11">
        <f>IFERROR(Table1[[#This Row],[Order quantity]]*(Table1[[#This Row],[Cost ]]+Table1[[#This Row],[shipping]]+Table1[[#This Row],[Tax]]),0)</f>
        <v>0</v>
      </c>
      <c r="Q426" s="38">
        <f>IFERROR(Table1[[#This Row],[leftover material]]*(Table1[[#This Row],[Cost ]]+Table1[[#This Row],[shipping]]+Table1[[#This Row],[Tax]]),0)</f>
        <v>0</v>
      </c>
      <c r="R426" s="38"/>
    </row>
    <row r="427" spans="1:18" x14ac:dyDescent="0.25">
      <c r="A427" s="1" t="s">
        <v>430</v>
      </c>
      <c r="B427" s="4"/>
      <c r="F427" s="3">
        <f>9%*Table1[[#This Row],[Cost ]]</f>
        <v>0</v>
      </c>
      <c r="J427" s="11">
        <f>SUMIF('Multi-level BOM'!C$3:C$464,Table1[[#This Row],[Part Number]],'Multi-level BOM'!F$3:F$464)</f>
        <v>0</v>
      </c>
      <c r="K427" s="11">
        <f>Table1[[#This Row],[extended quantity]]*(Table1[[#This Row],[Cost ]]+Table1[[#This Row],[shipping]]+Table1[[#This Row],[Tax]])</f>
        <v>0</v>
      </c>
      <c r="L427" s="11"/>
      <c r="M427" s="42"/>
      <c r="N427" s="53" t="e">
        <f>CEILING((Table1[[#This Row],[extended quantity]]-Table1[[#This Row],[quantity on-hand]])/Table1[[#This Row],[Minimum order quantity]],1)*Table1[[#This Row],[Minimum order quantity]]</f>
        <v>#DIV/0!</v>
      </c>
      <c r="O427" s="53" t="e">
        <f>Table1[[#This Row],[Order quantity]]+Table1[[#This Row],[quantity on-hand]]-Table1[[#This Row],[extended quantity]]</f>
        <v>#DIV/0!</v>
      </c>
      <c r="P427" s="11">
        <f>IFERROR(Table1[[#This Row],[Order quantity]]*(Table1[[#This Row],[Cost ]]+Table1[[#This Row],[shipping]]+Table1[[#This Row],[Tax]]),0)</f>
        <v>0</v>
      </c>
      <c r="Q427" s="38">
        <f>IFERROR(Table1[[#This Row],[leftover material]]*(Table1[[#This Row],[Cost ]]+Table1[[#This Row],[shipping]]+Table1[[#This Row],[Tax]]),0)</f>
        <v>0</v>
      </c>
      <c r="R427" s="38"/>
    </row>
    <row r="428" spans="1:18" x14ac:dyDescent="0.25">
      <c r="A428" s="1" t="s">
        <v>431</v>
      </c>
      <c r="B428" s="4"/>
      <c r="F428" s="3">
        <f>9%*Table1[[#This Row],[Cost ]]</f>
        <v>0</v>
      </c>
      <c r="J428" s="11">
        <f>SUMIF('Multi-level BOM'!C$3:C$464,Table1[[#This Row],[Part Number]],'Multi-level BOM'!F$3:F$464)</f>
        <v>0</v>
      </c>
      <c r="K428" s="11">
        <f>Table1[[#This Row],[extended quantity]]*(Table1[[#This Row],[Cost ]]+Table1[[#This Row],[shipping]]+Table1[[#This Row],[Tax]])</f>
        <v>0</v>
      </c>
      <c r="L428" s="11"/>
      <c r="M428" s="42"/>
      <c r="N428" s="53" t="e">
        <f>CEILING((Table1[[#This Row],[extended quantity]]-Table1[[#This Row],[quantity on-hand]])/Table1[[#This Row],[Minimum order quantity]],1)*Table1[[#This Row],[Minimum order quantity]]</f>
        <v>#DIV/0!</v>
      </c>
      <c r="O428" s="53" t="e">
        <f>Table1[[#This Row],[Order quantity]]+Table1[[#This Row],[quantity on-hand]]-Table1[[#This Row],[extended quantity]]</f>
        <v>#DIV/0!</v>
      </c>
      <c r="P428" s="11">
        <f>IFERROR(Table1[[#This Row],[Order quantity]]*(Table1[[#This Row],[Cost ]]+Table1[[#This Row],[shipping]]+Table1[[#This Row],[Tax]]),0)</f>
        <v>0</v>
      </c>
      <c r="Q428" s="38">
        <f>IFERROR(Table1[[#This Row],[leftover material]]*(Table1[[#This Row],[Cost ]]+Table1[[#This Row],[shipping]]+Table1[[#This Row],[Tax]]),0)</f>
        <v>0</v>
      </c>
      <c r="R428" s="38"/>
    </row>
    <row r="429" spans="1:18" x14ac:dyDescent="0.25">
      <c r="A429" s="1" t="s">
        <v>432</v>
      </c>
      <c r="B429" s="4"/>
      <c r="F429" s="3">
        <f>9%*Table1[[#This Row],[Cost ]]</f>
        <v>0</v>
      </c>
      <c r="J429" s="11">
        <f>SUMIF('Multi-level BOM'!C$3:C$464,Table1[[#This Row],[Part Number]],'Multi-level BOM'!F$3:F$464)</f>
        <v>0</v>
      </c>
      <c r="K429" s="11">
        <f>Table1[[#This Row],[extended quantity]]*(Table1[[#This Row],[Cost ]]+Table1[[#This Row],[shipping]]+Table1[[#This Row],[Tax]])</f>
        <v>0</v>
      </c>
      <c r="L429" s="11"/>
      <c r="M429" s="42"/>
      <c r="N429" s="53" t="e">
        <f>CEILING((Table1[[#This Row],[extended quantity]]-Table1[[#This Row],[quantity on-hand]])/Table1[[#This Row],[Minimum order quantity]],1)*Table1[[#This Row],[Minimum order quantity]]</f>
        <v>#DIV/0!</v>
      </c>
      <c r="O429" s="53" t="e">
        <f>Table1[[#This Row],[Order quantity]]+Table1[[#This Row],[quantity on-hand]]-Table1[[#This Row],[extended quantity]]</f>
        <v>#DIV/0!</v>
      </c>
      <c r="P429" s="11">
        <f>IFERROR(Table1[[#This Row],[Order quantity]]*(Table1[[#This Row],[Cost ]]+Table1[[#This Row],[shipping]]+Table1[[#This Row],[Tax]]),0)</f>
        <v>0</v>
      </c>
      <c r="Q429" s="38">
        <f>IFERROR(Table1[[#This Row],[leftover material]]*(Table1[[#This Row],[Cost ]]+Table1[[#This Row],[shipping]]+Table1[[#This Row],[Tax]]),0)</f>
        <v>0</v>
      </c>
      <c r="R429" s="38"/>
    </row>
    <row r="430" spans="1:18" x14ac:dyDescent="0.25">
      <c r="A430" s="1" t="s">
        <v>433</v>
      </c>
      <c r="B430" s="4"/>
      <c r="F430" s="3">
        <f>9%*Table1[[#This Row],[Cost ]]</f>
        <v>0</v>
      </c>
      <c r="J430" s="11">
        <f>SUMIF('Multi-level BOM'!C$3:C$464,Table1[[#This Row],[Part Number]],'Multi-level BOM'!F$3:F$464)</f>
        <v>0</v>
      </c>
      <c r="K430" s="11">
        <f>Table1[[#This Row],[extended quantity]]*(Table1[[#This Row],[Cost ]]+Table1[[#This Row],[shipping]]+Table1[[#This Row],[Tax]])</f>
        <v>0</v>
      </c>
      <c r="L430" s="11"/>
      <c r="M430" s="42"/>
      <c r="N430" s="53" t="e">
        <f>CEILING((Table1[[#This Row],[extended quantity]]-Table1[[#This Row],[quantity on-hand]])/Table1[[#This Row],[Minimum order quantity]],1)*Table1[[#This Row],[Minimum order quantity]]</f>
        <v>#DIV/0!</v>
      </c>
      <c r="O430" s="53" t="e">
        <f>Table1[[#This Row],[Order quantity]]+Table1[[#This Row],[quantity on-hand]]-Table1[[#This Row],[extended quantity]]</f>
        <v>#DIV/0!</v>
      </c>
      <c r="P430" s="11">
        <f>IFERROR(Table1[[#This Row],[Order quantity]]*(Table1[[#This Row],[Cost ]]+Table1[[#This Row],[shipping]]+Table1[[#This Row],[Tax]]),0)</f>
        <v>0</v>
      </c>
      <c r="Q430" s="38">
        <f>IFERROR(Table1[[#This Row],[leftover material]]*(Table1[[#This Row],[Cost ]]+Table1[[#This Row],[shipping]]+Table1[[#This Row],[Tax]]),0)</f>
        <v>0</v>
      </c>
      <c r="R430" s="38"/>
    </row>
    <row r="431" spans="1:18" x14ac:dyDescent="0.25">
      <c r="A431" s="1" t="s">
        <v>434</v>
      </c>
      <c r="B431" s="4"/>
      <c r="F431" s="3">
        <f>9%*Table1[[#This Row],[Cost ]]</f>
        <v>0</v>
      </c>
      <c r="J431" s="11">
        <f>SUMIF('Multi-level BOM'!C$3:C$464,Table1[[#This Row],[Part Number]],'Multi-level BOM'!F$3:F$464)</f>
        <v>0</v>
      </c>
      <c r="K431" s="11">
        <f>Table1[[#This Row],[extended quantity]]*(Table1[[#This Row],[Cost ]]+Table1[[#This Row],[shipping]]+Table1[[#This Row],[Tax]])</f>
        <v>0</v>
      </c>
      <c r="L431" s="11"/>
      <c r="M431" s="42"/>
      <c r="N431" s="53" t="e">
        <f>CEILING((Table1[[#This Row],[extended quantity]]-Table1[[#This Row],[quantity on-hand]])/Table1[[#This Row],[Minimum order quantity]],1)*Table1[[#This Row],[Minimum order quantity]]</f>
        <v>#DIV/0!</v>
      </c>
      <c r="O431" s="53" t="e">
        <f>Table1[[#This Row],[Order quantity]]+Table1[[#This Row],[quantity on-hand]]-Table1[[#This Row],[extended quantity]]</f>
        <v>#DIV/0!</v>
      </c>
      <c r="P431" s="11">
        <f>IFERROR(Table1[[#This Row],[Order quantity]]*(Table1[[#This Row],[Cost ]]+Table1[[#This Row],[shipping]]+Table1[[#This Row],[Tax]]),0)</f>
        <v>0</v>
      </c>
      <c r="Q431" s="38">
        <f>IFERROR(Table1[[#This Row],[leftover material]]*(Table1[[#This Row],[Cost ]]+Table1[[#This Row],[shipping]]+Table1[[#This Row],[Tax]]),0)</f>
        <v>0</v>
      </c>
      <c r="R431" s="38"/>
    </row>
    <row r="432" spans="1:18" x14ac:dyDescent="0.25">
      <c r="A432" s="1" t="s">
        <v>435</v>
      </c>
      <c r="B432" s="4"/>
      <c r="F432" s="3">
        <f>9%*Table1[[#This Row],[Cost ]]</f>
        <v>0</v>
      </c>
      <c r="J432" s="11">
        <f>SUMIF('Multi-level BOM'!C$3:C$464,Table1[[#This Row],[Part Number]],'Multi-level BOM'!F$3:F$464)</f>
        <v>0</v>
      </c>
      <c r="K432" s="11">
        <f>Table1[[#This Row],[extended quantity]]*(Table1[[#This Row],[Cost ]]+Table1[[#This Row],[shipping]]+Table1[[#This Row],[Tax]])</f>
        <v>0</v>
      </c>
      <c r="L432" s="11"/>
      <c r="M432" s="42"/>
      <c r="N432" s="53" t="e">
        <f>CEILING((Table1[[#This Row],[extended quantity]]-Table1[[#This Row],[quantity on-hand]])/Table1[[#This Row],[Minimum order quantity]],1)*Table1[[#This Row],[Minimum order quantity]]</f>
        <v>#DIV/0!</v>
      </c>
      <c r="O432" s="53" t="e">
        <f>Table1[[#This Row],[Order quantity]]+Table1[[#This Row],[quantity on-hand]]-Table1[[#This Row],[extended quantity]]</f>
        <v>#DIV/0!</v>
      </c>
      <c r="P432" s="11">
        <f>IFERROR(Table1[[#This Row],[Order quantity]]*(Table1[[#This Row],[Cost ]]+Table1[[#This Row],[shipping]]+Table1[[#This Row],[Tax]]),0)</f>
        <v>0</v>
      </c>
      <c r="Q432" s="38">
        <f>IFERROR(Table1[[#This Row],[leftover material]]*(Table1[[#This Row],[Cost ]]+Table1[[#This Row],[shipping]]+Table1[[#This Row],[Tax]]),0)</f>
        <v>0</v>
      </c>
      <c r="R432" s="38"/>
    </row>
    <row r="433" spans="1:18" x14ac:dyDescent="0.25">
      <c r="A433" s="1" t="s">
        <v>436</v>
      </c>
      <c r="B433" s="4"/>
      <c r="F433" s="3">
        <f>9%*Table1[[#This Row],[Cost ]]</f>
        <v>0</v>
      </c>
      <c r="J433" s="11">
        <f>SUMIF('Multi-level BOM'!C$3:C$464,Table1[[#This Row],[Part Number]],'Multi-level BOM'!F$3:F$464)</f>
        <v>0</v>
      </c>
      <c r="K433" s="11">
        <f>Table1[[#This Row],[extended quantity]]*(Table1[[#This Row],[Cost ]]+Table1[[#This Row],[shipping]]+Table1[[#This Row],[Tax]])</f>
        <v>0</v>
      </c>
      <c r="L433" s="11"/>
      <c r="M433" s="42"/>
      <c r="N433" s="53" t="e">
        <f>CEILING((Table1[[#This Row],[extended quantity]]-Table1[[#This Row],[quantity on-hand]])/Table1[[#This Row],[Minimum order quantity]],1)*Table1[[#This Row],[Minimum order quantity]]</f>
        <v>#DIV/0!</v>
      </c>
      <c r="O433" s="53" t="e">
        <f>Table1[[#This Row],[Order quantity]]+Table1[[#This Row],[quantity on-hand]]-Table1[[#This Row],[extended quantity]]</f>
        <v>#DIV/0!</v>
      </c>
      <c r="P433" s="11">
        <f>IFERROR(Table1[[#This Row],[Order quantity]]*(Table1[[#This Row],[Cost ]]+Table1[[#This Row],[shipping]]+Table1[[#This Row],[Tax]]),0)</f>
        <v>0</v>
      </c>
      <c r="Q433" s="38">
        <f>IFERROR(Table1[[#This Row],[leftover material]]*(Table1[[#This Row],[Cost ]]+Table1[[#This Row],[shipping]]+Table1[[#This Row],[Tax]]),0)</f>
        <v>0</v>
      </c>
      <c r="R433" s="38"/>
    </row>
    <row r="434" spans="1:18" x14ac:dyDescent="0.25">
      <c r="A434" s="1" t="s">
        <v>437</v>
      </c>
      <c r="B434" s="4"/>
      <c r="F434" s="3">
        <f>9%*Table1[[#This Row],[Cost ]]</f>
        <v>0</v>
      </c>
      <c r="J434" s="11">
        <f>SUMIF('Multi-level BOM'!C$3:C$464,Table1[[#This Row],[Part Number]],'Multi-level BOM'!F$3:F$464)</f>
        <v>0</v>
      </c>
      <c r="K434" s="11">
        <f>Table1[[#This Row],[extended quantity]]*(Table1[[#This Row],[Cost ]]+Table1[[#This Row],[shipping]]+Table1[[#This Row],[Tax]])</f>
        <v>0</v>
      </c>
      <c r="L434" s="11"/>
      <c r="M434" s="42"/>
      <c r="N434" s="53" t="e">
        <f>CEILING((Table1[[#This Row],[extended quantity]]-Table1[[#This Row],[quantity on-hand]])/Table1[[#This Row],[Minimum order quantity]],1)*Table1[[#This Row],[Minimum order quantity]]</f>
        <v>#DIV/0!</v>
      </c>
      <c r="O434" s="53" t="e">
        <f>Table1[[#This Row],[Order quantity]]+Table1[[#This Row],[quantity on-hand]]-Table1[[#This Row],[extended quantity]]</f>
        <v>#DIV/0!</v>
      </c>
      <c r="P434" s="11">
        <f>IFERROR(Table1[[#This Row],[Order quantity]]*(Table1[[#This Row],[Cost ]]+Table1[[#This Row],[shipping]]+Table1[[#This Row],[Tax]]),0)</f>
        <v>0</v>
      </c>
      <c r="Q434" s="38">
        <f>IFERROR(Table1[[#This Row],[leftover material]]*(Table1[[#This Row],[Cost ]]+Table1[[#This Row],[shipping]]+Table1[[#This Row],[Tax]]),0)</f>
        <v>0</v>
      </c>
      <c r="R434" s="38"/>
    </row>
    <row r="435" spans="1:18" x14ac:dyDescent="0.25">
      <c r="A435" s="1" t="s">
        <v>438</v>
      </c>
      <c r="B435" s="4"/>
      <c r="F435" s="3">
        <f>9%*Table1[[#This Row],[Cost ]]</f>
        <v>0</v>
      </c>
      <c r="J435" s="11">
        <f>SUMIF('Multi-level BOM'!C$3:C$464,Table1[[#This Row],[Part Number]],'Multi-level BOM'!F$3:F$464)</f>
        <v>0</v>
      </c>
      <c r="K435" s="11">
        <f>Table1[[#This Row],[extended quantity]]*(Table1[[#This Row],[Cost ]]+Table1[[#This Row],[shipping]]+Table1[[#This Row],[Tax]])</f>
        <v>0</v>
      </c>
      <c r="L435" s="11"/>
      <c r="M435" s="42"/>
      <c r="N435" s="53" t="e">
        <f>CEILING((Table1[[#This Row],[extended quantity]]-Table1[[#This Row],[quantity on-hand]])/Table1[[#This Row],[Minimum order quantity]],1)*Table1[[#This Row],[Minimum order quantity]]</f>
        <v>#DIV/0!</v>
      </c>
      <c r="O435" s="53" t="e">
        <f>Table1[[#This Row],[Order quantity]]+Table1[[#This Row],[quantity on-hand]]-Table1[[#This Row],[extended quantity]]</f>
        <v>#DIV/0!</v>
      </c>
      <c r="P435" s="11">
        <f>IFERROR(Table1[[#This Row],[Order quantity]]*(Table1[[#This Row],[Cost ]]+Table1[[#This Row],[shipping]]+Table1[[#This Row],[Tax]]),0)</f>
        <v>0</v>
      </c>
      <c r="Q435" s="38">
        <f>IFERROR(Table1[[#This Row],[leftover material]]*(Table1[[#This Row],[Cost ]]+Table1[[#This Row],[shipping]]+Table1[[#This Row],[Tax]]),0)</f>
        <v>0</v>
      </c>
      <c r="R435" s="38"/>
    </row>
    <row r="436" spans="1:18" x14ac:dyDescent="0.25">
      <c r="A436" s="1" t="s">
        <v>439</v>
      </c>
      <c r="B436" s="4"/>
      <c r="F436" s="3">
        <f>9%*Table1[[#This Row],[Cost ]]</f>
        <v>0</v>
      </c>
      <c r="J436" s="11">
        <f>SUMIF('Multi-level BOM'!C$3:C$464,Table1[[#This Row],[Part Number]],'Multi-level BOM'!F$3:F$464)</f>
        <v>0</v>
      </c>
      <c r="K436" s="11">
        <f>Table1[[#This Row],[extended quantity]]*(Table1[[#This Row],[Cost ]]+Table1[[#This Row],[shipping]]+Table1[[#This Row],[Tax]])</f>
        <v>0</v>
      </c>
      <c r="L436" s="11"/>
      <c r="M436" s="42"/>
      <c r="N436" s="53" t="e">
        <f>CEILING((Table1[[#This Row],[extended quantity]]-Table1[[#This Row],[quantity on-hand]])/Table1[[#This Row],[Minimum order quantity]],1)*Table1[[#This Row],[Minimum order quantity]]</f>
        <v>#DIV/0!</v>
      </c>
      <c r="O436" s="53" t="e">
        <f>Table1[[#This Row],[Order quantity]]+Table1[[#This Row],[quantity on-hand]]-Table1[[#This Row],[extended quantity]]</f>
        <v>#DIV/0!</v>
      </c>
      <c r="P436" s="11">
        <f>IFERROR(Table1[[#This Row],[Order quantity]]*(Table1[[#This Row],[Cost ]]+Table1[[#This Row],[shipping]]+Table1[[#This Row],[Tax]]),0)</f>
        <v>0</v>
      </c>
      <c r="Q436" s="38">
        <f>IFERROR(Table1[[#This Row],[leftover material]]*(Table1[[#This Row],[Cost ]]+Table1[[#This Row],[shipping]]+Table1[[#This Row],[Tax]]),0)</f>
        <v>0</v>
      </c>
      <c r="R436" s="38"/>
    </row>
    <row r="437" spans="1:18" x14ac:dyDescent="0.25">
      <c r="A437" s="1" t="s">
        <v>440</v>
      </c>
      <c r="B437" s="4"/>
      <c r="F437" s="3">
        <f>9%*Table1[[#This Row],[Cost ]]</f>
        <v>0</v>
      </c>
      <c r="J437" s="11">
        <f>SUMIF('Multi-level BOM'!C$3:C$464,Table1[[#This Row],[Part Number]],'Multi-level BOM'!F$3:F$464)</f>
        <v>0</v>
      </c>
      <c r="K437" s="11">
        <f>Table1[[#This Row],[extended quantity]]*(Table1[[#This Row],[Cost ]]+Table1[[#This Row],[shipping]]+Table1[[#This Row],[Tax]])</f>
        <v>0</v>
      </c>
      <c r="L437" s="11"/>
      <c r="M437" s="42"/>
      <c r="N437" s="53" t="e">
        <f>CEILING((Table1[[#This Row],[extended quantity]]-Table1[[#This Row],[quantity on-hand]])/Table1[[#This Row],[Minimum order quantity]],1)*Table1[[#This Row],[Minimum order quantity]]</f>
        <v>#DIV/0!</v>
      </c>
      <c r="O437" s="53" t="e">
        <f>Table1[[#This Row],[Order quantity]]+Table1[[#This Row],[quantity on-hand]]-Table1[[#This Row],[extended quantity]]</f>
        <v>#DIV/0!</v>
      </c>
      <c r="P437" s="11">
        <f>IFERROR(Table1[[#This Row],[Order quantity]]*(Table1[[#This Row],[Cost ]]+Table1[[#This Row],[shipping]]+Table1[[#This Row],[Tax]]),0)</f>
        <v>0</v>
      </c>
      <c r="Q437" s="38">
        <f>IFERROR(Table1[[#This Row],[leftover material]]*(Table1[[#This Row],[Cost ]]+Table1[[#This Row],[shipping]]+Table1[[#This Row],[Tax]]),0)</f>
        <v>0</v>
      </c>
      <c r="R437" s="38"/>
    </row>
    <row r="438" spans="1:18" x14ac:dyDescent="0.25">
      <c r="A438" s="1" t="s">
        <v>441</v>
      </c>
      <c r="B438" s="4"/>
      <c r="F438" s="3">
        <f>9%*Table1[[#This Row],[Cost ]]</f>
        <v>0</v>
      </c>
      <c r="J438" s="11">
        <f>SUMIF('Multi-level BOM'!C$3:C$464,Table1[[#This Row],[Part Number]],'Multi-level BOM'!F$3:F$464)</f>
        <v>0</v>
      </c>
      <c r="K438" s="11">
        <f>Table1[[#This Row],[extended quantity]]*(Table1[[#This Row],[Cost ]]+Table1[[#This Row],[shipping]]+Table1[[#This Row],[Tax]])</f>
        <v>0</v>
      </c>
      <c r="L438" s="11"/>
      <c r="M438" s="42"/>
      <c r="N438" s="53" t="e">
        <f>CEILING((Table1[[#This Row],[extended quantity]]-Table1[[#This Row],[quantity on-hand]])/Table1[[#This Row],[Minimum order quantity]],1)*Table1[[#This Row],[Minimum order quantity]]</f>
        <v>#DIV/0!</v>
      </c>
      <c r="O438" s="53" t="e">
        <f>Table1[[#This Row],[Order quantity]]+Table1[[#This Row],[quantity on-hand]]-Table1[[#This Row],[extended quantity]]</f>
        <v>#DIV/0!</v>
      </c>
      <c r="P438" s="11">
        <f>IFERROR(Table1[[#This Row],[Order quantity]]*(Table1[[#This Row],[Cost ]]+Table1[[#This Row],[shipping]]+Table1[[#This Row],[Tax]]),0)</f>
        <v>0</v>
      </c>
      <c r="Q438" s="38">
        <f>IFERROR(Table1[[#This Row],[leftover material]]*(Table1[[#This Row],[Cost ]]+Table1[[#This Row],[shipping]]+Table1[[#This Row],[Tax]]),0)</f>
        <v>0</v>
      </c>
      <c r="R438" s="38"/>
    </row>
    <row r="439" spans="1:18" x14ac:dyDescent="0.25">
      <c r="A439" s="1" t="s">
        <v>442</v>
      </c>
      <c r="B439" s="4"/>
      <c r="F439" s="3">
        <f>9%*Table1[[#This Row],[Cost ]]</f>
        <v>0</v>
      </c>
      <c r="J439" s="11">
        <f>SUMIF('Multi-level BOM'!C$3:C$464,Table1[[#This Row],[Part Number]],'Multi-level BOM'!F$3:F$464)</f>
        <v>0</v>
      </c>
      <c r="K439" s="11">
        <f>Table1[[#This Row],[extended quantity]]*(Table1[[#This Row],[Cost ]]+Table1[[#This Row],[shipping]]+Table1[[#This Row],[Tax]])</f>
        <v>0</v>
      </c>
      <c r="L439" s="11"/>
      <c r="M439" s="42"/>
      <c r="N439" s="53" t="e">
        <f>CEILING((Table1[[#This Row],[extended quantity]]-Table1[[#This Row],[quantity on-hand]])/Table1[[#This Row],[Minimum order quantity]],1)*Table1[[#This Row],[Minimum order quantity]]</f>
        <v>#DIV/0!</v>
      </c>
      <c r="O439" s="53" t="e">
        <f>Table1[[#This Row],[Order quantity]]+Table1[[#This Row],[quantity on-hand]]-Table1[[#This Row],[extended quantity]]</f>
        <v>#DIV/0!</v>
      </c>
      <c r="P439" s="11">
        <f>IFERROR(Table1[[#This Row],[Order quantity]]*(Table1[[#This Row],[Cost ]]+Table1[[#This Row],[shipping]]+Table1[[#This Row],[Tax]]),0)</f>
        <v>0</v>
      </c>
      <c r="Q439" s="38">
        <f>IFERROR(Table1[[#This Row],[leftover material]]*(Table1[[#This Row],[Cost ]]+Table1[[#This Row],[shipping]]+Table1[[#This Row],[Tax]]),0)</f>
        <v>0</v>
      </c>
      <c r="R439" s="38"/>
    </row>
    <row r="440" spans="1:18" x14ac:dyDescent="0.25">
      <c r="A440" s="1" t="s">
        <v>443</v>
      </c>
      <c r="B440" s="4"/>
      <c r="F440" s="3">
        <f>9%*Table1[[#This Row],[Cost ]]</f>
        <v>0</v>
      </c>
      <c r="J440" s="11">
        <f>SUMIF('Multi-level BOM'!C$3:C$464,Table1[[#This Row],[Part Number]],'Multi-level BOM'!F$3:F$464)</f>
        <v>0</v>
      </c>
      <c r="K440" s="11">
        <f>Table1[[#This Row],[extended quantity]]*(Table1[[#This Row],[Cost ]]+Table1[[#This Row],[shipping]]+Table1[[#This Row],[Tax]])</f>
        <v>0</v>
      </c>
      <c r="L440" s="11"/>
      <c r="M440" s="42"/>
      <c r="N440" s="53" t="e">
        <f>CEILING((Table1[[#This Row],[extended quantity]]-Table1[[#This Row],[quantity on-hand]])/Table1[[#This Row],[Minimum order quantity]],1)*Table1[[#This Row],[Minimum order quantity]]</f>
        <v>#DIV/0!</v>
      </c>
      <c r="O440" s="53" t="e">
        <f>Table1[[#This Row],[Order quantity]]+Table1[[#This Row],[quantity on-hand]]-Table1[[#This Row],[extended quantity]]</f>
        <v>#DIV/0!</v>
      </c>
      <c r="P440" s="11">
        <f>IFERROR(Table1[[#This Row],[Order quantity]]*(Table1[[#This Row],[Cost ]]+Table1[[#This Row],[shipping]]+Table1[[#This Row],[Tax]]),0)</f>
        <v>0</v>
      </c>
      <c r="Q440" s="38">
        <f>IFERROR(Table1[[#This Row],[leftover material]]*(Table1[[#This Row],[Cost ]]+Table1[[#This Row],[shipping]]+Table1[[#This Row],[Tax]]),0)</f>
        <v>0</v>
      </c>
      <c r="R440" s="38"/>
    </row>
    <row r="441" spans="1:18" x14ac:dyDescent="0.25">
      <c r="A441" s="1" t="s">
        <v>444</v>
      </c>
      <c r="B441" s="4"/>
      <c r="F441" s="3">
        <f>9%*Table1[[#This Row],[Cost ]]</f>
        <v>0</v>
      </c>
      <c r="J441" s="11">
        <f>SUMIF('Multi-level BOM'!C$3:C$464,Table1[[#This Row],[Part Number]],'Multi-level BOM'!F$3:F$464)</f>
        <v>0</v>
      </c>
      <c r="K441" s="11">
        <f>Table1[[#This Row],[extended quantity]]*(Table1[[#This Row],[Cost ]]+Table1[[#This Row],[shipping]]+Table1[[#This Row],[Tax]])</f>
        <v>0</v>
      </c>
      <c r="L441" s="11"/>
      <c r="M441" s="42"/>
      <c r="N441" s="53" t="e">
        <f>CEILING((Table1[[#This Row],[extended quantity]]-Table1[[#This Row],[quantity on-hand]])/Table1[[#This Row],[Minimum order quantity]],1)*Table1[[#This Row],[Minimum order quantity]]</f>
        <v>#DIV/0!</v>
      </c>
      <c r="O441" s="53" t="e">
        <f>Table1[[#This Row],[Order quantity]]+Table1[[#This Row],[quantity on-hand]]-Table1[[#This Row],[extended quantity]]</f>
        <v>#DIV/0!</v>
      </c>
      <c r="P441" s="11">
        <f>IFERROR(Table1[[#This Row],[Order quantity]]*(Table1[[#This Row],[Cost ]]+Table1[[#This Row],[shipping]]+Table1[[#This Row],[Tax]]),0)</f>
        <v>0</v>
      </c>
      <c r="Q441" s="38">
        <f>IFERROR(Table1[[#This Row],[leftover material]]*(Table1[[#This Row],[Cost ]]+Table1[[#This Row],[shipping]]+Table1[[#This Row],[Tax]]),0)</f>
        <v>0</v>
      </c>
      <c r="R441" s="38"/>
    </row>
    <row r="442" spans="1:18" x14ac:dyDescent="0.25">
      <c r="A442" s="1" t="s">
        <v>445</v>
      </c>
      <c r="B442" s="4"/>
      <c r="F442" s="3">
        <f>9%*Table1[[#This Row],[Cost ]]</f>
        <v>0</v>
      </c>
      <c r="J442" s="11">
        <f>SUMIF('Multi-level BOM'!C$3:C$464,Table1[[#This Row],[Part Number]],'Multi-level BOM'!F$3:F$464)</f>
        <v>0</v>
      </c>
      <c r="K442" s="11">
        <f>Table1[[#This Row],[extended quantity]]*(Table1[[#This Row],[Cost ]]+Table1[[#This Row],[shipping]]+Table1[[#This Row],[Tax]])</f>
        <v>0</v>
      </c>
      <c r="L442" s="11"/>
      <c r="M442" s="42"/>
      <c r="N442" s="53" t="e">
        <f>CEILING((Table1[[#This Row],[extended quantity]]-Table1[[#This Row],[quantity on-hand]])/Table1[[#This Row],[Minimum order quantity]],1)*Table1[[#This Row],[Minimum order quantity]]</f>
        <v>#DIV/0!</v>
      </c>
      <c r="O442" s="53" t="e">
        <f>Table1[[#This Row],[Order quantity]]+Table1[[#This Row],[quantity on-hand]]-Table1[[#This Row],[extended quantity]]</f>
        <v>#DIV/0!</v>
      </c>
      <c r="P442" s="11">
        <f>IFERROR(Table1[[#This Row],[Order quantity]]*(Table1[[#This Row],[Cost ]]+Table1[[#This Row],[shipping]]+Table1[[#This Row],[Tax]]),0)</f>
        <v>0</v>
      </c>
      <c r="Q442" s="38">
        <f>IFERROR(Table1[[#This Row],[leftover material]]*(Table1[[#This Row],[Cost ]]+Table1[[#This Row],[shipping]]+Table1[[#This Row],[Tax]]),0)</f>
        <v>0</v>
      </c>
      <c r="R442" s="38"/>
    </row>
    <row r="443" spans="1:18" x14ac:dyDescent="0.25">
      <c r="A443" s="1" t="s">
        <v>446</v>
      </c>
      <c r="B443" s="4"/>
      <c r="F443" s="3">
        <f>9%*Table1[[#This Row],[Cost ]]</f>
        <v>0</v>
      </c>
      <c r="J443" s="11">
        <f>SUMIF('Multi-level BOM'!C$3:C$464,Table1[[#This Row],[Part Number]],'Multi-level BOM'!F$3:F$464)</f>
        <v>0</v>
      </c>
      <c r="K443" s="11">
        <f>Table1[[#This Row],[extended quantity]]*(Table1[[#This Row],[Cost ]]+Table1[[#This Row],[shipping]]+Table1[[#This Row],[Tax]])</f>
        <v>0</v>
      </c>
      <c r="L443" s="11"/>
      <c r="M443" s="42"/>
      <c r="N443" s="53" t="e">
        <f>CEILING((Table1[[#This Row],[extended quantity]]-Table1[[#This Row],[quantity on-hand]])/Table1[[#This Row],[Minimum order quantity]],1)*Table1[[#This Row],[Minimum order quantity]]</f>
        <v>#DIV/0!</v>
      </c>
      <c r="O443" s="53" t="e">
        <f>Table1[[#This Row],[Order quantity]]+Table1[[#This Row],[quantity on-hand]]-Table1[[#This Row],[extended quantity]]</f>
        <v>#DIV/0!</v>
      </c>
      <c r="P443" s="11">
        <f>IFERROR(Table1[[#This Row],[Order quantity]]*(Table1[[#This Row],[Cost ]]+Table1[[#This Row],[shipping]]+Table1[[#This Row],[Tax]]),0)</f>
        <v>0</v>
      </c>
      <c r="Q443" s="38">
        <f>IFERROR(Table1[[#This Row],[leftover material]]*(Table1[[#This Row],[Cost ]]+Table1[[#This Row],[shipping]]+Table1[[#This Row],[Tax]]),0)</f>
        <v>0</v>
      </c>
      <c r="R443" s="38"/>
    </row>
    <row r="444" spans="1:18" x14ac:dyDescent="0.25">
      <c r="A444" s="1" t="s">
        <v>447</v>
      </c>
      <c r="B444" s="4"/>
      <c r="F444" s="3">
        <f>9%*Table1[[#This Row],[Cost ]]</f>
        <v>0</v>
      </c>
      <c r="J444" s="11">
        <f>SUMIF('Multi-level BOM'!C$3:C$464,Table1[[#This Row],[Part Number]],'Multi-level BOM'!F$3:F$464)</f>
        <v>0</v>
      </c>
      <c r="K444" s="11">
        <f>Table1[[#This Row],[extended quantity]]*(Table1[[#This Row],[Cost ]]+Table1[[#This Row],[shipping]]+Table1[[#This Row],[Tax]])</f>
        <v>0</v>
      </c>
      <c r="L444" s="11"/>
      <c r="M444" s="42"/>
      <c r="N444" s="53" t="e">
        <f>CEILING((Table1[[#This Row],[extended quantity]]-Table1[[#This Row],[quantity on-hand]])/Table1[[#This Row],[Minimum order quantity]],1)*Table1[[#This Row],[Minimum order quantity]]</f>
        <v>#DIV/0!</v>
      </c>
      <c r="O444" s="53" t="e">
        <f>Table1[[#This Row],[Order quantity]]+Table1[[#This Row],[quantity on-hand]]-Table1[[#This Row],[extended quantity]]</f>
        <v>#DIV/0!</v>
      </c>
      <c r="P444" s="11">
        <f>IFERROR(Table1[[#This Row],[Order quantity]]*(Table1[[#This Row],[Cost ]]+Table1[[#This Row],[shipping]]+Table1[[#This Row],[Tax]]),0)</f>
        <v>0</v>
      </c>
      <c r="Q444" s="38">
        <f>IFERROR(Table1[[#This Row],[leftover material]]*(Table1[[#This Row],[Cost ]]+Table1[[#This Row],[shipping]]+Table1[[#This Row],[Tax]]),0)</f>
        <v>0</v>
      </c>
      <c r="R444" s="38"/>
    </row>
    <row r="445" spans="1:18" x14ac:dyDescent="0.25">
      <c r="A445" s="1" t="s">
        <v>448</v>
      </c>
      <c r="B445" s="4"/>
      <c r="F445" s="3">
        <f>9%*Table1[[#This Row],[Cost ]]</f>
        <v>0</v>
      </c>
      <c r="J445" s="11">
        <f>SUMIF('Multi-level BOM'!C$3:C$464,Table1[[#This Row],[Part Number]],'Multi-level BOM'!F$3:F$464)</f>
        <v>0</v>
      </c>
      <c r="K445" s="11">
        <f>Table1[[#This Row],[extended quantity]]*(Table1[[#This Row],[Cost ]]+Table1[[#This Row],[shipping]]+Table1[[#This Row],[Tax]])</f>
        <v>0</v>
      </c>
      <c r="L445" s="11"/>
      <c r="M445" s="42"/>
      <c r="N445" s="53" t="e">
        <f>CEILING((Table1[[#This Row],[extended quantity]]-Table1[[#This Row],[quantity on-hand]])/Table1[[#This Row],[Minimum order quantity]],1)*Table1[[#This Row],[Minimum order quantity]]</f>
        <v>#DIV/0!</v>
      </c>
      <c r="O445" s="53" t="e">
        <f>Table1[[#This Row],[Order quantity]]+Table1[[#This Row],[quantity on-hand]]-Table1[[#This Row],[extended quantity]]</f>
        <v>#DIV/0!</v>
      </c>
      <c r="P445" s="11">
        <f>IFERROR(Table1[[#This Row],[Order quantity]]*(Table1[[#This Row],[Cost ]]+Table1[[#This Row],[shipping]]+Table1[[#This Row],[Tax]]),0)</f>
        <v>0</v>
      </c>
      <c r="Q445" s="38">
        <f>IFERROR(Table1[[#This Row],[leftover material]]*(Table1[[#This Row],[Cost ]]+Table1[[#This Row],[shipping]]+Table1[[#This Row],[Tax]]),0)</f>
        <v>0</v>
      </c>
      <c r="R445" s="38"/>
    </row>
    <row r="446" spans="1:18" x14ac:dyDescent="0.25">
      <c r="A446" s="1" t="s">
        <v>449</v>
      </c>
      <c r="B446" s="4"/>
      <c r="F446" s="3">
        <f>9%*Table1[[#This Row],[Cost ]]</f>
        <v>0</v>
      </c>
      <c r="J446" s="11">
        <f>SUMIF('Multi-level BOM'!C$3:C$464,Table1[[#This Row],[Part Number]],'Multi-level BOM'!F$3:F$464)</f>
        <v>0</v>
      </c>
      <c r="K446" s="11">
        <f>Table1[[#This Row],[extended quantity]]*(Table1[[#This Row],[Cost ]]+Table1[[#This Row],[shipping]]+Table1[[#This Row],[Tax]])</f>
        <v>0</v>
      </c>
      <c r="L446" s="11"/>
      <c r="M446" s="42"/>
      <c r="N446" s="53" t="e">
        <f>CEILING((Table1[[#This Row],[extended quantity]]-Table1[[#This Row],[quantity on-hand]])/Table1[[#This Row],[Minimum order quantity]],1)*Table1[[#This Row],[Minimum order quantity]]</f>
        <v>#DIV/0!</v>
      </c>
      <c r="O446" s="53" t="e">
        <f>Table1[[#This Row],[Order quantity]]+Table1[[#This Row],[quantity on-hand]]-Table1[[#This Row],[extended quantity]]</f>
        <v>#DIV/0!</v>
      </c>
      <c r="P446" s="11">
        <f>IFERROR(Table1[[#This Row],[Order quantity]]*(Table1[[#This Row],[Cost ]]+Table1[[#This Row],[shipping]]+Table1[[#This Row],[Tax]]),0)</f>
        <v>0</v>
      </c>
      <c r="Q446" s="38">
        <f>IFERROR(Table1[[#This Row],[leftover material]]*(Table1[[#This Row],[Cost ]]+Table1[[#This Row],[shipping]]+Table1[[#This Row],[Tax]]),0)</f>
        <v>0</v>
      </c>
      <c r="R446" s="38"/>
    </row>
    <row r="447" spans="1:18" x14ac:dyDescent="0.25">
      <c r="A447" s="1" t="s">
        <v>450</v>
      </c>
      <c r="B447" s="4"/>
      <c r="F447" s="3">
        <f>9%*Table1[[#This Row],[Cost ]]</f>
        <v>0</v>
      </c>
      <c r="J447" s="11">
        <f>SUMIF('Multi-level BOM'!C$3:C$464,Table1[[#This Row],[Part Number]],'Multi-level BOM'!F$3:F$464)</f>
        <v>0</v>
      </c>
      <c r="K447" s="11">
        <f>Table1[[#This Row],[extended quantity]]*(Table1[[#This Row],[Cost ]]+Table1[[#This Row],[shipping]]+Table1[[#This Row],[Tax]])</f>
        <v>0</v>
      </c>
      <c r="L447" s="11"/>
      <c r="M447" s="42"/>
      <c r="N447" s="53" t="e">
        <f>CEILING((Table1[[#This Row],[extended quantity]]-Table1[[#This Row],[quantity on-hand]])/Table1[[#This Row],[Minimum order quantity]],1)*Table1[[#This Row],[Minimum order quantity]]</f>
        <v>#DIV/0!</v>
      </c>
      <c r="O447" s="53" t="e">
        <f>Table1[[#This Row],[Order quantity]]+Table1[[#This Row],[quantity on-hand]]-Table1[[#This Row],[extended quantity]]</f>
        <v>#DIV/0!</v>
      </c>
      <c r="P447" s="11">
        <f>IFERROR(Table1[[#This Row],[Order quantity]]*(Table1[[#This Row],[Cost ]]+Table1[[#This Row],[shipping]]+Table1[[#This Row],[Tax]]),0)</f>
        <v>0</v>
      </c>
      <c r="Q447" s="38">
        <f>IFERROR(Table1[[#This Row],[leftover material]]*(Table1[[#This Row],[Cost ]]+Table1[[#This Row],[shipping]]+Table1[[#This Row],[Tax]]),0)</f>
        <v>0</v>
      </c>
      <c r="R447" s="38"/>
    </row>
    <row r="448" spans="1:18" x14ac:dyDescent="0.25">
      <c r="A448" s="1" t="s">
        <v>451</v>
      </c>
      <c r="B448" s="4"/>
      <c r="F448" s="3">
        <f>9%*Table1[[#This Row],[Cost ]]</f>
        <v>0</v>
      </c>
      <c r="J448" s="11">
        <f>SUMIF('Multi-level BOM'!C$3:C$464,Table1[[#This Row],[Part Number]],'Multi-level BOM'!F$3:F$464)</f>
        <v>0</v>
      </c>
      <c r="K448" s="11">
        <f>Table1[[#This Row],[extended quantity]]*(Table1[[#This Row],[Cost ]]+Table1[[#This Row],[shipping]]+Table1[[#This Row],[Tax]])</f>
        <v>0</v>
      </c>
      <c r="L448" s="11"/>
      <c r="M448" s="42"/>
      <c r="N448" s="53" t="e">
        <f>CEILING((Table1[[#This Row],[extended quantity]]-Table1[[#This Row],[quantity on-hand]])/Table1[[#This Row],[Minimum order quantity]],1)*Table1[[#This Row],[Minimum order quantity]]</f>
        <v>#DIV/0!</v>
      </c>
      <c r="O448" s="53" t="e">
        <f>Table1[[#This Row],[Order quantity]]+Table1[[#This Row],[quantity on-hand]]-Table1[[#This Row],[extended quantity]]</f>
        <v>#DIV/0!</v>
      </c>
      <c r="P448" s="11">
        <f>IFERROR(Table1[[#This Row],[Order quantity]]*(Table1[[#This Row],[Cost ]]+Table1[[#This Row],[shipping]]+Table1[[#This Row],[Tax]]),0)</f>
        <v>0</v>
      </c>
      <c r="Q448" s="38">
        <f>IFERROR(Table1[[#This Row],[leftover material]]*(Table1[[#This Row],[Cost ]]+Table1[[#This Row],[shipping]]+Table1[[#This Row],[Tax]]),0)</f>
        <v>0</v>
      </c>
      <c r="R448" s="38"/>
    </row>
    <row r="449" spans="1:18" x14ac:dyDescent="0.25">
      <c r="A449" s="1" t="s">
        <v>452</v>
      </c>
      <c r="B449" s="4"/>
      <c r="F449" s="3">
        <f>9%*Table1[[#This Row],[Cost ]]</f>
        <v>0</v>
      </c>
      <c r="J449" s="11">
        <f>SUMIF('Multi-level BOM'!C$3:C$464,Table1[[#This Row],[Part Number]],'Multi-level BOM'!F$3:F$464)</f>
        <v>0</v>
      </c>
      <c r="K449" s="11">
        <f>Table1[[#This Row],[extended quantity]]*(Table1[[#This Row],[Cost ]]+Table1[[#This Row],[shipping]]+Table1[[#This Row],[Tax]])</f>
        <v>0</v>
      </c>
      <c r="L449" s="11"/>
      <c r="M449" s="42"/>
      <c r="N449" s="53" t="e">
        <f>CEILING((Table1[[#This Row],[extended quantity]]-Table1[[#This Row],[quantity on-hand]])/Table1[[#This Row],[Minimum order quantity]],1)*Table1[[#This Row],[Minimum order quantity]]</f>
        <v>#DIV/0!</v>
      </c>
      <c r="O449" s="53" t="e">
        <f>Table1[[#This Row],[Order quantity]]+Table1[[#This Row],[quantity on-hand]]-Table1[[#This Row],[extended quantity]]</f>
        <v>#DIV/0!</v>
      </c>
      <c r="P449" s="11">
        <f>IFERROR(Table1[[#This Row],[Order quantity]]*(Table1[[#This Row],[Cost ]]+Table1[[#This Row],[shipping]]+Table1[[#This Row],[Tax]]),0)</f>
        <v>0</v>
      </c>
      <c r="Q449" s="38">
        <f>IFERROR(Table1[[#This Row],[leftover material]]*(Table1[[#This Row],[Cost ]]+Table1[[#This Row],[shipping]]+Table1[[#This Row],[Tax]]),0)</f>
        <v>0</v>
      </c>
      <c r="R449" s="38"/>
    </row>
    <row r="450" spans="1:18" x14ac:dyDescent="0.25">
      <c r="A450" s="1" t="s">
        <v>453</v>
      </c>
      <c r="B450" s="4"/>
      <c r="F450" s="3">
        <f>9%*Table1[[#This Row],[Cost ]]</f>
        <v>0</v>
      </c>
      <c r="J450" s="11">
        <f>SUMIF('Multi-level BOM'!C$3:C$464,Table1[[#This Row],[Part Number]],'Multi-level BOM'!F$3:F$464)</f>
        <v>0</v>
      </c>
      <c r="K450" s="11">
        <f>Table1[[#This Row],[extended quantity]]*(Table1[[#This Row],[Cost ]]+Table1[[#This Row],[shipping]]+Table1[[#This Row],[Tax]])</f>
        <v>0</v>
      </c>
      <c r="L450" s="11"/>
      <c r="M450" s="42"/>
      <c r="N450" s="53" t="e">
        <f>CEILING((Table1[[#This Row],[extended quantity]]-Table1[[#This Row],[quantity on-hand]])/Table1[[#This Row],[Minimum order quantity]],1)*Table1[[#This Row],[Minimum order quantity]]</f>
        <v>#DIV/0!</v>
      </c>
      <c r="O450" s="53" t="e">
        <f>Table1[[#This Row],[Order quantity]]+Table1[[#This Row],[quantity on-hand]]-Table1[[#This Row],[extended quantity]]</f>
        <v>#DIV/0!</v>
      </c>
      <c r="P450" s="11">
        <f>IFERROR(Table1[[#This Row],[Order quantity]]*(Table1[[#This Row],[Cost ]]+Table1[[#This Row],[shipping]]+Table1[[#This Row],[Tax]]),0)</f>
        <v>0</v>
      </c>
      <c r="Q450" s="38">
        <f>IFERROR(Table1[[#This Row],[leftover material]]*(Table1[[#This Row],[Cost ]]+Table1[[#This Row],[shipping]]+Table1[[#This Row],[Tax]]),0)</f>
        <v>0</v>
      </c>
      <c r="R450" s="38"/>
    </row>
    <row r="451" spans="1:18" x14ac:dyDescent="0.25">
      <c r="A451" s="1" t="s">
        <v>454</v>
      </c>
      <c r="B451" s="4"/>
      <c r="F451" s="3">
        <f>9%*Table1[[#This Row],[Cost ]]</f>
        <v>0</v>
      </c>
      <c r="J451" s="11">
        <f>SUMIF('Multi-level BOM'!C$3:C$464,Table1[[#This Row],[Part Number]],'Multi-level BOM'!F$3:F$464)</f>
        <v>0</v>
      </c>
      <c r="K451" s="11">
        <f>Table1[[#This Row],[extended quantity]]*(Table1[[#This Row],[Cost ]]+Table1[[#This Row],[shipping]]+Table1[[#This Row],[Tax]])</f>
        <v>0</v>
      </c>
      <c r="L451" s="11"/>
      <c r="M451" s="42"/>
      <c r="N451" s="53" t="e">
        <f>CEILING((Table1[[#This Row],[extended quantity]]-Table1[[#This Row],[quantity on-hand]])/Table1[[#This Row],[Minimum order quantity]],1)*Table1[[#This Row],[Minimum order quantity]]</f>
        <v>#DIV/0!</v>
      </c>
      <c r="O451" s="53" t="e">
        <f>Table1[[#This Row],[Order quantity]]+Table1[[#This Row],[quantity on-hand]]-Table1[[#This Row],[extended quantity]]</f>
        <v>#DIV/0!</v>
      </c>
      <c r="P451" s="11">
        <f>IFERROR(Table1[[#This Row],[Order quantity]]*(Table1[[#This Row],[Cost ]]+Table1[[#This Row],[shipping]]+Table1[[#This Row],[Tax]]),0)</f>
        <v>0</v>
      </c>
      <c r="Q451" s="38">
        <f>IFERROR(Table1[[#This Row],[leftover material]]*(Table1[[#This Row],[Cost ]]+Table1[[#This Row],[shipping]]+Table1[[#This Row],[Tax]]),0)</f>
        <v>0</v>
      </c>
      <c r="R451" s="38"/>
    </row>
    <row r="452" spans="1:18" x14ac:dyDescent="0.25">
      <c r="A452" s="1" t="s">
        <v>455</v>
      </c>
      <c r="B452" s="4"/>
      <c r="F452" s="3">
        <f>9%*Table1[[#This Row],[Cost ]]</f>
        <v>0</v>
      </c>
      <c r="J452" s="11">
        <f>SUMIF('Multi-level BOM'!C$3:C$464,Table1[[#This Row],[Part Number]],'Multi-level BOM'!F$3:F$464)</f>
        <v>0</v>
      </c>
      <c r="K452" s="11">
        <f>Table1[[#This Row],[extended quantity]]*(Table1[[#This Row],[Cost ]]+Table1[[#This Row],[shipping]]+Table1[[#This Row],[Tax]])</f>
        <v>0</v>
      </c>
      <c r="L452" s="11"/>
      <c r="M452" s="42"/>
      <c r="N452" s="53" t="e">
        <f>CEILING((Table1[[#This Row],[extended quantity]]-Table1[[#This Row],[quantity on-hand]])/Table1[[#This Row],[Minimum order quantity]],1)*Table1[[#This Row],[Minimum order quantity]]</f>
        <v>#DIV/0!</v>
      </c>
      <c r="O452" s="53" t="e">
        <f>Table1[[#This Row],[Order quantity]]+Table1[[#This Row],[quantity on-hand]]-Table1[[#This Row],[extended quantity]]</f>
        <v>#DIV/0!</v>
      </c>
      <c r="P452" s="11">
        <f>IFERROR(Table1[[#This Row],[Order quantity]]*(Table1[[#This Row],[Cost ]]+Table1[[#This Row],[shipping]]+Table1[[#This Row],[Tax]]),0)</f>
        <v>0</v>
      </c>
      <c r="Q452" s="38">
        <f>IFERROR(Table1[[#This Row],[leftover material]]*(Table1[[#This Row],[Cost ]]+Table1[[#This Row],[shipping]]+Table1[[#This Row],[Tax]]),0)</f>
        <v>0</v>
      </c>
      <c r="R452" s="38"/>
    </row>
    <row r="453" spans="1:18" x14ac:dyDescent="0.25">
      <c r="A453" s="1" t="s">
        <v>456</v>
      </c>
      <c r="B453" s="4"/>
      <c r="F453" s="3">
        <f>9%*Table1[[#This Row],[Cost ]]</f>
        <v>0</v>
      </c>
      <c r="J453" s="11">
        <f>SUMIF('Multi-level BOM'!C$3:C$464,Table1[[#This Row],[Part Number]],'Multi-level BOM'!F$3:F$464)</f>
        <v>0</v>
      </c>
      <c r="K453" s="11">
        <f>Table1[[#This Row],[extended quantity]]*(Table1[[#This Row],[Cost ]]+Table1[[#This Row],[shipping]]+Table1[[#This Row],[Tax]])</f>
        <v>0</v>
      </c>
      <c r="L453" s="11"/>
      <c r="M453" s="42"/>
      <c r="N453" s="53" t="e">
        <f>CEILING((Table1[[#This Row],[extended quantity]]-Table1[[#This Row],[quantity on-hand]])/Table1[[#This Row],[Minimum order quantity]],1)*Table1[[#This Row],[Minimum order quantity]]</f>
        <v>#DIV/0!</v>
      </c>
      <c r="O453" s="53" t="e">
        <f>Table1[[#This Row],[Order quantity]]+Table1[[#This Row],[quantity on-hand]]-Table1[[#This Row],[extended quantity]]</f>
        <v>#DIV/0!</v>
      </c>
      <c r="P453" s="11">
        <f>IFERROR(Table1[[#This Row],[Order quantity]]*(Table1[[#This Row],[Cost ]]+Table1[[#This Row],[shipping]]+Table1[[#This Row],[Tax]]),0)</f>
        <v>0</v>
      </c>
      <c r="Q453" s="38">
        <f>IFERROR(Table1[[#This Row],[leftover material]]*(Table1[[#This Row],[Cost ]]+Table1[[#This Row],[shipping]]+Table1[[#This Row],[Tax]]),0)</f>
        <v>0</v>
      </c>
      <c r="R453" s="38"/>
    </row>
    <row r="454" spans="1:18" x14ac:dyDescent="0.25">
      <c r="A454" s="1" t="s">
        <v>457</v>
      </c>
      <c r="B454" s="4"/>
      <c r="F454" s="3">
        <f>9%*Table1[[#This Row],[Cost ]]</f>
        <v>0</v>
      </c>
      <c r="J454" s="11">
        <f>SUMIF('Multi-level BOM'!C$3:C$464,Table1[[#This Row],[Part Number]],'Multi-level BOM'!F$3:F$464)</f>
        <v>0</v>
      </c>
      <c r="K454" s="11">
        <f>Table1[[#This Row],[extended quantity]]*(Table1[[#This Row],[Cost ]]+Table1[[#This Row],[shipping]]+Table1[[#This Row],[Tax]])</f>
        <v>0</v>
      </c>
      <c r="L454" s="11"/>
      <c r="M454" s="42"/>
      <c r="N454" s="53" t="e">
        <f>CEILING((Table1[[#This Row],[extended quantity]]-Table1[[#This Row],[quantity on-hand]])/Table1[[#This Row],[Minimum order quantity]],1)*Table1[[#This Row],[Minimum order quantity]]</f>
        <v>#DIV/0!</v>
      </c>
      <c r="O454" s="53" t="e">
        <f>Table1[[#This Row],[Order quantity]]+Table1[[#This Row],[quantity on-hand]]-Table1[[#This Row],[extended quantity]]</f>
        <v>#DIV/0!</v>
      </c>
      <c r="P454" s="11">
        <f>IFERROR(Table1[[#This Row],[Order quantity]]*(Table1[[#This Row],[Cost ]]+Table1[[#This Row],[shipping]]+Table1[[#This Row],[Tax]]),0)</f>
        <v>0</v>
      </c>
      <c r="Q454" s="38">
        <f>IFERROR(Table1[[#This Row],[leftover material]]*(Table1[[#This Row],[Cost ]]+Table1[[#This Row],[shipping]]+Table1[[#This Row],[Tax]]),0)</f>
        <v>0</v>
      </c>
      <c r="R454" s="38"/>
    </row>
    <row r="455" spans="1:18" x14ac:dyDescent="0.25">
      <c r="A455" s="1" t="s">
        <v>458</v>
      </c>
      <c r="B455" s="4"/>
      <c r="F455" s="3">
        <f>9%*Table1[[#This Row],[Cost ]]</f>
        <v>0</v>
      </c>
      <c r="J455" s="11">
        <f>SUMIF('Multi-level BOM'!C$3:C$464,Table1[[#This Row],[Part Number]],'Multi-level BOM'!F$3:F$464)</f>
        <v>0</v>
      </c>
      <c r="K455" s="11">
        <f>Table1[[#This Row],[extended quantity]]*(Table1[[#This Row],[Cost ]]+Table1[[#This Row],[shipping]]+Table1[[#This Row],[Tax]])</f>
        <v>0</v>
      </c>
      <c r="L455" s="11"/>
      <c r="M455" s="42"/>
      <c r="N455" s="53" t="e">
        <f>CEILING((Table1[[#This Row],[extended quantity]]-Table1[[#This Row],[quantity on-hand]])/Table1[[#This Row],[Minimum order quantity]],1)*Table1[[#This Row],[Minimum order quantity]]</f>
        <v>#DIV/0!</v>
      </c>
      <c r="O455" s="53" t="e">
        <f>Table1[[#This Row],[Order quantity]]+Table1[[#This Row],[quantity on-hand]]-Table1[[#This Row],[extended quantity]]</f>
        <v>#DIV/0!</v>
      </c>
      <c r="P455" s="11">
        <f>IFERROR(Table1[[#This Row],[Order quantity]]*(Table1[[#This Row],[Cost ]]+Table1[[#This Row],[shipping]]+Table1[[#This Row],[Tax]]),0)</f>
        <v>0</v>
      </c>
      <c r="Q455" s="38">
        <f>IFERROR(Table1[[#This Row],[leftover material]]*(Table1[[#This Row],[Cost ]]+Table1[[#This Row],[shipping]]+Table1[[#This Row],[Tax]]),0)</f>
        <v>0</v>
      </c>
      <c r="R455" s="38"/>
    </row>
    <row r="456" spans="1:18" x14ac:dyDescent="0.25">
      <c r="A456" s="1" t="s">
        <v>459</v>
      </c>
      <c r="B456" s="4"/>
      <c r="F456" s="3">
        <f>9%*Table1[[#This Row],[Cost ]]</f>
        <v>0</v>
      </c>
      <c r="J456" s="11">
        <f>SUMIF('Multi-level BOM'!C$3:C$464,Table1[[#This Row],[Part Number]],'Multi-level BOM'!F$3:F$464)</f>
        <v>0</v>
      </c>
      <c r="K456" s="11">
        <f>Table1[[#This Row],[extended quantity]]*(Table1[[#This Row],[Cost ]]+Table1[[#This Row],[shipping]]+Table1[[#This Row],[Tax]])</f>
        <v>0</v>
      </c>
      <c r="L456" s="11"/>
      <c r="M456" s="42"/>
      <c r="N456" s="53" t="e">
        <f>CEILING((Table1[[#This Row],[extended quantity]]-Table1[[#This Row],[quantity on-hand]])/Table1[[#This Row],[Minimum order quantity]],1)*Table1[[#This Row],[Minimum order quantity]]</f>
        <v>#DIV/0!</v>
      </c>
      <c r="O456" s="53" t="e">
        <f>Table1[[#This Row],[Order quantity]]+Table1[[#This Row],[quantity on-hand]]-Table1[[#This Row],[extended quantity]]</f>
        <v>#DIV/0!</v>
      </c>
      <c r="P456" s="11">
        <f>IFERROR(Table1[[#This Row],[Order quantity]]*(Table1[[#This Row],[Cost ]]+Table1[[#This Row],[shipping]]+Table1[[#This Row],[Tax]]),0)</f>
        <v>0</v>
      </c>
      <c r="Q456" s="38">
        <f>IFERROR(Table1[[#This Row],[leftover material]]*(Table1[[#This Row],[Cost ]]+Table1[[#This Row],[shipping]]+Table1[[#This Row],[Tax]]),0)</f>
        <v>0</v>
      </c>
      <c r="R456" s="38"/>
    </row>
    <row r="457" spans="1:18" x14ac:dyDescent="0.25">
      <c r="A457" s="1" t="s">
        <v>460</v>
      </c>
      <c r="B457" s="4"/>
      <c r="F457" s="3">
        <f>9%*Table1[[#This Row],[Cost ]]</f>
        <v>0</v>
      </c>
      <c r="J457" s="11">
        <f>SUMIF('Multi-level BOM'!C$3:C$464,Table1[[#This Row],[Part Number]],'Multi-level BOM'!F$3:F$464)</f>
        <v>0</v>
      </c>
      <c r="K457" s="11">
        <f>Table1[[#This Row],[extended quantity]]*(Table1[[#This Row],[Cost ]]+Table1[[#This Row],[shipping]]+Table1[[#This Row],[Tax]])</f>
        <v>0</v>
      </c>
      <c r="L457" s="11"/>
      <c r="M457" s="42"/>
      <c r="N457" s="53" t="e">
        <f>CEILING((Table1[[#This Row],[extended quantity]]-Table1[[#This Row],[quantity on-hand]])/Table1[[#This Row],[Minimum order quantity]],1)*Table1[[#This Row],[Minimum order quantity]]</f>
        <v>#DIV/0!</v>
      </c>
      <c r="O457" s="53" t="e">
        <f>Table1[[#This Row],[Order quantity]]+Table1[[#This Row],[quantity on-hand]]-Table1[[#This Row],[extended quantity]]</f>
        <v>#DIV/0!</v>
      </c>
      <c r="P457" s="11">
        <f>IFERROR(Table1[[#This Row],[Order quantity]]*(Table1[[#This Row],[Cost ]]+Table1[[#This Row],[shipping]]+Table1[[#This Row],[Tax]]),0)</f>
        <v>0</v>
      </c>
      <c r="Q457" s="38">
        <f>IFERROR(Table1[[#This Row],[leftover material]]*(Table1[[#This Row],[Cost ]]+Table1[[#This Row],[shipping]]+Table1[[#This Row],[Tax]]),0)</f>
        <v>0</v>
      </c>
      <c r="R457" s="38"/>
    </row>
    <row r="458" spans="1:18" x14ac:dyDescent="0.25">
      <c r="A458" s="1" t="s">
        <v>461</v>
      </c>
      <c r="B458" s="4"/>
      <c r="F458" s="3">
        <f>9%*Table1[[#This Row],[Cost ]]</f>
        <v>0</v>
      </c>
      <c r="J458" s="11">
        <f>SUMIF('Multi-level BOM'!C$3:C$464,Table1[[#This Row],[Part Number]],'Multi-level BOM'!F$3:F$464)</f>
        <v>0</v>
      </c>
      <c r="K458" s="11">
        <f>Table1[[#This Row],[extended quantity]]*(Table1[[#This Row],[Cost ]]+Table1[[#This Row],[shipping]]+Table1[[#This Row],[Tax]])</f>
        <v>0</v>
      </c>
      <c r="L458" s="11"/>
      <c r="M458" s="42"/>
      <c r="N458" s="53" t="e">
        <f>CEILING((Table1[[#This Row],[extended quantity]]-Table1[[#This Row],[quantity on-hand]])/Table1[[#This Row],[Minimum order quantity]],1)*Table1[[#This Row],[Minimum order quantity]]</f>
        <v>#DIV/0!</v>
      </c>
      <c r="O458" s="53" t="e">
        <f>Table1[[#This Row],[Order quantity]]+Table1[[#This Row],[quantity on-hand]]-Table1[[#This Row],[extended quantity]]</f>
        <v>#DIV/0!</v>
      </c>
      <c r="P458" s="11">
        <f>IFERROR(Table1[[#This Row],[Order quantity]]*(Table1[[#This Row],[Cost ]]+Table1[[#This Row],[shipping]]+Table1[[#This Row],[Tax]]),0)</f>
        <v>0</v>
      </c>
      <c r="Q458" s="38">
        <f>IFERROR(Table1[[#This Row],[leftover material]]*(Table1[[#This Row],[Cost ]]+Table1[[#This Row],[shipping]]+Table1[[#This Row],[Tax]]),0)</f>
        <v>0</v>
      </c>
      <c r="R458" s="38"/>
    </row>
    <row r="459" spans="1:18" x14ac:dyDescent="0.25">
      <c r="A459" s="1" t="s">
        <v>462</v>
      </c>
      <c r="B459" s="4"/>
      <c r="F459" s="3">
        <f>9%*Table1[[#This Row],[Cost ]]</f>
        <v>0</v>
      </c>
      <c r="J459" s="11">
        <f>SUMIF('Multi-level BOM'!C$3:C$464,Table1[[#This Row],[Part Number]],'Multi-level BOM'!F$3:F$464)</f>
        <v>0</v>
      </c>
      <c r="K459" s="11">
        <f>Table1[[#This Row],[extended quantity]]*(Table1[[#This Row],[Cost ]]+Table1[[#This Row],[shipping]]+Table1[[#This Row],[Tax]])</f>
        <v>0</v>
      </c>
      <c r="L459" s="11"/>
      <c r="M459" s="42"/>
      <c r="N459" s="53" t="e">
        <f>CEILING((Table1[[#This Row],[extended quantity]]-Table1[[#This Row],[quantity on-hand]])/Table1[[#This Row],[Minimum order quantity]],1)*Table1[[#This Row],[Minimum order quantity]]</f>
        <v>#DIV/0!</v>
      </c>
      <c r="O459" s="53" t="e">
        <f>Table1[[#This Row],[Order quantity]]+Table1[[#This Row],[quantity on-hand]]-Table1[[#This Row],[extended quantity]]</f>
        <v>#DIV/0!</v>
      </c>
      <c r="P459" s="11">
        <f>IFERROR(Table1[[#This Row],[Order quantity]]*(Table1[[#This Row],[Cost ]]+Table1[[#This Row],[shipping]]+Table1[[#This Row],[Tax]]),0)</f>
        <v>0</v>
      </c>
      <c r="Q459" s="38">
        <f>IFERROR(Table1[[#This Row],[leftover material]]*(Table1[[#This Row],[Cost ]]+Table1[[#This Row],[shipping]]+Table1[[#This Row],[Tax]]),0)</f>
        <v>0</v>
      </c>
      <c r="R459" s="38"/>
    </row>
    <row r="460" spans="1:18" x14ac:dyDescent="0.25">
      <c r="A460" s="1" t="s">
        <v>463</v>
      </c>
      <c r="B460" s="4"/>
      <c r="F460" s="3">
        <f>9%*Table1[[#This Row],[Cost ]]</f>
        <v>0</v>
      </c>
      <c r="J460" s="11">
        <f>SUMIF('Multi-level BOM'!C$3:C$464,Table1[[#This Row],[Part Number]],'Multi-level BOM'!F$3:F$464)</f>
        <v>0</v>
      </c>
      <c r="K460" s="11">
        <f>Table1[[#This Row],[extended quantity]]*(Table1[[#This Row],[Cost ]]+Table1[[#This Row],[shipping]]+Table1[[#This Row],[Tax]])</f>
        <v>0</v>
      </c>
      <c r="L460" s="11"/>
      <c r="M460" s="42"/>
      <c r="N460" s="53" t="e">
        <f>CEILING((Table1[[#This Row],[extended quantity]]-Table1[[#This Row],[quantity on-hand]])/Table1[[#This Row],[Minimum order quantity]],1)*Table1[[#This Row],[Minimum order quantity]]</f>
        <v>#DIV/0!</v>
      </c>
      <c r="O460" s="53" t="e">
        <f>Table1[[#This Row],[Order quantity]]+Table1[[#This Row],[quantity on-hand]]-Table1[[#This Row],[extended quantity]]</f>
        <v>#DIV/0!</v>
      </c>
      <c r="P460" s="11">
        <f>IFERROR(Table1[[#This Row],[Order quantity]]*(Table1[[#This Row],[Cost ]]+Table1[[#This Row],[shipping]]+Table1[[#This Row],[Tax]]),0)</f>
        <v>0</v>
      </c>
      <c r="Q460" s="38">
        <f>IFERROR(Table1[[#This Row],[leftover material]]*(Table1[[#This Row],[Cost ]]+Table1[[#This Row],[shipping]]+Table1[[#This Row],[Tax]]),0)</f>
        <v>0</v>
      </c>
      <c r="R460" s="38"/>
    </row>
    <row r="461" spans="1:18" x14ac:dyDescent="0.25">
      <c r="A461" s="1" t="s">
        <v>464</v>
      </c>
      <c r="B461" s="4"/>
      <c r="F461" s="3">
        <f>9%*Table1[[#This Row],[Cost ]]</f>
        <v>0</v>
      </c>
      <c r="J461" s="11">
        <f>SUMIF('Multi-level BOM'!C$3:C$464,Table1[[#This Row],[Part Number]],'Multi-level BOM'!F$3:F$464)</f>
        <v>0</v>
      </c>
      <c r="K461" s="11">
        <f>Table1[[#This Row],[extended quantity]]*(Table1[[#This Row],[Cost ]]+Table1[[#This Row],[shipping]]+Table1[[#This Row],[Tax]])</f>
        <v>0</v>
      </c>
      <c r="L461" s="11"/>
      <c r="M461" s="42"/>
      <c r="N461" s="53" t="e">
        <f>CEILING((Table1[[#This Row],[extended quantity]]-Table1[[#This Row],[quantity on-hand]])/Table1[[#This Row],[Minimum order quantity]],1)*Table1[[#This Row],[Minimum order quantity]]</f>
        <v>#DIV/0!</v>
      </c>
      <c r="O461" s="53" t="e">
        <f>Table1[[#This Row],[Order quantity]]+Table1[[#This Row],[quantity on-hand]]-Table1[[#This Row],[extended quantity]]</f>
        <v>#DIV/0!</v>
      </c>
      <c r="P461" s="11">
        <f>IFERROR(Table1[[#This Row],[Order quantity]]*(Table1[[#This Row],[Cost ]]+Table1[[#This Row],[shipping]]+Table1[[#This Row],[Tax]]),0)</f>
        <v>0</v>
      </c>
      <c r="Q461" s="38">
        <f>IFERROR(Table1[[#This Row],[leftover material]]*(Table1[[#This Row],[Cost ]]+Table1[[#This Row],[shipping]]+Table1[[#This Row],[Tax]]),0)</f>
        <v>0</v>
      </c>
      <c r="R461" s="38"/>
    </row>
    <row r="462" spans="1:18" x14ac:dyDescent="0.25">
      <c r="A462" s="1" t="s">
        <v>465</v>
      </c>
      <c r="B462" s="4"/>
      <c r="F462" s="3">
        <f>9%*Table1[[#This Row],[Cost ]]</f>
        <v>0</v>
      </c>
      <c r="J462" s="11">
        <f>SUMIF('Multi-level BOM'!C$3:C$464,Table1[[#This Row],[Part Number]],'Multi-level BOM'!F$3:F$464)</f>
        <v>0</v>
      </c>
      <c r="K462" s="11">
        <f>Table1[[#This Row],[extended quantity]]*(Table1[[#This Row],[Cost ]]+Table1[[#This Row],[shipping]]+Table1[[#This Row],[Tax]])</f>
        <v>0</v>
      </c>
      <c r="L462" s="11"/>
      <c r="M462" s="42"/>
      <c r="N462" s="53" t="e">
        <f>CEILING((Table1[[#This Row],[extended quantity]]-Table1[[#This Row],[quantity on-hand]])/Table1[[#This Row],[Minimum order quantity]],1)*Table1[[#This Row],[Minimum order quantity]]</f>
        <v>#DIV/0!</v>
      </c>
      <c r="O462" s="53" t="e">
        <f>Table1[[#This Row],[Order quantity]]+Table1[[#This Row],[quantity on-hand]]-Table1[[#This Row],[extended quantity]]</f>
        <v>#DIV/0!</v>
      </c>
      <c r="P462" s="11">
        <f>IFERROR(Table1[[#This Row],[Order quantity]]*(Table1[[#This Row],[Cost ]]+Table1[[#This Row],[shipping]]+Table1[[#This Row],[Tax]]),0)</f>
        <v>0</v>
      </c>
      <c r="Q462" s="38">
        <f>IFERROR(Table1[[#This Row],[leftover material]]*(Table1[[#This Row],[Cost ]]+Table1[[#This Row],[shipping]]+Table1[[#This Row],[Tax]]),0)</f>
        <v>0</v>
      </c>
      <c r="R462" s="38"/>
    </row>
    <row r="463" spans="1:18" x14ac:dyDescent="0.25">
      <c r="A463" s="1" t="s">
        <v>466</v>
      </c>
      <c r="B463" s="4"/>
      <c r="F463" s="3">
        <f>9%*Table1[[#This Row],[Cost ]]</f>
        <v>0</v>
      </c>
      <c r="J463" s="11">
        <f>SUMIF('Multi-level BOM'!C$3:C$464,Table1[[#This Row],[Part Number]],'Multi-level BOM'!F$3:F$464)</f>
        <v>0</v>
      </c>
      <c r="K463" s="11">
        <f>Table1[[#This Row],[extended quantity]]*(Table1[[#This Row],[Cost ]]+Table1[[#This Row],[shipping]]+Table1[[#This Row],[Tax]])</f>
        <v>0</v>
      </c>
      <c r="L463" s="11"/>
      <c r="M463" s="42"/>
      <c r="N463" s="53" t="e">
        <f>CEILING((Table1[[#This Row],[extended quantity]]-Table1[[#This Row],[quantity on-hand]])/Table1[[#This Row],[Minimum order quantity]],1)*Table1[[#This Row],[Minimum order quantity]]</f>
        <v>#DIV/0!</v>
      </c>
      <c r="O463" s="53" t="e">
        <f>Table1[[#This Row],[Order quantity]]+Table1[[#This Row],[quantity on-hand]]-Table1[[#This Row],[extended quantity]]</f>
        <v>#DIV/0!</v>
      </c>
      <c r="P463" s="11">
        <f>IFERROR(Table1[[#This Row],[Order quantity]]*(Table1[[#This Row],[Cost ]]+Table1[[#This Row],[shipping]]+Table1[[#This Row],[Tax]]),0)</f>
        <v>0</v>
      </c>
      <c r="Q463" s="38">
        <f>IFERROR(Table1[[#This Row],[leftover material]]*(Table1[[#This Row],[Cost ]]+Table1[[#This Row],[shipping]]+Table1[[#This Row],[Tax]]),0)</f>
        <v>0</v>
      </c>
      <c r="R463" s="38"/>
    </row>
    <row r="464" spans="1:18" x14ac:dyDescent="0.25">
      <c r="A464" s="1" t="s">
        <v>467</v>
      </c>
      <c r="B464" s="4"/>
      <c r="F464" s="3">
        <f>9%*Table1[[#This Row],[Cost ]]</f>
        <v>0</v>
      </c>
      <c r="J464" s="11">
        <f>SUMIF('Multi-level BOM'!C$3:C$464,Table1[[#This Row],[Part Number]],'Multi-level BOM'!F$3:F$464)</f>
        <v>0</v>
      </c>
      <c r="K464" s="11">
        <f>Table1[[#This Row],[extended quantity]]*(Table1[[#This Row],[Cost ]]+Table1[[#This Row],[shipping]]+Table1[[#This Row],[Tax]])</f>
        <v>0</v>
      </c>
      <c r="L464" s="11"/>
      <c r="M464" s="42"/>
      <c r="N464" s="53" t="e">
        <f>CEILING((Table1[[#This Row],[extended quantity]]-Table1[[#This Row],[quantity on-hand]])/Table1[[#This Row],[Minimum order quantity]],1)*Table1[[#This Row],[Minimum order quantity]]</f>
        <v>#DIV/0!</v>
      </c>
      <c r="O464" s="53" t="e">
        <f>Table1[[#This Row],[Order quantity]]+Table1[[#This Row],[quantity on-hand]]-Table1[[#This Row],[extended quantity]]</f>
        <v>#DIV/0!</v>
      </c>
      <c r="P464" s="11">
        <f>IFERROR(Table1[[#This Row],[Order quantity]]*(Table1[[#This Row],[Cost ]]+Table1[[#This Row],[shipping]]+Table1[[#This Row],[Tax]]),0)</f>
        <v>0</v>
      </c>
      <c r="Q464" s="38">
        <f>IFERROR(Table1[[#This Row],[leftover material]]*(Table1[[#This Row],[Cost ]]+Table1[[#This Row],[shipping]]+Table1[[#This Row],[Tax]]),0)</f>
        <v>0</v>
      </c>
      <c r="R464" s="38"/>
    </row>
    <row r="465" spans="1:18" x14ac:dyDescent="0.25">
      <c r="A465" s="1" t="s">
        <v>468</v>
      </c>
      <c r="B465" s="4"/>
      <c r="F465" s="3">
        <f>9%*Table1[[#This Row],[Cost ]]</f>
        <v>0</v>
      </c>
      <c r="J465" s="11">
        <f>SUMIF('Multi-level BOM'!C$3:C$464,Table1[[#This Row],[Part Number]],'Multi-level BOM'!F$3:F$464)</f>
        <v>0</v>
      </c>
      <c r="K465" s="11">
        <f>Table1[[#This Row],[extended quantity]]*(Table1[[#This Row],[Cost ]]+Table1[[#This Row],[shipping]]+Table1[[#This Row],[Tax]])</f>
        <v>0</v>
      </c>
      <c r="L465" s="11"/>
      <c r="M465" s="42"/>
      <c r="N465" s="53" t="e">
        <f>CEILING((Table1[[#This Row],[extended quantity]]-Table1[[#This Row],[quantity on-hand]])/Table1[[#This Row],[Minimum order quantity]],1)*Table1[[#This Row],[Minimum order quantity]]</f>
        <v>#DIV/0!</v>
      </c>
      <c r="O465" s="53" t="e">
        <f>Table1[[#This Row],[Order quantity]]+Table1[[#This Row],[quantity on-hand]]-Table1[[#This Row],[extended quantity]]</f>
        <v>#DIV/0!</v>
      </c>
      <c r="P465" s="11">
        <f>IFERROR(Table1[[#This Row],[Order quantity]]*(Table1[[#This Row],[Cost ]]+Table1[[#This Row],[shipping]]+Table1[[#This Row],[Tax]]),0)</f>
        <v>0</v>
      </c>
      <c r="Q465" s="38">
        <f>IFERROR(Table1[[#This Row],[leftover material]]*(Table1[[#This Row],[Cost ]]+Table1[[#This Row],[shipping]]+Table1[[#This Row],[Tax]]),0)</f>
        <v>0</v>
      </c>
      <c r="R465" s="38"/>
    </row>
    <row r="466" spans="1:18" x14ac:dyDescent="0.25">
      <c r="A466" s="1" t="s">
        <v>469</v>
      </c>
      <c r="B466" s="4"/>
      <c r="F466" s="3">
        <f>9%*Table1[[#This Row],[Cost ]]</f>
        <v>0</v>
      </c>
      <c r="J466" s="11">
        <f>SUMIF('Multi-level BOM'!C$3:C$464,Table1[[#This Row],[Part Number]],'Multi-level BOM'!F$3:F$464)</f>
        <v>0</v>
      </c>
      <c r="K466" s="11">
        <f>Table1[[#This Row],[extended quantity]]*(Table1[[#This Row],[Cost ]]+Table1[[#This Row],[shipping]]+Table1[[#This Row],[Tax]])</f>
        <v>0</v>
      </c>
      <c r="L466" s="11"/>
      <c r="M466" s="42"/>
      <c r="N466" s="53" t="e">
        <f>CEILING((Table1[[#This Row],[extended quantity]]-Table1[[#This Row],[quantity on-hand]])/Table1[[#This Row],[Minimum order quantity]],1)*Table1[[#This Row],[Minimum order quantity]]</f>
        <v>#DIV/0!</v>
      </c>
      <c r="O466" s="53" t="e">
        <f>Table1[[#This Row],[Order quantity]]+Table1[[#This Row],[quantity on-hand]]-Table1[[#This Row],[extended quantity]]</f>
        <v>#DIV/0!</v>
      </c>
      <c r="P466" s="11">
        <f>IFERROR(Table1[[#This Row],[Order quantity]]*(Table1[[#This Row],[Cost ]]+Table1[[#This Row],[shipping]]+Table1[[#This Row],[Tax]]),0)</f>
        <v>0</v>
      </c>
      <c r="Q466" s="38">
        <f>IFERROR(Table1[[#This Row],[leftover material]]*(Table1[[#This Row],[Cost ]]+Table1[[#This Row],[shipping]]+Table1[[#This Row],[Tax]]),0)</f>
        <v>0</v>
      </c>
      <c r="R466" s="38"/>
    </row>
    <row r="467" spans="1:18" x14ac:dyDescent="0.25">
      <c r="A467" s="1" t="s">
        <v>470</v>
      </c>
      <c r="B467" s="4"/>
      <c r="F467" s="3">
        <f>9%*Table1[[#This Row],[Cost ]]</f>
        <v>0</v>
      </c>
      <c r="J467" s="11">
        <f>SUMIF('Multi-level BOM'!C$3:C$464,Table1[[#This Row],[Part Number]],'Multi-level BOM'!F$3:F$464)</f>
        <v>0</v>
      </c>
      <c r="K467" s="11">
        <f>Table1[[#This Row],[extended quantity]]*(Table1[[#This Row],[Cost ]]+Table1[[#This Row],[shipping]]+Table1[[#This Row],[Tax]])</f>
        <v>0</v>
      </c>
      <c r="L467" s="11"/>
      <c r="M467" s="42"/>
      <c r="N467" s="53" t="e">
        <f>CEILING((Table1[[#This Row],[extended quantity]]-Table1[[#This Row],[quantity on-hand]])/Table1[[#This Row],[Minimum order quantity]],1)*Table1[[#This Row],[Minimum order quantity]]</f>
        <v>#DIV/0!</v>
      </c>
      <c r="O467" s="53" t="e">
        <f>Table1[[#This Row],[Order quantity]]+Table1[[#This Row],[quantity on-hand]]-Table1[[#This Row],[extended quantity]]</f>
        <v>#DIV/0!</v>
      </c>
      <c r="P467" s="11">
        <f>IFERROR(Table1[[#This Row],[Order quantity]]*(Table1[[#This Row],[Cost ]]+Table1[[#This Row],[shipping]]+Table1[[#This Row],[Tax]]),0)</f>
        <v>0</v>
      </c>
      <c r="Q467" s="38">
        <f>IFERROR(Table1[[#This Row],[leftover material]]*(Table1[[#This Row],[Cost ]]+Table1[[#This Row],[shipping]]+Table1[[#This Row],[Tax]]),0)</f>
        <v>0</v>
      </c>
      <c r="R467" s="38"/>
    </row>
    <row r="468" spans="1:18" x14ac:dyDescent="0.25">
      <c r="A468" s="1" t="s">
        <v>471</v>
      </c>
      <c r="B468" s="4"/>
      <c r="F468" s="3">
        <f>9%*Table1[[#This Row],[Cost ]]</f>
        <v>0</v>
      </c>
      <c r="J468" s="11">
        <f>SUMIF('Multi-level BOM'!C$3:C$464,Table1[[#This Row],[Part Number]],'Multi-level BOM'!F$3:F$464)</f>
        <v>0</v>
      </c>
      <c r="K468" s="11">
        <f>Table1[[#This Row],[extended quantity]]*(Table1[[#This Row],[Cost ]]+Table1[[#This Row],[shipping]]+Table1[[#This Row],[Tax]])</f>
        <v>0</v>
      </c>
      <c r="L468" s="11"/>
      <c r="M468" s="42"/>
      <c r="N468" s="53" t="e">
        <f>CEILING((Table1[[#This Row],[extended quantity]]-Table1[[#This Row],[quantity on-hand]])/Table1[[#This Row],[Minimum order quantity]],1)*Table1[[#This Row],[Minimum order quantity]]</f>
        <v>#DIV/0!</v>
      </c>
      <c r="O468" s="53" t="e">
        <f>Table1[[#This Row],[Order quantity]]+Table1[[#This Row],[quantity on-hand]]-Table1[[#This Row],[extended quantity]]</f>
        <v>#DIV/0!</v>
      </c>
      <c r="P468" s="11">
        <f>IFERROR(Table1[[#This Row],[Order quantity]]*(Table1[[#This Row],[Cost ]]+Table1[[#This Row],[shipping]]+Table1[[#This Row],[Tax]]),0)</f>
        <v>0</v>
      </c>
      <c r="Q468" s="38">
        <f>IFERROR(Table1[[#This Row],[leftover material]]*(Table1[[#This Row],[Cost ]]+Table1[[#This Row],[shipping]]+Table1[[#This Row],[Tax]]),0)</f>
        <v>0</v>
      </c>
      <c r="R468" s="38"/>
    </row>
    <row r="469" spans="1:18" x14ac:dyDescent="0.25">
      <c r="A469" s="1" t="s">
        <v>472</v>
      </c>
      <c r="B469" s="4"/>
      <c r="F469" s="3">
        <f>9%*Table1[[#This Row],[Cost ]]</f>
        <v>0</v>
      </c>
      <c r="J469" s="11">
        <f>SUMIF('Multi-level BOM'!C$3:C$464,Table1[[#This Row],[Part Number]],'Multi-level BOM'!F$3:F$464)</f>
        <v>0</v>
      </c>
      <c r="K469" s="11">
        <f>Table1[[#This Row],[extended quantity]]*(Table1[[#This Row],[Cost ]]+Table1[[#This Row],[shipping]]+Table1[[#This Row],[Tax]])</f>
        <v>0</v>
      </c>
      <c r="L469" s="11"/>
      <c r="M469" s="42"/>
      <c r="N469" s="53" t="e">
        <f>CEILING((Table1[[#This Row],[extended quantity]]-Table1[[#This Row],[quantity on-hand]])/Table1[[#This Row],[Minimum order quantity]],1)*Table1[[#This Row],[Minimum order quantity]]</f>
        <v>#DIV/0!</v>
      </c>
      <c r="O469" s="53" t="e">
        <f>Table1[[#This Row],[Order quantity]]+Table1[[#This Row],[quantity on-hand]]-Table1[[#This Row],[extended quantity]]</f>
        <v>#DIV/0!</v>
      </c>
      <c r="P469" s="11">
        <f>IFERROR(Table1[[#This Row],[Order quantity]]*(Table1[[#This Row],[Cost ]]+Table1[[#This Row],[shipping]]+Table1[[#This Row],[Tax]]),0)</f>
        <v>0</v>
      </c>
      <c r="Q469" s="38">
        <f>IFERROR(Table1[[#This Row],[leftover material]]*(Table1[[#This Row],[Cost ]]+Table1[[#This Row],[shipping]]+Table1[[#This Row],[Tax]]),0)</f>
        <v>0</v>
      </c>
      <c r="R469" s="38"/>
    </row>
    <row r="470" spans="1:18" x14ac:dyDescent="0.25">
      <c r="A470" s="1" t="s">
        <v>473</v>
      </c>
      <c r="B470" s="4"/>
      <c r="F470" s="3">
        <f>9%*Table1[[#This Row],[Cost ]]</f>
        <v>0</v>
      </c>
      <c r="J470" s="11">
        <f>SUMIF('Multi-level BOM'!C$3:C$464,Table1[[#This Row],[Part Number]],'Multi-level BOM'!F$3:F$464)</f>
        <v>0</v>
      </c>
      <c r="K470" s="11">
        <f>Table1[[#This Row],[extended quantity]]*(Table1[[#This Row],[Cost ]]+Table1[[#This Row],[shipping]]+Table1[[#This Row],[Tax]])</f>
        <v>0</v>
      </c>
      <c r="L470" s="11"/>
      <c r="M470" s="42"/>
      <c r="N470" s="53" t="e">
        <f>CEILING((Table1[[#This Row],[extended quantity]]-Table1[[#This Row],[quantity on-hand]])/Table1[[#This Row],[Minimum order quantity]],1)*Table1[[#This Row],[Minimum order quantity]]</f>
        <v>#DIV/0!</v>
      </c>
      <c r="O470" s="53" t="e">
        <f>Table1[[#This Row],[Order quantity]]+Table1[[#This Row],[quantity on-hand]]-Table1[[#This Row],[extended quantity]]</f>
        <v>#DIV/0!</v>
      </c>
      <c r="P470" s="11">
        <f>IFERROR(Table1[[#This Row],[Order quantity]]*(Table1[[#This Row],[Cost ]]+Table1[[#This Row],[shipping]]+Table1[[#This Row],[Tax]]),0)</f>
        <v>0</v>
      </c>
      <c r="Q470" s="38">
        <f>IFERROR(Table1[[#This Row],[leftover material]]*(Table1[[#This Row],[Cost ]]+Table1[[#This Row],[shipping]]+Table1[[#This Row],[Tax]]),0)</f>
        <v>0</v>
      </c>
      <c r="R470" s="38"/>
    </row>
    <row r="471" spans="1:18" x14ac:dyDescent="0.25">
      <c r="A471" s="1" t="s">
        <v>474</v>
      </c>
      <c r="B471" s="4"/>
      <c r="F471" s="3">
        <f>9%*Table1[[#This Row],[Cost ]]</f>
        <v>0</v>
      </c>
      <c r="J471" s="11">
        <f>SUMIF('Multi-level BOM'!C$3:C$464,Table1[[#This Row],[Part Number]],'Multi-level BOM'!F$3:F$464)</f>
        <v>0</v>
      </c>
      <c r="K471" s="11">
        <f>Table1[[#This Row],[extended quantity]]*(Table1[[#This Row],[Cost ]]+Table1[[#This Row],[shipping]]+Table1[[#This Row],[Tax]])</f>
        <v>0</v>
      </c>
      <c r="L471" s="11"/>
      <c r="M471" s="42"/>
      <c r="N471" s="53" t="e">
        <f>CEILING((Table1[[#This Row],[extended quantity]]-Table1[[#This Row],[quantity on-hand]])/Table1[[#This Row],[Minimum order quantity]],1)*Table1[[#This Row],[Minimum order quantity]]</f>
        <v>#DIV/0!</v>
      </c>
      <c r="O471" s="53" t="e">
        <f>Table1[[#This Row],[Order quantity]]+Table1[[#This Row],[quantity on-hand]]-Table1[[#This Row],[extended quantity]]</f>
        <v>#DIV/0!</v>
      </c>
      <c r="P471" s="11">
        <f>IFERROR(Table1[[#This Row],[Order quantity]]*(Table1[[#This Row],[Cost ]]+Table1[[#This Row],[shipping]]+Table1[[#This Row],[Tax]]),0)</f>
        <v>0</v>
      </c>
      <c r="Q471" s="38">
        <f>IFERROR(Table1[[#This Row],[leftover material]]*(Table1[[#This Row],[Cost ]]+Table1[[#This Row],[shipping]]+Table1[[#This Row],[Tax]]),0)</f>
        <v>0</v>
      </c>
      <c r="R471" s="38"/>
    </row>
    <row r="472" spans="1:18" x14ac:dyDescent="0.25">
      <c r="A472" s="1" t="s">
        <v>475</v>
      </c>
      <c r="B472" s="4"/>
      <c r="F472" s="3">
        <f>9%*Table1[[#This Row],[Cost ]]</f>
        <v>0</v>
      </c>
      <c r="J472" s="11">
        <f>SUMIF('Multi-level BOM'!C$3:C$464,Table1[[#This Row],[Part Number]],'Multi-level BOM'!F$3:F$464)</f>
        <v>0</v>
      </c>
      <c r="K472" s="11">
        <f>Table1[[#This Row],[extended quantity]]*(Table1[[#This Row],[Cost ]]+Table1[[#This Row],[shipping]]+Table1[[#This Row],[Tax]])</f>
        <v>0</v>
      </c>
      <c r="L472" s="11"/>
      <c r="M472" s="42"/>
      <c r="N472" s="53" t="e">
        <f>CEILING((Table1[[#This Row],[extended quantity]]-Table1[[#This Row],[quantity on-hand]])/Table1[[#This Row],[Minimum order quantity]],1)*Table1[[#This Row],[Minimum order quantity]]</f>
        <v>#DIV/0!</v>
      </c>
      <c r="O472" s="53" t="e">
        <f>Table1[[#This Row],[Order quantity]]+Table1[[#This Row],[quantity on-hand]]-Table1[[#This Row],[extended quantity]]</f>
        <v>#DIV/0!</v>
      </c>
      <c r="P472" s="11">
        <f>IFERROR(Table1[[#This Row],[Order quantity]]*(Table1[[#This Row],[Cost ]]+Table1[[#This Row],[shipping]]+Table1[[#This Row],[Tax]]),0)</f>
        <v>0</v>
      </c>
      <c r="Q472" s="38">
        <f>IFERROR(Table1[[#This Row],[leftover material]]*(Table1[[#This Row],[Cost ]]+Table1[[#This Row],[shipping]]+Table1[[#This Row],[Tax]]),0)</f>
        <v>0</v>
      </c>
      <c r="R472" s="38"/>
    </row>
    <row r="473" spans="1:18" x14ac:dyDescent="0.25">
      <c r="A473" s="1" t="s">
        <v>476</v>
      </c>
      <c r="B473" s="4"/>
      <c r="F473" s="3">
        <f>9%*Table1[[#This Row],[Cost ]]</f>
        <v>0</v>
      </c>
      <c r="J473" s="11">
        <f>SUMIF('Multi-level BOM'!C$3:C$464,Table1[[#This Row],[Part Number]],'Multi-level BOM'!F$3:F$464)</f>
        <v>0</v>
      </c>
      <c r="K473" s="11">
        <f>Table1[[#This Row],[extended quantity]]*(Table1[[#This Row],[Cost ]]+Table1[[#This Row],[shipping]]+Table1[[#This Row],[Tax]])</f>
        <v>0</v>
      </c>
      <c r="L473" s="11"/>
      <c r="M473" s="42"/>
      <c r="N473" s="53" t="e">
        <f>CEILING((Table1[[#This Row],[extended quantity]]-Table1[[#This Row],[quantity on-hand]])/Table1[[#This Row],[Minimum order quantity]],1)*Table1[[#This Row],[Minimum order quantity]]</f>
        <v>#DIV/0!</v>
      </c>
      <c r="O473" s="53" t="e">
        <f>Table1[[#This Row],[Order quantity]]+Table1[[#This Row],[quantity on-hand]]-Table1[[#This Row],[extended quantity]]</f>
        <v>#DIV/0!</v>
      </c>
      <c r="P473" s="11">
        <f>IFERROR(Table1[[#This Row],[Order quantity]]*(Table1[[#This Row],[Cost ]]+Table1[[#This Row],[shipping]]+Table1[[#This Row],[Tax]]),0)</f>
        <v>0</v>
      </c>
      <c r="Q473" s="38">
        <f>IFERROR(Table1[[#This Row],[leftover material]]*(Table1[[#This Row],[Cost ]]+Table1[[#This Row],[shipping]]+Table1[[#This Row],[Tax]]),0)</f>
        <v>0</v>
      </c>
      <c r="R473" s="38"/>
    </row>
    <row r="474" spans="1:18" x14ac:dyDescent="0.25">
      <c r="A474" s="1" t="s">
        <v>477</v>
      </c>
      <c r="B474" s="4"/>
      <c r="F474" s="3">
        <f>9%*Table1[[#This Row],[Cost ]]</f>
        <v>0</v>
      </c>
      <c r="J474" s="11">
        <f>SUMIF('Multi-level BOM'!C$3:C$464,Table1[[#This Row],[Part Number]],'Multi-level BOM'!F$3:F$464)</f>
        <v>0</v>
      </c>
      <c r="K474" s="11">
        <f>Table1[[#This Row],[extended quantity]]*(Table1[[#This Row],[Cost ]]+Table1[[#This Row],[shipping]]+Table1[[#This Row],[Tax]])</f>
        <v>0</v>
      </c>
      <c r="L474" s="11"/>
      <c r="M474" s="42"/>
      <c r="N474" s="53" t="e">
        <f>CEILING((Table1[[#This Row],[extended quantity]]-Table1[[#This Row],[quantity on-hand]])/Table1[[#This Row],[Minimum order quantity]],1)*Table1[[#This Row],[Minimum order quantity]]</f>
        <v>#DIV/0!</v>
      </c>
      <c r="O474" s="53" t="e">
        <f>Table1[[#This Row],[Order quantity]]+Table1[[#This Row],[quantity on-hand]]-Table1[[#This Row],[extended quantity]]</f>
        <v>#DIV/0!</v>
      </c>
      <c r="P474" s="11">
        <f>IFERROR(Table1[[#This Row],[Order quantity]]*(Table1[[#This Row],[Cost ]]+Table1[[#This Row],[shipping]]+Table1[[#This Row],[Tax]]),0)</f>
        <v>0</v>
      </c>
      <c r="Q474" s="38">
        <f>IFERROR(Table1[[#This Row],[leftover material]]*(Table1[[#This Row],[Cost ]]+Table1[[#This Row],[shipping]]+Table1[[#This Row],[Tax]]),0)</f>
        <v>0</v>
      </c>
      <c r="R474" s="38"/>
    </row>
    <row r="475" spans="1:18" x14ac:dyDescent="0.25">
      <c r="A475" s="1" t="s">
        <v>478</v>
      </c>
      <c r="B475" s="4"/>
      <c r="F475" s="3">
        <f>9%*Table1[[#This Row],[Cost ]]</f>
        <v>0</v>
      </c>
      <c r="J475" s="11">
        <f>SUMIF('Multi-level BOM'!C$3:C$464,Table1[[#This Row],[Part Number]],'Multi-level BOM'!F$3:F$464)</f>
        <v>0</v>
      </c>
      <c r="K475" s="11">
        <f>Table1[[#This Row],[extended quantity]]*(Table1[[#This Row],[Cost ]]+Table1[[#This Row],[shipping]]+Table1[[#This Row],[Tax]])</f>
        <v>0</v>
      </c>
      <c r="L475" s="11"/>
      <c r="M475" s="42"/>
      <c r="N475" s="53" t="e">
        <f>CEILING((Table1[[#This Row],[extended quantity]]-Table1[[#This Row],[quantity on-hand]])/Table1[[#This Row],[Minimum order quantity]],1)*Table1[[#This Row],[Minimum order quantity]]</f>
        <v>#DIV/0!</v>
      </c>
      <c r="O475" s="53" t="e">
        <f>Table1[[#This Row],[Order quantity]]+Table1[[#This Row],[quantity on-hand]]-Table1[[#This Row],[extended quantity]]</f>
        <v>#DIV/0!</v>
      </c>
      <c r="P475" s="11">
        <f>IFERROR(Table1[[#This Row],[Order quantity]]*(Table1[[#This Row],[Cost ]]+Table1[[#This Row],[shipping]]+Table1[[#This Row],[Tax]]),0)</f>
        <v>0</v>
      </c>
      <c r="Q475" s="38">
        <f>IFERROR(Table1[[#This Row],[leftover material]]*(Table1[[#This Row],[Cost ]]+Table1[[#This Row],[shipping]]+Table1[[#This Row],[Tax]]),0)</f>
        <v>0</v>
      </c>
      <c r="R475" s="38"/>
    </row>
    <row r="476" spans="1:18" x14ac:dyDescent="0.25">
      <c r="A476" s="1" t="s">
        <v>479</v>
      </c>
      <c r="B476" s="4"/>
      <c r="F476" s="3">
        <f>9%*Table1[[#This Row],[Cost ]]</f>
        <v>0</v>
      </c>
      <c r="J476" s="11">
        <f>SUMIF('Multi-level BOM'!C$3:C$464,Table1[[#This Row],[Part Number]],'Multi-level BOM'!F$3:F$464)</f>
        <v>0</v>
      </c>
      <c r="K476" s="11">
        <f>Table1[[#This Row],[extended quantity]]*(Table1[[#This Row],[Cost ]]+Table1[[#This Row],[shipping]]+Table1[[#This Row],[Tax]])</f>
        <v>0</v>
      </c>
      <c r="L476" s="11"/>
      <c r="M476" s="42"/>
      <c r="N476" s="53" t="e">
        <f>CEILING((Table1[[#This Row],[extended quantity]]-Table1[[#This Row],[quantity on-hand]])/Table1[[#This Row],[Minimum order quantity]],1)*Table1[[#This Row],[Minimum order quantity]]</f>
        <v>#DIV/0!</v>
      </c>
      <c r="O476" s="53" t="e">
        <f>Table1[[#This Row],[Order quantity]]+Table1[[#This Row],[quantity on-hand]]-Table1[[#This Row],[extended quantity]]</f>
        <v>#DIV/0!</v>
      </c>
      <c r="P476" s="11">
        <f>IFERROR(Table1[[#This Row],[Order quantity]]*(Table1[[#This Row],[Cost ]]+Table1[[#This Row],[shipping]]+Table1[[#This Row],[Tax]]),0)</f>
        <v>0</v>
      </c>
      <c r="Q476" s="38">
        <f>IFERROR(Table1[[#This Row],[leftover material]]*(Table1[[#This Row],[Cost ]]+Table1[[#This Row],[shipping]]+Table1[[#This Row],[Tax]]),0)</f>
        <v>0</v>
      </c>
      <c r="R476" s="38"/>
    </row>
    <row r="477" spans="1:18" x14ac:dyDescent="0.25">
      <c r="A477" s="1" t="s">
        <v>480</v>
      </c>
      <c r="B477" s="4"/>
      <c r="F477" s="3">
        <f>9%*Table1[[#This Row],[Cost ]]</f>
        <v>0</v>
      </c>
      <c r="J477" s="11">
        <f>SUMIF('Multi-level BOM'!C$3:C$464,Table1[[#This Row],[Part Number]],'Multi-level BOM'!F$3:F$464)</f>
        <v>0</v>
      </c>
      <c r="K477" s="11">
        <f>Table1[[#This Row],[extended quantity]]*(Table1[[#This Row],[Cost ]]+Table1[[#This Row],[shipping]]+Table1[[#This Row],[Tax]])</f>
        <v>0</v>
      </c>
      <c r="L477" s="11"/>
      <c r="M477" s="42"/>
      <c r="N477" s="53" t="e">
        <f>CEILING((Table1[[#This Row],[extended quantity]]-Table1[[#This Row],[quantity on-hand]])/Table1[[#This Row],[Minimum order quantity]],1)*Table1[[#This Row],[Minimum order quantity]]</f>
        <v>#DIV/0!</v>
      </c>
      <c r="O477" s="53" t="e">
        <f>Table1[[#This Row],[Order quantity]]+Table1[[#This Row],[quantity on-hand]]-Table1[[#This Row],[extended quantity]]</f>
        <v>#DIV/0!</v>
      </c>
      <c r="P477" s="11">
        <f>IFERROR(Table1[[#This Row],[Order quantity]]*(Table1[[#This Row],[Cost ]]+Table1[[#This Row],[shipping]]+Table1[[#This Row],[Tax]]),0)</f>
        <v>0</v>
      </c>
      <c r="Q477" s="38">
        <f>IFERROR(Table1[[#This Row],[leftover material]]*(Table1[[#This Row],[Cost ]]+Table1[[#This Row],[shipping]]+Table1[[#This Row],[Tax]]),0)</f>
        <v>0</v>
      </c>
      <c r="R477" s="38"/>
    </row>
    <row r="478" spans="1:18" x14ac:dyDescent="0.25">
      <c r="A478" s="1" t="s">
        <v>481</v>
      </c>
      <c r="B478" s="4"/>
      <c r="F478" s="3">
        <f>9%*Table1[[#This Row],[Cost ]]</f>
        <v>0</v>
      </c>
      <c r="J478" s="11">
        <f>SUMIF('Multi-level BOM'!C$3:C$464,Table1[[#This Row],[Part Number]],'Multi-level BOM'!F$3:F$464)</f>
        <v>0</v>
      </c>
      <c r="K478" s="11">
        <f>Table1[[#This Row],[extended quantity]]*(Table1[[#This Row],[Cost ]]+Table1[[#This Row],[shipping]]+Table1[[#This Row],[Tax]])</f>
        <v>0</v>
      </c>
      <c r="L478" s="11"/>
      <c r="M478" s="42"/>
      <c r="N478" s="53" t="e">
        <f>CEILING((Table1[[#This Row],[extended quantity]]-Table1[[#This Row],[quantity on-hand]])/Table1[[#This Row],[Minimum order quantity]],1)*Table1[[#This Row],[Minimum order quantity]]</f>
        <v>#DIV/0!</v>
      </c>
      <c r="O478" s="53" t="e">
        <f>Table1[[#This Row],[Order quantity]]+Table1[[#This Row],[quantity on-hand]]-Table1[[#This Row],[extended quantity]]</f>
        <v>#DIV/0!</v>
      </c>
      <c r="P478" s="11">
        <f>IFERROR(Table1[[#This Row],[Order quantity]]*(Table1[[#This Row],[Cost ]]+Table1[[#This Row],[shipping]]+Table1[[#This Row],[Tax]]),0)</f>
        <v>0</v>
      </c>
      <c r="Q478" s="38">
        <f>IFERROR(Table1[[#This Row],[leftover material]]*(Table1[[#This Row],[Cost ]]+Table1[[#This Row],[shipping]]+Table1[[#This Row],[Tax]]),0)</f>
        <v>0</v>
      </c>
      <c r="R478" s="38"/>
    </row>
    <row r="479" spans="1:18" x14ac:dyDescent="0.25">
      <c r="A479" s="1" t="s">
        <v>482</v>
      </c>
      <c r="B479" s="4"/>
      <c r="F479" s="3">
        <f>9%*Table1[[#This Row],[Cost ]]</f>
        <v>0</v>
      </c>
      <c r="J479" s="11">
        <f>SUMIF('Multi-level BOM'!C$3:C$464,Table1[[#This Row],[Part Number]],'Multi-level BOM'!F$3:F$464)</f>
        <v>0</v>
      </c>
      <c r="K479" s="11">
        <f>Table1[[#This Row],[extended quantity]]*(Table1[[#This Row],[Cost ]]+Table1[[#This Row],[shipping]]+Table1[[#This Row],[Tax]])</f>
        <v>0</v>
      </c>
      <c r="L479" s="11"/>
      <c r="M479" s="42"/>
      <c r="N479" s="53" t="e">
        <f>CEILING((Table1[[#This Row],[extended quantity]]-Table1[[#This Row],[quantity on-hand]])/Table1[[#This Row],[Minimum order quantity]],1)*Table1[[#This Row],[Minimum order quantity]]</f>
        <v>#DIV/0!</v>
      </c>
      <c r="O479" s="53" t="e">
        <f>Table1[[#This Row],[Order quantity]]+Table1[[#This Row],[quantity on-hand]]-Table1[[#This Row],[extended quantity]]</f>
        <v>#DIV/0!</v>
      </c>
      <c r="P479" s="11">
        <f>IFERROR(Table1[[#This Row],[Order quantity]]*(Table1[[#This Row],[Cost ]]+Table1[[#This Row],[shipping]]+Table1[[#This Row],[Tax]]),0)</f>
        <v>0</v>
      </c>
      <c r="Q479" s="38">
        <f>IFERROR(Table1[[#This Row],[leftover material]]*(Table1[[#This Row],[Cost ]]+Table1[[#This Row],[shipping]]+Table1[[#This Row],[Tax]]),0)</f>
        <v>0</v>
      </c>
      <c r="R479" s="38"/>
    </row>
    <row r="480" spans="1:18" x14ac:dyDescent="0.25">
      <c r="A480" s="1" t="s">
        <v>483</v>
      </c>
      <c r="B480" s="4"/>
      <c r="F480" s="3">
        <f>9%*Table1[[#This Row],[Cost ]]</f>
        <v>0</v>
      </c>
      <c r="J480" s="11">
        <f>SUMIF('Multi-level BOM'!C$3:C$464,Table1[[#This Row],[Part Number]],'Multi-level BOM'!F$3:F$464)</f>
        <v>0</v>
      </c>
      <c r="K480" s="11">
        <f>Table1[[#This Row],[extended quantity]]*(Table1[[#This Row],[Cost ]]+Table1[[#This Row],[shipping]]+Table1[[#This Row],[Tax]])</f>
        <v>0</v>
      </c>
      <c r="L480" s="11"/>
      <c r="M480" s="42"/>
      <c r="N480" s="53" t="e">
        <f>CEILING((Table1[[#This Row],[extended quantity]]-Table1[[#This Row],[quantity on-hand]])/Table1[[#This Row],[Minimum order quantity]],1)*Table1[[#This Row],[Minimum order quantity]]</f>
        <v>#DIV/0!</v>
      </c>
      <c r="O480" s="53" t="e">
        <f>Table1[[#This Row],[Order quantity]]+Table1[[#This Row],[quantity on-hand]]-Table1[[#This Row],[extended quantity]]</f>
        <v>#DIV/0!</v>
      </c>
      <c r="P480" s="11">
        <f>IFERROR(Table1[[#This Row],[Order quantity]]*(Table1[[#This Row],[Cost ]]+Table1[[#This Row],[shipping]]+Table1[[#This Row],[Tax]]),0)</f>
        <v>0</v>
      </c>
      <c r="Q480" s="38">
        <f>IFERROR(Table1[[#This Row],[leftover material]]*(Table1[[#This Row],[Cost ]]+Table1[[#This Row],[shipping]]+Table1[[#This Row],[Tax]]),0)</f>
        <v>0</v>
      </c>
      <c r="R480" s="38"/>
    </row>
    <row r="481" spans="1:18" x14ac:dyDescent="0.25">
      <c r="A481" s="1" t="s">
        <v>484</v>
      </c>
      <c r="B481" s="4"/>
      <c r="F481" s="3">
        <f>9%*Table1[[#This Row],[Cost ]]</f>
        <v>0</v>
      </c>
      <c r="J481" s="11">
        <f>SUMIF('Multi-level BOM'!C$3:C$464,Table1[[#This Row],[Part Number]],'Multi-level BOM'!F$3:F$464)</f>
        <v>0</v>
      </c>
      <c r="K481" s="11">
        <f>Table1[[#This Row],[extended quantity]]*(Table1[[#This Row],[Cost ]]+Table1[[#This Row],[shipping]]+Table1[[#This Row],[Tax]])</f>
        <v>0</v>
      </c>
      <c r="L481" s="11"/>
      <c r="M481" s="42"/>
      <c r="N481" s="53" t="e">
        <f>CEILING((Table1[[#This Row],[extended quantity]]-Table1[[#This Row],[quantity on-hand]])/Table1[[#This Row],[Minimum order quantity]],1)*Table1[[#This Row],[Minimum order quantity]]</f>
        <v>#DIV/0!</v>
      </c>
      <c r="O481" s="53" t="e">
        <f>Table1[[#This Row],[Order quantity]]+Table1[[#This Row],[quantity on-hand]]-Table1[[#This Row],[extended quantity]]</f>
        <v>#DIV/0!</v>
      </c>
      <c r="P481" s="11">
        <f>IFERROR(Table1[[#This Row],[Order quantity]]*(Table1[[#This Row],[Cost ]]+Table1[[#This Row],[shipping]]+Table1[[#This Row],[Tax]]),0)</f>
        <v>0</v>
      </c>
      <c r="Q481" s="38">
        <f>IFERROR(Table1[[#This Row],[leftover material]]*(Table1[[#This Row],[Cost ]]+Table1[[#This Row],[shipping]]+Table1[[#This Row],[Tax]]),0)</f>
        <v>0</v>
      </c>
      <c r="R481" s="38"/>
    </row>
    <row r="482" spans="1:18" x14ac:dyDescent="0.25">
      <c r="A482" s="1" t="s">
        <v>485</v>
      </c>
      <c r="B482" s="4"/>
      <c r="F482" s="3">
        <f>9%*Table1[[#This Row],[Cost ]]</f>
        <v>0</v>
      </c>
      <c r="J482" s="11">
        <f>SUMIF('Multi-level BOM'!C$3:C$464,Table1[[#This Row],[Part Number]],'Multi-level BOM'!F$3:F$464)</f>
        <v>0</v>
      </c>
      <c r="K482" s="11">
        <f>Table1[[#This Row],[extended quantity]]*(Table1[[#This Row],[Cost ]]+Table1[[#This Row],[shipping]]+Table1[[#This Row],[Tax]])</f>
        <v>0</v>
      </c>
      <c r="L482" s="11"/>
      <c r="M482" s="42"/>
      <c r="N482" s="53" t="e">
        <f>CEILING((Table1[[#This Row],[extended quantity]]-Table1[[#This Row],[quantity on-hand]])/Table1[[#This Row],[Minimum order quantity]],1)*Table1[[#This Row],[Minimum order quantity]]</f>
        <v>#DIV/0!</v>
      </c>
      <c r="O482" s="53" t="e">
        <f>Table1[[#This Row],[Order quantity]]+Table1[[#This Row],[quantity on-hand]]-Table1[[#This Row],[extended quantity]]</f>
        <v>#DIV/0!</v>
      </c>
      <c r="P482" s="11">
        <f>IFERROR(Table1[[#This Row],[Order quantity]]*(Table1[[#This Row],[Cost ]]+Table1[[#This Row],[shipping]]+Table1[[#This Row],[Tax]]),0)</f>
        <v>0</v>
      </c>
      <c r="Q482" s="38">
        <f>IFERROR(Table1[[#This Row],[leftover material]]*(Table1[[#This Row],[Cost ]]+Table1[[#This Row],[shipping]]+Table1[[#This Row],[Tax]]),0)</f>
        <v>0</v>
      </c>
      <c r="R482" s="38"/>
    </row>
    <row r="483" spans="1:18" x14ac:dyDescent="0.25">
      <c r="A483" s="1" t="s">
        <v>486</v>
      </c>
      <c r="B483" s="4"/>
      <c r="F483" s="3">
        <f>9%*Table1[[#This Row],[Cost ]]</f>
        <v>0</v>
      </c>
      <c r="J483" s="11">
        <f>SUMIF('Multi-level BOM'!C$3:C$464,Table1[[#This Row],[Part Number]],'Multi-level BOM'!F$3:F$464)</f>
        <v>0</v>
      </c>
      <c r="K483" s="11">
        <f>Table1[[#This Row],[extended quantity]]*(Table1[[#This Row],[Cost ]]+Table1[[#This Row],[shipping]]+Table1[[#This Row],[Tax]])</f>
        <v>0</v>
      </c>
      <c r="L483" s="11"/>
      <c r="M483" s="42"/>
      <c r="N483" s="53" t="e">
        <f>CEILING((Table1[[#This Row],[extended quantity]]-Table1[[#This Row],[quantity on-hand]])/Table1[[#This Row],[Minimum order quantity]],1)*Table1[[#This Row],[Minimum order quantity]]</f>
        <v>#DIV/0!</v>
      </c>
      <c r="O483" s="53" t="e">
        <f>Table1[[#This Row],[Order quantity]]+Table1[[#This Row],[quantity on-hand]]-Table1[[#This Row],[extended quantity]]</f>
        <v>#DIV/0!</v>
      </c>
      <c r="P483" s="11">
        <f>IFERROR(Table1[[#This Row],[Order quantity]]*(Table1[[#This Row],[Cost ]]+Table1[[#This Row],[shipping]]+Table1[[#This Row],[Tax]]),0)</f>
        <v>0</v>
      </c>
      <c r="Q483" s="38">
        <f>IFERROR(Table1[[#This Row],[leftover material]]*(Table1[[#This Row],[Cost ]]+Table1[[#This Row],[shipping]]+Table1[[#This Row],[Tax]]),0)</f>
        <v>0</v>
      </c>
      <c r="R483" s="38"/>
    </row>
    <row r="484" spans="1:18" x14ac:dyDescent="0.25">
      <c r="A484" s="1" t="s">
        <v>487</v>
      </c>
      <c r="B484" s="4"/>
      <c r="F484" s="3">
        <f>9%*Table1[[#This Row],[Cost ]]</f>
        <v>0</v>
      </c>
      <c r="J484" s="11">
        <f>SUMIF('Multi-level BOM'!C$3:C$464,Table1[[#This Row],[Part Number]],'Multi-level BOM'!F$3:F$464)</f>
        <v>0</v>
      </c>
      <c r="K484" s="11">
        <f>Table1[[#This Row],[extended quantity]]*(Table1[[#This Row],[Cost ]]+Table1[[#This Row],[shipping]]+Table1[[#This Row],[Tax]])</f>
        <v>0</v>
      </c>
      <c r="L484" s="11"/>
      <c r="M484" s="42"/>
      <c r="N484" s="53" t="e">
        <f>CEILING((Table1[[#This Row],[extended quantity]]-Table1[[#This Row],[quantity on-hand]])/Table1[[#This Row],[Minimum order quantity]],1)*Table1[[#This Row],[Minimum order quantity]]</f>
        <v>#DIV/0!</v>
      </c>
      <c r="O484" s="53" t="e">
        <f>Table1[[#This Row],[Order quantity]]+Table1[[#This Row],[quantity on-hand]]-Table1[[#This Row],[extended quantity]]</f>
        <v>#DIV/0!</v>
      </c>
      <c r="P484" s="11">
        <f>IFERROR(Table1[[#This Row],[Order quantity]]*(Table1[[#This Row],[Cost ]]+Table1[[#This Row],[shipping]]+Table1[[#This Row],[Tax]]),0)</f>
        <v>0</v>
      </c>
      <c r="Q484" s="38">
        <f>IFERROR(Table1[[#This Row],[leftover material]]*(Table1[[#This Row],[Cost ]]+Table1[[#This Row],[shipping]]+Table1[[#This Row],[Tax]]),0)</f>
        <v>0</v>
      </c>
      <c r="R484" s="38"/>
    </row>
    <row r="485" spans="1:18" x14ac:dyDescent="0.25">
      <c r="A485" s="1" t="s">
        <v>488</v>
      </c>
      <c r="B485" s="4"/>
      <c r="F485" s="3">
        <f>9%*Table1[[#This Row],[Cost ]]</f>
        <v>0</v>
      </c>
      <c r="J485" s="11">
        <f>SUMIF('Multi-level BOM'!C$3:C$464,Table1[[#This Row],[Part Number]],'Multi-level BOM'!F$3:F$464)</f>
        <v>0</v>
      </c>
      <c r="K485" s="11">
        <f>Table1[[#This Row],[extended quantity]]*(Table1[[#This Row],[Cost ]]+Table1[[#This Row],[shipping]]+Table1[[#This Row],[Tax]])</f>
        <v>0</v>
      </c>
      <c r="L485" s="11"/>
      <c r="M485" s="42"/>
      <c r="N485" s="53" t="e">
        <f>CEILING((Table1[[#This Row],[extended quantity]]-Table1[[#This Row],[quantity on-hand]])/Table1[[#This Row],[Minimum order quantity]],1)*Table1[[#This Row],[Minimum order quantity]]</f>
        <v>#DIV/0!</v>
      </c>
      <c r="O485" s="53" t="e">
        <f>Table1[[#This Row],[Order quantity]]+Table1[[#This Row],[quantity on-hand]]-Table1[[#This Row],[extended quantity]]</f>
        <v>#DIV/0!</v>
      </c>
      <c r="P485" s="11">
        <f>IFERROR(Table1[[#This Row],[Order quantity]]*(Table1[[#This Row],[Cost ]]+Table1[[#This Row],[shipping]]+Table1[[#This Row],[Tax]]),0)</f>
        <v>0</v>
      </c>
      <c r="Q485" s="38">
        <f>IFERROR(Table1[[#This Row],[leftover material]]*(Table1[[#This Row],[Cost ]]+Table1[[#This Row],[shipping]]+Table1[[#This Row],[Tax]]),0)</f>
        <v>0</v>
      </c>
      <c r="R485" s="38"/>
    </row>
    <row r="486" spans="1:18" x14ac:dyDescent="0.25">
      <c r="A486" s="1" t="s">
        <v>489</v>
      </c>
      <c r="B486" s="4"/>
      <c r="F486" s="3">
        <f>9%*Table1[[#This Row],[Cost ]]</f>
        <v>0</v>
      </c>
      <c r="J486" s="11">
        <f>SUMIF('Multi-level BOM'!C$3:C$464,Table1[[#This Row],[Part Number]],'Multi-level BOM'!F$3:F$464)</f>
        <v>0</v>
      </c>
      <c r="K486" s="11">
        <f>Table1[[#This Row],[extended quantity]]*(Table1[[#This Row],[Cost ]]+Table1[[#This Row],[shipping]]+Table1[[#This Row],[Tax]])</f>
        <v>0</v>
      </c>
      <c r="L486" s="11"/>
      <c r="M486" s="42"/>
      <c r="N486" s="53" t="e">
        <f>CEILING((Table1[[#This Row],[extended quantity]]-Table1[[#This Row],[quantity on-hand]])/Table1[[#This Row],[Minimum order quantity]],1)*Table1[[#This Row],[Minimum order quantity]]</f>
        <v>#DIV/0!</v>
      </c>
      <c r="O486" s="53" t="e">
        <f>Table1[[#This Row],[Order quantity]]+Table1[[#This Row],[quantity on-hand]]-Table1[[#This Row],[extended quantity]]</f>
        <v>#DIV/0!</v>
      </c>
      <c r="P486" s="11">
        <f>IFERROR(Table1[[#This Row],[Order quantity]]*(Table1[[#This Row],[Cost ]]+Table1[[#This Row],[shipping]]+Table1[[#This Row],[Tax]]),0)</f>
        <v>0</v>
      </c>
      <c r="Q486" s="38">
        <f>IFERROR(Table1[[#This Row],[leftover material]]*(Table1[[#This Row],[Cost ]]+Table1[[#This Row],[shipping]]+Table1[[#This Row],[Tax]]),0)</f>
        <v>0</v>
      </c>
      <c r="R486" s="38"/>
    </row>
    <row r="487" spans="1:18" x14ac:dyDescent="0.25">
      <c r="A487" s="1" t="s">
        <v>490</v>
      </c>
      <c r="B487" s="4"/>
      <c r="F487" s="3">
        <f>9%*Table1[[#This Row],[Cost ]]</f>
        <v>0</v>
      </c>
      <c r="J487" s="11">
        <f>SUMIF('Multi-level BOM'!C$3:C$464,Table1[[#This Row],[Part Number]],'Multi-level BOM'!F$3:F$464)</f>
        <v>0</v>
      </c>
      <c r="K487" s="11">
        <f>Table1[[#This Row],[extended quantity]]*(Table1[[#This Row],[Cost ]]+Table1[[#This Row],[shipping]]+Table1[[#This Row],[Tax]])</f>
        <v>0</v>
      </c>
      <c r="L487" s="11"/>
      <c r="M487" s="42"/>
      <c r="N487" s="53" t="e">
        <f>CEILING((Table1[[#This Row],[extended quantity]]-Table1[[#This Row],[quantity on-hand]])/Table1[[#This Row],[Minimum order quantity]],1)*Table1[[#This Row],[Minimum order quantity]]</f>
        <v>#DIV/0!</v>
      </c>
      <c r="O487" s="53" t="e">
        <f>Table1[[#This Row],[Order quantity]]+Table1[[#This Row],[quantity on-hand]]-Table1[[#This Row],[extended quantity]]</f>
        <v>#DIV/0!</v>
      </c>
      <c r="P487" s="11">
        <f>IFERROR(Table1[[#This Row],[Order quantity]]*(Table1[[#This Row],[Cost ]]+Table1[[#This Row],[shipping]]+Table1[[#This Row],[Tax]]),0)</f>
        <v>0</v>
      </c>
      <c r="Q487" s="38">
        <f>IFERROR(Table1[[#This Row],[leftover material]]*(Table1[[#This Row],[Cost ]]+Table1[[#This Row],[shipping]]+Table1[[#This Row],[Tax]]),0)</f>
        <v>0</v>
      </c>
      <c r="R487" s="38"/>
    </row>
    <row r="488" spans="1:18" x14ac:dyDescent="0.25">
      <c r="A488" s="1" t="s">
        <v>491</v>
      </c>
      <c r="B488" s="4"/>
      <c r="F488" s="3">
        <f>9%*Table1[[#This Row],[Cost ]]</f>
        <v>0</v>
      </c>
      <c r="J488" s="11">
        <f>SUMIF('Multi-level BOM'!C$3:C$464,Table1[[#This Row],[Part Number]],'Multi-level BOM'!F$3:F$464)</f>
        <v>0</v>
      </c>
      <c r="K488" s="11">
        <f>Table1[[#This Row],[extended quantity]]*(Table1[[#This Row],[Cost ]]+Table1[[#This Row],[shipping]]+Table1[[#This Row],[Tax]])</f>
        <v>0</v>
      </c>
      <c r="L488" s="11"/>
      <c r="M488" s="42"/>
      <c r="N488" s="53" t="e">
        <f>CEILING((Table1[[#This Row],[extended quantity]]-Table1[[#This Row],[quantity on-hand]])/Table1[[#This Row],[Minimum order quantity]],1)*Table1[[#This Row],[Minimum order quantity]]</f>
        <v>#DIV/0!</v>
      </c>
      <c r="O488" s="53" t="e">
        <f>Table1[[#This Row],[Order quantity]]+Table1[[#This Row],[quantity on-hand]]-Table1[[#This Row],[extended quantity]]</f>
        <v>#DIV/0!</v>
      </c>
      <c r="P488" s="11">
        <f>IFERROR(Table1[[#This Row],[Order quantity]]*(Table1[[#This Row],[Cost ]]+Table1[[#This Row],[shipping]]+Table1[[#This Row],[Tax]]),0)</f>
        <v>0</v>
      </c>
      <c r="Q488" s="38">
        <f>IFERROR(Table1[[#This Row],[leftover material]]*(Table1[[#This Row],[Cost ]]+Table1[[#This Row],[shipping]]+Table1[[#This Row],[Tax]]),0)</f>
        <v>0</v>
      </c>
      <c r="R488" s="38"/>
    </row>
    <row r="489" spans="1:18" x14ac:dyDescent="0.25">
      <c r="A489" s="1" t="s">
        <v>492</v>
      </c>
      <c r="B489" s="4"/>
      <c r="F489" s="3">
        <f>9%*Table1[[#This Row],[Cost ]]</f>
        <v>0</v>
      </c>
      <c r="J489" s="11">
        <f>SUMIF('Multi-level BOM'!C$3:C$464,Table1[[#This Row],[Part Number]],'Multi-level BOM'!F$3:F$464)</f>
        <v>0</v>
      </c>
      <c r="K489" s="11">
        <f>Table1[[#This Row],[extended quantity]]*(Table1[[#This Row],[Cost ]]+Table1[[#This Row],[shipping]]+Table1[[#This Row],[Tax]])</f>
        <v>0</v>
      </c>
      <c r="L489" s="11"/>
      <c r="M489" s="42"/>
      <c r="N489" s="53" t="e">
        <f>CEILING((Table1[[#This Row],[extended quantity]]-Table1[[#This Row],[quantity on-hand]])/Table1[[#This Row],[Minimum order quantity]],1)*Table1[[#This Row],[Minimum order quantity]]</f>
        <v>#DIV/0!</v>
      </c>
      <c r="O489" s="53" t="e">
        <f>Table1[[#This Row],[Order quantity]]+Table1[[#This Row],[quantity on-hand]]-Table1[[#This Row],[extended quantity]]</f>
        <v>#DIV/0!</v>
      </c>
      <c r="P489" s="11">
        <f>IFERROR(Table1[[#This Row],[Order quantity]]*(Table1[[#This Row],[Cost ]]+Table1[[#This Row],[shipping]]+Table1[[#This Row],[Tax]]),0)</f>
        <v>0</v>
      </c>
      <c r="Q489" s="38">
        <f>IFERROR(Table1[[#This Row],[leftover material]]*(Table1[[#This Row],[Cost ]]+Table1[[#This Row],[shipping]]+Table1[[#This Row],[Tax]]),0)</f>
        <v>0</v>
      </c>
      <c r="R489" s="38"/>
    </row>
    <row r="490" spans="1:18" x14ac:dyDescent="0.25">
      <c r="A490" s="1" t="s">
        <v>493</v>
      </c>
      <c r="B490" s="4"/>
      <c r="F490" s="3">
        <f>9%*Table1[[#This Row],[Cost ]]</f>
        <v>0</v>
      </c>
      <c r="J490" s="11">
        <f>SUMIF('Multi-level BOM'!C$3:C$464,Table1[[#This Row],[Part Number]],'Multi-level BOM'!F$3:F$464)</f>
        <v>0</v>
      </c>
      <c r="K490" s="11">
        <f>Table1[[#This Row],[extended quantity]]*(Table1[[#This Row],[Cost ]]+Table1[[#This Row],[shipping]]+Table1[[#This Row],[Tax]])</f>
        <v>0</v>
      </c>
      <c r="L490" s="11"/>
      <c r="M490" s="42"/>
      <c r="N490" s="53" t="e">
        <f>CEILING((Table1[[#This Row],[extended quantity]]-Table1[[#This Row],[quantity on-hand]])/Table1[[#This Row],[Minimum order quantity]],1)*Table1[[#This Row],[Minimum order quantity]]</f>
        <v>#DIV/0!</v>
      </c>
      <c r="O490" s="53" t="e">
        <f>Table1[[#This Row],[Order quantity]]+Table1[[#This Row],[quantity on-hand]]-Table1[[#This Row],[extended quantity]]</f>
        <v>#DIV/0!</v>
      </c>
      <c r="P490" s="11">
        <f>IFERROR(Table1[[#This Row],[Order quantity]]*(Table1[[#This Row],[Cost ]]+Table1[[#This Row],[shipping]]+Table1[[#This Row],[Tax]]),0)</f>
        <v>0</v>
      </c>
      <c r="Q490" s="38">
        <f>IFERROR(Table1[[#This Row],[leftover material]]*(Table1[[#This Row],[Cost ]]+Table1[[#This Row],[shipping]]+Table1[[#This Row],[Tax]]),0)</f>
        <v>0</v>
      </c>
      <c r="R490" s="38"/>
    </row>
    <row r="491" spans="1:18" x14ac:dyDescent="0.25">
      <c r="A491" s="1" t="s">
        <v>494</v>
      </c>
      <c r="B491" s="4"/>
      <c r="F491" s="3">
        <f>9%*Table1[[#This Row],[Cost ]]</f>
        <v>0</v>
      </c>
      <c r="J491" s="11">
        <f>SUMIF('Multi-level BOM'!C$3:C$464,Table1[[#This Row],[Part Number]],'Multi-level BOM'!F$3:F$464)</f>
        <v>0</v>
      </c>
      <c r="K491" s="11">
        <f>Table1[[#This Row],[extended quantity]]*(Table1[[#This Row],[Cost ]]+Table1[[#This Row],[shipping]]+Table1[[#This Row],[Tax]])</f>
        <v>0</v>
      </c>
      <c r="L491" s="11"/>
      <c r="M491" s="42"/>
      <c r="N491" s="53" t="e">
        <f>CEILING((Table1[[#This Row],[extended quantity]]-Table1[[#This Row],[quantity on-hand]])/Table1[[#This Row],[Minimum order quantity]],1)*Table1[[#This Row],[Minimum order quantity]]</f>
        <v>#DIV/0!</v>
      </c>
      <c r="O491" s="53" t="e">
        <f>Table1[[#This Row],[Order quantity]]+Table1[[#This Row],[quantity on-hand]]-Table1[[#This Row],[extended quantity]]</f>
        <v>#DIV/0!</v>
      </c>
      <c r="P491" s="11">
        <f>IFERROR(Table1[[#This Row],[Order quantity]]*(Table1[[#This Row],[Cost ]]+Table1[[#This Row],[shipping]]+Table1[[#This Row],[Tax]]),0)</f>
        <v>0</v>
      </c>
      <c r="Q491" s="38">
        <f>IFERROR(Table1[[#This Row],[leftover material]]*(Table1[[#This Row],[Cost ]]+Table1[[#This Row],[shipping]]+Table1[[#This Row],[Tax]]),0)</f>
        <v>0</v>
      </c>
      <c r="R491" s="38"/>
    </row>
    <row r="492" spans="1:18" x14ac:dyDescent="0.25">
      <c r="A492" s="1" t="s">
        <v>495</v>
      </c>
      <c r="B492" s="4"/>
      <c r="F492" s="3">
        <f>9%*Table1[[#This Row],[Cost ]]</f>
        <v>0</v>
      </c>
      <c r="J492" s="11">
        <f>SUMIF('Multi-level BOM'!C$3:C$464,Table1[[#This Row],[Part Number]],'Multi-level BOM'!F$3:F$464)</f>
        <v>0</v>
      </c>
      <c r="K492" s="11">
        <f>Table1[[#This Row],[extended quantity]]*(Table1[[#This Row],[Cost ]]+Table1[[#This Row],[shipping]]+Table1[[#This Row],[Tax]])</f>
        <v>0</v>
      </c>
      <c r="L492" s="11"/>
      <c r="M492" s="42"/>
      <c r="N492" s="53" t="e">
        <f>CEILING((Table1[[#This Row],[extended quantity]]-Table1[[#This Row],[quantity on-hand]])/Table1[[#This Row],[Minimum order quantity]],1)*Table1[[#This Row],[Minimum order quantity]]</f>
        <v>#DIV/0!</v>
      </c>
      <c r="O492" s="53" t="e">
        <f>Table1[[#This Row],[Order quantity]]+Table1[[#This Row],[quantity on-hand]]-Table1[[#This Row],[extended quantity]]</f>
        <v>#DIV/0!</v>
      </c>
      <c r="P492" s="11">
        <f>IFERROR(Table1[[#This Row],[Order quantity]]*(Table1[[#This Row],[Cost ]]+Table1[[#This Row],[shipping]]+Table1[[#This Row],[Tax]]),0)</f>
        <v>0</v>
      </c>
      <c r="Q492" s="38">
        <f>IFERROR(Table1[[#This Row],[leftover material]]*(Table1[[#This Row],[Cost ]]+Table1[[#This Row],[shipping]]+Table1[[#This Row],[Tax]]),0)</f>
        <v>0</v>
      </c>
      <c r="R492" s="38"/>
    </row>
    <row r="493" spans="1:18" x14ac:dyDescent="0.25">
      <c r="A493" s="1" t="s">
        <v>496</v>
      </c>
      <c r="B493" s="4"/>
      <c r="F493" s="3">
        <f>9%*Table1[[#This Row],[Cost ]]</f>
        <v>0</v>
      </c>
      <c r="J493" s="11">
        <f>SUMIF('Multi-level BOM'!C$3:C$464,Table1[[#This Row],[Part Number]],'Multi-level BOM'!F$3:F$464)</f>
        <v>0</v>
      </c>
      <c r="K493" s="11">
        <f>Table1[[#This Row],[extended quantity]]*(Table1[[#This Row],[Cost ]]+Table1[[#This Row],[shipping]]+Table1[[#This Row],[Tax]])</f>
        <v>0</v>
      </c>
      <c r="L493" s="11"/>
      <c r="M493" s="42"/>
      <c r="N493" s="53" t="e">
        <f>CEILING((Table1[[#This Row],[extended quantity]]-Table1[[#This Row],[quantity on-hand]])/Table1[[#This Row],[Minimum order quantity]],1)*Table1[[#This Row],[Minimum order quantity]]</f>
        <v>#DIV/0!</v>
      </c>
      <c r="O493" s="53" t="e">
        <f>Table1[[#This Row],[Order quantity]]+Table1[[#This Row],[quantity on-hand]]-Table1[[#This Row],[extended quantity]]</f>
        <v>#DIV/0!</v>
      </c>
      <c r="P493" s="11">
        <f>IFERROR(Table1[[#This Row],[Order quantity]]*(Table1[[#This Row],[Cost ]]+Table1[[#This Row],[shipping]]+Table1[[#This Row],[Tax]]),0)</f>
        <v>0</v>
      </c>
      <c r="Q493" s="38">
        <f>IFERROR(Table1[[#This Row],[leftover material]]*(Table1[[#This Row],[Cost ]]+Table1[[#This Row],[shipping]]+Table1[[#This Row],[Tax]]),0)</f>
        <v>0</v>
      </c>
      <c r="R493" s="38"/>
    </row>
    <row r="494" spans="1:18" x14ac:dyDescent="0.25">
      <c r="A494" s="1" t="s">
        <v>497</v>
      </c>
      <c r="B494" s="4"/>
      <c r="F494" s="3">
        <f>9%*Table1[[#This Row],[Cost ]]</f>
        <v>0</v>
      </c>
      <c r="J494" s="11">
        <f>SUMIF('Multi-level BOM'!C$3:C$464,Table1[[#This Row],[Part Number]],'Multi-level BOM'!F$3:F$464)</f>
        <v>0</v>
      </c>
      <c r="K494" s="11">
        <f>Table1[[#This Row],[extended quantity]]*(Table1[[#This Row],[Cost ]]+Table1[[#This Row],[shipping]]+Table1[[#This Row],[Tax]])</f>
        <v>0</v>
      </c>
      <c r="L494" s="11"/>
      <c r="M494" s="42"/>
      <c r="N494" s="53" t="e">
        <f>CEILING((Table1[[#This Row],[extended quantity]]-Table1[[#This Row],[quantity on-hand]])/Table1[[#This Row],[Minimum order quantity]],1)*Table1[[#This Row],[Minimum order quantity]]</f>
        <v>#DIV/0!</v>
      </c>
      <c r="O494" s="53" t="e">
        <f>Table1[[#This Row],[Order quantity]]+Table1[[#This Row],[quantity on-hand]]-Table1[[#This Row],[extended quantity]]</f>
        <v>#DIV/0!</v>
      </c>
      <c r="P494" s="11">
        <f>IFERROR(Table1[[#This Row],[Order quantity]]*(Table1[[#This Row],[Cost ]]+Table1[[#This Row],[shipping]]+Table1[[#This Row],[Tax]]),0)</f>
        <v>0</v>
      </c>
      <c r="Q494" s="38">
        <f>IFERROR(Table1[[#This Row],[leftover material]]*(Table1[[#This Row],[Cost ]]+Table1[[#This Row],[shipping]]+Table1[[#This Row],[Tax]]),0)</f>
        <v>0</v>
      </c>
      <c r="R494" s="38"/>
    </row>
    <row r="495" spans="1:18" x14ac:dyDescent="0.25">
      <c r="A495" s="1" t="s">
        <v>498</v>
      </c>
      <c r="B495" s="4"/>
      <c r="F495" s="3">
        <f>9%*Table1[[#This Row],[Cost ]]</f>
        <v>0</v>
      </c>
      <c r="J495" s="11">
        <f>SUMIF('Multi-level BOM'!C$3:C$464,Table1[[#This Row],[Part Number]],'Multi-level BOM'!F$3:F$464)</f>
        <v>0</v>
      </c>
      <c r="K495" s="11">
        <f>Table1[[#This Row],[extended quantity]]*(Table1[[#This Row],[Cost ]]+Table1[[#This Row],[shipping]]+Table1[[#This Row],[Tax]])</f>
        <v>0</v>
      </c>
      <c r="L495" s="11"/>
      <c r="M495" s="42"/>
      <c r="N495" s="53" t="e">
        <f>CEILING((Table1[[#This Row],[extended quantity]]-Table1[[#This Row],[quantity on-hand]])/Table1[[#This Row],[Minimum order quantity]],1)*Table1[[#This Row],[Minimum order quantity]]</f>
        <v>#DIV/0!</v>
      </c>
      <c r="O495" s="53" t="e">
        <f>Table1[[#This Row],[Order quantity]]+Table1[[#This Row],[quantity on-hand]]-Table1[[#This Row],[extended quantity]]</f>
        <v>#DIV/0!</v>
      </c>
      <c r="P495" s="11">
        <f>IFERROR(Table1[[#This Row],[Order quantity]]*(Table1[[#This Row],[Cost ]]+Table1[[#This Row],[shipping]]+Table1[[#This Row],[Tax]]),0)</f>
        <v>0</v>
      </c>
      <c r="Q495" s="38">
        <f>IFERROR(Table1[[#This Row],[leftover material]]*(Table1[[#This Row],[Cost ]]+Table1[[#This Row],[shipping]]+Table1[[#This Row],[Tax]]),0)</f>
        <v>0</v>
      </c>
      <c r="R495" s="38"/>
    </row>
    <row r="496" spans="1:18" x14ac:dyDescent="0.25">
      <c r="A496" s="1" t="s">
        <v>499</v>
      </c>
      <c r="B496" s="4"/>
      <c r="F496" s="3">
        <f>9%*Table1[[#This Row],[Cost ]]</f>
        <v>0</v>
      </c>
      <c r="J496" s="11">
        <f>SUMIF('Multi-level BOM'!C$3:C$464,Table1[[#This Row],[Part Number]],'Multi-level BOM'!F$3:F$464)</f>
        <v>0</v>
      </c>
      <c r="K496" s="11">
        <f>Table1[[#This Row],[extended quantity]]*(Table1[[#This Row],[Cost ]]+Table1[[#This Row],[shipping]]+Table1[[#This Row],[Tax]])</f>
        <v>0</v>
      </c>
      <c r="L496" s="11"/>
      <c r="M496" s="42"/>
      <c r="N496" s="53" t="e">
        <f>CEILING((Table1[[#This Row],[extended quantity]]-Table1[[#This Row],[quantity on-hand]])/Table1[[#This Row],[Minimum order quantity]],1)*Table1[[#This Row],[Minimum order quantity]]</f>
        <v>#DIV/0!</v>
      </c>
      <c r="O496" s="53" t="e">
        <f>Table1[[#This Row],[Order quantity]]+Table1[[#This Row],[quantity on-hand]]-Table1[[#This Row],[extended quantity]]</f>
        <v>#DIV/0!</v>
      </c>
      <c r="P496" s="11">
        <f>IFERROR(Table1[[#This Row],[Order quantity]]*(Table1[[#This Row],[Cost ]]+Table1[[#This Row],[shipping]]+Table1[[#This Row],[Tax]]),0)</f>
        <v>0</v>
      </c>
      <c r="Q496" s="38">
        <f>IFERROR(Table1[[#This Row],[leftover material]]*(Table1[[#This Row],[Cost ]]+Table1[[#This Row],[shipping]]+Table1[[#This Row],[Tax]]),0)</f>
        <v>0</v>
      </c>
      <c r="R496" s="38"/>
    </row>
    <row r="497" spans="1:18" x14ac:dyDescent="0.25">
      <c r="A497" s="1" t="s">
        <v>500</v>
      </c>
      <c r="B497" s="4"/>
      <c r="F497" s="3">
        <f>9%*Table1[[#This Row],[Cost ]]</f>
        <v>0</v>
      </c>
      <c r="J497" s="11">
        <f>SUMIF('Multi-level BOM'!C$3:C$464,Table1[[#This Row],[Part Number]],'Multi-level BOM'!F$3:F$464)</f>
        <v>0</v>
      </c>
      <c r="K497" s="11">
        <f>Table1[[#This Row],[extended quantity]]*(Table1[[#This Row],[Cost ]]+Table1[[#This Row],[shipping]]+Table1[[#This Row],[Tax]])</f>
        <v>0</v>
      </c>
      <c r="L497" s="11"/>
      <c r="M497" s="42"/>
      <c r="N497" s="53" t="e">
        <f>CEILING((Table1[[#This Row],[extended quantity]]-Table1[[#This Row],[quantity on-hand]])/Table1[[#This Row],[Minimum order quantity]],1)*Table1[[#This Row],[Minimum order quantity]]</f>
        <v>#DIV/0!</v>
      </c>
      <c r="O497" s="53" t="e">
        <f>Table1[[#This Row],[Order quantity]]+Table1[[#This Row],[quantity on-hand]]-Table1[[#This Row],[extended quantity]]</f>
        <v>#DIV/0!</v>
      </c>
      <c r="P497" s="11">
        <f>IFERROR(Table1[[#This Row],[Order quantity]]*(Table1[[#This Row],[Cost ]]+Table1[[#This Row],[shipping]]+Table1[[#This Row],[Tax]]),0)</f>
        <v>0</v>
      </c>
      <c r="Q497" s="38">
        <f>IFERROR(Table1[[#This Row],[leftover material]]*(Table1[[#This Row],[Cost ]]+Table1[[#This Row],[shipping]]+Table1[[#This Row],[Tax]]),0)</f>
        <v>0</v>
      </c>
      <c r="R497" s="38"/>
    </row>
    <row r="498" spans="1:18" x14ac:dyDescent="0.25">
      <c r="A498" s="1" t="s">
        <v>501</v>
      </c>
      <c r="B498" s="4"/>
      <c r="F498" s="3">
        <f>9%*Table1[[#This Row],[Cost ]]</f>
        <v>0</v>
      </c>
      <c r="J498" s="11">
        <f>SUMIF('Multi-level BOM'!C$3:C$464,Table1[[#This Row],[Part Number]],'Multi-level BOM'!F$3:F$464)</f>
        <v>0</v>
      </c>
      <c r="K498" s="11">
        <f>Table1[[#This Row],[extended quantity]]*(Table1[[#This Row],[Cost ]]+Table1[[#This Row],[shipping]]+Table1[[#This Row],[Tax]])</f>
        <v>0</v>
      </c>
      <c r="L498" s="11"/>
      <c r="M498" s="42"/>
      <c r="N498" s="53" t="e">
        <f>CEILING((Table1[[#This Row],[extended quantity]]-Table1[[#This Row],[quantity on-hand]])/Table1[[#This Row],[Minimum order quantity]],1)*Table1[[#This Row],[Minimum order quantity]]</f>
        <v>#DIV/0!</v>
      </c>
      <c r="O498" s="53" t="e">
        <f>Table1[[#This Row],[Order quantity]]+Table1[[#This Row],[quantity on-hand]]-Table1[[#This Row],[extended quantity]]</f>
        <v>#DIV/0!</v>
      </c>
      <c r="P498" s="11">
        <f>IFERROR(Table1[[#This Row],[Order quantity]]*(Table1[[#This Row],[Cost ]]+Table1[[#This Row],[shipping]]+Table1[[#This Row],[Tax]]),0)</f>
        <v>0</v>
      </c>
      <c r="Q498" s="38">
        <f>IFERROR(Table1[[#This Row],[leftover material]]*(Table1[[#This Row],[Cost ]]+Table1[[#This Row],[shipping]]+Table1[[#This Row],[Tax]]),0)</f>
        <v>0</v>
      </c>
      <c r="R498" s="38"/>
    </row>
    <row r="499" spans="1:18" x14ac:dyDescent="0.25">
      <c r="A499" s="1" t="s">
        <v>502</v>
      </c>
      <c r="B499" s="4"/>
      <c r="F499" s="3">
        <f>9%*Table1[[#This Row],[Cost ]]</f>
        <v>0</v>
      </c>
      <c r="J499" s="11">
        <f>SUMIF('Multi-level BOM'!C$3:C$464,Table1[[#This Row],[Part Number]],'Multi-level BOM'!F$3:F$464)</f>
        <v>0</v>
      </c>
      <c r="K499" s="11">
        <f>Table1[[#This Row],[extended quantity]]*(Table1[[#This Row],[Cost ]]+Table1[[#This Row],[shipping]]+Table1[[#This Row],[Tax]])</f>
        <v>0</v>
      </c>
      <c r="L499" s="11"/>
      <c r="M499" s="42"/>
      <c r="N499" s="53" t="e">
        <f>CEILING((Table1[[#This Row],[extended quantity]]-Table1[[#This Row],[quantity on-hand]])/Table1[[#This Row],[Minimum order quantity]],1)*Table1[[#This Row],[Minimum order quantity]]</f>
        <v>#DIV/0!</v>
      </c>
      <c r="O499" s="53" t="e">
        <f>Table1[[#This Row],[Order quantity]]+Table1[[#This Row],[quantity on-hand]]-Table1[[#This Row],[extended quantity]]</f>
        <v>#DIV/0!</v>
      </c>
      <c r="P499" s="11">
        <f>IFERROR(Table1[[#This Row],[Order quantity]]*(Table1[[#This Row],[Cost ]]+Table1[[#This Row],[shipping]]+Table1[[#This Row],[Tax]]),0)</f>
        <v>0</v>
      </c>
      <c r="Q499" s="38">
        <f>IFERROR(Table1[[#This Row],[leftover material]]*(Table1[[#This Row],[Cost ]]+Table1[[#This Row],[shipping]]+Table1[[#This Row],[Tax]]),0)</f>
        <v>0</v>
      </c>
      <c r="R499" s="38"/>
    </row>
    <row r="500" spans="1:18" x14ac:dyDescent="0.25">
      <c r="A500" s="1" t="s">
        <v>503</v>
      </c>
      <c r="B500" s="4"/>
      <c r="F500" s="3">
        <f>9%*Table1[[#This Row],[Cost ]]</f>
        <v>0</v>
      </c>
      <c r="J500" s="11">
        <f>SUMIF('Multi-level BOM'!C$3:C$464,Table1[[#This Row],[Part Number]],'Multi-level BOM'!F$3:F$464)</f>
        <v>0</v>
      </c>
      <c r="K500" s="11">
        <f>Table1[[#This Row],[extended quantity]]*(Table1[[#This Row],[Cost ]]+Table1[[#This Row],[shipping]]+Table1[[#This Row],[Tax]])</f>
        <v>0</v>
      </c>
      <c r="L500" s="11"/>
      <c r="M500" s="42"/>
      <c r="N500" s="53" t="e">
        <f>CEILING((Table1[[#This Row],[extended quantity]]-Table1[[#This Row],[quantity on-hand]])/Table1[[#This Row],[Minimum order quantity]],1)*Table1[[#This Row],[Minimum order quantity]]</f>
        <v>#DIV/0!</v>
      </c>
      <c r="O500" s="53" t="e">
        <f>Table1[[#This Row],[Order quantity]]+Table1[[#This Row],[quantity on-hand]]-Table1[[#This Row],[extended quantity]]</f>
        <v>#DIV/0!</v>
      </c>
      <c r="P500" s="11">
        <f>IFERROR(Table1[[#This Row],[Order quantity]]*(Table1[[#This Row],[Cost ]]+Table1[[#This Row],[shipping]]+Table1[[#This Row],[Tax]]),0)</f>
        <v>0</v>
      </c>
      <c r="Q500" s="38">
        <f>IFERROR(Table1[[#This Row],[leftover material]]*(Table1[[#This Row],[Cost ]]+Table1[[#This Row],[shipping]]+Table1[[#This Row],[Tax]]),0)</f>
        <v>0</v>
      </c>
      <c r="R500" s="38"/>
    </row>
    <row r="501" spans="1:18" x14ac:dyDescent="0.25">
      <c r="A501" s="1" t="s">
        <v>504</v>
      </c>
      <c r="B501" s="4"/>
      <c r="F501" s="3">
        <f>9%*Table1[[#This Row],[Cost ]]</f>
        <v>0</v>
      </c>
      <c r="J501" s="11">
        <f>SUMIF('Multi-level BOM'!C$3:C$464,Table1[[#This Row],[Part Number]],'Multi-level BOM'!F$3:F$464)</f>
        <v>0</v>
      </c>
      <c r="K501" s="11">
        <f>Table1[[#This Row],[extended quantity]]*(Table1[[#This Row],[Cost ]]+Table1[[#This Row],[shipping]]+Table1[[#This Row],[Tax]])</f>
        <v>0</v>
      </c>
      <c r="L501" s="11"/>
      <c r="M501" s="42"/>
      <c r="N501" s="53" t="e">
        <f>CEILING((Table1[[#This Row],[extended quantity]]-Table1[[#This Row],[quantity on-hand]])/Table1[[#This Row],[Minimum order quantity]],1)*Table1[[#This Row],[Minimum order quantity]]</f>
        <v>#DIV/0!</v>
      </c>
      <c r="O501" s="53" t="e">
        <f>Table1[[#This Row],[Order quantity]]+Table1[[#This Row],[quantity on-hand]]-Table1[[#This Row],[extended quantity]]</f>
        <v>#DIV/0!</v>
      </c>
      <c r="P501" s="11">
        <f>IFERROR(Table1[[#This Row],[Order quantity]]*(Table1[[#This Row],[Cost ]]+Table1[[#This Row],[shipping]]+Table1[[#This Row],[Tax]]),0)</f>
        <v>0</v>
      </c>
      <c r="Q501" s="38">
        <f>IFERROR(Table1[[#This Row],[leftover material]]*(Table1[[#This Row],[Cost ]]+Table1[[#This Row],[shipping]]+Table1[[#This Row],[Tax]]),0)</f>
        <v>0</v>
      </c>
      <c r="R501" s="38"/>
    </row>
    <row r="502" spans="1:18" x14ac:dyDescent="0.25">
      <c r="A502" s="1" t="s">
        <v>505</v>
      </c>
      <c r="B502" s="4"/>
      <c r="F502" s="3">
        <f>9%*Table1[[#This Row],[Cost ]]</f>
        <v>0</v>
      </c>
      <c r="J502" s="11">
        <f>SUMIF('Multi-level BOM'!C$3:C$464,Table1[[#This Row],[Part Number]],'Multi-level BOM'!F$3:F$464)</f>
        <v>0</v>
      </c>
      <c r="K502" s="11">
        <f>Table1[[#This Row],[extended quantity]]*(Table1[[#This Row],[Cost ]]+Table1[[#This Row],[shipping]]+Table1[[#This Row],[Tax]])</f>
        <v>0</v>
      </c>
      <c r="L502" s="11"/>
      <c r="M502" s="42"/>
      <c r="N502" s="53" t="e">
        <f>CEILING((Table1[[#This Row],[extended quantity]]-Table1[[#This Row],[quantity on-hand]])/Table1[[#This Row],[Minimum order quantity]],1)*Table1[[#This Row],[Minimum order quantity]]</f>
        <v>#DIV/0!</v>
      </c>
      <c r="O502" s="53" t="e">
        <f>Table1[[#This Row],[Order quantity]]+Table1[[#This Row],[quantity on-hand]]-Table1[[#This Row],[extended quantity]]</f>
        <v>#DIV/0!</v>
      </c>
      <c r="P502" s="11">
        <f>IFERROR(Table1[[#This Row],[Order quantity]]*(Table1[[#This Row],[Cost ]]+Table1[[#This Row],[shipping]]+Table1[[#This Row],[Tax]]),0)</f>
        <v>0</v>
      </c>
      <c r="Q502" s="38">
        <f>IFERROR(Table1[[#This Row],[leftover material]]*(Table1[[#This Row],[Cost ]]+Table1[[#This Row],[shipping]]+Table1[[#This Row],[Tax]]),0)</f>
        <v>0</v>
      </c>
      <c r="R502" s="38"/>
    </row>
    <row r="503" spans="1:18" x14ac:dyDescent="0.25">
      <c r="A503" s="1" t="s">
        <v>506</v>
      </c>
      <c r="B503" s="4"/>
      <c r="F503" s="3">
        <f>9%*Table1[[#This Row],[Cost ]]</f>
        <v>0</v>
      </c>
      <c r="J503" s="11">
        <f>SUMIF('Multi-level BOM'!C$3:C$464,Table1[[#This Row],[Part Number]],'Multi-level BOM'!F$3:F$464)</f>
        <v>0</v>
      </c>
      <c r="K503" s="11">
        <f>Table1[[#This Row],[extended quantity]]*(Table1[[#This Row],[Cost ]]+Table1[[#This Row],[shipping]]+Table1[[#This Row],[Tax]])</f>
        <v>0</v>
      </c>
      <c r="L503" s="11"/>
      <c r="M503" s="42"/>
      <c r="N503" s="53" t="e">
        <f>CEILING((Table1[[#This Row],[extended quantity]]-Table1[[#This Row],[quantity on-hand]])/Table1[[#This Row],[Minimum order quantity]],1)*Table1[[#This Row],[Minimum order quantity]]</f>
        <v>#DIV/0!</v>
      </c>
      <c r="O503" s="53" t="e">
        <f>Table1[[#This Row],[Order quantity]]+Table1[[#This Row],[quantity on-hand]]-Table1[[#This Row],[extended quantity]]</f>
        <v>#DIV/0!</v>
      </c>
      <c r="P503" s="11">
        <f>IFERROR(Table1[[#This Row],[Order quantity]]*(Table1[[#This Row],[Cost ]]+Table1[[#This Row],[shipping]]+Table1[[#This Row],[Tax]]),0)</f>
        <v>0</v>
      </c>
      <c r="Q503" s="38">
        <f>IFERROR(Table1[[#This Row],[leftover material]]*(Table1[[#This Row],[Cost ]]+Table1[[#This Row],[shipping]]+Table1[[#This Row],[Tax]]),0)</f>
        <v>0</v>
      </c>
      <c r="R503" s="38"/>
    </row>
    <row r="504" spans="1:18" x14ac:dyDescent="0.25">
      <c r="A504" s="1" t="s">
        <v>507</v>
      </c>
      <c r="B504" s="4"/>
      <c r="F504" s="3">
        <f>9%*Table1[[#This Row],[Cost ]]</f>
        <v>0</v>
      </c>
      <c r="J504" s="11">
        <f>SUMIF('Multi-level BOM'!C$3:C$464,Table1[[#This Row],[Part Number]],'Multi-level BOM'!F$3:F$464)</f>
        <v>0</v>
      </c>
      <c r="K504" s="11">
        <f>Table1[[#This Row],[extended quantity]]*(Table1[[#This Row],[Cost ]]+Table1[[#This Row],[shipping]]+Table1[[#This Row],[Tax]])</f>
        <v>0</v>
      </c>
      <c r="L504" s="11"/>
      <c r="M504" s="42"/>
      <c r="N504" s="53" t="e">
        <f>CEILING((Table1[[#This Row],[extended quantity]]-Table1[[#This Row],[quantity on-hand]])/Table1[[#This Row],[Minimum order quantity]],1)*Table1[[#This Row],[Minimum order quantity]]</f>
        <v>#DIV/0!</v>
      </c>
      <c r="O504" s="53" t="e">
        <f>Table1[[#This Row],[Order quantity]]+Table1[[#This Row],[quantity on-hand]]-Table1[[#This Row],[extended quantity]]</f>
        <v>#DIV/0!</v>
      </c>
      <c r="P504" s="11">
        <f>IFERROR(Table1[[#This Row],[Order quantity]]*(Table1[[#This Row],[Cost ]]+Table1[[#This Row],[shipping]]+Table1[[#This Row],[Tax]]),0)</f>
        <v>0</v>
      </c>
      <c r="Q504" s="38">
        <f>IFERROR(Table1[[#This Row],[leftover material]]*(Table1[[#This Row],[Cost ]]+Table1[[#This Row],[shipping]]+Table1[[#This Row],[Tax]]),0)</f>
        <v>0</v>
      </c>
      <c r="R504" s="38"/>
    </row>
    <row r="505" spans="1:18" x14ac:dyDescent="0.25">
      <c r="A505" s="1" t="s">
        <v>508</v>
      </c>
      <c r="B505" s="4"/>
      <c r="F505" s="3">
        <f>9%*Table1[[#This Row],[Cost ]]</f>
        <v>0</v>
      </c>
      <c r="J505" s="11">
        <f>SUMIF('Multi-level BOM'!C$3:C$464,Table1[[#This Row],[Part Number]],'Multi-level BOM'!F$3:F$464)</f>
        <v>0</v>
      </c>
      <c r="K505" s="11">
        <f>Table1[[#This Row],[extended quantity]]*(Table1[[#This Row],[Cost ]]+Table1[[#This Row],[shipping]]+Table1[[#This Row],[Tax]])</f>
        <v>0</v>
      </c>
      <c r="L505" s="11"/>
      <c r="M505" s="42"/>
      <c r="N505" s="53" t="e">
        <f>CEILING((Table1[[#This Row],[extended quantity]]-Table1[[#This Row],[quantity on-hand]])/Table1[[#This Row],[Minimum order quantity]],1)*Table1[[#This Row],[Minimum order quantity]]</f>
        <v>#DIV/0!</v>
      </c>
      <c r="O505" s="53" t="e">
        <f>Table1[[#This Row],[Order quantity]]+Table1[[#This Row],[quantity on-hand]]-Table1[[#This Row],[extended quantity]]</f>
        <v>#DIV/0!</v>
      </c>
      <c r="P505" s="11">
        <f>IFERROR(Table1[[#This Row],[Order quantity]]*(Table1[[#This Row],[Cost ]]+Table1[[#This Row],[shipping]]+Table1[[#This Row],[Tax]]),0)</f>
        <v>0</v>
      </c>
      <c r="Q505" s="38">
        <f>IFERROR(Table1[[#This Row],[leftover material]]*(Table1[[#This Row],[Cost ]]+Table1[[#This Row],[shipping]]+Table1[[#This Row],[Tax]]),0)</f>
        <v>0</v>
      </c>
      <c r="R505" s="38"/>
    </row>
    <row r="506" spans="1:18" x14ac:dyDescent="0.25">
      <c r="A506" s="1" t="s">
        <v>509</v>
      </c>
      <c r="B506" s="4"/>
      <c r="F506" s="3">
        <f>9%*Table1[[#This Row],[Cost ]]</f>
        <v>0</v>
      </c>
      <c r="J506" s="11">
        <f>SUMIF('Multi-level BOM'!C$3:C$464,Table1[[#This Row],[Part Number]],'Multi-level BOM'!F$3:F$464)</f>
        <v>0</v>
      </c>
      <c r="K506" s="11">
        <f>Table1[[#This Row],[extended quantity]]*(Table1[[#This Row],[Cost ]]+Table1[[#This Row],[shipping]]+Table1[[#This Row],[Tax]])</f>
        <v>0</v>
      </c>
      <c r="L506" s="11"/>
      <c r="M506" s="42"/>
      <c r="N506" s="53" t="e">
        <f>CEILING((Table1[[#This Row],[extended quantity]]-Table1[[#This Row],[quantity on-hand]])/Table1[[#This Row],[Minimum order quantity]],1)*Table1[[#This Row],[Minimum order quantity]]</f>
        <v>#DIV/0!</v>
      </c>
      <c r="O506" s="53" t="e">
        <f>Table1[[#This Row],[Order quantity]]+Table1[[#This Row],[quantity on-hand]]-Table1[[#This Row],[extended quantity]]</f>
        <v>#DIV/0!</v>
      </c>
      <c r="P506" s="11">
        <f>IFERROR(Table1[[#This Row],[Order quantity]]*(Table1[[#This Row],[Cost ]]+Table1[[#This Row],[shipping]]+Table1[[#This Row],[Tax]]),0)</f>
        <v>0</v>
      </c>
      <c r="Q506" s="38">
        <f>IFERROR(Table1[[#This Row],[leftover material]]*(Table1[[#This Row],[Cost ]]+Table1[[#This Row],[shipping]]+Table1[[#This Row],[Tax]]),0)</f>
        <v>0</v>
      </c>
      <c r="R506" s="38"/>
    </row>
    <row r="507" spans="1:18" x14ac:dyDescent="0.25">
      <c r="A507" s="1" t="s">
        <v>510</v>
      </c>
      <c r="B507" s="4"/>
      <c r="F507" s="3">
        <f>9%*Table1[[#This Row],[Cost ]]</f>
        <v>0</v>
      </c>
      <c r="J507" s="11">
        <f>SUMIF('Multi-level BOM'!C$3:C$464,Table1[[#This Row],[Part Number]],'Multi-level BOM'!F$3:F$464)</f>
        <v>0</v>
      </c>
      <c r="K507" s="11">
        <f>Table1[[#This Row],[extended quantity]]*(Table1[[#This Row],[Cost ]]+Table1[[#This Row],[shipping]]+Table1[[#This Row],[Tax]])</f>
        <v>0</v>
      </c>
      <c r="L507" s="11"/>
      <c r="M507" s="42"/>
      <c r="N507" s="53" t="e">
        <f>CEILING((Table1[[#This Row],[extended quantity]]-Table1[[#This Row],[quantity on-hand]])/Table1[[#This Row],[Minimum order quantity]],1)*Table1[[#This Row],[Minimum order quantity]]</f>
        <v>#DIV/0!</v>
      </c>
      <c r="O507" s="53" t="e">
        <f>Table1[[#This Row],[Order quantity]]+Table1[[#This Row],[quantity on-hand]]-Table1[[#This Row],[extended quantity]]</f>
        <v>#DIV/0!</v>
      </c>
      <c r="P507" s="11">
        <f>IFERROR(Table1[[#This Row],[Order quantity]]*(Table1[[#This Row],[Cost ]]+Table1[[#This Row],[shipping]]+Table1[[#This Row],[Tax]]),0)</f>
        <v>0</v>
      </c>
      <c r="Q507" s="38">
        <f>IFERROR(Table1[[#This Row],[leftover material]]*(Table1[[#This Row],[Cost ]]+Table1[[#This Row],[shipping]]+Table1[[#This Row],[Tax]]),0)</f>
        <v>0</v>
      </c>
      <c r="R507" s="38"/>
    </row>
    <row r="508" spans="1:18" x14ac:dyDescent="0.25">
      <c r="A508" s="1" t="s">
        <v>511</v>
      </c>
      <c r="B508" s="4"/>
      <c r="F508" s="3">
        <f>9%*Table1[[#This Row],[Cost ]]</f>
        <v>0</v>
      </c>
      <c r="J508" s="11">
        <f>SUMIF('Multi-level BOM'!C$3:C$464,Table1[[#This Row],[Part Number]],'Multi-level BOM'!F$3:F$464)</f>
        <v>0</v>
      </c>
      <c r="K508" s="11">
        <f>Table1[[#This Row],[extended quantity]]*(Table1[[#This Row],[Cost ]]+Table1[[#This Row],[shipping]]+Table1[[#This Row],[Tax]])</f>
        <v>0</v>
      </c>
      <c r="L508" s="11"/>
      <c r="M508" s="42"/>
      <c r="N508" s="53" t="e">
        <f>CEILING((Table1[[#This Row],[extended quantity]]-Table1[[#This Row],[quantity on-hand]])/Table1[[#This Row],[Minimum order quantity]],1)*Table1[[#This Row],[Minimum order quantity]]</f>
        <v>#DIV/0!</v>
      </c>
      <c r="O508" s="53" t="e">
        <f>Table1[[#This Row],[Order quantity]]+Table1[[#This Row],[quantity on-hand]]-Table1[[#This Row],[extended quantity]]</f>
        <v>#DIV/0!</v>
      </c>
      <c r="P508" s="11">
        <f>IFERROR(Table1[[#This Row],[Order quantity]]*(Table1[[#This Row],[Cost ]]+Table1[[#This Row],[shipping]]+Table1[[#This Row],[Tax]]),0)</f>
        <v>0</v>
      </c>
      <c r="Q508" s="38">
        <f>IFERROR(Table1[[#This Row],[leftover material]]*(Table1[[#This Row],[Cost ]]+Table1[[#This Row],[shipping]]+Table1[[#This Row],[Tax]]),0)</f>
        <v>0</v>
      </c>
      <c r="R508" s="38"/>
    </row>
    <row r="509" spans="1:18" x14ac:dyDescent="0.25">
      <c r="A509" s="1" t="s">
        <v>512</v>
      </c>
      <c r="B509" s="4"/>
      <c r="F509" s="3">
        <f>9%*Table1[[#This Row],[Cost ]]</f>
        <v>0</v>
      </c>
      <c r="J509" s="11">
        <f>SUMIF('Multi-level BOM'!C$3:C$464,Table1[[#This Row],[Part Number]],'Multi-level BOM'!F$3:F$464)</f>
        <v>0</v>
      </c>
      <c r="K509" s="11">
        <f>Table1[[#This Row],[extended quantity]]*(Table1[[#This Row],[Cost ]]+Table1[[#This Row],[shipping]]+Table1[[#This Row],[Tax]])</f>
        <v>0</v>
      </c>
      <c r="L509" s="11"/>
      <c r="M509" s="42"/>
      <c r="N509" s="53" t="e">
        <f>CEILING((Table1[[#This Row],[extended quantity]]-Table1[[#This Row],[quantity on-hand]])/Table1[[#This Row],[Minimum order quantity]],1)*Table1[[#This Row],[Minimum order quantity]]</f>
        <v>#DIV/0!</v>
      </c>
      <c r="O509" s="53" t="e">
        <f>Table1[[#This Row],[Order quantity]]+Table1[[#This Row],[quantity on-hand]]-Table1[[#This Row],[extended quantity]]</f>
        <v>#DIV/0!</v>
      </c>
      <c r="P509" s="11">
        <f>IFERROR(Table1[[#This Row],[Order quantity]]*(Table1[[#This Row],[Cost ]]+Table1[[#This Row],[shipping]]+Table1[[#This Row],[Tax]]),0)</f>
        <v>0</v>
      </c>
      <c r="Q509" s="38">
        <f>IFERROR(Table1[[#This Row],[leftover material]]*(Table1[[#This Row],[Cost ]]+Table1[[#This Row],[shipping]]+Table1[[#This Row],[Tax]]),0)</f>
        <v>0</v>
      </c>
      <c r="R509" s="38"/>
    </row>
    <row r="510" spans="1:18" x14ac:dyDescent="0.25">
      <c r="A510" s="1" t="s">
        <v>513</v>
      </c>
      <c r="B510" s="4"/>
      <c r="F510" s="3">
        <f>9%*Table1[[#This Row],[Cost ]]</f>
        <v>0</v>
      </c>
      <c r="J510" s="11">
        <f>SUMIF('Multi-level BOM'!C$3:C$464,Table1[[#This Row],[Part Number]],'Multi-level BOM'!F$3:F$464)</f>
        <v>0</v>
      </c>
      <c r="K510" s="11">
        <f>Table1[[#This Row],[extended quantity]]*(Table1[[#This Row],[Cost ]]+Table1[[#This Row],[shipping]]+Table1[[#This Row],[Tax]])</f>
        <v>0</v>
      </c>
      <c r="L510" s="11"/>
      <c r="M510" s="42"/>
      <c r="N510" s="53" t="e">
        <f>CEILING((Table1[[#This Row],[extended quantity]]-Table1[[#This Row],[quantity on-hand]])/Table1[[#This Row],[Minimum order quantity]],1)*Table1[[#This Row],[Minimum order quantity]]</f>
        <v>#DIV/0!</v>
      </c>
      <c r="O510" s="53" t="e">
        <f>Table1[[#This Row],[Order quantity]]+Table1[[#This Row],[quantity on-hand]]-Table1[[#This Row],[extended quantity]]</f>
        <v>#DIV/0!</v>
      </c>
      <c r="P510" s="11">
        <f>IFERROR(Table1[[#This Row],[Order quantity]]*(Table1[[#This Row],[Cost ]]+Table1[[#This Row],[shipping]]+Table1[[#This Row],[Tax]]),0)</f>
        <v>0</v>
      </c>
      <c r="Q510" s="38">
        <f>IFERROR(Table1[[#This Row],[leftover material]]*(Table1[[#This Row],[Cost ]]+Table1[[#This Row],[shipping]]+Table1[[#This Row],[Tax]]),0)</f>
        <v>0</v>
      </c>
      <c r="R510" s="38"/>
    </row>
    <row r="511" spans="1:18" x14ac:dyDescent="0.25">
      <c r="A511" s="1" t="s">
        <v>514</v>
      </c>
      <c r="B511" s="4"/>
      <c r="F511" s="3">
        <f>9%*Table1[[#This Row],[Cost ]]</f>
        <v>0</v>
      </c>
      <c r="J511" s="11">
        <f>SUMIF('Multi-level BOM'!C$3:C$464,Table1[[#This Row],[Part Number]],'Multi-level BOM'!F$3:F$464)</f>
        <v>0</v>
      </c>
      <c r="K511" s="11">
        <f>Table1[[#This Row],[extended quantity]]*(Table1[[#This Row],[Cost ]]+Table1[[#This Row],[shipping]]+Table1[[#This Row],[Tax]])</f>
        <v>0</v>
      </c>
      <c r="L511" s="11"/>
      <c r="M511" s="42"/>
      <c r="N511" s="53" t="e">
        <f>CEILING((Table1[[#This Row],[extended quantity]]-Table1[[#This Row],[quantity on-hand]])/Table1[[#This Row],[Minimum order quantity]],1)*Table1[[#This Row],[Minimum order quantity]]</f>
        <v>#DIV/0!</v>
      </c>
      <c r="O511" s="53" t="e">
        <f>Table1[[#This Row],[Order quantity]]+Table1[[#This Row],[quantity on-hand]]-Table1[[#This Row],[extended quantity]]</f>
        <v>#DIV/0!</v>
      </c>
      <c r="P511" s="11">
        <f>IFERROR(Table1[[#This Row],[Order quantity]]*(Table1[[#This Row],[Cost ]]+Table1[[#This Row],[shipping]]+Table1[[#This Row],[Tax]]),0)</f>
        <v>0</v>
      </c>
      <c r="Q511" s="38">
        <f>IFERROR(Table1[[#This Row],[leftover material]]*(Table1[[#This Row],[Cost ]]+Table1[[#This Row],[shipping]]+Table1[[#This Row],[Tax]]),0)</f>
        <v>0</v>
      </c>
      <c r="R511" s="38"/>
    </row>
    <row r="512" spans="1:18" x14ac:dyDescent="0.25">
      <c r="A512" s="1" t="s">
        <v>515</v>
      </c>
      <c r="B512" s="4"/>
      <c r="F512" s="3">
        <f>9%*Table1[[#This Row],[Cost ]]</f>
        <v>0</v>
      </c>
      <c r="J512" s="11">
        <f>SUMIF('Multi-level BOM'!C$3:C$464,Table1[[#This Row],[Part Number]],'Multi-level BOM'!F$3:F$464)</f>
        <v>0</v>
      </c>
      <c r="K512" s="11">
        <f>Table1[[#This Row],[extended quantity]]*(Table1[[#This Row],[Cost ]]+Table1[[#This Row],[shipping]]+Table1[[#This Row],[Tax]])</f>
        <v>0</v>
      </c>
      <c r="L512" s="11"/>
      <c r="M512" s="42"/>
      <c r="N512" s="53" t="e">
        <f>CEILING((Table1[[#This Row],[extended quantity]]-Table1[[#This Row],[quantity on-hand]])/Table1[[#This Row],[Minimum order quantity]],1)*Table1[[#This Row],[Minimum order quantity]]</f>
        <v>#DIV/0!</v>
      </c>
      <c r="O512" s="53" t="e">
        <f>Table1[[#This Row],[Order quantity]]+Table1[[#This Row],[quantity on-hand]]-Table1[[#This Row],[extended quantity]]</f>
        <v>#DIV/0!</v>
      </c>
      <c r="P512" s="11">
        <f>IFERROR(Table1[[#This Row],[Order quantity]]*(Table1[[#This Row],[Cost ]]+Table1[[#This Row],[shipping]]+Table1[[#This Row],[Tax]]),0)</f>
        <v>0</v>
      </c>
      <c r="Q512" s="38">
        <f>IFERROR(Table1[[#This Row],[leftover material]]*(Table1[[#This Row],[Cost ]]+Table1[[#This Row],[shipping]]+Table1[[#This Row],[Tax]]),0)</f>
        <v>0</v>
      </c>
      <c r="R512" s="38"/>
    </row>
    <row r="513" spans="1:18" x14ac:dyDescent="0.25">
      <c r="A513" s="1" t="s">
        <v>516</v>
      </c>
      <c r="B513" s="4"/>
      <c r="F513" s="3">
        <f>9%*Table1[[#This Row],[Cost ]]</f>
        <v>0</v>
      </c>
      <c r="J513" s="11">
        <f>SUMIF('Multi-level BOM'!C$3:C$464,Table1[[#This Row],[Part Number]],'Multi-level BOM'!F$3:F$464)</f>
        <v>0</v>
      </c>
      <c r="K513" s="11">
        <f>Table1[[#This Row],[extended quantity]]*(Table1[[#This Row],[Cost ]]+Table1[[#This Row],[shipping]]+Table1[[#This Row],[Tax]])</f>
        <v>0</v>
      </c>
      <c r="L513" s="11"/>
      <c r="M513" s="42"/>
      <c r="N513" s="53" t="e">
        <f>CEILING((Table1[[#This Row],[extended quantity]]-Table1[[#This Row],[quantity on-hand]])/Table1[[#This Row],[Minimum order quantity]],1)*Table1[[#This Row],[Minimum order quantity]]</f>
        <v>#DIV/0!</v>
      </c>
      <c r="O513" s="53" t="e">
        <f>Table1[[#This Row],[Order quantity]]+Table1[[#This Row],[quantity on-hand]]-Table1[[#This Row],[extended quantity]]</f>
        <v>#DIV/0!</v>
      </c>
      <c r="P513" s="11">
        <f>IFERROR(Table1[[#This Row],[Order quantity]]*(Table1[[#This Row],[Cost ]]+Table1[[#This Row],[shipping]]+Table1[[#This Row],[Tax]]),0)</f>
        <v>0</v>
      </c>
      <c r="Q513" s="38">
        <f>IFERROR(Table1[[#This Row],[leftover material]]*(Table1[[#This Row],[Cost ]]+Table1[[#This Row],[shipping]]+Table1[[#This Row],[Tax]]),0)</f>
        <v>0</v>
      </c>
      <c r="R513" s="38"/>
    </row>
    <row r="514" spans="1:18" x14ac:dyDescent="0.25">
      <c r="A514" s="1" t="s">
        <v>517</v>
      </c>
      <c r="B514" s="4"/>
      <c r="F514" s="3">
        <f>9%*Table1[[#This Row],[Cost ]]</f>
        <v>0</v>
      </c>
      <c r="J514" s="11">
        <f>SUMIF('Multi-level BOM'!C$3:C$464,Table1[[#This Row],[Part Number]],'Multi-level BOM'!F$3:F$464)</f>
        <v>0</v>
      </c>
      <c r="K514" s="11">
        <f>Table1[[#This Row],[extended quantity]]*(Table1[[#This Row],[Cost ]]+Table1[[#This Row],[shipping]]+Table1[[#This Row],[Tax]])</f>
        <v>0</v>
      </c>
      <c r="L514" s="11"/>
      <c r="M514" s="42"/>
      <c r="N514" s="53" t="e">
        <f>CEILING((Table1[[#This Row],[extended quantity]]-Table1[[#This Row],[quantity on-hand]])/Table1[[#This Row],[Minimum order quantity]],1)*Table1[[#This Row],[Minimum order quantity]]</f>
        <v>#DIV/0!</v>
      </c>
      <c r="O514" s="53" t="e">
        <f>Table1[[#This Row],[Order quantity]]+Table1[[#This Row],[quantity on-hand]]-Table1[[#This Row],[extended quantity]]</f>
        <v>#DIV/0!</v>
      </c>
      <c r="P514" s="11">
        <f>IFERROR(Table1[[#This Row],[Order quantity]]*(Table1[[#This Row],[Cost ]]+Table1[[#This Row],[shipping]]+Table1[[#This Row],[Tax]]),0)</f>
        <v>0</v>
      </c>
      <c r="Q514" s="38">
        <f>IFERROR(Table1[[#This Row],[leftover material]]*(Table1[[#This Row],[Cost ]]+Table1[[#This Row],[shipping]]+Table1[[#This Row],[Tax]]),0)</f>
        <v>0</v>
      </c>
      <c r="R514" s="38"/>
    </row>
    <row r="515" spans="1:18" x14ac:dyDescent="0.25">
      <c r="A515" s="1" t="s">
        <v>518</v>
      </c>
      <c r="B515" s="4"/>
      <c r="F515" s="3">
        <f>9%*Table1[[#This Row],[Cost ]]</f>
        <v>0</v>
      </c>
      <c r="J515" s="11">
        <f>SUMIF('Multi-level BOM'!C$3:C$464,Table1[[#This Row],[Part Number]],'Multi-level BOM'!F$3:F$464)</f>
        <v>0</v>
      </c>
      <c r="K515" s="11">
        <f>Table1[[#This Row],[extended quantity]]*(Table1[[#This Row],[Cost ]]+Table1[[#This Row],[shipping]]+Table1[[#This Row],[Tax]])</f>
        <v>0</v>
      </c>
      <c r="L515" s="11"/>
      <c r="M515" s="42"/>
      <c r="N515" s="53" t="e">
        <f>CEILING((Table1[[#This Row],[extended quantity]]-Table1[[#This Row],[quantity on-hand]])/Table1[[#This Row],[Minimum order quantity]],1)*Table1[[#This Row],[Minimum order quantity]]</f>
        <v>#DIV/0!</v>
      </c>
      <c r="O515" s="53" t="e">
        <f>Table1[[#This Row],[Order quantity]]+Table1[[#This Row],[quantity on-hand]]-Table1[[#This Row],[extended quantity]]</f>
        <v>#DIV/0!</v>
      </c>
      <c r="P515" s="11">
        <f>IFERROR(Table1[[#This Row],[Order quantity]]*(Table1[[#This Row],[Cost ]]+Table1[[#This Row],[shipping]]+Table1[[#This Row],[Tax]]),0)</f>
        <v>0</v>
      </c>
      <c r="Q515" s="38">
        <f>IFERROR(Table1[[#This Row],[leftover material]]*(Table1[[#This Row],[Cost ]]+Table1[[#This Row],[shipping]]+Table1[[#This Row],[Tax]]),0)</f>
        <v>0</v>
      </c>
      <c r="R515" s="38"/>
    </row>
    <row r="516" spans="1:18" x14ac:dyDescent="0.25">
      <c r="A516" s="1" t="s">
        <v>519</v>
      </c>
      <c r="B516" s="4"/>
      <c r="F516" s="3">
        <f>9%*Table1[[#This Row],[Cost ]]</f>
        <v>0</v>
      </c>
      <c r="J516" s="11">
        <f>SUMIF('Multi-level BOM'!C$3:C$464,Table1[[#This Row],[Part Number]],'Multi-level BOM'!F$3:F$464)</f>
        <v>0</v>
      </c>
      <c r="K516" s="11">
        <f>Table1[[#This Row],[extended quantity]]*(Table1[[#This Row],[Cost ]]+Table1[[#This Row],[shipping]]+Table1[[#This Row],[Tax]])</f>
        <v>0</v>
      </c>
      <c r="L516" s="11"/>
      <c r="M516" s="42"/>
      <c r="N516" s="53" t="e">
        <f>CEILING((Table1[[#This Row],[extended quantity]]-Table1[[#This Row],[quantity on-hand]])/Table1[[#This Row],[Minimum order quantity]],1)*Table1[[#This Row],[Minimum order quantity]]</f>
        <v>#DIV/0!</v>
      </c>
      <c r="O516" s="53" t="e">
        <f>Table1[[#This Row],[Order quantity]]+Table1[[#This Row],[quantity on-hand]]-Table1[[#This Row],[extended quantity]]</f>
        <v>#DIV/0!</v>
      </c>
      <c r="P516" s="11">
        <f>IFERROR(Table1[[#This Row],[Order quantity]]*(Table1[[#This Row],[Cost ]]+Table1[[#This Row],[shipping]]+Table1[[#This Row],[Tax]]),0)</f>
        <v>0</v>
      </c>
      <c r="Q516" s="38">
        <f>IFERROR(Table1[[#This Row],[leftover material]]*(Table1[[#This Row],[Cost ]]+Table1[[#This Row],[shipping]]+Table1[[#This Row],[Tax]]),0)</f>
        <v>0</v>
      </c>
      <c r="R516" s="38"/>
    </row>
    <row r="517" spans="1:18" x14ac:dyDescent="0.25">
      <c r="A517" s="1" t="s">
        <v>520</v>
      </c>
      <c r="B517" s="4"/>
      <c r="F517" s="3">
        <f>9%*Table1[[#This Row],[Cost ]]</f>
        <v>0</v>
      </c>
      <c r="J517" s="11">
        <f>SUMIF('Multi-level BOM'!C$3:C$464,Table1[[#This Row],[Part Number]],'Multi-level BOM'!F$3:F$464)</f>
        <v>0</v>
      </c>
      <c r="K517" s="11">
        <f>Table1[[#This Row],[extended quantity]]*(Table1[[#This Row],[Cost ]]+Table1[[#This Row],[shipping]]+Table1[[#This Row],[Tax]])</f>
        <v>0</v>
      </c>
      <c r="L517" s="11"/>
      <c r="M517" s="42"/>
      <c r="N517" s="53" t="e">
        <f>CEILING((Table1[[#This Row],[extended quantity]]-Table1[[#This Row],[quantity on-hand]])/Table1[[#This Row],[Minimum order quantity]],1)*Table1[[#This Row],[Minimum order quantity]]</f>
        <v>#DIV/0!</v>
      </c>
      <c r="O517" s="53" t="e">
        <f>Table1[[#This Row],[Order quantity]]+Table1[[#This Row],[quantity on-hand]]-Table1[[#This Row],[extended quantity]]</f>
        <v>#DIV/0!</v>
      </c>
      <c r="P517" s="11">
        <f>IFERROR(Table1[[#This Row],[Order quantity]]*(Table1[[#This Row],[Cost ]]+Table1[[#This Row],[shipping]]+Table1[[#This Row],[Tax]]),0)</f>
        <v>0</v>
      </c>
      <c r="Q517" s="38">
        <f>IFERROR(Table1[[#This Row],[leftover material]]*(Table1[[#This Row],[Cost ]]+Table1[[#This Row],[shipping]]+Table1[[#This Row],[Tax]]),0)</f>
        <v>0</v>
      </c>
      <c r="R517" s="38"/>
    </row>
    <row r="518" spans="1:18" x14ac:dyDescent="0.25">
      <c r="A518" s="1" t="s">
        <v>521</v>
      </c>
      <c r="B518" s="4"/>
      <c r="F518" s="3">
        <f>9%*Table1[[#This Row],[Cost ]]</f>
        <v>0</v>
      </c>
      <c r="J518" s="11">
        <f>SUMIF('Multi-level BOM'!C$3:C$464,Table1[[#This Row],[Part Number]],'Multi-level BOM'!F$3:F$464)</f>
        <v>0</v>
      </c>
      <c r="K518" s="11">
        <f>Table1[[#This Row],[extended quantity]]*(Table1[[#This Row],[Cost ]]+Table1[[#This Row],[shipping]]+Table1[[#This Row],[Tax]])</f>
        <v>0</v>
      </c>
      <c r="L518" s="11"/>
      <c r="M518" s="42"/>
      <c r="N518" s="53" t="e">
        <f>CEILING((Table1[[#This Row],[extended quantity]]-Table1[[#This Row],[quantity on-hand]])/Table1[[#This Row],[Minimum order quantity]],1)*Table1[[#This Row],[Minimum order quantity]]</f>
        <v>#DIV/0!</v>
      </c>
      <c r="O518" s="53" t="e">
        <f>Table1[[#This Row],[Order quantity]]+Table1[[#This Row],[quantity on-hand]]-Table1[[#This Row],[extended quantity]]</f>
        <v>#DIV/0!</v>
      </c>
      <c r="P518" s="11">
        <f>IFERROR(Table1[[#This Row],[Order quantity]]*(Table1[[#This Row],[Cost ]]+Table1[[#This Row],[shipping]]+Table1[[#This Row],[Tax]]),0)</f>
        <v>0</v>
      </c>
      <c r="Q518" s="38">
        <f>IFERROR(Table1[[#This Row],[leftover material]]*(Table1[[#This Row],[Cost ]]+Table1[[#This Row],[shipping]]+Table1[[#This Row],[Tax]]),0)</f>
        <v>0</v>
      </c>
      <c r="R518" s="38"/>
    </row>
    <row r="519" spans="1:18" x14ac:dyDescent="0.25">
      <c r="A519" s="1" t="s">
        <v>522</v>
      </c>
      <c r="B519" s="4"/>
      <c r="F519" s="3">
        <f>9%*Table1[[#This Row],[Cost ]]</f>
        <v>0</v>
      </c>
      <c r="J519" s="11">
        <f>SUMIF('Multi-level BOM'!C$3:C$464,Table1[[#This Row],[Part Number]],'Multi-level BOM'!F$3:F$464)</f>
        <v>0</v>
      </c>
      <c r="K519" s="11">
        <f>Table1[[#This Row],[extended quantity]]*(Table1[[#This Row],[Cost ]]+Table1[[#This Row],[shipping]]+Table1[[#This Row],[Tax]])</f>
        <v>0</v>
      </c>
      <c r="L519" s="11"/>
      <c r="M519" s="42"/>
      <c r="N519" s="53" t="e">
        <f>CEILING((Table1[[#This Row],[extended quantity]]-Table1[[#This Row],[quantity on-hand]])/Table1[[#This Row],[Minimum order quantity]],1)*Table1[[#This Row],[Minimum order quantity]]</f>
        <v>#DIV/0!</v>
      </c>
      <c r="O519" s="53" t="e">
        <f>Table1[[#This Row],[Order quantity]]+Table1[[#This Row],[quantity on-hand]]-Table1[[#This Row],[extended quantity]]</f>
        <v>#DIV/0!</v>
      </c>
      <c r="P519" s="11">
        <f>IFERROR(Table1[[#This Row],[Order quantity]]*(Table1[[#This Row],[Cost ]]+Table1[[#This Row],[shipping]]+Table1[[#This Row],[Tax]]),0)</f>
        <v>0</v>
      </c>
      <c r="Q519" s="38">
        <f>IFERROR(Table1[[#This Row],[leftover material]]*(Table1[[#This Row],[Cost ]]+Table1[[#This Row],[shipping]]+Table1[[#This Row],[Tax]]),0)</f>
        <v>0</v>
      </c>
      <c r="R519" s="38"/>
    </row>
    <row r="520" spans="1:18" x14ac:dyDescent="0.25">
      <c r="A520" s="1" t="s">
        <v>523</v>
      </c>
      <c r="B520" s="4"/>
      <c r="F520" s="3">
        <f>9%*Table1[[#This Row],[Cost ]]</f>
        <v>0</v>
      </c>
      <c r="J520" s="11">
        <f>SUMIF('Multi-level BOM'!C$3:C$464,Table1[[#This Row],[Part Number]],'Multi-level BOM'!F$3:F$464)</f>
        <v>0</v>
      </c>
      <c r="K520" s="11">
        <f>Table1[[#This Row],[extended quantity]]*(Table1[[#This Row],[Cost ]]+Table1[[#This Row],[shipping]]+Table1[[#This Row],[Tax]])</f>
        <v>0</v>
      </c>
      <c r="L520" s="11"/>
      <c r="M520" s="42"/>
      <c r="N520" s="53" t="e">
        <f>CEILING((Table1[[#This Row],[extended quantity]]-Table1[[#This Row],[quantity on-hand]])/Table1[[#This Row],[Minimum order quantity]],1)*Table1[[#This Row],[Minimum order quantity]]</f>
        <v>#DIV/0!</v>
      </c>
      <c r="O520" s="53" t="e">
        <f>Table1[[#This Row],[Order quantity]]+Table1[[#This Row],[quantity on-hand]]-Table1[[#This Row],[extended quantity]]</f>
        <v>#DIV/0!</v>
      </c>
      <c r="P520" s="11">
        <f>IFERROR(Table1[[#This Row],[Order quantity]]*(Table1[[#This Row],[Cost ]]+Table1[[#This Row],[shipping]]+Table1[[#This Row],[Tax]]),0)</f>
        <v>0</v>
      </c>
      <c r="Q520" s="38">
        <f>IFERROR(Table1[[#This Row],[leftover material]]*(Table1[[#This Row],[Cost ]]+Table1[[#This Row],[shipping]]+Table1[[#This Row],[Tax]]),0)</f>
        <v>0</v>
      </c>
      <c r="R520" s="38"/>
    </row>
    <row r="521" spans="1:18" x14ac:dyDescent="0.25">
      <c r="A521" s="1" t="s">
        <v>524</v>
      </c>
      <c r="B521" s="4"/>
      <c r="F521" s="3">
        <f>9%*Table1[[#This Row],[Cost ]]</f>
        <v>0</v>
      </c>
      <c r="J521" s="11">
        <f>SUMIF('Multi-level BOM'!C$3:C$464,Table1[[#This Row],[Part Number]],'Multi-level BOM'!F$3:F$464)</f>
        <v>0</v>
      </c>
      <c r="K521" s="11">
        <f>Table1[[#This Row],[extended quantity]]*(Table1[[#This Row],[Cost ]]+Table1[[#This Row],[shipping]]+Table1[[#This Row],[Tax]])</f>
        <v>0</v>
      </c>
      <c r="L521" s="11"/>
      <c r="M521" s="42"/>
      <c r="N521" s="53" t="e">
        <f>CEILING((Table1[[#This Row],[extended quantity]]-Table1[[#This Row],[quantity on-hand]])/Table1[[#This Row],[Minimum order quantity]],1)*Table1[[#This Row],[Minimum order quantity]]</f>
        <v>#DIV/0!</v>
      </c>
      <c r="O521" s="53" t="e">
        <f>Table1[[#This Row],[Order quantity]]+Table1[[#This Row],[quantity on-hand]]-Table1[[#This Row],[extended quantity]]</f>
        <v>#DIV/0!</v>
      </c>
      <c r="P521" s="11">
        <f>IFERROR(Table1[[#This Row],[Order quantity]]*(Table1[[#This Row],[Cost ]]+Table1[[#This Row],[shipping]]+Table1[[#This Row],[Tax]]),0)</f>
        <v>0</v>
      </c>
      <c r="Q521" s="38">
        <f>IFERROR(Table1[[#This Row],[leftover material]]*(Table1[[#This Row],[Cost ]]+Table1[[#This Row],[shipping]]+Table1[[#This Row],[Tax]]),0)</f>
        <v>0</v>
      </c>
      <c r="R521" s="38"/>
    </row>
    <row r="522" spans="1:18" x14ac:dyDescent="0.25">
      <c r="A522" s="1" t="s">
        <v>525</v>
      </c>
      <c r="B522" s="4"/>
      <c r="F522" s="3">
        <f>9%*Table1[[#This Row],[Cost ]]</f>
        <v>0</v>
      </c>
      <c r="J522" s="11">
        <f>SUMIF('Multi-level BOM'!C$3:C$464,Table1[[#This Row],[Part Number]],'Multi-level BOM'!F$3:F$464)</f>
        <v>0</v>
      </c>
      <c r="K522" s="11">
        <f>Table1[[#This Row],[extended quantity]]*(Table1[[#This Row],[Cost ]]+Table1[[#This Row],[shipping]]+Table1[[#This Row],[Tax]])</f>
        <v>0</v>
      </c>
      <c r="L522" s="11"/>
      <c r="M522" s="42"/>
      <c r="N522" s="53" t="e">
        <f>CEILING((Table1[[#This Row],[extended quantity]]-Table1[[#This Row],[quantity on-hand]])/Table1[[#This Row],[Minimum order quantity]],1)*Table1[[#This Row],[Minimum order quantity]]</f>
        <v>#DIV/0!</v>
      </c>
      <c r="O522" s="53" t="e">
        <f>Table1[[#This Row],[Order quantity]]+Table1[[#This Row],[quantity on-hand]]-Table1[[#This Row],[extended quantity]]</f>
        <v>#DIV/0!</v>
      </c>
      <c r="P522" s="11">
        <f>IFERROR(Table1[[#This Row],[Order quantity]]*(Table1[[#This Row],[Cost ]]+Table1[[#This Row],[shipping]]+Table1[[#This Row],[Tax]]),0)</f>
        <v>0</v>
      </c>
      <c r="Q522" s="38">
        <f>IFERROR(Table1[[#This Row],[leftover material]]*(Table1[[#This Row],[Cost ]]+Table1[[#This Row],[shipping]]+Table1[[#This Row],[Tax]]),0)</f>
        <v>0</v>
      </c>
      <c r="R522" s="38"/>
    </row>
    <row r="523" spans="1:18" x14ac:dyDescent="0.25">
      <c r="A523" s="1" t="s">
        <v>526</v>
      </c>
      <c r="B523" s="4"/>
      <c r="F523" s="3">
        <f>9%*Table1[[#This Row],[Cost ]]</f>
        <v>0</v>
      </c>
      <c r="J523" s="11">
        <f>SUMIF('Multi-level BOM'!C$3:C$464,Table1[[#This Row],[Part Number]],'Multi-level BOM'!F$3:F$464)</f>
        <v>0</v>
      </c>
      <c r="K523" s="11">
        <f>Table1[[#This Row],[extended quantity]]*(Table1[[#This Row],[Cost ]]+Table1[[#This Row],[shipping]]+Table1[[#This Row],[Tax]])</f>
        <v>0</v>
      </c>
      <c r="L523" s="11"/>
      <c r="M523" s="42"/>
      <c r="N523" s="53" t="e">
        <f>CEILING((Table1[[#This Row],[extended quantity]]-Table1[[#This Row],[quantity on-hand]])/Table1[[#This Row],[Minimum order quantity]],1)*Table1[[#This Row],[Minimum order quantity]]</f>
        <v>#DIV/0!</v>
      </c>
      <c r="O523" s="53" t="e">
        <f>Table1[[#This Row],[Order quantity]]+Table1[[#This Row],[quantity on-hand]]-Table1[[#This Row],[extended quantity]]</f>
        <v>#DIV/0!</v>
      </c>
      <c r="P523" s="11">
        <f>IFERROR(Table1[[#This Row],[Order quantity]]*(Table1[[#This Row],[Cost ]]+Table1[[#This Row],[shipping]]+Table1[[#This Row],[Tax]]),0)</f>
        <v>0</v>
      </c>
      <c r="Q523" s="38">
        <f>IFERROR(Table1[[#This Row],[leftover material]]*(Table1[[#This Row],[Cost ]]+Table1[[#This Row],[shipping]]+Table1[[#This Row],[Tax]]),0)</f>
        <v>0</v>
      </c>
      <c r="R523" s="38"/>
    </row>
    <row r="524" spans="1:18" x14ac:dyDescent="0.25">
      <c r="A524" s="1" t="s">
        <v>527</v>
      </c>
      <c r="B524" s="4"/>
      <c r="F524" s="3">
        <f>9%*Table1[[#This Row],[Cost ]]</f>
        <v>0</v>
      </c>
      <c r="J524" s="11">
        <f>SUMIF('Multi-level BOM'!C$3:C$464,Table1[[#This Row],[Part Number]],'Multi-level BOM'!F$3:F$464)</f>
        <v>0</v>
      </c>
      <c r="K524" s="11">
        <f>Table1[[#This Row],[extended quantity]]*(Table1[[#This Row],[Cost ]]+Table1[[#This Row],[shipping]]+Table1[[#This Row],[Tax]])</f>
        <v>0</v>
      </c>
      <c r="L524" s="11"/>
      <c r="M524" s="42"/>
      <c r="N524" s="53" t="e">
        <f>CEILING((Table1[[#This Row],[extended quantity]]-Table1[[#This Row],[quantity on-hand]])/Table1[[#This Row],[Minimum order quantity]],1)*Table1[[#This Row],[Minimum order quantity]]</f>
        <v>#DIV/0!</v>
      </c>
      <c r="O524" s="53" t="e">
        <f>Table1[[#This Row],[Order quantity]]+Table1[[#This Row],[quantity on-hand]]-Table1[[#This Row],[extended quantity]]</f>
        <v>#DIV/0!</v>
      </c>
      <c r="P524" s="11">
        <f>IFERROR(Table1[[#This Row],[Order quantity]]*(Table1[[#This Row],[Cost ]]+Table1[[#This Row],[shipping]]+Table1[[#This Row],[Tax]]),0)</f>
        <v>0</v>
      </c>
      <c r="Q524" s="38">
        <f>IFERROR(Table1[[#This Row],[leftover material]]*(Table1[[#This Row],[Cost ]]+Table1[[#This Row],[shipping]]+Table1[[#This Row],[Tax]]),0)</f>
        <v>0</v>
      </c>
      <c r="R524" s="38"/>
    </row>
    <row r="525" spans="1:18" x14ac:dyDescent="0.25">
      <c r="A525" s="1" t="s">
        <v>528</v>
      </c>
      <c r="B525" s="4"/>
      <c r="F525" s="3">
        <f>9%*Table1[[#This Row],[Cost ]]</f>
        <v>0</v>
      </c>
      <c r="J525" s="11">
        <f>SUMIF('Multi-level BOM'!C$3:C$464,Table1[[#This Row],[Part Number]],'Multi-level BOM'!F$3:F$464)</f>
        <v>0</v>
      </c>
      <c r="K525" s="11">
        <f>Table1[[#This Row],[extended quantity]]*(Table1[[#This Row],[Cost ]]+Table1[[#This Row],[shipping]]+Table1[[#This Row],[Tax]])</f>
        <v>0</v>
      </c>
      <c r="L525" s="11"/>
      <c r="M525" s="42"/>
      <c r="N525" s="53" t="e">
        <f>CEILING((Table1[[#This Row],[extended quantity]]-Table1[[#This Row],[quantity on-hand]])/Table1[[#This Row],[Minimum order quantity]],1)*Table1[[#This Row],[Minimum order quantity]]</f>
        <v>#DIV/0!</v>
      </c>
      <c r="O525" s="53" t="e">
        <f>Table1[[#This Row],[Order quantity]]+Table1[[#This Row],[quantity on-hand]]-Table1[[#This Row],[extended quantity]]</f>
        <v>#DIV/0!</v>
      </c>
      <c r="P525" s="11">
        <f>IFERROR(Table1[[#This Row],[Order quantity]]*(Table1[[#This Row],[Cost ]]+Table1[[#This Row],[shipping]]+Table1[[#This Row],[Tax]]),0)</f>
        <v>0</v>
      </c>
      <c r="Q525" s="38">
        <f>IFERROR(Table1[[#This Row],[leftover material]]*(Table1[[#This Row],[Cost ]]+Table1[[#This Row],[shipping]]+Table1[[#This Row],[Tax]]),0)</f>
        <v>0</v>
      </c>
      <c r="R525" s="38"/>
    </row>
    <row r="526" spans="1:18" x14ac:dyDescent="0.25">
      <c r="A526" s="1" t="s">
        <v>529</v>
      </c>
      <c r="B526" s="4"/>
      <c r="F526" s="3">
        <f>9%*Table1[[#This Row],[Cost ]]</f>
        <v>0</v>
      </c>
      <c r="J526" s="11">
        <f>SUMIF('Multi-level BOM'!C$3:C$464,Table1[[#This Row],[Part Number]],'Multi-level BOM'!F$3:F$464)</f>
        <v>0</v>
      </c>
      <c r="K526" s="11">
        <f>Table1[[#This Row],[extended quantity]]*(Table1[[#This Row],[Cost ]]+Table1[[#This Row],[shipping]]+Table1[[#This Row],[Tax]])</f>
        <v>0</v>
      </c>
      <c r="L526" s="11"/>
      <c r="M526" s="42"/>
      <c r="N526" s="53" t="e">
        <f>CEILING((Table1[[#This Row],[extended quantity]]-Table1[[#This Row],[quantity on-hand]])/Table1[[#This Row],[Minimum order quantity]],1)*Table1[[#This Row],[Minimum order quantity]]</f>
        <v>#DIV/0!</v>
      </c>
      <c r="O526" s="53" t="e">
        <f>Table1[[#This Row],[Order quantity]]+Table1[[#This Row],[quantity on-hand]]-Table1[[#This Row],[extended quantity]]</f>
        <v>#DIV/0!</v>
      </c>
      <c r="P526" s="11">
        <f>IFERROR(Table1[[#This Row],[Order quantity]]*(Table1[[#This Row],[Cost ]]+Table1[[#This Row],[shipping]]+Table1[[#This Row],[Tax]]),0)</f>
        <v>0</v>
      </c>
      <c r="Q526" s="38">
        <f>IFERROR(Table1[[#This Row],[leftover material]]*(Table1[[#This Row],[Cost ]]+Table1[[#This Row],[shipping]]+Table1[[#This Row],[Tax]]),0)</f>
        <v>0</v>
      </c>
      <c r="R526" s="38"/>
    </row>
    <row r="527" spans="1:18" x14ac:dyDescent="0.25">
      <c r="A527" s="1" t="s">
        <v>530</v>
      </c>
      <c r="B527" s="4"/>
      <c r="F527" s="3">
        <f>9%*Table1[[#This Row],[Cost ]]</f>
        <v>0</v>
      </c>
      <c r="J527" s="11">
        <f>SUMIF('Multi-level BOM'!C$3:C$464,Table1[[#This Row],[Part Number]],'Multi-level BOM'!F$3:F$464)</f>
        <v>0</v>
      </c>
      <c r="K527" s="11">
        <f>Table1[[#This Row],[extended quantity]]*(Table1[[#This Row],[Cost ]]+Table1[[#This Row],[shipping]]+Table1[[#This Row],[Tax]])</f>
        <v>0</v>
      </c>
      <c r="L527" s="11"/>
      <c r="M527" s="42"/>
      <c r="N527" s="53" t="e">
        <f>CEILING((Table1[[#This Row],[extended quantity]]-Table1[[#This Row],[quantity on-hand]])/Table1[[#This Row],[Minimum order quantity]],1)*Table1[[#This Row],[Minimum order quantity]]</f>
        <v>#DIV/0!</v>
      </c>
      <c r="O527" s="53" t="e">
        <f>Table1[[#This Row],[Order quantity]]+Table1[[#This Row],[quantity on-hand]]-Table1[[#This Row],[extended quantity]]</f>
        <v>#DIV/0!</v>
      </c>
      <c r="P527" s="11">
        <f>IFERROR(Table1[[#This Row],[Order quantity]]*(Table1[[#This Row],[Cost ]]+Table1[[#This Row],[shipping]]+Table1[[#This Row],[Tax]]),0)</f>
        <v>0</v>
      </c>
      <c r="Q527" s="38">
        <f>IFERROR(Table1[[#This Row],[leftover material]]*(Table1[[#This Row],[Cost ]]+Table1[[#This Row],[shipping]]+Table1[[#This Row],[Tax]]),0)</f>
        <v>0</v>
      </c>
      <c r="R527" s="38"/>
    </row>
    <row r="528" spans="1:18" x14ac:dyDescent="0.25">
      <c r="A528" s="1" t="s">
        <v>531</v>
      </c>
      <c r="B528" s="4"/>
      <c r="F528" s="3">
        <f>9%*Table1[[#This Row],[Cost ]]</f>
        <v>0</v>
      </c>
      <c r="J528" s="11">
        <f>SUMIF('Multi-level BOM'!C$3:C$464,Table1[[#This Row],[Part Number]],'Multi-level BOM'!F$3:F$464)</f>
        <v>0</v>
      </c>
      <c r="K528" s="11">
        <f>Table1[[#This Row],[extended quantity]]*(Table1[[#This Row],[Cost ]]+Table1[[#This Row],[shipping]]+Table1[[#This Row],[Tax]])</f>
        <v>0</v>
      </c>
      <c r="L528" s="11"/>
      <c r="M528" s="42"/>
      <c r="N528" s="53" t="e">
        <f>CEILING((Table1[[#This Row],[extended quantity]]-Table1[[#This Row],[quantity on-hand]])/Table1[[#This Row],[Minimum order quantity]],1)*Table1[[#This Row],[Minimum order quantity]]</f>
        <v>#DIV/0!</v>
      </c>
      <c r="O528" s="53" t="e">
        <f>Table1[[#This Row],[Order quantity]]+Table1[[#This Row],[quantity on-hand]]-Table1[[#This Row],[extended quantity]]</f>
        <v>#DIV/0!</v>
      </c>
      <c r="P528" s="11">
        <f>IFERROR(Table1[[#This Row],[Order quantity]]*(Table1[[#This Row],[Cost ]]+Table1[[#This Row],[shipping]]+Table1[[#This Row],[Tax]]),0)</f>
        <v>0</v>
      </c>
      <c r="Q528" s="38">
        <f>IFERROR(Table1[[#This Row],[leftover material]]*(Table1[[#This Row],[Cost ]]+Table1[[#This Row],[shipping]]+Table1[[#This Row],[Tax]]),0)</f>
        <v>0</v>
      </c>
      <c r="R528" s="38"/>
    </row>
    <row r="529" spans="1:18" x14ac:dyDescent="0.25">
      <c r="A529" s="1" t="s">
        <v>532</v>
      </c>
      <c r="B529" s="4"/>
      <c r="F529" s="3">
        <f>9%*Table1[[#This Row],[Cost ]]</f>
        <v>0</v>
      </c>
      <c r="J529" s="11">
        <f>SUMIF('Multi-level BOM'!C$3:C$464,Table1[[#This Row],[Part Number]],'Multi-level BOM'!F$3:F$464)</f>
        <v>0</v>
      </c>
      <c r="K529" s="11">
        <f>Table1[[#This Row],[extended quantity]]*(Table1[[#This Row],[Cost ]]+Table1[[#This Row],[shipping]]+Table1[[#This Row],[Tax]])</f>
        <v>0</v>
      </c>
      <c r="L529" s="11"/>
      <c r="M529" s="42"/>
      <c r="N529" s="53" t="e">
        <f>CEILING((Table1[[#This Row],[extended quantity]]-Table1[[#This Row],[quantity on-hand]])/Table1[[#This Row],[Minimum order quantity]],1)*Table1[[#This Row],[Minimum order quantity]]</f>
        <v>#DIV/0!</v>
      </c>
      <c r="O529" s="53" t="e">
        <f>Table1[[#This Row],[Order quantity]]+Table1[[#This Row],[quantity on-hand]]-Table1[[#This Row],[extended quantity]]</f>
        <v>#DIV/0!</v>
      </c>
      <c r="P529" s="11">
        <f>IFERROR(Table1[[#This Row],[Order quantity]]*(Table1[[#This Row],[Cost ]]+Table1[[#This Row],[shipping]]+Table1[[#This Row],[Tax]]),0)</f>
        <v>0</v>
      </c>
      <c r="Q529" s="38">
        <f>IFERROR(Table1[[#This Row],[leftover material]]*(Table1[[#This Row],[Cost ]]+Table1[[#This Row],[shipping]]+Table1[[#This Row],[Tax]]),0)</f>
        <v>0</v>
      </c>
      <c r="R529" s="38"/>
    </row>
    <row r="530" spans="1:18" x14ac:dyDescent="0.25">
      <c r="A530" s="1" t="s">
        <v>533</v>
      </c>
      <c r="B530" s="4"/>
      <c r="F530" s="3">
        <f>9%*Table1[[#This Row],[Cost ]]</f>
        <v>0</v>
      </c>
      <c r="J530" s="11">
        <f>SUMIF('Multi-level BOM'!C$3:C$464,Table1[[#This Row],[Part Number]],'Multi-level BOM'!F$3:F$464)</f>
        <v>0</v>
      </c>
      <c r="K530" s="11">
        <f>Table1[[#This Row],[extended quantity]]*(Table1[[#This Row],[Cost ]]+Table1[[#This Row],[shipping]]+Table1[[#This Row],[Tax]])</f>
        <v>0</v>
      </c>
      <c r="L530" s="11"/>
      <c r="M530" s="42"/>
      <c r="N530" s="53" t="e">
        <f>CEILING((Table1[[#This Row],[extended quantity]]-Table1[[#This Row],[quantity on-hand]])/Table1[[#This Row],[Minimum order quantity]],1)*Table1[[#This Row],[Minimum order quantity]]</f>
        <v>#DIV/0!</v>
      </c>
      <c r="O530" s="53" t="e">
        <f>Table1[[#This Row],[Order quantity]]+Table1[[#This Row],[quantity on-hand]]-Table1[[#This Row],[extended quantity]]</f>
        <v>#DIV/0!</v>
      </c>
      <c r="P530" s="11">
        <f>IFERROR(Table1[[#This Row],[Order quantity]]*(Table1[[#This Row],[Cost ]]+Table1[[#This Row],[shipping]]+Table1[[#This Row],[Tax]]),0)</f>
        <v>0</v>
      </c>
      <c r="Q530" s="38">
        <f>IFERROR(Table1[[#This Row],[leftover material]]*(Table1[[#This Row],[Cost ]]+Table1[[#This Row],[shipping]]+Table1[[#This Row],[Tax]]),0)</f>
        <v>0</v>
      </c>
      <c r="R530" s="38"/>
    </row>
    <row r="531" spans="1:18" x14ac:dyDescent="0.25">
      <c r="A531" s="1" t="s">
        <v>534</v>
      </c>
      <c r="B531" s="4"/>
      <c r="F531" s="3">
        <f>9%*Table1[[#This Row],[Cost ]]</f>
        <v>0</v>
      </c>
      <c r="J531" s="11">
        <f>SUMIF('Multi-level BOM'!C$3:C$464,Table1[[#This Row],[Part Number]],'Multi-level BOM'!F$3:F$464)</f>
        <v>0</v>
      </c>
      <c r="K531" s="11">
        <f>Table1[[#This Row],[extended quantity]]*(Table1[[#This Row],[Cost ]]+Table1[[#This Row],[shipping]]+Table1[[#This Row],[Tax]])</f>
        <v>0</v>
      </c>
      <c r="L531" s="11"/>
      <c r="M531" s="42"/>
      <c r="N531" s="53" t="e">
        <f>CEILING((Table1[[#This Row],[extended quantity]]-Table1[[#This Row],[quantity on-hand]])/Table1[[#This Row],[Minimum order quantity]],1)*Table1[[#This Row],[Minimum order quantity]]</f>
        <v>#DIV/0!</v>
      </c>
      <c r="O531" s="53" t="e">
        <f>Table1[[#This Row],[Order quantity]]+Table1[[#This Row],[quantity on-hand]]-Table1[[#This Row],[extended quantity]]</f>
        <v>#DIV/0!</v>
      </c>
      <c r="P531" s="11">
        <f>IFERROR(Table1[[#This Row],[Order quantity]]*(Table1[[#This Row],[Cost ]]+Table1[[#This Row],[shipping]]+Table1[[#This Row],[Tax]]),0)</f>
        <v>0</v>
      </c>
      <c r="Q531" s="38">
        <f>IFERROR(Table1[[#This Row],[leftover material]]*(Table1[[#This Row],[Cost ]]+Table1[[#This Row],[shipping]]+Table1[[#This Row],[Tax]]),0)</f>
        <v>0</v>
      </c>
      <c r="R531" s="38"/>
    </row>
    <row r="532" spans="1:18" x14ac:dyDescent="0.25">
      <c r="A532" s="1" t="s">
        <v>535</v>
      </c>
      <c r="B532" s="4"/>
      <c r="F532" s="3">
        <f>9%*Table1[[#This Row],[Cost ]]</f>
        <v>0</v>
      </c>
      <c r="J532" s="11">
        <f>SUMIF('Multi-level BOM'!C$3:C$464,Table1[[#This Row],[Part Number]],'Multi-level BOM'!F$3:F$464)</f>
        <v>0</v>
      </c>
      <c r="K532" s="11">
        <f>Table1[[#This Row],[extended quantity]]*(Table1[[#This Row],[Cost ]]+Table1[[#This Row],[shipping]]+Table1[[#This Row],[Tax]])</f>
        <v>0</v>
      </c>
      <c r="L532" s="11"/>
      <c r="M532" s="42"/>
      <c r="N532" s="53" t="e">
        <f>CEILING((Table1[[#This Row],[extended quantity]]-Table1[[#This Row],[quantity on-hand]])/Table1[[#This Row],[Minimum order quantity]],1)*Table1[[#This Row],[Minimum order quantity]]</f>
        <v>#DIV/0!</v>
      </c>
      <c r="O532" s="53" t="e">
        <f>Table1[[#This Row],[Order quantity]]+Table1[[#This Row],[quantity on-hand]]-Table1[[#This Row],[extended quantity]]</f>
        <v>#DIV/0!</v>
      </c>
      <c r="P532" s="11">
        <f>IFERROR(Table1[[#This Row],[Order quantity]]*(Table1[[#This Row],[Cost ]]+Table1[[#This Row],[shipping]]+Table1[[#This Row],[Tax]]),0)</f>
        <v>0</v>
      </c>
      <c r="Q532" s="38">
        <f>IFERROR(Table1[[#This Row],[leftover material]]*(Table1[[#This Row],[Cost ]]+Table1[[#This Row],[shipping]]+Table1[[#This Row],[Tax]]),0)</f>
        <v>0</v>
      </c>
      <c r="R532" s="38"/>
    </row>
    <row r="533" spans="1:18" x14ac:dyDescent="0.25">
      <c r="A533" s="1" t="s">
        <v>536</v>
      </c>
      <c r="B533" s="4"/>
      <c r="F533" s="3">
        <f>9%*Table1[[#This Row],[Cost ]]</f>
        <v>0</v>
      </c>
      <c r="J533" s="11">
        <f>SUMIF('Multi-level BOM'!C$3:C$464,Table1[[#This Row],[Part Number]],'Multi-level BOM'!F$3:F$464)</f>
        <v>0</v>
      </c>
      <c r="K533" s="11">
        <f>Table1[[#This Row],[extended quantity]]*(Table1[[#This Row],[Cost ]]+Table1[[#This Row],[shipping]]+Table1[[#This Row],[Tax]])</f>
        <v>0</v>
      </c>
      <c r="L533" s="11"/>
      <c r="M533" s="42"/>
      <c r="N533" s="53" t="e">
        <f>CEILING((Table1[[#This Row],[extended quantity]]-Table1[[#This Row],[quantity on-hand]])/Table1[[#This Row],[Minimum order quantity]],1)*Table1[[#This Row],[Minimum order quantity]]</f>
        <v>#DIV/0!</v>
      </c>
      <c r="O533" s="53" t="e">
        <f>Table1[[#This Row],[Order quantity]]+Table1[[#This Row],[quantity on-hand]]-Table1[[#This Row],[extended quantity]]</f>
        <v>#DIV/0!</v>
      </c>
      <c r="P533" s="11">
        <f>IFERROR(Table1[[#This Row],[Order quantity]]*(Table1[[#This Row],[Cost ]]+Table1[[#This Row],[shipping]]+Table1[[#This Row],[Tax]]),0)</f>
        <v>0</v>
      </c>
      <c r="Q533" s="38">
        <f>IFERROR(Table1[[#This Row],[leftover material]]*(Table1[[#This Row],[Cost ]]+Table1[[#This Row],[shipping]]+Table1[[#This Row],[Tax]]),0)</f>
        <v>0</v>
      </c>
      <c r="R533" s="38"/>
    </row>
    <row r="534" spans="1:18" x14ac:dyDescent="0.25">
      <c r="A534" s="1" t="s">
        <v>537</v>
      </c>
      <c r="B534" s="4"/>
      <c r="F534" s="3">
        <f>9%*Table1[[#This Row],[Cost ]]</f>
        <v>0</v>
      </c>
      <c r="J534" s="11">
        <f>SUMIF('Multi-level BOM'!C$3:C$464,Table1[[#This Row],[Part Number]],'Multi-level BOM'!F$3:F$464)</f>
        <v>0</v>
      </c>
      <c r="K534" s="11">
        <f>Table1[[#This Row],[extended quantity]]*(Table1[[#This Row],[Cost ]]+Table1[[#This Row],[shipping]]+Table1[[#This Row],[Tax]])</f>
        <v>0</v>
      </c>
      <c r="L534" s="11"/>
      <c r="M534" s="42"/>
      <c r="N534" s="53" t="e">
        <f>CEILING((Table1[[#This Row],[extended quantity]]-Table1[[#This Row],[quantity on-hand]])/Table1[[#This Row],[Minimum order quantity]],1)*Table1[[#This Row],[Minimum order quantity]]</f>
        <v>#DIV/0!</v>
      </c>
      <c r="O534" s="53" t="e">
        <f>Table1[[#This Row],[Order quantity]]+Table1[[#This Row],[quantity on-hand]]-Table1[[#This Row],[extended quantity]]</f>
        <v>#DIV/0!</v>
      </c>
      <c r="P534" s="11">
        <f>IFERROR(Table1[[#This Row],[Order quantity]]*(Table1[[#This Row],[Cost ]]+Table1[[#This Row],[shipping]]+Table1[[#This Row],[Tax]]),0)</f>
        <v>0</v>
      </c>
      <c r="Q534" s="38">
        <f>IFERROR(Table1[[#This Row],[leftover material]]*(Table1[[#This Row],[Cost ]]+Table1[[#This Row],[shipping]]+Table1[[#This Row],[Tax]]),0)</f>
        <v>0</v>
      </c>
      <c r="R534" s="38"/>
    </row>
    <row r="535" spans="1:18" x14ac:dyDescent="0.25">
      <c r="A535" s="1" t="s">
        <v>538</v>
      </c>
      <c r="B535" s="4"/>
      <c r="F535" s="3">
        <f>9%*Table1[[#This Row],[Cost ]]</f>
        <v>0</v>
      </c>
      <c r="J535" s="11">
        <f>SUMIF('Multi-level BOM'!C$3:C$464,Table1[[#This Row],[Part Number]],'Multi-level BOM'!F$3:F$464)</f>
        <v>0</v>
      </c>
      <c r="K535" s="11">
        <f>Table1[[#This Row],[extended quantity]]*(Table1[[#This Row],[Cost ]]+Table1[[#This Row],[shipping]]+Table1[[#This Row],[Tax]])</f>
        <v>0</v>
      </c>
      <c r="L535" s="11"/>
      <c r="M535" s="42"/>
      <c r="N535" s="53" t="e">
        <f>CEILING((Table1[[#This Row],[extended quantity]]-Table1[[#This Row],[quantity on-hand]])/Table1[[#This Row],[Minimum order quantity]],1)*Table1[[#This Row],[Minimum order quantity]]</f>
        <v>#DIV/0!</v>
      </c>
      <c r="O535" s="53" t="e">
        <f>Table1[[#This Row],[Order quantity]]+Table1[[#This Row],[quantity on-hand]]-Table1[[#This Row],[extended quantity]]</f>
        <v>#DIV/0!</v>
      </c>
      <c r="P535" s="11">
        <f>IFERROR(Table1[[#This Row],[Order quantity]]*(Table1[[#This Row],[Cost ]]+Table1[[#This Row],[shipping]]+Table1[[#This Row],[Tax]]),0)</f>
        <v>0</v>
      </c>
      <c r="Q535" s="38">
        <f>IFERROR(Table1[[#This Row],[leftover material]]*(Table1[[#This Row],[Cost ]]+Table1[[#This Row],[shipping]]+Table1[[#This Row],[Tax]]),0)</f>
        <v>0</v>
      </c>
      <c r="R535" s="38"/>
    </row>
    <row r="536" spans="1:18" x14ac:dyDescent="0.25">
      <c r="A536" s="1" t="s">
        <v>539</v>
      </c>
      <c r="B536" s="4"/>
      <c r="F536" s="3">
        <f>9%*Table1[[#This Row],[Cost ]]</f>
        <v>0</v>
      </c>
      <c r="J536" s="11">
        <f>SUMIF('Multi-level BOM'!C$3:C$464,Table1[[#This Row],[Part Number]],'Multi-level BOM'!F$3:F$464)</f>
        <v>0</v>
      </c>
      <c r="K536" s="11">
        <f>Table1[[#This Row],[extended quantity]]*(Table1[[#This Row],[Cost ]]+Table1[[#This Row],[shipping]]+Table1[[#This Row],[Tax]])</f>
        <v>0</v>
      </c>
      <c r="L536" s="11"/>
      <c r="M536" s="42"/>
      <c r="N536" s="53" t="e">
        <f>CEILING((Table1[[#This Row],[extended quantity]]-Table1[[#This Row],[quantity on-hand]])/Table1[[#This Row],[Minimum order quantity]],1)*Table1[[#This Row],[Minimum order quantity]]</f>
        <v>#DIV/0!</v>
      </c>
      <c r="O536" s="53" t="e">
        <f>Table1[[#This Row],[Order quantity]]+Table1[[#This Row],[quantity on-hand]]-Table1[[#This Row],[extended quantity]]</f>
        <v>#DIV/0!</v>
      </c>
      <c r="P536" s="11">
        <f>IFERROR(Table1[[#This Row],[Order quantity]]*(Table1[[#This Row],[Cost ]]+Table1[[#This Row],[shipping]]+Table1[[#This Row],[Tax]]),0)</f>
        <v>0</v>
      </c>
      <c r="Q536" s="38">
        <f>IFERROR(Table1[[#This Row],[leftover material]]*(Table1[[#This Row],[Cost ]]+Table1[[#This Row],[shipping]]+Table1[[#This Row],[Tax]]),0)</f>
        <v>0</v>
      </c>
      <c r="R536" s="38"/>
    </row>
    <row r="537" spans="1:18" x14ac:dyDescent="0.25">
      <c r="A537" s="1" t="s">
        <v>540</v>
      </c>
      <c r="B537" s="4"/>
      <c r="F537" s="3">
        <f>9%*Table1[[#This Row],[Cost ]]</f>
        <v>0</v>
      </c>
      <c r="J537" s="11">
        <f>SUMIF('Multi-level BOM'!C$3:C$464,Table1[[#This Row],[Part Number]],'Multi-level BOM'!F$3:F$464)</f>
        <v>0</v>
      </c>
      <c r="K537" s="11">
        <f>Table1[[#This Row],[extended quantity]]*(Table1[[#This Row],[Cost ]]+Table1[[#This Row],[shipping]]+Table1[[#This Row],[Tax]])</f>
        <v>0</v>
      </c>
      <c r="L537" s="11"/>
      <c r="M537" s="42"/>
      <c r="N537" s="53" t="e">
        <f>CEILING((Table1[[#This Row],[extended quantity]]-Table1[[#This Row],[quantity on-hand]])/Table1[[#This Row],[Minimum order quantity]],1)*Table1[[#This Row],[Minimum order quantity]]</f>
        <v>#DIV/0!</v>
      </c>
      <c r="O537" s="53" t="e">
        <f>Table1[[#This Row],[Order quantity]]+Table1[[#This Row],[quantity on-hand]]-Table1[[#This Row],[extended quantity]]</f>
        <v>#DIV/0!</v>
      </c>
      <c r="P537" s="11">
        <f>IFERROR(Table1[[#This Row],[Order quantity]]*(Table1[[#This Row],[Cost ]]+Table1[[#This Row],[shipping]]+Table1[[#This Row],[Tax]]),0)</f>
        <v>0</v>
      </c>
      <c r="Q537" s="38">
        <f>IFERROR(Table1[[#This Row],[leftover material]]*(Table1[[#This Row],[Cost ]]+Table1[[#This Row],[shipping]]+Table1[[#This Row],[Tax]]),0)</f>
        <v>0</v>
      </c>
      <c r="R537" s="38"/>
    </row>
    <row r="538" spans="1:18" x14ac:dyDescent="0.25">
      <c r="A538" s="1" t="s">
        <v>541</v>
      </c>
      <c r="B538" s="4"/>
      <c r="F538" s="3">
        <f>9%*Table1[[#This Row],[Cost ]]</f>
        <v>0</v>
      </c>
      <c r="J538" s="11">
        <f>SUMIF('Multi-level BOM'!C$3:C$464,Table1[[#This Row],[Part Number]],'Multi-level BOM'!F$3:F$464)</f>
        <v>0</v>
      </c>
      <c r="K538" s="11">
        <f>Table1[[#This Row],[extended quantity]]*(Table1[[#This Row],[Cost ]]+Table1[[#This Row],[shipping]]+Table1[[#This Row],[Tax]])</f>
        <v>0</v>
      </c>
      <c r="L538" s="11"/>
      <c r="M538" s="42"/>
      <c r="N538" s="53" t="e">
        <f>CEILING((Table1[[#This Row],[extended quantity]]-Table1[[#This Row],[quantity on-hand]])/Table1[[#This Row],[Minimum order quantity]],1)*Table1[[#This Row],[Minimum order quantity]]</f>
        <v>#DIV/0!</v>
      </c>
      <c r="O538" s="53" t="e">
        <f>Table1[[#This Row],[Order quantity]]+Table1[[#This Row],[quantity on-hand]]-Table1[[#This Row],[extended quantity]]</f>
        <v>#DIV/0!</v>
      </c>
      <c r="P538" s="11">
        <f>IFERROR(Table1[[#This Row],[Order quantity]]*(Table1[[#This Row],[Cost ]]+Table1[[#This Row],[shipping]]+Table1[[#This Row],[Tax]]),0)</f>
        <v>0</v>
      </c>
      <c r="Q538" s="38">
        <f>IFERROR(Table1[[#This Row],[leftover material]]*(Table1[[#This Row],[Cost ]]+Table1[[#This Row],[shipping]]+Table1[[#This Row],[Tax]]),0)</f>
        <v>0</v>
      </c>
      <c r="R538" s="38"/>
    </row>
    <row r="539" spans="1:18" x14ac:dyDescent="0.25">
      <c r="A539" s="1" t="s">
        <v>542</v>
      </c>
      <c r="B539" s="4"/>
      <c r="F539" s="3">
        <f>9%*Table1[[#This Row],[Cost ]]</f>
        <v>0</v>
      </c>
      <c r="J539" s="11">
        <f>SUMIF('Multi-level BOM'!C$3:C$464,Table1[[#This Row],[Part Number]],'Multi-level BOM'!F$3:F$464)</f>
        <v>0</v>
      </c>
      <c r="K539" s="11">
        <f>Table1[[#This Row],[extended quantity]]*(Table1[[#This Row],[Cost ]]+Table1[[#This Row],[shipping]]+Table1[[#This Row],[Tax]])</f>
        <v>0</v>
      </c>
      <c r="L539" s="11"/>
      <c r="M539" s="42"/>
      <c r="N539" s="53" t="e">
        <f>CEILING((Table1[[#This Row],[extended quantity]]-Table1[[#This Row],[quantity on-hand]])/Table1[[#This Row],[Minimum order quantity]],1)*Table1[[#This Row],[Minimum order quantity]]</f>
        <v>#DIV/0!</v>
      </c>
      <c r="O539" s="53" t="e">
        <f>Table1[[#This Row],[Order quantity]]+Table1[[#This Row],[quantity on-hand]]-Table1[[#This Row],[extended quantity]]</f>
        <v>#DIV/0!</v>
      </c>
      <c r="P539" s="11">
        <f>IFERROR(Table1[[#This Row],[Order quantity]]*(Table1[[#This Row],[Cost ]]+Table1[[#This Row],[shipping]]+Table1[[#This Row],[Tax]]),0)</f>
        <v>0</v>
      </c>
      <c r="Q539" s="38">
        <f>IFERROR(Table1[[#This Row],[leftover material]]*(Table1[[#This Row],[Cost ]]+Table1[[#This Row],[shipping]]+Table1[[#This Row],[Tax]]),0)</f>
        <v>0</v>
      </c>
      <c r="R539" s="38"/>
    </row>
    <row r="540" spans="1:18" x14ac:dyDescent="0.25">
      <c r="A540" s="1" t="s">
        <v>543</v>
      </c>
      <c r="B540" s="4"/>
      <c r="F540" s="3">
        <f>9%*Table1[[#This Row],[Cost ]]</f>
        <v>0</v>
      </c>
      <c r="J540" s="11">
        <f>SUMIF('Multi-level BOM'!C$3:C$464,Table1[[#This Row],[Part Number]],'Multi-level BOM'!F$3:F$464)</f>
        <v>0</v>
      </c>
      <c r="K540" s="11">
        <f>Table1[[#This Row],[extended quantity]]*(Table1[[#This Row],[Cost ]]+Table1[[#This Row],[shipping]]+Table1[[#This Row],[Tax]])</f>
        <v>0</v>
      </c>
      <c r="L540" s="11"/>
      <c r="M540" s="42"/>
      <c r="N540" s="53" t="e">
        <f>CEILING((Table1[[#This Row],[extended quantity]]-Table1[[#This Row],[quantity on-hand]])/Table1[[#This Row],[Minimum order quantity]],1)*Table1[[#This Row],[Minimum order quantity]]</f>
        <v>#DIV/0!</v>
      </c>
      <c r="O540" s="53" t="e">
        <f>Table1[[#This Row],[Order quantity]]+Table1[[#This Row],[quantity on-hand]]-Table1[[#This Row],[extended quantity]]</f>
        <v>#DIV/0!</v>
      </c>
      <c r="P540" s="11">
        <f>IFERROR(Table1[[#This Row],[Order quantity]]*(Table1[[#This Row],[Cost ]]+Table1[[#This Row],[shipping]]+Table1[[#This Row],[Tax]]),0)</f>
        <v>0</v>
      </c>
      <c r="Q540" s="38">
        <f>IFERROR(Table1[[#This Row],[leftover material]]*(Table1[[#This Row],[Cost ]]+Table1[[#This Row],[shipping]]+Table1[[#This Row],[Tax]]),0)</f>
        <v>0</v>
      </c>
      <c r="R540" s="38"/>
    </row>
    <row r="541" spans="1:18" x14ac:dyDescent="0.25">
      <c r="A541" s="1" t="s">
        <v>544</v>
      </c>
      <c r="B541" s="4"/>
      <c r="F541" s="3">
        <f>9%*Table1[[#This Row],[Cost ]]</f>
        <v>0</v>
      </c>
      <c r="J541" s="11">
        <f>SUMIF('Multi-level BOM'!C$3:C$464,Table1[[#This Row],[Part Number]],'Multi-level BOM'!F$3:F$464)</f>
        <v>0</v>
      </c>
      <c r="K541" s="11">
        <f>Table1[[#This Row],[extended quantity]]*(Table1[[#This Row],[Cost ]]+Table1[[#This Row],[shipping]]+Table1[[#This Row],[Tax]])</f>
        <v>0</v>
      </c>
      <c r="L541" s="11"/>
      <c r="M541" s="42"/>
      <c r="N541" s="53" t="e">
        <f>CEILING((Table1[[#This Row],[extended quantity]]-Table1[[#This Row],[quantity on-hand]])/Table1[[#This Row],[Minimum order quantity]],1)*Table1[[#This Row],[Minimum order quantity]]</f>
        <v>#DIV/0!</v>
      </c>
      <c r="O541" s="53" t="e">
        <f>Table1[[#This Row],[Order quantity]]+Table1[[#This Row],[quantity on-hand]]-Table1[[#This Row],[extended quantity]]</f>
        <v>#DIV/0!</v>
      </c>
      <c r="P541" s="11">
        <f>IFERROR(Table1[[#This Row],[Order quantity]]*(Table1[[#This Row],[Cost ]]+Table1[[#This Row],[shipping]]+Table1[[#This Row],[Tax]]),0)</f>
        <v>0</v>
      </c>
      <c r="Q541" s="38">
        <f>IFERROR(Table1[[#This Row],[leftover material]]*(Table1[[#This Row],[Cost ]]+Table1[[#This Row],[shipping]]+Table1[[#This Row],[Tax]]),0)</f>
        <v>0</v>
      </c>
      <c r="R541" s="38"/>
    </row>
    <row r="542" spans="1:18" x14ac:dyDescent="0.25">
      <c r="A542" s="1" t="s">
        <v>545</v>
      </c>
      <c r="B542" s="4"/>
      <c r="F542" s="3">
        <f>9%*Table1[[#This Row],[Cost ]]</f>
        <v>0</v>
      </c>
      <c r="J542" s="11">
        <f>SUMIF('Multi-level BOM'!C$3:C$464,Table1[[#This Row],[Part Number]],'Multi-level BOM'!F$3:F$464)</f>
        <v>0</v>
      </c>
      <c r="K542" s="11">
        <f>Table1[[#This Row],[extended quantity]]*(Table1[[#This Row],[Cost ]]+Table1[[#This Row],[shipping]]+Table1[[#This Row],[Tax]])</f>
        <v>0</v>
      </c>
      <c r="L542" s="11"/>
      <c r="M542" s="42"/>
      <c r="N542" s="53" t="e">
        <f>CEILING((Table1[[#This Row],[extended quantity]]-Table1[[#This Row],[quantity on-hand]])/Table1[[#This Row],[Minimum order quantity]],1)*Table1[[#This Row],[Minimum order quantity]]</f>
        <v>#DIV/0!</v>
      </c>
      <c r="O542" s="53" t="e">
        <f>Table1[[#This Row],[Order quantity]]+Table1[[#This Row],[quantity on-hand]]-Table1[[#This Row],[extended quantity]]</f>
        <v>#DIV/0!</v>
      </c>
      <c r="P542" s="11">
        <f>IFERROR(Table1[[#This Row],[Order quantity]]*(Table1[[#This Row],[Cost ]]+Table1[[#This Row],[shipping]]+Table1[[#This Row],[Tax]]),0)</f>
        <v>0</v>
      </c>
      <c r="Q542" s="38">
        <f>IFERROR(Table1[[#This Row],[leftover material]]*(Table1[[#This Row],[Cost ]]+Table1[[#This Row],[shipping]]+Table1[[#This Row],[Tax]]),0)</f>
        <v>0</v>
      </c>
      <c r="R542" s="38"/>
    </row>
    <row r="543" spans="1:18" x14ac:dyDescent="0.25">
      <c r="A543" s="1" t="s">
        <v>546</v>
      </c>
      <c r="B543" s="4"/>
      <c r="F543" s="3">
        <f>9%*Table1[[#This Row],[Cost ]]</f>
        <v>0</v>
      </c>
      <c r="J543" s="11">
        <f>SUMIF('Multi-level BOM'!C$3:C$464,Table1[[#This Row],[Part Number]],'Multi-level BOM'!F$3:F$464)</f>
        <v>0</v>
      </c>
      <c r="K543" s="11">
        <f>Table1[[#This Row],[extended quantity]]*(Table1[[#This Row],[Cost ]]+Table1[[#This Row],[shipping]]+Table1[[#This Row],[Tax]])</f>
        <v>0</v>
      </c>
      <c r="L543" s="11"/>
      <c r="M543" s="42"/>
      <c r="N543" s="53" t="e">
        <f>CEILING((Table1[[#This Row],[extended quantity]]-Table1[[#This Row],[quantity on-hand]])/Table1[[#This Row],[Minimum order quantity]],1)*Table1[[#This Row],[Minimum order quantity]]</f>
        <v>#DIV/0!</v>
      </c>
      <c r="O543" s="53" t="e">
        <f>Table1[[#This Row],[Order quantity]]+Table1[[#This Row],[quantity on-hand]]-Table1[[#This Row],[extended quantity]]</f>
        <v>#DIV/0!</v>
      </c>
      <c r="P543" s="11">
        <f>IFERROR(Table1[[#This Row],[Order quantity]]*(Table1[[#This Row],[Cost ]]+Table1[[#This Row],[shipping]]+Table1[[#This Row],[Tax]]),0)</f>
        <v>0</v>
      </c>
      <c r="Q543" s="38">
        <f>IFERROR(Table1[[#This Row],[leftover material]]*(Table1[[#This Row],[Cost ]]+Table1[[#This Row],[shipping]]+Table1[[#This Row],[Tax]]),0)</f>
        <v>0</v>
      </c>
      <c r="R543" s="38"/>
    </row>
    <row r="544" spans="1:18" x14ac:dyDescent="0.25">
      <c r="A544" s="1" t="s">
        <v>547</v>
      </c>
      <c r="B544" s="4"/>
      <c r="F544" s="3">
        <f>9%*Table1[[#This Row],[Cost ]]</f>
        <v>0</v>
      </c>
      <c r="J544" s="11">
        <f>SUMIF('Multi-level BOM'!C$3:C$464,Table1[[#This Row],[Part Number]],'Multi-level BOM'!F$3:F$464)</f>
        <v>0</v>
      </c>
      <c r="K544" s="11">
        <f>Table1[[#This Row],[extended quantity]]*(Table1[[#This Row],[Cost ]]+Table1[[#This Row],[shipping]]+Table1[[#This Row],[Tax]])</f>
        <v>0</v>
      </c>
      <c r="L544" s="11"/>
      <c r="M544" s="42"/>
      <c r="N544" s="53" t="e">
        <f>CEILING((Table1[[#This Row],[extended quantity]]-Table1[[#This Row],[quantity on-hand]])/Table1[[#This Row],[Minimum order quantity]],1)*Table1[[#This Row],[Minimum order quantity]]</f>
        <v>#DIV/0!</v>
      </c>
      <c r="O544" s="53" t="e">
        <f>Table1[[#This Row],[Order quantity]]+Table1[[#This Row],[quantity on-hand]]-Table1[[#This Row],[extended quantity]]</f>
        <v>#DIV/0!</v>
      </c>
      <c r="P544" s="11">
        <f>IFERROR(Table1[[#This Row],[Order quantity]]*(Table1[[#This Row],[Cost ]]+Table1[[#This Row],[shipping]]+Table1[[#This Row],[Tax]]),0)</f>
        <v>0</v>
      </c>
      <c r="Q544" s="38">
        <f>IFERROR(Table1[[#This Row],[leftover material]]*(Table1[[#This Row],[Cost ]]+Table1[[#This Row],[shipping]]+Table1[[#This Row],[Tax]]),0)</f>
        <v>0</v>
      </c>
      <c r="R544" s="38"/>
    </row>
    <row r="545" spans="1:18" x14ac:dyDescent="0.25">
      <c r="A545" s="1" t="s">
        <v>548</v>
      </c>
      <c r="B545" s="4"/>
      <c r="F545" s="3">
        <f>9%*Table1[[#This Row],[Cost ]]</f>
        <v>0</v>
      </c>
      <c r="J545" s="11">
        <f>SUMIF('Multi-level BOM'!C$3:C$464,Table1[[#This Row],[Part Number]],'Multi-level BOM'!F$3:F$464)</f>
        <v>0</v>
      </c>
      <c r="K545" s="11">
        <f>Table1[[#This Row],[extended quantity]]*(Table1[[#This Row],[Cost ]]+Table1[[#This Row],[shipping]]+Table1[[#This Row],[Tax]])</f>
        <v>0</v>
      </c>
      <c r="L545" s="11"/>
      <c r="M545" s="42"/>
      <c r="N545" s="53" t="e">
        <f>CEILING((Table1[[#This Row],[extended quantity]]-Table1[[#This Row],[quantity on-hand]])/Table1[[#This Row],[Minimum order quantity]],1)*Table1[[#This Row],[Minimum order quantity]]</f>
        <v>#DIV/0!</v>
      </c>
      <c r="O545" s="53" t="e">
        <f>Table1[[#This Row],[Order quantity]]+Table1[[#This Row],[quantity on-hand]]-Table1[[#This Row],[extended quantity]]</f>
        <v>#DIV/0!</v>
      </c>
      <c r="P545" s="11">
        <f>IFERROR(Table1[[#This Row],[Order quantity]]*(Table1[[#This Row],[Cost ]]+Table1[[#This Row],[shipping]]+Table1[[#This Row],[Tax]]),0)</f>
        <v>0</v>
      </c>
      <c r="Q545" s="38">
        <f>IFERROR(Table1[[#This Row],[leftover material]]*(Table1[[#This Row],[Cost ]]+Table1[[#This Row],[shipping]]+Table1[[#This Row],[Tax]]),0)</f>
        <v>0</v>
      </c>
      <c r="R545" s="38"/>
    </row>
    <row r="546" spans="1:18" x14ac:dyDescent="0.25">
      <c r="A546" s="1" t="s">
        <v>549</v>
      </c>
      <c r="B546" s="4"/>
      <c r="F546" s="3">
        <f>9%*Table1[[#This Row],[Cost ]]</f>
        <v>0</v>
      </c>
      <c r="J546" s="11">
        <f>SUMIF('Multi-level BOM'!C$3:C$464,Table1[[#This Row],[Part Number]],'Multi-level BOM'!F$3:F$464)</f>
        <v>0</v>
      </c>
      <c r="K546" s="11">
        <f>Table1[[#This Row],[extended quantity]]*(Table1[[#This Row],[Cost ]]+Table1[[#This Row],[shipping]]+Table1[[#This Row],[Tax]])</f>
        <v>0</v>
      </c>
      <c r="L546" s="11"/>
      <c r="M546" s="42"/>
      <c r="N546" s="53" t="e">
        <f>CEILING((Table1[[#This Row],[extended quantity]]-Table1[[#This Row],[quantity on-hand]])/Table1[[#This Row],[Minimum order quantity]],1)*Table1[[#This Row],[Minimum order quantity]]</f>
        <v>#DIV/0!</v>
      </c>
      <c r="O546" s="53" t="e">
        <f>Table1[[#This Row],[Order quantity]]+Table1[[#This Row],[quantity on-hand]]-Table1[[#This Row],[extended quantity]]</f>
        <v>#DIV/0!</v>
      </c>
      <c r="P546" s="11">
        <f>IFERROR(Table1[[#This Row],[Order quantity]]*(Table1[[#This Row],[Cost ]]+Table1[[#This Row],[shipping]]+Table1[[#This Row],[Tax]]),0)</f>
        <v>0</v>
      </c>
      <c r="Q546" s="38">
        <f>IFERROR(Table1[[#This Row],[leftover material]]*(Table1[[#This Row],[Cost ]]+Table1[[#This Row],[shipping]]+Table1[[#This Row],[Tax]]),0)</f>
        <v>0</v>
      </c>
      <c r="R546" s="38"/>
    </row>
    <row r="547" spans="1:18" x14ac:dyDescent="0.25">
      <c r="A547" s="1" t="s">
        <v>550</v>
      </c>
      <c r="B547" s="4"/>
      <c r="F547" s="3">
        <f>9%*Table1[[#This Row],[Cost ]]</f>
        <v>0</v>
      </c>
      <c r="J547" s="11">
        <f>SUMIF('Multi-level BOM'!C$3:C$464,Table1[[#This Row],[Part Number]],'Multi-level BOM'!F$3:F$464)</f>
        <v>0</v>
      </c>
      <c r="K547" s="11">
        <f>Table1[[#This Row],[extended quantity]]*(Table1[[#This Row],[Cost ]]+Table1[[#This Row],[shipping]]+Table1[[#This Row],[Tax]])</f>
        <v>0</v>
      </c>
      <c r="L547" s="11"/>
      <c r="M547" s="42"/>
      <c r="N547" s="53" t="e">
        <f>CEILING((Table1[[#This Row],[extended quantity]]-Table1[[#This Row],[quantity on-hand]])/Table1[[#This Row],[Minimum order quantity]],1)*Table1[[#This Row],[Minimum order quantity]]</f>
        <v>#DIV/0!</v>
      </c>
      <c r="O547" s="53" t="e">
        <f>Table1[[#This Row],[Order quantity]]+Table1[[#This Row],[quantity on-hand]]-Table1[[#This Row],[extended quantity]]</f>
        <v>#DIV/0!</v>
      </c>
      <c r="P547" s="11">
        <f>IFERROR(Table1[[#This Row],[Order quantity]]*(Table1[[#This Row],[Cost ]]+Table1[[#This Row],[shipping]]+Table1[[#This Row],[Tax]]),0)</f>
        <v>0</v>
      </c>
      <c r="Q547" s="38">
        <f>IFERROR(Table1[[#This Row],[leftover material]]*(Table1[[#This Row],[Cost ]]+Table1[[#This Row],[shipping]]+Table1[[#This Row],[Tax]]),0)</f>
        <v>0</v>
      </c>
      <c r="R547" s="38"/>
    </row>
    <row r="548" spans="1:18" x14ac:dyDescent="0.25">
      <c r="A548" s="1" t="s">
        <v>551</v>
      </c>
      <c r="B548" s="4"/>
      <c r="F548" s="3">
        <f>9%*Table1[[#This Row],[Cost ]]</f>
        <v>0</v>
      </c>
      <c r="J548" s="11">
        <f>SUMIF('Multi-level BOM'!C$3:C$464,Table1[[#This Row],[Part Number]],'Multi-level BOM'!F$3:F$464)</f>
        <v>0</v>
      </c>
      <c r="K548" s="11">
        <f>Table1[[#This Row],[extended quantity]]*(Table1[[#This Row],[Cost ]]+Table1[[#This Row],[shipping]]+Table1[[#This Row],[Tax]])</f>
        <v>0</v>
      </c>
      <c r="L548" s="11"/>
      <c r="M548" s="42"/>
      <c r="N548" s="53" t="e">
        <f>CEILING((Table1[[#This Row],[extended quantity]]-Table1[[#This Row],[quantity on-hand]])/Table1[[#This Row],[Minimum order quantity]],1)*Table1[[#This Row],[Minimum order quantity]]</f>
        <v>#DIV/0!</v>
      </c>
      <c r="O548" s="53" t="e">
        <f>Table1[[#This Row],[Order quantity]]+Table1[[#This Row],[quantity on-hand]]-Table1[[#This Row],[extended quantity]]</f>
        <v>#DIV/0!</v>
      </c>
      <c r="P548" s="11">
        <f>IFERROR(Table1[[#This Row],[Order quantity]]*(Table1[[#This Row],[Cost ]]+Table1[[#This Row],[shipping]]+Table1[[#This Row],[Tax]]),0)</f>
        <v>0</v>
      </c>
      <c r="Q548" s="38">
        <f>IFERROR(Table1[[#This Row],[leftover material]]*(Table1[[#This Row],[Cost ]]+Table1[[#This Row],[shipping]]+Table1[[#This Row],[Tax]]),0)</f>
        <v>0</v>
      </c>
      <c r="R548" s="38"/>
    </row>
    <row r="549" spans="1:18" x14ac:dyDescent="0.25">
      <c r="A549" s="1" t="s">
        <v>552</v>
      </c>
      <c r="B549" s="4"/>
      <c r="F549" s="3">
        <f>9%*Table1[[#This Row],[Cost ]]</f>
        <v>0</v>
      </c>
      <c r="J549" s="11">
        <f>SUMIF('Multi-level BOM'!C$3:C$464,Table1[[#This Row],[Part Number]],'Multi-level BOM'!F$3:F$464)</f>
        <v>0</v>
      </c>
      <c r="K549" s="11">
        <f>Table1[[#This Row],[extended quantity]]*(Table1[[#This Row],[Cost ]]+Table1[[#This Row],[shipping]]+Table1[[#This Row],[Tax]])</f>
        <v>0</v>
      </c>
      <c r="L549" s="11"/>
      <c r="M549" s="42"/>
      <c r="N549" s="53" t="e">
        <f>CEILING((Table1[[#This Row],[extended quantity]]-Table1[[#This Row],[quantity on-hand]])/Table1[[#This Row],[Minimum order quantity]],1)*Table1[[#This Row],[Minimum order quantity]]</f>
        <v>#DIV/0!</v>
      </c>
      <c r="O549" s="53" t="e">
        <f>Table1[[#This Row],[Order quantity]]+Table1[[#This Row],[quantity on-hand]]-Table1[[#This Row],[extended quantity]]</f>
        <v>#DIV/0!</v>
      </c>
      <c r="P549" s="11">
        <f>IFERROR(Table1[[#This Row],[Order quantity]]*(Table1[[#This Row],[Cost ]]+Table1[[#This Row],[shipping]]+Table1[[#This Row],[Tax]]),0)</f>
        <v>0</v>
      </c>
      <c r="Q549" s="38">
        <f>IFERROR(Table1[[#This Row],[leftover material]]*(Table1[[#This Row],[Cost ]]+Table1[[#This Row],[shipping]]+Table1[[#This Row],[Tax]]),0)</f>
        <v>0</v>
      </c>
      <c r="R549" s="38"/>
    </row>
    <row r="550" spans="1:18" x14ac:dyDescent="0.25">
      <c r="A550" s="1" t="s">
        <v>553</v>
      </c>
      <c r="B550" s="4"/>
      <c r="F550" s="3">
        <f>9%*Table1[[#This Row],[Cost ]]</f>
        <v>0</v>
      </c>
      <c r="J550" s="11">
        <f>SUMIF('Multi-level BOM'!C$3:C$464,Table1[[#This Row],[Part Number]],'Multi-level BOM'!F$3:F$464)</f>
        <v>0</v>
      </c>
      <c r="K550" s="11">
        <f>Table1[[#This Row],[extended quantity]]*(Table1[[#This Row],[Cost ]]+Table1[[#This Row],[shipping]]+Table1[[#This Row],[Tax]])</f>
        <v>0</v>
      </c>
      <c r="L550" s="11"/>
      <c r="M550" s="42"/>
      <c r="N550" s="53" t="e">
        <f>CEILING((Table1[[#This Row],[extended quantity]]-Table1[[#This Row],[quantity on-hand]])/Table1[[#This Row],[Minimum order quantity]],1)*Table1[[#This Row],[Minimum order quantity]]</f>
        <v>#DIV/0!</v>
      </c>
      <c r="O550" s="53" t="e">
        <f>Table1[[#This Row],[Order quantity]]+Table1[[#This Row],[quantity on-hand]]-Table1[[#This Row],[extended quantity]]</f>
        <v>#DIV/0!</v>
      </c>
      <c r="P550" s="11">
        <f>IFERROR(Table1[[#This Row],[Order quantity]]*(Table1[[#This Row],[Cost ]]+Table1[[#This Row],[shipping]]+Table1[[#This Row],[Tax]]),0)</f>
        <v>0</v>
      </c>
      <c r="Q550" s="38">
        <f>IFERROR(Table1[[#This Row],[leftover material]]*(Table1[[#This Row],[Cost ]]+Table1[[#This Row],[shipping]]+Table1[[#This Row],[Tax]]),0)</f>
        <v>0</v>
      </c>
      <c r="R550" s="38"/>
    </row>
    <row r="551" spans="1:18" x14ac:dyDescent="0.25">
      <c r="A551" s="1" t="s">
        <v>554</v>
      </c>
      <c r="B551" s="4"/>
      <c r="F551" s="3">
        <f>9%*Table1[[#This Row],[Cost ]]</f>
        <v>0</v>
      </c>
      <c r="J551" s="11">
        <f>SUMIF('Multi-level BOM'!C$3:C$464,Table1[[#This Row],[Part Number]],'Multi-level BOM'!F$3:F$464)</f>
        <v>0</v>
      </c>
      <c r="K551" s="11">
        <f>Table1[[#This Row],[extended quantity]]*(Table1[[#This Row],[Cost ]]+Table1[[#This Row],[shipping]]+Table1[[#This Row],[Tax]])</f>
        <v>0</v>
      </c>
      <c r="L551" s="11"/>
      <c r="M551" s="42"/>
      <c r="N551" s="53" t="e">
        <f>CEILING((Table1[[#This Row],[extended quantity]]-Table1[[#This Row],[quantity on-hand]])/Table1[[#This Row],[Minimum order quantity]],1)*Table1[[#This Row],[Minimum order quantity]]</f>
        <v>#DIV/0!</v>
      </c>
      <c r="O551" s="53" t="e">
        <f>Table1[[#This Row],[Order quantity]]+Table1[[#This Row],[quantity on-hand]]-Table1[[#This Row],[extended quantity]]</f>
        <v>#DIV/0!</v>
      </c>
      <c r="P551" s="11">
        <f>IFERROR(Table1[[#This Row],[Order quantity]]*(Table1[[#This Row],[Cost ]]+Table1[[#This Row],[shipping]]+Table1[[#This Row],[Tax]]),0)</f>
        <v>0</v>
      </c>
      <c r="Q551" s="38">
        <f>IFERROR(Table1[[#This Row],[leftover material]]*(Table1[[#This Row],[Cost ]]+Table1[[#This Row],[shipping]]+Table1[[#This Row],[Tax]]),0)</f>
        <v>0</v>
      </c>
      <c r="R551" s="38"/>
    </row>
    <row r="552" spans="1:18" x14ac:dyDescent="0.25">
      <c r="A552" s="1" t="s">
        <v>555</v>
      </c>
      <c r="B552" s="4"/>
      <c r="F552" s="3">
        <f>9%*Table1[[#This Row],[Cost ]]</f>
        <v>0</v>
      </c>
      <c r="J552" s="11">
        <f>SUMIF('Multi-level BOM'!C$3:C$464,Table1[[#This Row],[Part Number]],'Multi-level BOM'!F$3:F$464)</f>
        <v>0</v>
      </c>
      <c r="K552" s="11">
        <f>Table1[[#This Row],[extended quantity]]*(Table1[[#This Row],[Cost ]]+Table1[[#This Row],[shipping]]+Table1[[#This Row],[Tax]])</f>
        <v>0</v>
      </c>
      <c r="L552" s="11"/>
      <c r="M552" s="42"/>
      <c r="N552" s="53" t="e">
        <f>CEILING((Table1[[#This Row],[extended quantity]]-Table1[[#This Row],[quantity on-hand]])/Table1[[#This Row],[Minimum order quantity]],1)*Table1[[#This Row],[Minimum order quantity]]</f>
        <v>#DIV/0!</v>
      </c>
      <c r="O552" s="53" t="e">
        <f>Table1[[#This Row],[Order quantity]]+Table1[[#This Row],[quantity on-hand]]-Table1[[#This Row],[extended quantity]]</f>
        <v>#DIV/0!</v>
      </c>
      <c r="P552" s="11">
        <f>IFERROR(Table1[[#This Row],[Order quantity]]*(Table1[[#This Row],[Cost ]]+Table1[[#This Row],[shipping]]+Table1[[#This Row],[Tax]]),0)</f>
        <v>0</v>
      </c>
      <c r="Q552" s="38">
        <f>IFERROR(Table1[[#This Row],[leftover material]]*(Table1[[#This Row],[Cost ]]+Table1[[#This Row],[shipping]]+Table1[[#This Row],[Tax]]),0)</f>
        <v>0</v>
      </c>
      <c r="R552" s="38"/>
    </row>
    <row r="553" spans="1:18" x14ac:dyDescent="0.25">
      <c r="A553" s="1" t="s">
        <v>556</v>
      </c>
      <c r="B553" s="4"/>
      <c r="F553" s="3">
        <f>9%*Table1[[#This Row],[Cost ]]</f>
        <v>0</v>
      </c>
      <c r="J553" s="11">
        <f>SUMIF('Multi-level BOM'!C$3:C$464,Table1[[#This Row],[Part Number]],'Multi-level BOM'!F$3:F$464)</f>
        <v>0</v>
      </c>
      <c r="K553" s="11">
        <f>Table1[[#This Row],[extended quantity]]*(Table1[[#This Row],[Cost ]]+Table1[[#This Row],[shipping]]+Table1[[#This Row],[Tax]])</f>
        <v>0</v>
      </c>
      <c r="L553" s="11"/>
      <c r="M553" s="42"/>
      <c r="N553" s="53" t="e">
        <f>CEILING((Table1[[#This Row],[extended quantity]]-Table1[[#This Row],[quantity on-hand]])/Table1[[#This Row],[Minimum order quantity]],1)*Table1[[#This Row],[Minimum order quantity]]</f>
        <v>#DIV/0!</v>
      </c>
      <c r="O553" s="53" t="e">
        <f>Table1[[#This Row],[Order quantity]]+Table1[[#This Row],[quantity on-hand]]-Table1[[#This Row],[extended quantity]]</f>
        <v>#DIV/0!</v>
      </c>
      <c r="P553" s="11">
        <f>IFERROR(Table1[[#This Row],[Order quantity]]*(Table1[[#This Row],[Cost ]]+Table1[[#This Row],[shipping]]+Table1[[#This Row],[Tax]]),0)</f>
        <v>0</v>
      </c>
      <c r="Q553" s="38">
        <f>IFERROR(Table1[[#This Row],[leftover material]]*(Table1[[#This Row],[Cost ]]+Table1[[#This Row],[shipping]]+Table1[[#This Row],[Tax]]),0)</f>
        <v>0</v>
      </c>
      <c r="R553" s="38"/>
    </row>
    <row r="554" spans="1:18" x14ac:dyDescent="0.25">
      <c r="A554" s="1" t="s">
        <v>557</v>
      </c>
      <c r="B554" s="4"/>
      <c r="F554" s="3">
        <f>9%*Table1[[#This Row],[Cost ]]</f>
        <v>0</v>
      </c>
      <c r="J554" s="11">
        <f>SUMIF('Multi-level BOM'!C$3:C$464,Table1[[#This Row],[Part Number]],'Multi-level BOM'!F$3:F$464)</f>
        <v>0</v>
      </c>
      <c r="K554" s="11">
        <f>Table1[[#This Row],[extended quantity]]*(Table1[[#This Row],[Cost ]]+Table1[[#This Row],[shipping]]+Table1[[#This Row],[Tax]])</f>
        <v>0</v>
      </c>
      <c r="L554" s="11"/>
      <c r="M554" s="42"/>
      <c r="N554" s="53" t="e">
        <f>CEILING((Table1[[#This Row],[extended quantity]]-Table1[[#This Row],[quantity on-hand]])/Table1[[#This Row],[Minimum order quantity]],1)*Table1[[#This Row],[Minimum order quantity]]</f>
        <v>#DIV/0!</v>
      </c>
      <c r="O554" s="53" t="e">
        <f>Table1[[#This Row],[Order quantity]]+Table1[[#This Row],[quantity on-hand]]-Table1[[#This Row],[extended quantity]]</f>
        <v>#DIV/0!</v>
      </c>
      <c r="P554" s="11">
        <f>IFERROR(Table1[[#This Row],[Order quantity]]*(Table1[[#This Row],[Cost ]]+Table1[[#This Row],[shipping]]+Table1[[#This Row],[Tax]]),0)</f>
        <v>0</v>
      </c>
      <c r="Q554" s="38">
        <f>IFERROR(Table1[[#This Row],[leftover material]]*(Table1[[#This Row],[Cost ]]+Table1[[#This Row],[shipping]]+Table1[[#This Row],[Tax]]),0)</f>
        <v>0</v>
      </c>
      <c r="R554" s="38"/>
    </row>
    <row r="555" spans="1:18" x14ac:dyDescent="0.25">
      <c r="A555" s="1" t="s">
        <v>558</v>
      </c>
      <c r="B555" s="4"/>
      <c r="F555" s="3">
        <f>9%*Table1[[#This Row],[Cost ]]</f>
        <v>0</v>
      </c>
      <c r="J555" s="11">
        <f>SUMIF('Multi-level BOM'!C$3:C$464,Table1[[#This Row],[Part Number]],'Multi-level BOM'!F$3:F$464)</f>
        <v>0</v>
      </c>
      <c r="K555" s="11">
        <f>Table1[[#This Row],[extended quantity]]*(Table1[[#This Row],[Cost ]]+Table1[[#This Row],[shipping]]+Table1[[#This Row],[Tax]])</f>
        <v>0</v>
      </c>
      <c r="L555" s="11"/>
      <c r="M555" s="42"/>
      <c r="N555" s="53" t="e">
        <f>CEILING((Table1[[#This Row],[extended quantity]]-Table1[[#This Row],[quantity on-hand]])/Table1[[#This Row],[Minimum order quantity]],1)*Table1[[#This Row],[Minimum order quantity]]</f>
        <v>#DIV/0!</v>
      </c>
      <c r="O555" s="53" t="e">
        <f>Table1[[#This Row],[Order quantity]]+Table1[[#This Row],[quantity on-hand]]-Table1[[#This Row],[extended quantity]]</f>
        <v>#DIV/0!</v>
      </c>
      <c r="P555" s="11">
        <f>IFERROR(Table1[[#This Row],[Order quantity]]*(Table1[[#This Row],[Cost ]]+Table1[[#This Row],[shipping]]+Table1[[#This Row],[Tax]]),0)</f>
        <v>0</v>
      </c>
      <c r="Q555" s="38">
        <f>IFERROR(Table1[[#This Row],[leftover material]]*(Table1[[#This Row],[Cost ]]+Table1[[#This Row],[shipping]]+Table1[[#This Row],[Tax]]),0)</f>
        <v>0</v>
      </c>
      <c r="R555" s="38"/>
    </row>
    <row r="556" spans="1:18" x14ac:dyDescent="0.25">
      <c r="A556" s="1" t="s">
        <v>559</v>
      </c>
      <c r="B556" s="4"/>
      <c r="F556" s="3">
        <f>9%*Table1[[#This Row],[Cost ]]</f>
        <v>0</v>
      </c>
      <c r="J556" s="11">
        <f>SUMIF('Multi-level BOM'!C$3:C$464,Table1[[#This Row],[Part Number]],'Multi-level BOM'!F$3:F$464)</f>
        <v>0</v>
      </c>
      <c r="K556" s="11">
        <f>Table1[[#This Row],[extended quantity]]*(Table1[[#This Row],[Cost ]]+Table1[[#This Row],[shipping]]+Table1[[#This Row],[Tax]])</f>
        <v>0</v>
      </c>
      <c r="L556" s="11"/>
      <c r="M556" s="42"/>
      <c r="N556" s="53" t="e">
        <f>CEILING((Table1[[#This Row],[extended quantity]]-Table1[[#This Row],[quantity on-hand]])/Table1[[#This Row],[Minimum order quantity]],1)*Table1[[#This Row],[Minimum order quantity]]</f>
        <v>#DIV/0!</v>
      </c>
      <c r="O556" s="53" t="e">
        <f>Table1[[#This Row],[Order quantity]]+Table1[[#This Row],[quantity on-hand]]-Table1[[#This Row],[extended quantity]]</f>
        <v>#DIV/0!</v>
      </c>
      <c r="P556" s="11">
        <f>IFERROR(Table1[[#This Row],[Order quantity]]*(Table1[[#This Row],[Cost ]]+Table1[[#This Row],[shipping]]+Table1[[#This Row],[Tax]]),0)</f>
        <v>0</v>
      </c>
      <c r="Q556" s="38">
        <f>IFERROR(Table1[[#This Row],[leftover material]]*(Table1[[#This Row],[Cost ]]+Table1[[#This Row],[shipping]]+Table1[[#This Row],[Tax]]),0)</f>
        <v>0</v>
      </c>
      <c r="R556" s="38"/>
    </row>
    <row r="557" spans="1:18" x14ac:dyDescent="0.25">
      <c r="A557" s="1" t="s">
        <v>560</v>
      </c>
      <c r="B557" s="4"/>
      <c r="F557" s="3">
        <f>9%*Table1[[#This Row],[Cost ]]</f>
        <v>0</v>
      </c>
      <c r="J557" s="11">
        <f>SUMIF('Multi-level BOM'!C$3:C$464,Table1[[#This Row],[Part Number]],'Multi-level BOM'!F$3:F$464)</f>
        <v>0</v>
      </c>
      <c r="K557" s="11">
        <f>Table1[[#This Row],[extended quantity]]*(Table1[[#This Row],[Cost ]]+Table1[[#This Row],[shipping]]+Table1[[#This Row],[Tax]])</f>
        <v>0</v>
      </c>
      <c r="L557" s="11"/>
      <c r="M557" s="42"/>
      <c r="N557" s="53" t="e">
        <f>CEILING((Table1[[#This Row],[extended quantity]]-Table1[[#This Row],[quantity on-hand]])/Table1[[#This Row],[Minimum order quantity]],1)*Table1[[#This Row],[Minimum order quantity]]</f>
        <v>#DIV/0!</v>
      </c>
      <c r="O557" s="53" t="e">
        <f>Table1[[#This Row],[Order quantity]]+Table1[[#This Row],[quantity on-hand]]-Table1[[#This Row],[extended quantity]]</f>
        <v>#DIV/0!</v>
      </c>
      <c r="P557" s="11">
        <f>IFERROR(Table1[[#This Row],[Order quantity]]*(Table1[[#This Row],[Cost ]]+Table1[[#This Row],[shipping]]+Table1[[#This Row],[Tax]]),0)</f>
        <v>0</v>
      </c>
      <c r="Q557" s="38">
        <f>IFERROR(Table1[[#This Row],[leftover material]]*(Table1[[#This Row],[Cost ]]+Table1[[#This Row],[shipping]]+Table1[[#This Row],[Tax]]),0)</f>
        <v>0</v>
      </c>
      <c r="R557" s="38"/>
    </row>
    <row r="558" spans="1:18" x14ac:dyDescent="0.25">
      <c r="A558" s="1" t="s">
        <v>561</v>
      </c>
      <c r="B558" s="4"/>
      <c r="F558" s="3">
        <f>9%*Table1[[#This Row],[Cost ]]</f>
        <v>0</v>
      </c>
      <c r="J558" s="11">
        <f>SUMIF('Multi-level BOM'!C$3:C$464,Table1[[#This Row],[Part Number]],'Multi-level BOM'!F$3:F$464)</f>
        <v>0</v>
      </c>
      <c r="K558" s="11">
        <f>Table1[[#This Row],[extended quantity]]*(Table1[[#This Row],[Cost ]]+Table1[[#This Row],[shipping]]+Table1[[#This Row],[Tax]])</f>
        <v>0</v>
      </c>
      <c r="L558" s="11"/>
      <c r="M558" s="42"/>
      <c r="N558" s="53" t="e">
        <f>CEILING((Table1[[#This Row],[extended quantity]]-Table1[[#This Row],[quantity on-hand]])/Table1[[#This Row],[Minimum order quantity]],1)*Table1[[#This Row],[Minimum order quantity]]</f>
        <v>#DIV/0!</v>
      </c>
      <c r="O558" s="53" t="e">
        <f>Table1[[#This Row],[Order quantity]]+Table1[[#This Row],[quantity on-hand]]-Table1[[#This Row],[extended quantity]]</f>
        <v>#DIV/0!</v>
      </c>
      <c r="P558" s="11">
        <f>IFERROR(Table1[[#This Row],[Order quantity]]*(Table1[[#This Row],[Cost ]]+Table1[[#This Row],[shipping]]+Table1[[#This Row],[Tax]]),0)</f>
        <v>0</v>
      </c>
      <c r="Q558" s="38">
        <f>IFERROR(Table1[[#This Row],[leftover material]]*(Table1[[#This Row],[Cost ]]+Table1[[#This Row],[shipping]]+Table1[[#This Row],[Tax]]),0)</f>
        <v>0</v>
      </c>
      <c r="R558" s="38"/>
    </row>
    <row r="559" spans="1:18" x14ac:dyDescent="0.25">
      <c r="A559" s="1" t="s">
        <v>562</v>
      </c>
      <c r="B559" s="4"/>
      <c r="F559" s="3">
        <f>9%*Table1[[#This Row],[Cost ]]</f>
        <v>0</v>
      </c>
      <c r="J559" s="11">
        <f>SUMIF('Multi-level BOM'!C$3:C$464,Table1[[#This Row],[Part Number]],'Multi-level BOM'!F$3:F$464)</f>
        <v>0</v>
      </c>
      <c r="K559" s="11">
        <f>Table1[[#This Row],[extended quantity]]*(Table1[[#This Row],[Cost ]]+Table1[[#This Row],[shipping]]+Table1[[#This Row],[Tax]])</f>
        <v>0</v>
      </c>
      <c r="L559" s="11"/>
      <c r="M559" s="42"/>
      <c r="N559" s="53" t="e">
        <f>CEILING((Table1[[#This Row],[extended quantity]]-Table1[[#This Row],[quantity on-hand]])/Table1[[#This Row],[Minimum order quantity]],1)*Table1[[#This Row],[Minimum order quantity]]</f>
        <v>#DIV/0!</v>
      </c>
      <c r="O559" s="53" t="e">
        <f>Table1[[#This Row],[Order quantity]]+Table1[[#This Row],[quantity on-hand]]-Table1[[#This Row],[extended quantity]]</f>
        <v>#DIV/0!</v>
      </c>
      <c r="P559" s="11">
        <f>IFERROR(Table1[[#This Row],[Order quantity]]*(Table1[[#This Row],[Cost ]]+Table1[[#This Row],[shipping]]+Table1[[#This Row],[Tax]]),0)</f>
        <v>0</v>
      </c>
      <c r="Q559" s="38">
        <f>IFERROR(Table1[[#This Row],[leftover material]]*(Table1[[#This Row],[Cost ]]+Table1[[#This Row],[shipping]]+Table1[[#This Row],[Tax]]),0)</f>
        <v>0</v>
      </c>
      <c r="R559" s="38"/>
    </row>
    <row r="560" spans="1:18" x14ac:dyDescent="0.25">
      <c r="A560" s="1" t="s">
        <v>563</v>
      </c>
      <c r="B560" s="4"/>
      <c r="F560" s="3">
        <f>9%*Table1[[#This Row],[Cost ]]</f>
        <v>0</v>
      </c>
      <c r="J560" s="11">
        <f>SUMIF('Multi-level BOM'!C$3:C$464,Table1[[#This Row],[Part Number]],'Multi-level BOM'!F$3:F$464)</f>
        <v>0</v>
      </c>
      <c r="K560" s="11">
        <f>Table1[[#This Row],[extended quantity]]*(Table1[[#This Row],[Cost ]]+Table1[[#This Row],[shipping]]+Table1[[#This Row],[Tax]])</f>
        <v>0</v>
      </c>
      <c r="L560" s="11"/>
      <c r="M560" s="42"/>
      <c r="N560" s="53" t="e">
        <f>CEILING((Table1[[#This Row],[extended quantity]]-Table1[[#This Row],[quantity on-hand]])/Table1[[#This Row],[Minimum order quantity]],1)*Table1[[#This Row],[Minimum order quantity]]</f>
        <v>#DIV/0!</v>
      </c>
      <c r="O560" s="53" t="e">
        <f>Table1[[#This Row],[Order quantity]]+Table1[[#This Row],[quantity on-hand]]-Table1[[#This Row],[extended quantity]]</f>
        <v>#DIV/0!</v>
      </c>
      <c r="P560" s="11">
        <f>IFERROR(Table1[[#This Row],[Order quantity]]*(Table1[[#This Row],[Cost ]]+Table1[[#This Row],[shipping]]+Table1[[#This Row],[Tax]]),0)</f>
        <v>0</v>
      </c>
      <c r="Q560" s="38">
        <f>IFERROR(Table1[[#This Row],[leftover material]]*(Table1[[#This Row],[Cost ]]+Table1[[#This Row],[shipping]]+Table1[[#This Row],[Tax]]),0)</f>
        <v>0</v>
      </c>
      <c r="R560" s="38"/>
    </row>
    <row r="561" spans="1:18" x14ac:dyDescent="0.25">
      <c r="A561" s="1" t="s">
        <v>564</v>
      </c>
      <c r="B561" s="4"/>
      <c r="F561" s="3">
        <f>9%*Table1[[#This Row],[Cost ]]</f>
        <v>0</v>
      </c>
      <c r="J561" s="11">
        <f>SUMIF('Multi-level BOM'!C$3:C$464,Table1[[#This Row],[Part Number]],'Multi-level BOM'!F$3:F$464)</f>
        <v>0</v>
      </c>
      <c r="K561" s="11">
        <f>Table1[[#This Row],[extended quantity]]*(Table1[[#This Row],[Cost ]]+Table1[[#This Row],[shipping]]+Table1[[#This Row],[Tax]])</f>
        <v>0</v>
      </c>
      <c r="L561" s="11"/>
      <c r="M561" s="42"/>
      <c r="N561" s="53" t="e">
        <f>CEILING((Table1[[#This Row],[extended quantity]]-Table1[[#This Row],[quantity on-hand]])/Table1[[#This Row],[Minimum order quantity]],1)*Table1[[#This Row],[Minimum order quantity]]</f>
        <v>#DIV/0!</v>
      </c>
      <c r="O561" s="53" t="e">
        <f>Table1[[#This Row],[Order quantity]]+Table1[[#This Row],[quantity on-hand]]-Table1[[#This Row],[extended quantity]]</f>
        <v>#DIV/0!</v>
      </c>
      <c r="P561" s="11">
        <f>IFERROR(Table1[[#This Row],[Order quantity]]*(Table1[[#This Row],[Cost ]]+Table1[[#This Row],[shipping]]+Table1[[#This Row],[Tax]]),0)</f>
        <v>0</v>
      </c>
      <c r="Q561" s="38">
        <f>IFERROR(Table1[[#This Row],[leftover material]]*(Table1[[#This Row],[Cost ]]+Table1[[#This Row],[shipping]]+Table1[[#This Row],[Tax]]),0)</f>
        <v>0</v>
      </c>
      <c r="R561" s="38"/>
    </row>
    <row r="562" spans="1:18" x14ac:dyDescent="0.25">
      <c r="A562" s="1" t="s">
        <v>565</v>
      </c>
      <c r="B562" s="4"/>
      <c r="F562" s="3">
        <f>9%*Table1[[#This Row],[Cost ]]</f>
        <v>0</v>
      </c>
      <c r="J562" s="11">
        <f>SUMIF('Multi-level BOM'!C$3:C$464,Table1[[#This Row],[Part Number]],'Multi-level BOM'!F$3:F$464)</f>
        <v>0</v>
      </c>
      <c r="K562" s="11">
        <f>Table1[[#This Row],[extended quantity]]*(Table1[[#This Row],[Cost ]]+Table1[[#This Row],[shipping]]+Table1[[#This Row],[Tax]])</f>
        <v>0</v>
      </c>
      <c r="L562" s="11"/>
      <c r="M562" s="42"/>
      <c r="N562" s="53" t="e">
        <f>CEILING((Table1[[#This Row],[extended quantity]]-Table1[[#This Row],[quantity on-hand]])/Table1[[#This Row],[Minimum order quantity]],1)*Table1[[#This Row],[Minimum order quantity]]</f>
        <v>#DIV/0!</v>
      </c>
      <c r="O562" s="53" t="e">
        <f>Table1[[#This Row],[Order quantity]]+Table1[[#This Row],[quantity on-hand]]-Table1[[#This Row],[extended quantity]]</f>
        <v>#DIV/0!</v>
      </c>
      <c r="P562" s="11">
        <f>IFERROR(Table1[[#This Row],[Order quantity]]*(Table1[[#This Row],[Cost ]]+Table1[[#This Row],[shipping]]+Table1[[#This Row],[Tax]]),0)</f>
        <v>0</v>
      </c>
      <c r="Q562" s="38">
        <f>IFERROR(Table1[[#This Row],[leftover material]]*(Table1[[#This Row],[Cost ]]+Table1[[#This Row],[shipping]]+Table1[[#This Row],[Tax]]),0)</f>
        <v>0</v>
      </c>
      <c r="R562" s="38"/>
    </row>
    <row r="563" spans="1:18" x14ac:dyDescent="0.25">
      <c r="A563" s="1" t="s">
        <v>566</v>
      </c>
      <c r="B563" s="4"/>
      <c r="F563" s="3">
        <f>9%*Table1[[#This Row],[Cost ]]</f>
        <v>0</v>
      </c>
      <c r="J563" s="11">
        <f>SUMIF('Multi-level BOM'!C$3:C$464,Table1[[#This Row],[Part Number]],'Multi-level BOM'!F$3:F$464)</f>
        <v>0</v>
      </c>
      <c r="K563" s="11">
        <f>Table1[[#This Row],[extended quantity]]*(Table1[[#This Row],[Cost ]]+Table1[[#This Row],[shipping]]+Table1[[#This Row],[Tax]])</f>
        <v>0</v>
      </c>
      <c r="L563" s="11"/>
      <c r="M563" s="42"/>
      <c r="N563" s="53" t="e">
        <f>CEILING((Table1[[#This Row],[extended quantity]]-Table1[[#This Row],[quantity on-hand]])/Table1[[#This Row],[Minimum order quantity]],1)*Table1[[#This Row],[Minimum order quantity]]</f>
        <v>#DIV/0!</v>
      </c>
      <c r="O563" s="53" t="e">
        <f>Table1[[#This Row],[Order quantity]]+Table1[[#This Row],[quantity on-hand]]-Table1[[#This Row],[extended quantity]]</f>
        <v>#DIV/0!</v>
      </c>
      <c r="P563" s="11">
        <f>IFERROR(Table1[[#This Row],[Order quantity]]*(Table1[[#This Row],[Cost ]]+Table1[[#This Row],[shipping]]+Table1[[#This Row],[Tax]]),0)</f>
        <v>0</v>
      </c>
      <c r="Q563" s="38">
        <f>IFERROR(Table1[[#This Row],[leftover material]]*(Table1[[#This Row],[Cost ]]+Table1[[#This Row],[shipping]]+Table1[[#This Row],[Tax]]),0)</f>
        <v>0</v>
      </c>
      <c r="R563" s="38"/>
    </row>
    <row r="564" spans="1:18" x14ac:dyDescent="0.25">
      <c r="A564" s="1" t="s">
        <v>567</v>
      </c>
      <c r="B564" s="4"/>
      <c r="F564" s="3">
        <f>9%*Table1[[#This Row],[Cost ]]</f>
        <v>0</v>
      </c>
      <c r="J564" s="11">
        <f>SUMIF('Multi-level BOM'!C$3:C$464,Table1[[#This Row],[Part Number]],'Multi-level BOM'!F$3:F$464)</f>
        <v>0</v>
      </c>
      <c r="K564" s="11">
        <f>Table1[[#This Row],[extended quantity]]*(Table1[[#This Row],[Cost ]]+Table1[[#This Row],[shipping]]+Table1[[#This Row],[Tax]])</f>
        <v>0</v>
      </c>
      <c r="L564" s="11"/>
      <c r="M564" s="42"/>
      <c r="N564" s="53" t="e">
        <f>CEILING((Table1[[#This Row],[extended quantity]]-Table1[[#This Row],[quantity on-hand]])/Table1[[#This Row],[Minimum order quantity]],1)*Table1[[#This Row],[Minimum order quantity]]</f>
        <v>#DIV/0!</v>
      </c>
      <c r="O564" s="53" t="e">
        <f>Table1[[#This Row],[Order quantity]]+Table1[[#This Row],[quantity on-hand]]-Table1[[#This Row],[extended quantity]]</f>
        <v>#DIV/0!</v>
      </c>
      <c r="P564" s="11">
        <f>IFERROR(Table1[[#This Row],[Order quantity]]*(Table1[[#This Row],[Cost ]]+Table1[[#This Row],[shipping]]+Table1[[#This Row],[Tax]]),0)</f>
        <v>0</v>
      </c>
      <c r="Q564" s="38">
        <f>IFERROR(Table1[[#This Row],[leftover material]]*(Table1[[#This Row],[Cost ]]+Table1[[#This Row],[shipping]]+Table1[[#This Row],[Tax]]),0)</f>
        <v>0</v>
      </c>
      <c r="R564" s="38"/>
    </row>
    <row r="565" spans="1:18" x14ac:dyDescent="0.25">
      <c r="A565" s="1" t="s">
        <v>568</v>
      </c>
      <c r="B565" s="4"/>
      <c r="F565" s="3">
        <f>9%*Table1[[#This Row],[Cost ]]</f>
        <v>0</v>
      </c>
      <c r="J565" s="11">
        <f>SUMIF('Multi-level BOM'!C$3:C$464,Table1[[#This Row],[Part Number]],'Multi-level BOM'!F$3:F$464)</f>
        <v>0</v>
      </c>
      <c r="K565" s="11">
        <f>Table1[[#This Row],[extended quantity]]*(Table1[[#This Row],[Cost ]]+Table1[[#This Row],[shipping]]+Table1[[#This Row],[Tax]])</f>
        <v>0</v>
      </c>
      <c r="L565" s="11"/>
      <c r="M565" s="42"/>
      <c r="N565" s="53" t="e">
        <f>CEILING((Table1[[#This Row],[extended quantity]]-Table1[[#This Row],[quantity on-hand]])/Table1[[#This Row],[Minimum order quantity]],1)*Table1[[#This Row],[Minimum order quantity]]</f>
        <v>#DIV/0!</v>
      </c>
      <c r="O565" s="53" t="e">
        <f>Table1[[#This Row],[Order quantity]]+Table1[[#This Row],[quantity on-hand]]-Table1[[#This Row],[extended quantity]]</f>
        <v>#DIV/0!</v>
      </c>
      <c r="P565" s="11">
        <f>IFERROR(Table1[[#This Row],[Order quantity]]*(Table1[[#This Row],[Cost ]]+Table1[[#This Row],[shipping]]+Table1[[#This Row],[Tax]]),0)</f>
        <v>0</v>
      </c>
      <c r="Q565" s="38">
        <f>IFERROR(Table1[[#This Row],[leftover material]]*(Table1[[#This Row],[Cost ]]+Table1[[#This Row],[shipping]]+Table1[[#This Row],[Tax]]),0)</f>
        <v>0</v>
      </c>
      <c r="R565" s="38"/>
    </row>
    <row r="566" spans="1:18" x14ac:dyDescent="0.25">
      <c r="A566" s="1" t="s">
        <v>569</v>
      </c>
      <c r="B566" s="4"/>
      <c r="F566" s="3">
        <f>9%*Table1[[#This Row],[Cost ]]</f>
        <v>0</v>
      </c>
      <c r="J566" s="11">
        <f>SUMIF('Multi-level BOM'!C$3:C$464,Table1[[#This Row],[Part Number]],'Multi-level BOM'!F$3:F$464)</f>
        <v>0</v>
      </c>
      <c r="K566" s="11">
        <f>Table1[[#This Row],[extended quantity]]*(Table1[[#This Row],[Cost ]]+Table1[[#This Row],[shipping]]+Table1[[#This Row],[Tax]])</f>
        <v>0</v>
      </c>
      <c r="L566" s="11"/>
      <c r="M566" s="42"/>
      <c r="N566" s="53" t="e">
        <f>CEILING((Table1[[#This Row],[extended quantity]]-Table1[[#This Row],[quantity on-hand]])/Table1[[#This Row],[Minimum order quantity]],1)*Table1[[#This Row],[Minimum order quantity]]</f>
        <v>#DIV/0!</v>
      </c>
      <c r="O566" s="53" t="e">
        <f>Table1[[#This Row],[Order quantity]]+Table1[[#This Row],[quantity on-hand]]-Table1[[#This Row],[extended quantity]]</f>
        <v>#DIV/0!</v>
      </c>
      <c r="P566" s="11">
        <f>IFERROR(Table1[[#This Row],[Order quantity]]*(Table1[[#This Row],[Cost ]]+Table1[[#This Row],[shipping]]+Table1[[#This Row],[Tax]]),0)</f>
        <v>0</v>
      </c>
      <c r="Q566" s="38">
        <f>IFERROR(Table1[[#This Row],[leftover material]]*(Table1[[#This Row],[Cost ]]+Table1[[#This Row],[shipping]]+Table1[[#This Row],[Tax]]),0)</f>
        <v>0</v>
      </c>
      <c r="R566" s="38"/>
    </row>
    <row r="567" spans="1:18" x14ac:dyDescent="0.25">
      <c r="A567" s="1" t="s">
        <v>570</v>
      </c>
      <c r="B567" s="4"/>
      <c r="F567" s="3">
        <f>9%*Table1[[#This Row],[Cost ]]</f>
        <v>0</v>
      </c>
      <c r="J567" s="11">
        <f>SUMIF('Multi-level BOM'!C$3:C$464,Table1[[#This Row],[Part Number]],'Multi-level BOM'!F$3:F$464)</f>
        <v>0</v>
      </c>
      <c r="K567" s="11">
        <f>Table1[[#This Row],[extended quantity]]*(Table1[[#This Row],[Cost ]]+Table1[[#This Row],[shipping]]+Table1[[#This Row],[Tax]])</f>
        <v>0</v>
      </c>
      <c r="L567" s="11"/>
      <c r="M567" s="42"/>
      <c r="N567" s="53" t="e">
        <f>CEILING((Table1[[#This Row],[extended quantity]]-Table1[[#This Row],[quantity on-hand]])/Table1[[#This Row],[Minimum order quantity]],1)*Table1[[#This Row],[Minimum order quantity]]</f>
        <v>#DIV/0!</v>
      </c>
      <c r="O567" s="53" t="e">
        <f>Table1[[#This Row],[Order quantity]]+Table1[[#This Row],[quantity on-hand]]-Table1[[#This Row],[extended quantity]]</f>
        <v>#DIV/0!</v>
      </c>
      <c r="P567" s="11">
        <f>IFERROR(Table1[[#This Row],[Order quantity]]*(Table1[[#This Row],[Cost ]]+Table1[[#This Row],[shipping]]+Table1[[#This Row],[Tax]]),0)</f>
        <v>0</v>
      </c>
      <c r="Q567" s="38">
        <f>IFERROR(Table1[[#This Row],[leftover material]]*(Table1[[#This Row],[Cost ]]+Table1[[#This Row],[shipping]]+Table1[[#This Row],[Tax]]),0)</f>
        <v>0</v>
      </c>
      <c r="R567" s="38"/>
    </row>
    <row r="568" spans="1:18" x14ac:dyDescent="0.25">
      <c r="A568" s="1" t="s">
        <v>571</v>
      </c>
      <c r="B568" s="4"/>
      <c r="F568" s="3">
        <f>9%*Table1[[#This Row],[Cost ]]</f>
        <v>0</v>
      </c>
      <c r="J568" s="11">
        <f>SUMIF('Multi-level BOM'!C$3:C$464,Table1[[#This Row],[Part Number]],'Multi-level BOM'!F$3:F$464)</f>
        <v>0</v>
      </c>
      <c r="K568" s="11">
        <f>Table1[[#This Row],[extended quantity]]*(Table1[[#This Row],[Cost ]]+Table1[[#This Row],[shipping]]+Table1[[#This Row],[Tax]])</f>
        <v>0</v>
      </c>
      <c r="L568" s="11"/>
      <c r="M568" s="42"/>
      <c r="N568" s="53" t="e">
        <f>CEILING((Table1[[#This Row],[extended quantity]]-Table1[[#This Row],[quantity on-hand]])/Table1[[#This Row],[Minimum order quantity]],1)*Table1[[#This Row],[Minimum order quantity]]</f>
        <v>#DIV/0!</v>
      </c>
      <c r="O568" s="53" t="e">
        <f>Table1[[#This Row],[Order quantity]]+Table1[[#This Row],[quantity on-hand]]-Table1[[#This Row],[extended quantity]]</f>
        <v>#DIV/0!</v>
      </c>
      <c r="P568" s="11">
        <f>IFERROR(Table1[[#This Row],[Order quantity]]*(Table1[[#This Row],[Cost ]]+Table1[[#This Row],[shipping]]+Table1[[#This Row],[Tax]]),0)</f>
        <v>0</v>
      </c>
      <c r="Q568" s="38">
        <f>IFERROR(Table1[[#This Row],[leftover material]]*(Table1[[#This Row],[Cost ]]+Table1[[#This Row],[shipping]]+Table1[[#This Row],[Tax]]),0)</f>
        <v>0</v>
      </c>
      <c r="R568" s="38"/>
    </row>
    <row r="569" spans="1:18" x14ac:dyDescent="0.25">
      <c r="A569" s="1" t="s">
        <v>572</v>
      </c>
      <c r="B569" s="4"/>
      <c r="F569" s="3">
        <f>9%*Table1[[#This Row],[Cost ]]</f>
        <v>0</v>
      </c>
      <c r="J569" s="11">
        <f>SUMIF('Multi-level BOM'!C$3:C$464,Table1[[#This Row],[Part Number]],'Multi-level BOM'!F$3:F$464)</f>
        <v>0</v>
      </c>
      <c r="K569" s="11">
        <f>Table1[[#This Row],[extended quantity]]*(Table1[[#This Row],[Cost ]]+Table1[[#This Row],[shipping]]+Table1[[#This Row],[Tax]])</f>
        <v>0</v>
      </c>
      <c r="L569" s="11"/>
      <c r="M569" s="42"/>
      <c r="N569" s="53" t="e">
        <f>CEILING((Table1[[#This Row],[extended quantity]]-Table1[[#This Row],[quantity on-hand]])/Table1[[#This Row],[Minimum order quantity]],1)*Table1[[#This Row],[Minimum order quantity]]</f>
        <v>#DIV/0!</v>
      </c>
      <c r="O569" s="53" t="e">
        <f>Table1[[#This Row],[Order quantity]]+Table1[[#This Row],[quantity on-hand]]-Table1[[#This Row],[extended quantity]]</f>
        <v>#DIV/0!</v>
      </c>
      <c r="P569" s="11">
        <f>IFERROR(Table1[[#This Row],[Order quantity]]*(Table1[[#This Row],[Cost ]]+Table1[[#This Row],[shipping]]+Table1[[#This Row],[Tax]]),0)</f>
        <v>0</v>
      </c>
      <c r="Q569" s="38">
        <f>IFERROR(Table1[[#This Row],[leftover material]]*(Table1[[#This Row],[Cost ]]+Table1[[#This Row],[shipping]]+Table1[[#This Row],[Tax]]),0)</f>
        <v>0</v>
      </c>
      <c r="R569" s="38"/>
    </row>
    <row r="570" spans="1:18" x14ac:dyDescent="0.25">
      <c r="A570" s="1" t="s">
        <v>573</v>
      </c>
      <c r="B570" s="4"/>
      <c r="F570" s="3">
        <f>9%*Table1[[#This Row],[Cost ]]</f>
        <v>0</v>
      </c>
      <c r="J570" s="11">
        <f>SUMIF('Multi-level BOM'!C$3:C$464,Table1[[#This Row],[Part Number]],'Multi-level BOM'!F$3:F$464)</f>
        <v>0</v>
      </c>
      <c r="K570" s="11">
        <f>Table1[[#This Row],[extended quantity]]*(Table1[[#This Row],[Cost ]]+Table1[[#This Row],[shipping]]+Table1[[#This Row],[Tax]])</f>
        <v>0</v>
      </c>
      <c r="L570" s="11"/>
      <c r="M570" s="42"/>
      <c r="N570" s="53" t="e">
        <f>CEILING((Table1[[#This Row],[extended quantity]]-Table1[[#This Row],[quantity on-hand]])/Table1[[#This Row],[Minimum order quantity]],1)*Table1[[#This Row],[Minimum order quantity]]</f>
        <v>#DIV/0!</v>
      </c>
      <c r="O570" s="53" t="e">
        <f>Table1[[#This Row],[Order quantity]]+Table1[[#This Row],[quantity on-hand]]-Table1[[#This Row],[extended quantity]]</f>
        <v>#DIV/0!</v>
      </c>
      <c r="P570" s="11">
        <f>IFERROR(Table1[[#This Row],[Order quantity]]*(Table1[[#This Row],[Cost ]]+Table1[[#This Row],[shipping]]+Table1[[#This Row],[Tax]]),0)</f>
        <v>0</v>
      </c>
      <c r="Q570" s="38">
        <f>IFERROR(Table1[[#This Row],[leftover material]]*(Table1[[#This Row],[Cost ]]+Table1[[#This Row],[shipping]]+Table1[[#This Row],[Tax]]),0)</f>
        <v>0</v>
      </c>
      <c r="R570" s="38"/>
    </row>
    <row r="571" spans="1:18" x14ac:dyDescent="0.25">
      <c r="A571" s="1" t="s">
        <v>574</v>
      </c>
      <c r="B571" s="4"/>
      <c r="F571" s="3">
        <f>9%*Table1[[#This Row],[Cost ]]</f>
        <v>0</v>
      </c>
      <c r="J571" s="11">
        <f>SUMIF('Multi-level BOM'!C$3:C$464,Table1[[#This Row],[Part Number]],'Multi-level BOM'!F$3:F$464)</f>
        <v>0</v>
      </c>
      <c r="K571" s="11">
        <f>Table1[[#This Row],[extended quantity]]*(Table1[[#This Row],[Cost ]]+Table1[[#This Row],[shipping]]+Table1[[#This Row],[Tax]])</f>
        <v>0</v>
      </c>
      <c r="L571" s="11"/>
      <c r="M571" s="42"/>
      <c r="N571" s="53" t="e">
        <f>CEILING((Table1[[#This Row],[extended quantity]]-Table1[[#This Row],[quantity on-hand]])/Table1[[#This Row],[Minimum order quantity]],1)*Table1[[#This Row],[Minimum order quantity]]</f>
        <v>#DIV/0!</v>
      </c>
      <c r="O571" s="53" t="e">
        <f>Table1[[#This Row],[Order quantity]]+Table1[[#This Row],[quantity on-hand]]-Table1[[#This Row],[extended quantity]]</f>
        <v>#DIV/0!</v>
      </c>
      <c r="P571" s="11">
        <f>IFERROR(Table1[[#This Row],[Order quantity]]*(Table1[[#This Row],[Cost ]]+Table1[[#This Row],[shipping]]+Table1[[#This Row],[Tax]]),0)</f>
        <v>0</v>
      </c>
      <c r="Q571" s="38">
        <f>IFERROR(Table1[[#This Row],[leftover material]]*(Table1[[#This Row],[Cost ]]+Table1[[#This Row],[shipping]]+Table1[[#This Row],[Tax]]),0)</f>
        <v>0</v>
      </c>
      <c r="R571" s="38"/>
    </row>
    <row r="572" spans="1:18" x14ac:dyDescent="0.25">
      <c r="A572" s="1" t="s">
        <v>575</v>
      </c>
      <c r="B572" s="4"/>
      <c r="F572" s="3">
        <f>9%*Table1[[#This Row],[Cost ]]</f>
        <v>0</v>
      </c>
      <c r="J572" s="11">
        <f>SUMIF('Multi-level BOM'!C$3:C$464,Table1[[#This Row],[Part Number]],'Multi-level BOM'!F$3:F$464)</f>
        <v>0</v>
      </c>
      <c r="K572" s="11">
        <f>Table1[[#This Row],[extended quantity]]*(Table1[[#This Row],[Cost ]]+Table1[[#This Row],[shipping]]+Table1[[#This Row],[Tax]])</f>
        <v>0</v>
      </c>
      <c r="L572" s="11"/>
      <c r="M572" s="42"/>
      <c r="N572" s="53" t="e">
        <f>CEILING((Table1[[#This Row],[extended quantity]]-Table1[[#This Row],[quantity on-hand]])/Table1[[#This Row],[Minimum order quantity]],1)*Table1[[#This Row],[Minimum order quantity]]</f>
        <v>#DIV/0!</v>
      </c>
      <c r="O572" s="53" t="e">
        <f>Table1[[#This Row],[Order quantity]]+Table1[[#This Row],[quantity on-hand]]-Table1[[#This Row],[extended quantity]]</f>
        <v>#DIV/0!</v>
      </c>
      <c r="P572" s="11">
        <f>IFERROR(Table1[[#This Row],[Order quantity]]*(Table1[[#This Row],[Cost ]]+Table1[[#This Row],[shipping]]+Table1[[#This Row],[Tax]]),0)</f>
        <v>0</v>
      </c>
      <c r="Q572" s="38">
        <f>IFERROR(Table1[[#This Row],[leftover material]]*(Table1[[#This Row],[Cost ]]+Table1[[#This Row],[shipping]]+Table1[[#This Row],[Tax]]),0)</f>
        <v>0</v>
      </c>
      <c r="R572" s="38"/>
    </row>
    <row r="573" spans="1:18" x14ac:dyDescent="0.25">
      <c r="A573" s="1" t="s">
        <v>576</v>
      </c>
      <c r="B573" s="4"/>
      <c r="F573" s="3">
        <f>9%*Table1[[#This Row],[Cost ]]</f>
        <v>0</v>
      </c>
      <c r="J573" s="11">
        <f>SUMIF('Multi-level BOM'!C$3:C$464,Table1[[#This Row],[Part Number]],'Multi-level BOM'!F$3:F$464)</f>
        <v>0</v>
      </c>
      <c r="K573" s="11">
        <f>Table1[[#This Row],[extended quantity]]*(Table1[[#This Row],[Cost ]]+Table1[[#This Row],[shipping]]+Table1[[#This Row],[Tax]])</f>
        <v>0</v>
      </c>
      <c r="L573" s="11"/>
      <c r="M573" s="42"/>
      <c r="N573" s="53" t="e">
        <f>CEILING((Table1[[#This Row],[extended quantity]]-Table1[[#This Row],[quantity on-hand]])/Table1[[#This Row],[Minimum order quantity]],1)*Table1[[#This Row],[Minimum order quantity]]</f>
        <v>#DIV/0!</v>
      </c>
      <c r="O573" s="53" t="e">
        <f>Table1[[#This Row],[Order quantity]]+Table1[[#This Row],[quantity on-hand]]-Table1[[#This Row],[extended quantity]]</f>
        <v>#DIV/0!</v>
      </c>
      <c r="P573" s="11">
        <f>IFERROR(Table1[[#This Row],[Order quantity]]*(Table1[[#This Row],[Cost ]]+Table1[[#This Row],[shipping]]+Table1[[#This Row],[Tax]]),0)</f>
        <v>0</v>
      </c>
      <c r="Q573" s="38">
        <f>IFERROR(Table1[[#This Row],[leftover material]]*(Table1[[#This Row],[Cost ]]+Table1[[#This Row],[shipping]]+Table1[[#This Row],[Tax]]),0)</f>
        <v>0</v>
      </c>
      <c r="R573" s="38"/>
    </row>
    <row r="574" spans="1:18" x14ac:dyDescent="0.25">
      <c r="A574" s="1" t="s">
        <v>577</v>
      </c>
      <c r="B574" s="4"/>
      <c r="F574" s="3">
        <f>9%*Table1[[#This Row],[Cost ]]</f>
        <v>0</v>
      </c>
      <c r="J574" s="11">
        <f>SUMIF('Multi-level BOM'!C$3:C$464,Table1[[#This Row],[Part Number]],'Multi-level BOM'!F$3:F$464)</f>
        <v>0</v>
      </c>
      <c r="K574" s="11">
        <f>Table1[[#This Row],[extended quantity]]*(Table1[[#This Row],[Cost ]]+Table1[[#This Row],[shipping]]+Table1[[#This Row],[Tax]])</f>
        <v>0</v>
      </c>
      <c r="L574" s="11"/>
      <c r="M574" s="42"/>
      <c r="N574" s="53" t="e">
        <f>CEILING((Table1[[#This Row],[extended quantity]]-Table1[[#This Row],[quantity on-hand]])/Table1[[#This Row],[Minimum order quantity]],1)*Table1[[#This Row],[Minimum order quantity]]</f>
        <v>#DIV/0!</v>
      </c>
      <c r="O574" s="53" t="e">
        <f>Table1[[#This Row],[Order quantity]]+Table1[[#This Row],[quantity on-hand]]-Table1[[#This Row],[extended quantity]]</f>
        <v>#DIV/0!</v>
      </c>
      <c r="P574" s="11">
        <f>IFERROR(Table1[[#This Row],[Order quantity]]*(Table1[[#This Row],[Cost ]]+Table1[[#This Row],[shipping]]+Table1[[#This Row],[Tax]]),0)</f>
        <v>0</v>
      </c>
      <c r="Q574" s="38">
        <f>IFERROR(Table1[[#This Row],[leftover material]]*(Table1[[#This Row],[Cost ]]+Table1[[#This Row],[shipping]]+Table1[[#This Row],[Tax]]),0)</f>
        <v>0</v>
      </c>
      <c r="R574" s="38"/>
    </row>
    <row r="575" spans="1:18" x14ac:dyDescent="0.25">
      <c r="A575" s="1" t="s">
        <v>578</v>
      </c>
      <c r="B575" s="4"/>
      <c r="F575" s="3">
        <f>9%*Table1[[#This Row],[Cost ]]</f>
        <v>0</v>
      </c>
      <c r="J575" s="11">
        <f>SUMIF('Multi-level BOM'!C$3:C$464,Table1[[#This Row],[Part Number]],'Multi-level BOM'!F$3:F$464)</f>
        <v>0</v>
      </c>
      <c r="K575" s="11">
        <f>Table1[[#This Row],[extended quantity]]*(Table1[[#This Row],[Cost ]]+Table1[[#This Row],[shipping]]+Table1[[#This Row],[Tax]])</f>
        <v>0</v>
      </c>
      <c r="L575" s="11"/>
      <c r="M575" s="42"/>
      <c r="N575" s="53" t="e">
        <f>CEILING((Table1[[#This Row],[extended quantity]]-Table1[[#This Row],[quantity on-hand]])/Table1[[#This Row],[Minimum order quantity]],1)*Table1[[#This Row],[Minimum order quantity]]</f>
        <v>#DIV/0!</v>
      </c>
      <c r="O575" s="53" t="e">
        <f>Table1[[#This Row],[Order quantity]]+Table1[[#This Row],[quantity on-hand]]-Table1[[#This Row],[extended quantity]]</f>
        <v>#DIV/0!</v>
      </c>
      <c r="P575" s="11">
        <f>IFERROR(Table1[[#This Row],[Order quantity]]*(Table1[[#This Row],[Cost ]]+Table1[[#This Row],[shipping]]+Table1[[#This Row],[Tax]]),0)</f>
        <v>0</v>
      </c>
      <c r="Q575" s="38">
        <f>IFERROR(Table1[[#This Row],[leftover material]]*(Table1[[#This Row],[Cost ]]+Table1[[#This Row],[shipping]]+Table1[[#This Row],[Tax]]),0)</f>
        <v>0</v>
      </c>
      <c r="R575" s="38"/>
    </row>
    <row r="576" spans="1:18" x14ac:dyDescent="0.25">
      <c r="A576" s="1" t="s">
        <v>579</v>
      </c>
      <c r="B576" s="4"/>
      <c r="F576" s="3">
        <f>9%*Table1[[#This Row],[Cost ]]</f>
        <v>0</v>
      </c>
      <c r="J576" s="11">
        <f>SUMIF('Multi-level BOM'!C$3:C$464,Table1[[#This Row],[Part Number]],'Multi-level BOM'!F$3:F$464)</f>
        <v>0</v>
      </c>
      <c r="K576" s="11">
        <f>Table1[[#This Row],[extended quantity]]*(Table1[[#This Row],[Cost ]]+Table1[[#This Row],[shipping]]+Table1[[#This Row],[Tax]])</f>
        <v>0</v>
      </c>
      <c r="L576" s="11"/>
      <c r="M576" s="42"/>
      <c r="N576" s="53" t="e">
        <f>CEILING((Table1[[#This Row],[extended quantity]]-Table1[[#This Row],[quantity on-hand]])/Table1[[#This Row],[Minimum order quantity]],1)*Table1[[#This Row],[Minimum order quantity]]</f>
        <v>#DIV/0!</v>
      </c>
      <c r="O576" s="53" t="e">
        <f>Table1[[#This Row],[Order quantity]]+Table1[[#This Row],[quantity on-hand]]-Table1[[#This Row],[extended quantity]]</f>
        <v>#DIV/0!</v>
      </c>
      <c r="P576" s="11">
        <f>IFERROR(Table1[[#This Row],[Order quantity]]*(Table1[[#This Row],[Cost ]]+Table1[[#This Row],[shipping]]+Table1[[#This Row],[Tax]]),0)</f>
        <v>0</v>
      </c>
      <c r="Q576" s="38">
        <f>IFERROR(Table1[[#This Row],[leftover material]]*(Table1[[#This Row],[Cost ]]+Table1[[#This Row],[shipping]]+Table1[[#This Row],[Tax]]),0)</f>
        <v>0</v>
      </c>
      <c r="R576" s="38"/>
    </row>
    <row r="577" spans="1:18" x14ac:dyDescent="0.25">
      <c r="A577" s="1" t="s">
        <v>580</v>
      </c>
      <c r="B577" s="4"/>
      <c r="F577" s="3">
        <f>9%*Table1[[#This Row],[Cost ]]</f>
        <v>0</v>
      </c>
      <c r="J577" s="11">
        <f>SUMIF('Multi-level BOM'!C$3:C$464,Table1[[#This Row],[Part Number]],'Multi-level BOM'!F$3:F$464)</f>
        <v>0</v>
      </c>
      <c r="K577" s="11">
        <f>Table1[[#This Row],[extended quantity]]*(Table1[[#This Row],[Cost ]]+Table1[[#This Row],[shipping]]+Table1[[#This Row],[Tax]])</f>
        <v>0</v>
      </c>
      <c r="L577" s="11"/>
      <c r="M577" s="42"/>
      <c r="N577" s="53" t="e">
        <f>CEILING((Table1[[#This Row],[extended quantity]]-Table1[[#This Row],[quantity on-hand]])/Table1[[#This Row],[Minimum order quantity]],1)*Table1[[#This Row],[Minimum order quantity]]</f>
        <v>#DIV/0!</v>
      </c>
      <c r="O577" s="53" t="e">
        <f>Table1[[#This Row],[Order quantity]]+Table1[[#This Row],[quantity on-hand]]-Table1[[#This Row],[extended quantity]]</f>
        <v>#DIV/0!</v>
      </c>
      <c r="P577" s="11">
        <f>IFERROR(Table1[[#This Row],[Order quantity]]*(Table1[[#This Row],[Cost ]]+Table1[[#This Row],[shipping]]+Table1[[#This Row],[Tax]]),0)</f>
        <v>0</v>
      </c>
      <c r="Q577" s="38">
        <f>IFERROR(Table1[[#This Row],[leftover material]]*(Table1[[#This Row],[Cost ]]+Table1[[#This Row],[shipping]]+Table1[[#This Row],[Tax]]),0)</f>
        <v>0</v>
      </c>
      <c r="R577" s="38"/>
    </row>
    <row r="578" spans="1:18" x14ac:dyDescent="0.25">
      <c r="A578" s="1" t="s">
        <v>581</v>
      </c>
      <c r="B578" s="4"/>
      <c r="F578" s="3">
        <f>9%*Table1[[#This Row],[Cost ]]</f>
        <v>0</v>
      </c>
      <c r="J578" s="11">
        <f>SUMIF('Multi-level BOM'!C$3:C$464,Table1[[#This Row],[Part Number]],'Multi-level BOM'!F$3:F$464)</f>
        <v>0</v>
      </c>
      <c r="K578" s="11">
        <f>Table1[[#This Row],[extended quantity]]*(Table1[[#This Row],[Cost ]]+Table1[[#This Row],[shipping]]+Table1[[#This Row],[Tax]])</f>
        <v>0</v>
      </c>
      <c r="L578" s="11"/>
      <c r="M578" s="42"/>
      <c r="N578" s="53" t="e">
        <f>CEILING((Table1[[#This Row],[extended quantity]]-Table1[[#This Row],[quantity on-hand]])/Table1[[#This Row],[Minimum order quantity]],1)*Table1[[#This Row],[Minimum order quantity]]</f>
        <v>#DIV/0!</v>
      </c>
      <c r="O578" s="53" t="e">
        <f>Table1[[#This Row],[Order quantity]]+Table1[[#This Row],[quantity on-hand]]-Table1[[#This Row],[extended quantity]]</f>
        <v>#DIV/0!</v>
      </c>
      <c r="P578" s="11">
        <f>IFERROR(Table1[[#This Row],[Order quantity]]*(Table1[[#This Row],[Cost ]]+Table1[[#This Row],[shipping]]+Table1[[#This Row],[Tax]]),0)</f>
        <v>0</v>
      </c>
      <c r="Q578" s="38">
        <f>IFERROR(Table1[[#This Row],[leftover material]]*(Table1[[#This Row],[Cost ]]+Table1[[#This Row],[shipping]]+Table1[[#This Row],[Tax]]),0)</f>
        <v>0</v>
      </c>
      <c r="R578" s="38"/>
    </row>
    <row r="579" spans="1:18" x14ac:dyDescent="0.25">
      <c r="A579" s="1" t="s">
        <v>582</v>
      </c>
      <c r="B579" s="4"/>
      <c r="F579" s="3">
        <f>9%*Table1[[#This Row],[Cost ]]</f>
        <v>0</v>
      </c>
      <c r="J579" s="11">
        <f>SUMIF('Multi-level BOM'!C$3:C$464,Table1[[#This Row],[Part Number]],'Multi-level BOM'!F$3:F$464)</f>
        <v>0</v>
      </c>
      <c r="K579" s="11">
        <f>Table1[[#This Row],[extended quantity]]*(Table1[[#This Row],[Cost ]]+Table1[[#This Row],[shipping]]+Table1[[#This Row],[Tax]])</f>
        <v>0</v>
      </c>
      <c r="L579" s="11"/>
      <c r="M579" s="42"/>
      <c r="N579" s="53" t="e">
        <f>CEILING((Table1[[#This Row],[extended quantity]]-Table1[[#This Row],[quantity on-hand]])/Table1[[#This Row],[Minimum order quantity]],1)*Table1[[#This Row],[Minimum order quantity]]</f>
        <v>#DIV/0!</v>
      </c>
      <c r="O579" s="53" t="e">
        <f>Table1[[#This Row],[Order quantity]]+Table1[[#This Row],[quantity on-hand]]-Table1[[#This Row],[extended quantity]]</f>
        <v>#DIV/0!</v>
      </c>
      <c r="P579" s="11">
        <f>IFERROR(Table1[[#This Row],[Order quantity]]*(Table1[[#This Row],[Cost ]]+Table1[[#This Row],[shipping]]+Table1[[#This Row],[Tax]]),0)</f>
        <v>0</v>
      </c>
      <c r="Q579" s="38">
        <f>IFERROR(Table1[[#This Row],[leftover material]]*(Table1[[#This Row],[Cost ]]+Table1[[#This Row],[shipping]]+Table1[[#This Row],[Tax]]),0)</f>
        <v>0</v>
      </c>
      <c r="R579" s="38"/>
    </row>
    <row r="580" spans="1:18" x14ac:dyDescent="0.25">
      <c r="A580" s="1" t="s">
        <v>583</v>
      </c>
      <c r="B580" s="4"/>
      <c r="F580" s="3">
        <f>9%*Table1[[#This Row],[Cost ]]</f>
        <v>0</v>
      </c>
      <c r="J580" s="11">
        <f>SUMIF('Multi-level BOM'!C$3:C$464,Table1[[#This Row],[Part Number]],'Multi-level BOM'!F$3:F$464)</f>
        <v>0</v>
      </c>
      <c r="K580" s="11">
        <f>Table1[[#This Row],[extended quantity]]*(Table1[[#This Row],[Cost ]]+Table1[[#This Row],[shipping]]+Table1[[#This Row],[Tax]])</f>
        <v>0</v>
      </c>
      <c r="L580" s="11"/>
      <c r="M580" s="42"/>
      <c r="N580" s="53" t="e">
        <f>CEILING((Table1[[#This Row],[extended quantity]]-Table1[[#This Row],[quantity on-hand]])/Table1[[#This Row],[Minimum order quantity]],1)*Table1[[#This Row],[Minimum order quantity]]</f>
        <v>#DIV/0!</v>
      </c>
      <c r="O580" s="53" t="e">
        <f>Table1[[#This Row],[Order quantity]]+Table1[[#This Row],[quantity on-hand]]-Table1[[#This Row],[extended quantity]]</f>
        <v>#DIV/0!</v>
      </c>
      <c r="P580" s="11">
        <f>IFERROR(Table1[[#This Row],[Order quantity]]*(Table1[[#This Row],[Cost ]]+Table1[[#This Row],[shipping]]+Table1[[#This Row],[Tax]]),0)</f>
        <v>0</v>
      </c>
      <c r="Q580" s="38">
        <f>IFERROR(Table1[[#This Row],[leftover material]]*(Table1[[#This Row],[Cost ]]+Table1[[#This Row],[shipping]]+Table1[[#This Row],[Tax]]),0)</f>
        <v>0</v>
      </c>
      <c r="R580" s="38"/>
    </row>
    <row r="581" spans="1:18" x14ac:dyDescent="0.25">
      <c r="A581" s="1" t="s">
        <v>584</v>
      </c>
      <c r="B581" s="4"/>
      <c r="F581" s="3">
        <f>9%*Table1[[#This Row],[Cost ]]</f>
        <v>0</v>
      </c>
      <c r="J581" s="11">
        <f>SUMIF('Multi-level BOM'!C$3:C$464,Table1[[#This Row],[Part Number]],'Multi-level BOM'!F$3:F$464)</f>
        <v>0</v>
      </c>
      <c r="K581" s="11">
        <f>Table1[[#This Row],[extended quantity]]*(Table1[[#This Row],[Cost ]]+Table1[[#This Row],[shipping]]+Table1[[#This Row],[Tax]])</f>
        <v>0</v>
      </c>
      <c r="L581" s="11"/>
      <c r="M581" s="42"/>
      <c r="N581" s="53" t="e">
        <f>CEILING((Table1[[#This Row],[extended quantity]]-Table1[[#This Row],[quantity on-hand]])/Table1[[#This Row],[Minimum order quantity]],1)*Table1[[#This Row],[Minimum order quantity]]</f>
        <v>#DIV/0!</v>
      </c>
      <c r="O581" s="53" t="e">
        <f>Table1[[#This Row],[Order quantity]]+Table1[[#This Row],[quantity on-hand]]-Table1[[#This Row],[extended quantity]]</f>
        <v>#DIV/0!</v>
      </c>
      <c r="P581" s="11">
        <f>IFERROR(Table1[[#This Row],[Order quantity]]*(Table1[[#This Row],[Cost ]]+Table1[[#This Row],[shipping]]+Table1[[#This Row],[Tax]]),0)</f>
        <v>0</v>
      </c>
      <c r="Q581" s="38">
        <f>IFERROR(Table1[[#This Row],[leftover material]]*(Table1[[#This Row],[Cost ]]+Table1[[#This Row],[shipping]]+Table1[[#This Row],[Tax]]),0)</f>
        <v>0</v>
      </c>
      <c r="R581" s="38"/>
    </row>
    <row r="582" spans="1:18" x14ac:dyDescent="0.25">
      <c r="A582" s="1" t="s">
        <v>585</v>
      </c>
      <c r="B582" s="4"/>
      <c r="F582" s="3">
        <f>9%*Table1[[#This Row],[Cost ]]</f>
        <v>0</v>
      </c>
      <c r="J582" s="11">
        <f>SUMIF('Multi-level BOM'!C$3:C$464,Table1[[#This Row],[Part Number]],'Multi-level BOM'!F$3:F$464)</f>
        <v>0</v>
      </c>
      <c r="K582" s="11">
        <f>Table1[[#This Row],[extended quantity]]*(Table1[[#This Row],[Cost ]]+Table1[[#This Row],[shipping]]+Table1[[#This Row],[Tax]])</f>
        <v>0</v>
      </c>
      <c r="L582" s="11"/>
      <c r="M582" s="42"/>
      <c r="N582" s="53" t="e">
        <f>CEILING((Table1[[#This Row],[extended quantity]]-Table1[[#This Row],[quantity on-hand]])/Table1[[#This Row],[Minimum order quantity]],1)*Table1[[#This Row],[Minimum order quantity]]</f>
        <v>#DIV/0!</v>
      </c>
      <c r="O582" s="53" t="e">
        <f>Table1[[#This Row],[Order quantity]]+Table1[[#This Row],[quantity on-hand]]-Table1[[#This Row],[extended quantity]]</f>
        <v>#DIV/0!</v>
      </c>
      <c r="P582" s="11">
        <f>IFERROR(Table1[[#This Row],[Order quantity]]*(Table1[[#This Row],[Cost ]]+Table1[[#This Row],[shipping]]+Table1[[#This Row],[Tax]]),0)</f>
        <v>0</v>
      </c>
      <c r="Q582" s="38">
        <f>IFERROR(Table1[[#This Row],[leftover material]]*(Table1[[#This Row],[Cost ]]+Table1[[#This Row],[shipping]]+Table1[[#This Row],[Tax]]),0)</f>
        <v>0</v>
      </c>
      <c r="R582" s="38"/>
    </row>
    <row r="583" spans="1:18" x14ac:dyDescent="0.25">
      <c r="A583" s="1" t="s">
        <v>586</v>
      </c>
      <c r="B583" s="4"/>
      <c r="F583" s="3">
        <f>9%*Table1[[#This Row],[Cost ]]</f>
        <v>0</v>
      </c>
      <c r="J583" s="11">
        <f>SUMIF('Multi-level BOM'!C$3:C$464,Table1[[#This Row],[Part Number]],'Multi-level BOM'!F$3:F$464)</f>
        <v>0</v>
      </c>
      <c r="K583" s="11">
        <f>Table1[[#This Row],[extended quantity]]*(Table1[[#This Row],[Cost ]]+Table1[[#This Row],[shipping]]+Table1[[#This Row],[Tax]])</f>
        <v>0</v>
      </c>
      <c r="L583" s="11"/>
      <c r="M583" s="42"/>
      <c r="N583" s="53" t="e">
        <f>CEILING((Table1[[#This Row],[extended quantity]]-Table1[[#This Row],[quantity on-hand]])/Table1[[#This Row],[Minimum order quantity]],1)*Table1[[#This Row],[Minimum order quantity]]</f>
        <v>#DIV/0!</v>
      </c>
      <c r="O583" s="53" t="e">
        <f>Table1[[#This Row],[Order quantity]]+Table1[[#This Row],[quantity on-hand]]-Table1[[#This Row],[extended quantity]]</f>
        <v>#DIV/0!</v>
      </c>
      <c r="P583" s="11">
        <f>IFERROR(Table1[[#This Row],[Order quantity]]*(Table1[[#This Row],[Cost ]]+Table1[[#This Row],[shipping]]+Table1[[#This Row],[Tax]]),0)</f>
        <v>0</v>
      </c>
      <c r="Q583" s="38">
        <f>IFERROR(Table1[[#This Row],[leftover material]]*(Table1[[#This Row],[Cost ]]+Table1[[#This Row],[shipping]]+Table1[[#This Row],[Tax]]),0)</f>
        <v>0</v>
      </c>
      <c r="R583" s="38"/>
    </row>
    <row r="584" spans="1:18" x14ac:dyDescent="0.25">
      <c r="A584" s="1" t="s">
        <v>587</v>
      </c>
      <c r="B584" s="4"/>
      <c r="F584" s="3">
        <f>9%*Table1[[#This Row],[Cost ]]</f>
        <v>0</v>
      </c>
      <c r="J584" s="11">
        <f>SUMIF('Multi-level BOM'!C$3:C$464,Table1[[#This Row],[Part Number]],'Multi-level BOM'!F$3:F$464)</f>
        <v>0</v>
      </c>
      <c r="K584" s="11">
        <f>Table1[[#This Row],[extended quantity]]*(Table1[[#This Row],[Cost ]]+Table1[[#This Row],[shipping]]+Table1[[#This Row],[Tax]])</f>
        <v>0</v>
      </c>
      <c r="L584" s="11"/>
      <c r="M584" s="42"/>
      <c r="N584" s="53" t="e">
        <f>CEILING((Table1[[#This Row],[extended quantity]]-Table1[[#This Row],[quantity on-hand]])/Table1[[#This Row],[Minimum order quantity]],1)*Table1[[#This Row],[Minimum order quantity]]</f>
        <v>#DIV/0!</v>
      </c>
      <c r="O584" s="53" t="e">
        <f>Table1[[#This Row],[Order quantity]]+Table1[[#This Row],[quantity on-hand]]-Table1[[#This Row],[extended quantity]]</f>
        <v>#DIV/0!</v>
      </c>
      <c r="P584" s="11">
        <f>IFERROR(Table1[[#This Row],[Order quantity]]*(Table1[[#This Row],[Cost ]]+Table1[[#This Row],[shipping]]+Table1[[#This Row],[Tax]]),0)</f>
        <v>0</v>
      </c>
      <c r="Q584" s="38">
        <f>IFERROR(Table1[[#This Row],[leftover material]]*(Table1[[#This Row],[Cost ]]+Table1[[#This Row],[shipping]]+Table1[[#This Row],[Tax]]),0)</f>
        <v>0</v>
      </c>
      <c r="R584" s="38"/>
    </row>
    <row r="585" spans="1:18" x14ac:dyDescent="0.25">
      <c r="A585" s="1" t="s">
        <v>588</v>
      </c>
      <c r="B585" s="4"/>
      <c r="F585" s="3">
        <f>9%*Table1[[#This Row],[Cost ]]</f>
        <v>0</v>
      </c>
      <c r="J585" s="11">
        <f>SUMIF('Multi-level BOM'!C$3:C$464,Table1[[#This Row],[Part Number]],'Multi-level BOM'!F$3:F$464)</f>
        <v>0</v>
      </c>
      <c r="K585" s="11">
        <f>Table1[[#This Row],[extended quantity]]*(Table1[[#This Row],[Cost ]]+Table1[[#This Row],[shipping]]+Table1[[#This Row],[Tax]])</f>
        <v>0</v>
      </c>
      <c r="L585" s="11"/>
      <c r="M585" s="42"/>
      <c r="N585" s="53" t="e">
        <f>CEILING((Table1[[#This Row],[extended quantity]]-Table1[[#This Row],[quantity on-hand]])/Table1[[#This Row],[Minimum order quantity]],1)*Table1[[#This Row],[Minimum order quantity]]</f>
        <v>#DIV/0!</v>
      </c>
      <c r="O585" s="53" t="e">
        <f>Table1[[#This Row],[Order quantity]]+Table1[[#This Row],[quantity on-hand]]-Table1[[#This Row],[extended quantity]]</f>
        <v>#DIV/0!</v>
      </c>
      <c r="P585" s="11">
        <f>IFERROR(Table1[[#This Row],[Order quantity]]*(Table1[[#This Row],[Cost ]]+Table1[[#This Row],[shipping]]+Table1[[#This Row],[Tax]]),0)</f>
        <v>0</v>
      </c>
      <c r="Q585" s="38">
        <f>IFERROR(Table1[[#This Row],[leftover material]]*(Table1[[#This Row],[Cost ]]+Table1[[#This Row],[shipping]]+Table1[[#This Row],[Tax]]),0)</f>
        <v>0</v>
      </c>
      <c r="R585" s="38"/>
    </row>
    <row r="586" spans="1:18" x14ac:dyDescent="0.25">
      <c r="A586" s="1" t="s">
        <v>589</v>
      </c>
      <c r="B586" s="4"/>
      <c r="F586" s="3">
        <f>9%*Table1[[#This Row],[Cost ]]</f>
        <v>0</v>
      </c>
      <c r="J586" s="11">
        <f>SUMIF('Multi-level BOM'!C$3:C$464,Table1[[#This Row],[Part Number]],'Multi-level BOM'!F$3:F$464)</f>
        <v>0</v>
      </c>
      <c r="K586" s="11">
        <f>Table1[[#This Row],[extended quantity]]*(Table1[[#This Row],[Cost ]]+Table1[[#This Row],[shipping]]+Table1[[#This Row],[Tax]])</f>
        <v>0</v>
      </c>
      <c r="L586" s="11"/>
      <c r="M586" s="42"/>
      <c r="N586" s="53" t="e">
        <f>CEILING((Table1[[#This Row],[extended quantity]]-Table1[[#This Row],[quantity on-hand]])/Table1[[#This Row],[Minimum order quantity]],1)*Table1[[#This Row],[Minimum order quantity]]</f>
        <v>#DIV/0!</v>
      </c>
      <c r="O586" s="53" t="e">
        <f>Table1[[#This Row],[Order quantity]]+Table1[[#This Row],[quantity on-hand]]-Table1[[#This Row],[extended quantity]]</f>
        <v>#DIV/0!</v>
      </c>
      <c r="P586" s="11">
        <f>IFERROR(Table1[[#This Row],[Order quantity]]*(Table1[[#This Row],[Cost ]]+Table1[[#This Row],[shipping]]+Table1[[#This Row],[Tax]]),0)</f>
        <v>0</v>
      </c>
      <c r="Q586" s="38">
        <f>IFERROR(Table1[[#This Row],[leftover material]]*(Table1[[#This Row],[Cost ]]+Table1[[#This Row],[shipping]]+Table1[[#This Row],[Tax]]),0)</f>
        <v>0</v>
      </c>
      <c r="R586" s="38"/>
    </row>
    <row r="587" spans="1:18" x14ac:dyDescent="0.25">
      <c r="A587" s="1" t="s">
        <v>590</v>
      </c>
      <c r="B587" s="4"/>
      <c r="F587" s="3">
        <f>9%*Table1[[#This Row],[Cost ]]</f>
        <v>0</v>
      </c>
      <c r="J587" s="11">
        <f>SUMIF('Multi-level BOM'!C$3:C$464,Table1[[#This Row],[Part Number]],'Multi-level BOM'!F$3:F$464)</f>
        <v>0</v>
      </c>
      <c r="K587" s="11">
        <f>Table1[[#This Row],[extended quantity]]*(Table1[[#This Row],[Cost ]]+Table1[[#This Row],[shipping]]+Table1[[#This Row],[Tax]])</f>
        <v>0</v>
      </c>
      <c r="L587" s="11"/>
      <c r="M587" s="42"/>
      <c r="N587" s="53" t="e">
        <f>CEILING((Table1[[#This Row],[extended quantity]]-Table1[[#This Row],[quantity on-hand]])/Table1[[#This Row],[Minimum order quantity]],1)*Table1[[#This Row],[Minimum order quantity]]</f>
        <v>#DIV/0!</v>
      </c>
      <c r="O587" s="53" t="e">
        <f>Table1[[#This Row],[Order quantity]]+Table1[[#This Row],[quantity on-hand]]-Table1[[#This Row],[extended quantity]]</f>
        <v>#DIV/0!</v>
      </c>
      <c r="P587" s="11">
        <f>IFERROR(Table1[[#This Row],[Order quantity]]*(Table1[[#This Row],[Cost ]]+Table1[[#This Row],[shipping]]+Table1[[#This Row],[Tax]]),0)</f>
        <v>0</v>
      </c>
      <c r="Q587" s="38">
        <f>IFERROR(Table1[[#This Row],[leftover material]]*(Table1[[#This Row],[Cost ]]+Table1[[#This Row],[shipping]]+Table1[[#This Row],[Tax]]),0)</f>
        <v>0</v>
      </c>
      <c r="R587" s="38"/>
    </row>
    <row r="588" spans="1:18" x14ac:dyDescent="0.25">
      <c r="A588" s="1" t="s">
        <v>591</v>
      </c>
      <c r="B588" s="4"/>
      <c r="F588" s="3">
        <f>9%*Table1[[#This Row],[Cost ]]</f>
        <v>0</v>
      </c>
      <c r="J588" s="11">
        <f>SUMIF('Multi-level BOM'!C$3:C$464,Table1[[#This Row],[Part Number]],'Multi-level BOM'!F$3:F$464)</f>
        <v>0</v>
      </c>
      <c r="K588" s="11">
        <f>Table1[[#This Row],[extended quantity]]*(Table1[[#This Row],[Cost ]]+Table1[[#This Row],[shipping]]+Table1[[#This Row],[Tax]])</f>
        <v>0</v>
      </c>
      <c r="L588" s="11"/>
      <c r="M588" s="42"/>
      <c r="N588" s="53" t="e">
        <f>CEILING((Table1[[#This Row],[extended quantity]]-Table1[[#This Row],[quantity on-hand]])/Table1[[#This Row],[Minimum order quantity]],1)*Table1[[#This Row],[Minimum order quantity]]</f>
        <v>#DIV/0!</v>
      </c>
      <c r="O588" s="53" t="e">
        <f>Table1[[#This Row],[Order quantity]]+Table1[[#This Row],[quantity on-hand]]-Table1[[#This Row],[extended quantity]]</f>
        <v>#DIV/0!</v>
      </c>
      <c r="P588" s="11">
        <f>IFERROR(Table1[[#This Row],[Order quantity]]*(Table1[[#This Row],[Cost ]]+Table1[[#This Row],[shipping]]+Table1[[#This Row],[Tax]]),0)</f>
        <v>0</v>
      </c>
      <c r="Q588" s="38">
        <f>IFERROR(Table1[[#This Row],[leftover material]]*(Table1[[#This Row],[Cost ]]+Table1[[#This Row],[shipping]]+Table1[[#This Row],[Tax]]),0)</f>
        <v>0</v>
      </c>
      <c r="R588" s="38"/>
    </row>
    <row r="589" spans="1:18" x14ac:dyDescent="0.25">
      <c r="A589" s="1" t="s">
        <v>592</v>
      </c>
      <c r="B589" s="4"/>
      <c r="F589" s="3">
        <f>9%*Table1[[#This Row],[Cost ]]</f>
        <v>0</v>
      </c>
      <c r="J589" s="11">
        <f>SUMIF('Multi-level BOM'!C$3:C$464,Table1[[#This Row],[Part Number]],'Multi-level BOM'!F$3:F$464)</f>
        <v>0</v>
      </c>
      <c r="K589" s="11">
        <f>Table1[[#This Row],[extended quantity]]*(Table1[[#This Row],[Cost ]]+Table1[[#This Row],[shipping]]+Table1[[#This Row],[Tax]])</f>
        <v>0</v>
      </c>
      <c r="L589" s="11"/>
      <c r="M589" s="42"/>
      <c r="N589" s="53" t="e">
        <f>CEILING((Table1[[#This Row],[extended quantity]]-Table1[[#This Row],[quantity on-hand]])/Table1[[#This Row],[Minimum order quantity]],1)*Table1[[#This Row],[Minimum order quantity]]</f>
        <v>#DIV/0!</v>
      </c>
      <c r="O589" s="53" t="e">
        <f>Table1[[#This Row],[Order quantity]]+Table1[[#This Row],[quantity on-hand]]-Table1[[#This Row],[extended quantity]]</f>
        <v>#DIV/0!</v>
      </c>
      <c r="P589" s="11">
        <f>IFERROR(Table1[[#This Row],[Order quantity]]*(Table1[[#This Row],[Cost ]]+Table1[[#This Row],[shipping]]+Table1[[#This Row],[Tax]]),0)</f>
        <v>0</v>
      </c>
      <c r="Q589" s="38">
        <f>IFERROR(Table1[[#This Row],[leftover material]]*(Table1[[#This Row],[Cost ]]+Table1[[#This Row],[shipping]]+Table1[[#This Row],[Tax]]),0)</f>
        <v>0</v>
      </c>
      <c r="R589" s="38"/>
    </row>
    <row r="590" spans="1:18" x14ac:dyDescent="0.25">
      <c r="A590" s="1" t="s">
        <v>593</v>
      </c>
      <c r="B590" s="4"/>
      <c r="F590" s="3">
        <f>9%*Table1[[#This Row],[Cost ]]</f>
        <v>0</v>
      </c>
      <c r="J590" s="11">
        <f>SUMIF('Multi-level BOM'!C$3:C$464,Table1[[#This Row],[Part Number]],'Multi-level BOM'!F$3:F$464)</f>
        <v>0</v>
      </c>
      <c r="K590" s="11">
        <f>Table1[[#This Row],[extended quantity]]*(Table1[[#This Row],[Cost ]]+Table1[[#This Row],[shipping]]+Table1[[#This Row],[Tax]])</f>
        <v>0</v>
      </c>
      <c r="L590" s="11"/>
      <c r="M590" s="42"/>
      <c r="N590" s="53" t="e">
        <f>CEILING((Table1[[#This Row],[extended quantity]]-Table1[[#This Row],[quantity on-hand]])/Table1[[#This Row],[Minimum order quantity]],1)*Table1[[#This Row],[Minimum order quantity]]</f>
        <v>#DIV/0!</v>
      </c>
      <c r="O590" s="53" t="e">
        <f>Table1[[#This Row],[Order quantity]]+Table1[[#This Row],[quantity on-hand]]-Table1[[#This Row],[extended quantity]]</f>
        <v>#DIV/0!</v>
      </c>
      <c r="P590" s="11">
        <f>IFERROR(Table1[[#This Row],[Order quantity]]*(Table1[[#This Row],[Cost ]]+Table1[[#This Row],[shipping]]+Table1[[#This Row],[Tax]]),0)</f>
        <v>0</v>
      </c>
      <c r="Q590" s="38">
        <f>IFERROR(Table1[[#This Row],[leftover material]]*(Table1[[#This Row],[Cost ]]+Table1[[#This Row],[shipping]]+Table1[[#This Row],[Tax]]),0)</f>
        <v>0</v>
      </c>
      <c r="R590" s="38"/>
    </row>
    <row r="591" spans="1:18" x14ac:dyDescent="0.25">
      <c r="A591" s="1" t="s">
        <v>594</v>
      </c>
      <c r="B591" s="4"/>
      <c r="F591" s="3">
        <f>9%*Table1[[#This Row],[Cost ]]</f>
        <v>0</v>
      </c>
      <c r="J591" s="11">
        <f>SUMIF('Multi-level BOM'!C$3:C$464,Table1[[#This Row],[Part Number]],'Multi-level BOM'!F$3:F$464)</f>
        <v>0</v>
      </c>
      <c r="K591" s="11">
        <f>Table1[[#This Row],[extended quantity]]*(Table1[[#This Row],[Cost ]]+Table1[[#This Row],[shipping]]+Table1[[#This Row],[Tax]])</f>
        <v>0</v>
      </c>
      <c r="L591" s="11"/>
      <c r="M591" s="42"/>
      <c r="N591" s="53" t="e">
        <f>CEILING((Table1[[#This Row],[extended quantity]]-Table1[[#This Row],[quantity on-hand]])/Table1[[#This Row],[Minimum order quantity]],1)*Table1[[#This Row],[Minimum order quantity]]</f>
        <v>#DIV/0!</v>
      </c>
      <c r="O591" s="53" t="e">
        <f>Table1[[#This Row],[Order quantity]]+Table1[[#This Row],[quantity on-hand]]-Table1[[#This Row],[extended quantity]]</f>
        <v>#DIV/0!</v>
      </c>
      <c r="P591" s="11">
        <f>IFERROR(Table1[[#This Row],[Order quantity]]*(Table1[[#This Row],[Cost ]]+Table1[[#This Row],[shipping]]+Table1[[#This Row],[Tax]]),0)</f>
        <v>0</v>
      </c>
      <c r="Q591" s="38">
        <f>IFERROR(Table1[[#This Row],[leftover material]]*(Table1[[#This Row],[Cost ]]+Table1[[#This Row],[shipping]]+Table1[[#This Row],[Tax]]),0)</f>
        <v>0</v>
      </c>
      <c r="R591" s="38"/>
    </row>
    <row r="592" spans="1:18" x14ac:dyDescent="0.25">
      <c r="A592" s="1" t="s">
        <v>595</v>
      </c>
      <c r="B592" s="4"/>
      <c r="F592" s="3">
        <f>9%*Table1[[#This Row],[Cost ]]</f>
        <v>0</v>
      </c>
      <c r="J592" s="11">
        <f>SUMIF('Multi-level BOM'!C$3:C$464,Table1[[#This Row],[Part Number]],'Multi-level BOM'!F$3:F$464)</f>
        <v>0</v>
      </c>
      <c r="K592" s="11">
        <f>Table1[[#This Row],[extended quantity]]*(Table1[[#This Row],[Cost ]]+Table1[[#This Row],[shipping]]+Table1[[#This Row],[Tax]])</f>
        <v>0</v>
      </c>
      <c r="L592" s="11"/>
      <c r="M592" s="42"/>
      <c r="N592" s="53" t="e">
        <f>CEILING((Table1[[#This Row],[extended quantity]]-Table1[[#This Row],[quantity on-hand]])/Table1[[#This Row],[Minimum order quantity]],1)*Table1[[#This Row],[Minimum order quantity]]</f>
        <v>#DIV/0!</v>
      </c>
      <c r="O592" s="53" t="e">
        <f>Table1[[#This Row],[Order quantity]]+Table1[[#This Row],[quantity on-hand]]-Table1[[#This Row],[extended quantity]]</f>
        <v>#DIV/0!</v>
      </c>
      <c r="P592" s="11">
        <f>IFERROR(Table1[[#This Row],[Order quantity]]*(Table1[[#This Row],[Cost ]]+Table1[[#This Row],[shipping]]+Table1[[#This Row],[Tax]]),0)</f>
        <v>0</v>
      </c>
      <c r="Q592" s="38">
        <f>IFERROR(Table1[[#This Row],[leftover material]]*(Table1[[#This Row],[Cost ]]+Table1[[#This Row],[shipping]]+Table1[[#This Row],[Tax]]),0)</f>
        <v>0</v>
      </c>
      <c r="R592" s="38"/>
    </row>
    <row r="593" spans="1:18" x14ac:dyDescent="0.25">
      <c r="A593" s="1" t="s">
        <v>596</v>
      </c>
      <c r="B593" s="4"/>
      <c r="F593" s="3">
        <f>9%*Table1[[#This Row],[Cost ]]</f>
        <v>0</v>
      </c>
      <c r="J593" s="11">
        <f>SUMIF('Multi-level BOM'!C$3:C$464,Table1[[#This Row],[Part Number]],'Multi-level BOM'!F$3:F$464)</f>
        <v>0</v>
      </c>
      <c r="K593" s="11">
        <f>Table1[[#This Row],[extended quantity]]*(Table1[[#This Row],[Cost ]]+Table1[[#This Row],[shipping]]+Table1[[#This Row],[Tax]])</f>
        <v>0</v>
      </c>
      <c r="L593" s="11"/>
      <c r="M593" s="42"/>
      <c r="N593" s="53" t="e">
        <f>CEILING((Table1[[#This Row],[extended quantity]]-Table1[[#This Row],[quantity on-hand]])/Table1[[#This Row],[Minimum order quantity]],1)*Table1[[#This Row],[Minimum order quantity]]</f>
        <v>#DIV/0!</v>
      </c>
      <c r="O593" s="53" t="e">
        <f>Table1[[#This Row],[Order quantity]]+Table1[[#This Row],[quantity on-hand]]-Table1[[#This Row],[extended quantity]]</f>
        <v>#DIV/0!</v>
      </c>
      <c r="P593" s="11">
        <f>IFERROR(Table1[[#This Row],[Order quantity]]*(Table1[[#This Row],[Cost ]]+Table1[[#This Row],[shipping]]+Table1[[#This Row],[Tax]]),0)</f>
        <v>0</v>
      </c>
      <c r="Q593" s="38">
        <f>IFERROR(Table1[[#This Row],[leftover material]]*(Table1[[#This Row],[Cost ]]+Table1[[#This Row],[shipping]]+Table1[[#This Row],[Tax]]),0)</f>
        <v>0</v>
      </c>
      <c r="R593" s="38"/>
    </row>
    <row r="594" spans="1:18" x14ac:dyDescent="0.25">
      <c r="A594" s="1" t="s">
        <v>597</v>
      </c>
      <c r="B594" s="4"/>
      <c r="F594" s="3">
        <f>9%*Table1[[#This Row],[Cost ]]</f>
        <v>0</v>
      </c>
      <c r="J594" s="11">
        <f>SUMIF('Multi-level BOM'!C$3:C$464,Table1[[#This Row],[Part Number]],'Multi-level BOM'!F$3:F$464)</f>
        <v>0</v>
      </c>
      <c r="K594" s="11">
        <f>Table1[[#This Row],[extended quantity]]*(Table1[[#This Row],[Cost ]]+Table1[[#This Row],[shipping]]+Table1[[#This Row],[Tax]])</f>
        <v>0</v>
      </c>
      <c r="L594" s="11"/>
      <c r="M594" s="42"/>
      <c r="N594" s="53" t="e">
        <f>CEILING((Table1[[#This Row],[extended quantity]]-Table1[[#This Row],[quantity on-hand]])/Table1[[#This Row],[Minimum order quantity]],1)*Table1[[#This Row],[Minimum order quantity]]</f>
        <v>#DIV/0!</v>
      </c>
      <c r="O594" s="53" t="e">
        <f>Table1[[#This Row],[Order quantity]]+Table1[[#This Row],[quantity on-hand]]-Table1[[#This Row],[extended quantity]]</f>
        <v>#DIV/0!</v>
      </c>
      <c r="P594" s="11">
        <f>IFERROR(Table1[[#This Row],[Order quantity]]*(Table1[[#This Row],[Cost ]]+Table1[[#This Row],[shipping]]+Table1[[#This Row],[Tax]]),0)</f>
        <v>0</v>
      </c>
      <c r="Q594" s="38">
        <f>IFERROR(Table1[[#This Row],[leftover material]]*(Table1[[#This Row],[Cost ]]+Table1[[#This Row],[shipping]]+Table1[[#This Row],[Tax]]),0)</f>
        <v>0</v>
      </c>
      <c r="R594" s="38"/>
    </row>
    <row r="595" spans="1:18" x14ac:dyDescent="0.25">
      <c r="A595" s="1" t="s">
        <v>598</v>
      </c>
      <c r="B595" s="4"/>
      <c r="F595" s="3">
        <f>9%*Table1[[#This Row],[Cost ]]</f>
        <v>0</v>
      </c>
      <c r="J595" s="11">
        <f>SUMIF('Multi-level BOM'!C$3:C$464,Table1[[#This Row],[Part Number]],'Multi-level BOM'!F$3:F$464)</f>
        <v>0</v>
      </c>
      <c r="K595" s="11">
        <f>Table1[[#This Row],[extended quantity]]*(Table1[[#This Row],[Cost ]]+Table1[[#This Row],[shipping]]+Table1[[#This Row],[Tax]])</f>
        <v>0</v>
      </c>
      <c r="L595" s="11"/>
      <c r="M595" s="42"/>
      <c r="N595" s="53" t="e">
        <f>CEILING((Table1[[#This Row],[extended quantity]]-Table1[[#This Row],[quantity on-hand]])/Table1[[#This Row],[Minimum order quantity]],1)*Table1[[#This Row],[Minimum order quantity]]</f>
        <v>#DIV/0!</v>
      </c>
      <c r="O595" s="53" t="e">
        <f>Table1[[#This Row],[Order quantity]]+Table1[[#This Row],[quantity on-hand]]-Table1[[#This Row],[extended quantity]]</f>
        <v>#DIV/0!</v>
      </c>
      <c r="P595" s="11">
        <f>IFERROR(Table1[[#This Row],[Order quantity]]*(Table1[[#This Row],[Cost ]]+Table1[[#This Row],[shipping]]+Table1[[#This Row],[Tax]]),0)</f>
        <v>0</v>
      </c>
      <c r="Q595" s="38">
        <f>IFERROR(Table1[[#This Row],[leftover material]]*(Table1[[#This Row],[Cost ]]+Table1[[#This Row],[shipping]]+Table1[[#This Row],[Tax]]),0)</f>
        <v>0</v>
      </c>
      <c r="R595" s="38"/>
    </row>
    <row r="596" spans="1:18" x14ac:dyDescent="0.25">
      <c r="A596" s="1" t="s">
        <v>599</v>
      </c>
      <c r="B596" s="4"/>
      <c r="F596" s="3">
        <f>9%*Table1[[#This Row],[Cost ]]</f>
        <v>0</v>
      </c>
      <c r="J596" s="11">
        <f>SUMIF('Multi-level BOM'!C$3:C$464,Table1[[#This Row],[Part Number]],'Multi-level BOM'!F$3:F$464)</f>
        <v>0</v>
      </c>
      <c r="K596" s="11">
        <f>Table1[[#This Row],[extended quantity]]*(Table1[[#This Row],[Cost ]]+Table1[[#This Row],[shipping]]+Table1[[#This Row],[Tax]])</f>
        <v>0</v>
      </c>
      <c r="L596" s="11"/>
      <c r="M596" s="42"/>
      <c r="N596" s="53" t="e">
        <f>CEILING((Table1[[#This Row],[extended quantity]]-Table1[[#This Row],[quantity on-hand]])/Table1[[#This Row],[Minimum order quantity]],1)*Table1[[#This Row],[Minimum order quantity]]</f>
        <v>#DIV/0!</v>
      </c>
      <c r="O596" s="53" t="e">
        <f>Table1[[#This Row],[Order quantity]]+Table1[[#This Row],[quantity on-hand]]-Table1[[#This Row],[extended quantity]]</f>
        <v>#DIV/0!</v>
      </c>
      <c r="P596" s="11">
        <f>IFERROR(Table1[[#This Row],[Order quantity]]*(Table1[[#This Row],[Cost ]]+Table1[[#This Row],[shipping]]+Table1[[#This Row],[Tax]]),0)</f>
        <v>0</v>
      </c>
      <c r="Q596" s="38">
        <f>IFERROR(Table1[[#This Row],[leftover material]]*(Table1[[#This Row],[Cost ]]+Table1[[#This Row],[shipping]]+Table1[[#This Row],[Tax]]),0)</f>
        <v>0</v>
      </c>
      <c r="R596" s="38"/>
    </row>
    <row r="597" spans="1:18" x14ac:dyDescent="0.25">
      <c r="A597" s="1" t="s">
        <v>600</v>
      </c>
      <c r="B597" s="4"/>
      <c r="F597" s="3">
        <f>9%*Table1[[#This Row],[Cost ]]</f>
        <v>0</v>
      </c>
      <c r="J597" s="11">
        <f>SUMIF('Multi-level BOM'!C$3:C$464,Table1[[#This Row],[Part Number]],'Multi-level BOM'!F$3:F$464)</f>
        <v>0</v>
      </c>
      <c r="K597" s="11">
        <f>Table1[[#This Row],[extended quantity]]*(Table1[[#This Row],[Cost ]]+Table1[[#This Row],[shipping]]+Table1[[#This Row],[Tax]])</f>
        <v>0</v>
      </c>
      <c r="L597" s="11"/>
      <c r="M597" s="42"/>
      <c r="N597" s="53" t="e">
        <f>CEILING((Table1[[#This Row],[extended quantity]]-Table1[[#This Row],[quantity on-hand]])/Table1[[#This Row],[Minimum order quantity]],1)*Table1[[#This Row],[Minimum order quantity]]</f>
        <v>#DIV/0!</v>
      </c>
      <c r="O597" s="53" t="e">
        <f>Table1[[#This Row],[Order quantity]]+Table1[[#This Row],[quantity on-hand]]-Table1[[#This Row],[extended quantity]]</f>
        <v>#DIV/0!</v>
      </c>
      <c r="P597" s="11">
        <f>IFERROR(Table1[[#This Row],[Order quantity]]*(Table1[[#This Row],[Cost ]]+Table1[[#This Row],[shipping]]+Table1[[#This Row],[Tax]]),0)</f>
        <v>0</v>
      </c>
      <c r="Q597" s="38">
        <f>IFERROR(Table1[[#This Row],[leftover material]]*(Table1[[#This Row],[Cost ]]+Table1[[#This Row],[shipping]]+Table1[[#This Row],[Tax]]),0)</f>
        <v>0</v>
      </c>
      <c r="R597" s="38"/>
    </row>
    <row r="598" spans="1:18" x14ac:dyDescent="0.25">
      <c r="A598" s="1" t="s">
        <v>601</v>
      </c>
      <c r="B598" s="4"/>
      <c r="F598" s="3">
        <f>9%*Table1[[#This Row],[Cost ]]</f>
        <v>0</v>
      </c>
      <c r="J598" s="11">
        <f>SUMIF('Multi-level BOM'!C$3:C$464,Table1[[#This Row],[Part Number]],'Multi-level BOM'!F$3:F$464)</f>
        <v>0</v>
      </c>
      <c r="K598" s="11">
        <f>Table1[[#This Row],[extended quantity]]*(Table1[[#This Row],[Cost ]]+Table1[[#This Row],[shipping]]+Table1[[#This Row],[Tax]])</f>
        <v>0</v>
      </c>
      <c r="L598" s="11"/>
      <c r="M598" s="42"/>
      <c r="N598" s="53" t="e">
        <f>CEILING((Table1[[#This Row],[extended quantity]]-Table1[[#This Row],[quantity on-hand]])/Table1[[#This Row],[Minimum order quantity]],1)*Table1[[#This Row],[Minimum order quantity]]</f>
        <v>#DIV/0!</v>
      </c>
      <c r="O598" s="53" t="e">
        <f>Table1[[#This Row],[Order quantity]]+Table1[[#This Row],[quantity on-hand]]-Table1[[#This Row],[extended quantity]]</f>
        <v>#DIV/0!</v>
      </c>
      <c r="P598" s="11">
        <f>IFERROR(Table1[[#This Row],[Order quantity]]*(Table1[[#This Row],[Cost ]]+Table1[[#This Row],[shipping]]+Table1[[#This Row],[Tax]]),0)</f>
        <v>0</v>
      </c>
      <c r="Q598" s="38">
        <f>IFERROR(Table1[[#This Row],[leftover material]]*(Table1[[#This Row],[Cost ]]+Table1[[#This Row],[shipping]]+Table1[[#This Row],[Tax]]),0)</f>
        <v>0</v>
      </c>
      <c r="R598" s="38"/>
    </row>
    <row r="599" spans="1:18" x14ac:dyDescent="0.25">
      <c r="A599" s="1" t="s">
        <v>602</v>
      </c>
      <c r="B599" s="4"/>
      <c r="F599" s="3">
        <f>9%*Table1[[#This Row],[Cost ]]</f>
        <v>0</v>
      </c>
      <c r="J599" s="11">
        <f>SUMIF('Multi-level BOM'!C$3:C$464,Table1[[#This Row],[Part Number]],'Multi-level BOM'!F$3:F$464)</f>
        <v>0</v>
      </c>
      <c r="K599" s="11">
        <f>Table1[[#This Row],[extended quantity]]*(Table1[[#This Row],[Cost ]]+Table1[[#This Row],[shipping]]+Table1[[#This Row],[Tax]])</f>
        <v>0</v>
      </c>
      <c r="L599" s="11"/>
      <c r="M599" s="42"/>
      <c r="N599" s="53" t="e">
        <f>CEILING((Table1[[#This Row],[extended quantity]]-Table1[[#This Row],[quantity on-hand]])/Table1[[#This Row],[Minimum order quantity]],1)*Table1[[#This Row],[Minimum order quantity]]</f>
        <v>#DIV/0!</v>
      </c>
      <c r="O599" s="53" t="e">
        <f>Table1[[#This Row],[Order quantity]]+Table1[[#This Row],[quantity on-hand]]-Table1[[#This Row],[extended quantity]]</f>
        <v>#DIV/0!</v>
      </c>
      <c r="P599" s="11">
        <f>IFERROR(Table1[[#This Row],[Order quantity]]*(Table1[[#This Row],[Cost ]]+Table1[[#This Row],[shipping]]+Table1[[#This Row],[Tax]]),0)</f>
        <v>0</v>
      </c>
      <c r="Q599" s="38">
        <f>IFERROR(Table1[[#This Row],[leftover material]]*(Table1[[#This Row],[Cost ]]+Table1[[#This Row],[shipping]]+Table1[[#This Row],[Tax]]),0)</f>
        <v>0</v>
      </c>
      <c r="R599" s="38"/>
    </row>
    <row r="600" spans="1:18" x14ac:dyDescent="0.25">
      <c r="A600" s="1" t="s">
        <v>603</v>
      </c>
      <c r="B600" s="4"/>
      <c r="F600" s="3">
        <f>9%*Table1[[#This Row],[Cost ]]</f>
        <v>0</v>
      </c>
      <c r="J600" s="11">
        <f>SUMIF('Multi-level BOM'!C$3:C$464,Table1[[#This Row],[Part Number]],'Multi-level BOM'!F$3:F$464)</f>
        <v>0</v>
      </c>
      <c r="K600" s="11">
        <f>Table1[[#This Row],[extended quantity]]*(Table1[[#This Row],[Cost ]]+Table1[[#This Row],[shipping]]+Table1[[#This Row],[Tax]])</f>
        <v>0</v>
      </c>
      <c r="L600" s="11"/>
      <c r="M600" s="42"/>
      <c r="N600" s="53" t="e">
        <f>CEILING((Table1[[#This Row],[extended quantity]]-Table1[[#This Row],[quantity on-hand]])/Table1[[#This Row],[Minimum order quantity]],1)*Table1[[#This Row],[Minimum order quantity]]</f>
        <v>#DIV/0!</v>
      </c>
      <c r="O600" s="53" t="e">
        <f>Table1[[#This Row],[Order quantity]]+Table1[[#This Row],[quantity on-hand]]-Table1[[#This Row],[extended quantity]]</f>
        <v>#DIV/0!</v>
      </c>
      <c r="P600" s="11">
        <f>IFERROR(Table1[[#This Row],[Order quantity]]*(Table1[[#This Row],[Cost ]]+Table1[[#This Row],[shipping]]+Table1[[#This Row],[Tax]]),0)</f>
        <v>0</v>
      </c>
      <c r="Q600" s="38">
        <f>IFERROR(Table1[[#This Row],[leftover material]]*(Table1[[#This Row],[Cost ]]+Table1[[#This Row],[shipping]]+Table1[[#This Row],[Tax]]),0)</f>
        <v>0</v>
      </c>
      <c r="R600" s="38"/>
    </row>
    <row r="601" spans="1:18" x14ac:dyDescent="0.25">
      <c r="A601" s="1" t="s">
        <v>604</v>
      </c>
      <c r="B601" s="4"/>
      <c r="F601" s="3">
        <f>9%*Table1[[#This Row],[Cost ]]</f>
        <v>0</v>
      </c>
      <c r="J601" s="11">
        <f>SUMIF('Multi-level BOM'!C$3:C$464,Table1[[#This Row],[Part Number]],'Multi-level BOM'!F$3:F$464)</f>
        <v>0</v>
      </c>
      <c r="K601" s="11">
        <f>Table1[[#This Row],[extended quantity]]*(Table1[[#This Row],[Cost ]]+Table1[[#This Row],[shipping]]+Table1[[#This Row],[Tax]])</f>
        <v>0</v>
      </c>
      <c r="L601" s="11"/>
      <c r="M601" s="42"/>
      <c r="N601" s="53" t="e">
        <f>CEILING((Table1[[#This Row],[extended quantity]]-Table1[[#This Row],[quantity on-hand]])/Table1[[#This Row],[Minimum order quantity]],1)*Table1[[#This Row],[Minimum order quantity]]</f>
        <v>#DIV/0!</v>
      </c>
      <c r="O601" s="53" t="e">
        <f>Table1[[#This Row],[Order quantity]]+Table1[[#This Row],[quantity on-hand]]-Table1[[#This Row],[extended quantity]]</f>
        <v>#DIV/0!</v>
      </c>
      <c r="P601" s="11">
        <f>IFERROR(Table1[[#This Row],[Order quantity]]*(Table1[[#This Row],[Cost ]]+Table1[[#This Row],[shipping]]+Table1[[#This Row],[Tax]]),0)</f>
        <v>0</v>
      </c>
      <c r="Q601" s="38">
        <f>IFERROR(Table1[[#This Row],[leftover material]]*(Table1[[#This Row],[Cost ]]+Table1[[#This Row],[shipping]]+Table1[[#This Row],[Tax]]),0)</f>
        <v>0</v>
      </c>
      <c r="R601" s="38"/>
    </row>
    <row r="602" spans="1:18" x14ac:dyDescent="0.25">
      <c r="A602" s="1" t="s">
        <v>605</v>
      </c>
      <c r="B602" s="4"/>
      <c r="F602" s="3">
        <f>9%*Table1[[#This Row],[Cost ]]</f>
        <v>0</v>
      </c>
      <c r="J602" s="11">
        <f>SUMIF('Multi-level BOM'!C$3:C$464,Table1[[#This Row],[Part Number]],'Multi-level BOM'!F$3:F$464)</f>
        <v>0</v>
      </c>
      <c r="K602" s="11">
        <f>Table1[[#This Row],[extended quantity]]*(Table1[[#This Row],[Cost ]]+Table1[[#This Row],[shipping]]+Table1[[#This Row],[Tax]])</f>
        <v>0</v>
      </c>
      <c r="L602" s="11"/>
      <c r="M602" s="42"/>
      <c r="N602" s="53" t="e">
        <f>CEILING((Table1[[#This Row],[extended quantity]]-Table1[[#This Row],[quantity on-hand]])/Table1[[#This Row],[Minimum order quantity]],1)*Table1[[#This Row],[Minimum order quantity]]</f>
        <v>#DIV/0!</v>
      </c>
      <c r="O602" s="53" t="e">
        <f>Table1[[#This Row],[Order quantity]]+Table1[[#This Row],[quantity on-hand]]-Table1[[#This Row],[extended quantity]]</f>
        <v>#DIV/0!</v>
      </c>
      <c r="P602" s="11">
        <f>IFERROR(Table1[[#This Row],[Order quantity]]*(Table1[[#This Row],[Cost ]]+Table1[[#This Row],[shipping]]+Table1[[#This Row],[Tax]]),0)</f>
        <v>0</v>
      </c>
      <c r="Q602" s="38">
        <f>IFERROR(Table1[[#This Row],[leftover material]]*(Table1[[#This Row],[Cost ]]+Table1[[#This Row],[shipping]]+Table1[[#This Row],[Tax]]),0)</f>
        <v>0</v>
      </c>
      <c r="R602" s="38"/>
    </row>
    <row r="603" spans="1:18" x14ac:dyDescent="0.25">
      <c r="A603" s="1" t="s">
        <v>606</v>
      </c>
      <c r="B603" s="4"/>
      <c r="F603" s="3">
        <f>9%*Table1[[#This Row],[Cost ]]</f>
        <v>0</v>
      </c>
      <c r="J603" s="11">
        <f>SUMIF('Multi-level BOM'!C$3:C$464,Table1[[#This Row],[Part Number]],'Multi-level BOM'!F$3:F$464)</f>
        <v>0</v>
      </c>
      <c r="K603" s="11">
        <f>Table1[[#This Row],[extended quantity]]*(Table1[[#This Row],[Cost ]]+Table1[[#This Row],[shipping]]+Table1[[#This Row],[Tax]])</f>
        <v>0</v>
      </c>
      <c r="L603" s="11"/>
      <c r="M603" s="42"/>
      <c r="N603" s="53" t="e">
        <f>CEILING((Table1[[#This Row],[extended quantity]]-Table1[[#This Row],[quantity on-hand]])/Table1[[#This Row],[Minimum order quantity]],1)*Table1[[#This Row],[Minimum order quantity]]</f>
        <v>#DIV/0!</v>
      </c>
      <c r="O603" s="53" t="e">
        <f>Table1[[#This Row],[Order quantity]]+Table1[[#This Row],[quantity on-hand]]-Table1[[#This Row],[extended quantity]]</f>
        <v>#DIV/0!</v>
      </c>
      <c r="P603" s="11">
        <f>IFERROR(Table1[[#This Row],[Order quantity]]*(Table1[[#This Row],[Cost ]]+Table1[[#This Row],[shipping]]+Table1[[#This Row],[Tax]]),0)</f>
        <v>0</v>
      </c>
      <c r="Q603" s="38">
        <f>IFERROR(Table1[[#This Row],[leftover material]]*(Table1[[#This Row],[Cost ]]+Table1[[#This Row],[shipping]]+Table1[[#This Row],[Tax]]),0)</f>
        <v>0</v>
      </c>
      <c r="R603" s="38"/>
    </row>
    <row r="604" spans="1:18" x14ac:dyDescent="0.25">
      <c r="A604" s="1" t="s">
        <v>607</v>
      </c>
      <c r="B604" s="4"/>
      <c r="F604" s="3">
        <f>9%*Table1[[#This Row],[Cost ]]</f>
        <v>0</v>
      </c>
      <c r="J604" s="11">
        <f>SUMIF('Multi-level BOM'!C$3:C$464,Table1[[#This Row],[Part Number]],'Multi-level BOM'!F$3:F$464)</f>
        <v>0</v>
      </c>
      <c r="K604" s="11">
        <f>Table1[[#This Row],[extended quantity]]*(Table1[[#This Row],[Cost ]]+Table1[[#This Row],[shipping]]+Table1[[#This Row],[Tax]])</f>
        <v>0</v>
      </c>
      <c r="L604" s="11"/>
      <c r="M604" s="42"/>
      <c r="N604" s="53" t="e">
        <f>CEILING((Table1[[#This Row],[extended quantity]]-Table1[[#This Row],[quantity on-hand]])/Table1[[#This Row],[Minimum order quantity]],1)*Table1[[#This Row],[Minimum order quantity]]</f>
        <v>#DIV/0!</v>
      </c>
      <c r="O604" s="53" t="e">
        <f>Table1[[#This Row],[Order quantity]]+Table1[[#This Row],[quantity on-hand]]-Table1[[#This Row],[extended quantity]]</f>
        <v>#DIV/0!</v>
      </c>
      <c r="P604" s="11">
        <f>IFERROR(Table1[[#This Row],[Order quantity]]*(Table1[[#This Row],[Cost ]]+Table1[[#This Row],[shipping]]+Table1[[#This Row],[Tax]]),0)</f>
        <v>0</v>
      </c>
      <c r="Q604" s="38">
        <f>IFERROR(Table1[[#This Row],[leftover material]]*(Table1[[#This Row],[Cost ]]+Table1[[#This Row],[shipping]]+Table1[[#This Row],[Tax]]),0)</f>
        <v>0</v>
      </c>
      <c r="R604" s="38"/>
    </row>
    <row r="605" spans="1:18" x14ac:dyDescent="0.25">
      <c r="A605" s="1" t="s">
        <v>608</v>
      </c>
      <c r="B605" s="4"/>
      <c r="F605" s="3">
        <f>9%*Table1[[#This Row],[Cost ]]</f>
        <v>0</v>
      </c>
      <c r="J605" s="11">
        <f>SUMIF('Multi-level BOM'!C$3:C$464,Table1[[#This Row],[Part Number]],'Multi-level BOM'!F$3:F$464)</f>
        <v>0</v>
      </c>
      <c r="K605" s="11">
        <f>Table1[[#This Row],[extended quantity]]*(Table1[[#This Row],[Cost ]]+Table1[[#This Row],[shipping]]+Table1[[#This Row],[Tax]])</f>
        <v>0</v>
      </c>
      <c r="L605" s="11"/>
      <c r="M605" s="42"/>
      <c r="N605" s="53" t="e">
        <f>CEILING((Table1[[#This Row],[extended quantity]]-Table1[[#This Row],[quantity on-hand]])/Table1[[#This Row],[Minimum order quantity]],1)*Table1[[#This Row],[Minimum order quantity]]</f>
        <v>#DIV/0!</v>
      </c>
      <c r="O605" s="53" t="e">
        <f>Table1[[#This Row],[Order quantity]]+Table1[[#This Row],[quantity on-hand]]-Table1[[#This Row],[extended quantity]]</f>
        <v>#DIV/0!</v>
      </c>
      <c r="P605" s="11">
        <f>IFERROR(Table1[[#This Row],[Order quantity]]*(Table1[[#This Row],[Cost ]]+Table1[[#This Row],[shipping]]+Table1[[#This Row],[Tax]]),0)</f>
        <v>0</v>
      </c>
      <c r="Q605" s="38">
        <f>IFERROR(Table1[[#This Row],[leftover material]]*(Table1[[#This Row],[Cost ]]+Table1[[#This Row],[shipping]]+Table1[[#This Row],[Tax]]),0)</f>
        <v>0</v>
      </c>
      <c r="R605" s="38"/>
    </row>
    <row r="606" spans="1:18" x14ac:dyDescent="0.25">
      <c r="A606" s="1" t="s">
        <v>609</v>
      </c>
      <c r="B606" s="4"/>
      <c r="F606" s="3">
        <f>9%*Table1[[#This Row],[Cost ]]</f>
        <v>0</v>
      </c>
      <c r="J606" s="11">
        <f>SUMIF('Multi-level BOM'!C$3:C$464,Table1[[#This Row],[Part Number]],'Multi-level BOM'!F$3:F$464)</f>
        <v>0</v>
      </c>
      <c r="K606" s="11">
        <f>Table1[[#This Row],[extended quantity]]*(Table1[[#This Row],[Cost ]]+Table1[[#This Row],[shipping]]+Table1[[#This Row],[Tax]])</f>
        <v>0</v>
      </c>
      <c r="L606" s="11"/>
      <c r="M606" s="42"/>
      <c r="N606" s="53" t="e">
        <f>CEILING((Table1[[#This Row],[extended quantity]]-Table1[[#This Row],[quantity on-hand]])/Table1[[#This Row],[Minimum order quantity]],1)*Table1[[#This Row],[Minimum order quantity]]</f>
        <v>#DIV/0!</v>
      </c>
      <c r="O606" s="53" t="e">
        <f>Table1[[#This Row],[Order quantity]]+Table1[[#This Row],[quantity on-hand]]-Table1[[#This Row],[extended quantity]]</f>
        <v>#DIV/0!</v>
      </c>
      <c r="P606" s="11">
        <f>IFERROR(Table1[[#This Row],[Order quantity]]*(Table1[[#This Row],[Cost ]]+Table1[[#This Row],[shipping]]+Table1[[#This Row],[Tax]]),0)</f>
        <v>0</v>
      </c>
      <c r="Q606" s="38">
        <f>IFERROR(Table1[[#This Row],[leftover material]]*(Table1[[#This Row],[Cost ]]+Table1[[#This Row],[shipping]]+Table1[[#This Row],[Tax]]),0)</f>
        <v>0</v>
      </c>
      <c r="R606" s="38"/>
    </row>
    <row r="607" spans="1:18" x14ac:dyDescent="0.25">
      <c r="A607" s="1" t="s">
        <v>610</v>
      </c>
      <c r="B607" s="4"/>
      <c r="F607" s="3">
        <f>9%*Table1[[#This Row],[Cost ]]</f>
        <v>0</v>
      </c>
      <c r="J607" s="11">
        <f>SUMIF('Multi-level BOM'!C$3:C$464,Table1[[#This Row],[Part Number]],'Multi-level BOM'!F$3:F$464)</f>
        <v>0</v>
      </c>
      <c r="K607" s="11">
        <f>Table1[[#This Row],[extended quantity]]*(Table1[[#This Row],[Cost ]]+Table1[[#This Row],[shipping]]+Table1[[#This Row],[Tax]])</f>
        <v>0</v>
      </c>
      <c r="L607" s="11"/>
      <c r="M607" s="42"/>
      <c r="N607" s="53" t="e">
        <f>CEILING((Table1[[#This Row],[extended quantity]]-Table1[[#This Row],[quantity on-hand]])/Table1[[#This Row],[Minimum order quantity]],1)*Table1[[#This Row],[Minimum order quantity]]</f>
        <v>#DIV/0!</v>
      </c>
      <c r="O607" s="53" t="e">
        <f>Table1[[#This Row],[Order quantity]]+Table1[[#This Row],[quantity on-hand]]-Table1[[#This Row],[extended quantity]]</f>
        <v>#DIV/0!</v>
      </c>
      <c r="P607" s="11">
        <f>IFERROR(Table1[[#This Row],[Order quantity]]*(Table1[[#This Row],[Cost ]]+Table1[[#This Row],[shipping]]+Table1[[#This Row],[Tax]]),0)</f>
        <v>0</v>
      </c>
      <c r="Q607" s="38">
        <f>IFERROR(Table1[[#This Row],[leftover material]]*(Table1[[#This Row],[Cost ]]+Table1[[#This Row],[shipping]]+Table1[[#This Row],[Tax]]),0)</f>
        <v>0</v>
      </c>
      <c r="R607" s="38"/>
    </row>
    <row r="608" spans="1:18" x14ac:dyDescent="0.25">
      <c r="A608" s="1" t="s">
        <v>611</v>
      </c>
      <c r="B608" s="4"/>
      <c r="F608" s="3">
        <f>9%*Table1[[#This Row],[Cost ]]</f>
        <v>0</v>
      </c>
      <c r="J608" s="11">
        <f>SUMIF('Multi-level BOM'!C$3:C$464,Table1[[#This Row],[Part Number]],'Multi-level BOM'!F$3:F$464)</f>
        <v>0</v>
      </c>
      <c r="K608" s="11">
        <f>Table1[[#This Row],[extended quantity]]*(Table1[[#This Row],[Cost ]]+Table1[[#This Row],[shipping]]+Table1[[#This Row],[Tax]])</f>
        <v>0</v>
      </c>
      <c r="L608" s="11"/>
      <c r="M608" s="42"/>
      <c r="N608" s="53" t="e">
        <f>CEILING((Table1[[#This Row],[extended quantity]]-Table1[[#This Row],[quantity on-hand]])/Table1[[#This Row],[Minimum order quantity]],1)*Table1[[#This Row],[Minimum order quantity]]</f>
        <v>#DIV/0!</v>
      </c>
      <c r="O608" s="53" t="e">
        <f>Table1[[#This Row],[Order quantity]]+Table1[[#This Row],[quantity on-hand]]-Table1[[#This Row],[extended quantity]]</f>
        <v>#DIV/0!</v>
      </c>
      <c r="P608" s="11">
        <f>IFERROR(Table1[[#This Row],[Order quantity]]*(Table1[[#This Row],[Cost ]]+Table1[[#This Row],[shipping]]+Table1[[#This Row],[Tax]]),0)</f>
        <v>0</v>
      </c>
      <c r="Q608" s="38">
        <f>IFERROR(Table1[[#This Row],[leftover material]]*(Table1[[#This Row],[Cost ]]+Table1[[#This Row],[shipping]]+Table1[[#This Row],[Tax]]),0)</f>
        <v>0</v>
      </c>
      <c r="R608" s="38"/>
    </row>
    <row r="609" spans="1:18" x14ac:dyDescent="0.25">
      <c r="A609" s="1" t="s">
        <v>612</v>
      </c>
      <c r="B609" s="4"/>
      <c r="F609" s="3">
        <f>9%*Table1[[#This Row],[Cost ]]</f>
        <v>0</v>
      </c>
      <c r="J609" s="11">
        <f>SUMIF('Multi-level BOM'!C$3:C$464,Table1[[#This Row],[Part Number]],'Multi-level BOM'!F$3:F$464)</f>
        <v>0</v>
      </c>
      <c r="K609" s="11">
        <f>Table1[[#This Row],[extended quantity]]*(Table1[[#This Row],[Cost ]]+Table1[[#This Row],[shipping]]+Table1[[#This Row],[Tax]])</f>
        <v>0</v>
      </c>
      <c r="L609" s="11"/>
      <c r="M609" s="42"/>
      <c r="N609" s="53" t="e">
        <f>CEILING((Table1[[#This Row],[extended quantity]]-Table1[[#This Row],[quantity on-hand]])/Table1[[#This Row],[Minimum order quantity]],1)*Table1[[#This Row],[Minimum order quantity]]</f>
        <v>#DIV/0!</v>
      </c>
      <c r="O609" s="53" t="e">
        <f>Table1[[#This Row],[Order quantity]]+Table1[[#This Row],[quantity on-hand]]-Table1[[#This Row],[extended quantity]]</f>
        <v>#DIV/0!</v>
      </c>
      <c r="P609" s="11">
        <f>IFERROR(Table1[[#This Row],[Order quantity]]*(Table1[[#This Row],[Cost ]]+Table1[[#This Row],[shipping]]+Table1[[#This Row],[Tax]]),0)</f>
        <v>0</v>
      </c>
      <c r="Q609" s="38">
        <f>IFERROR(Table1[[#This Row],[leftover material]]*(Table1[[#This Row],[Cost ]]+Table1[[#This Row],[shipping]]+Table1[[#This Row],[Tax]]),0)</f>
        <v>0</v>
      </c>
      <c r="R609" s="38"/>
    </row>
    <row r="610" spans="1:18" x14ac:dyDescent="0.25">
      <c r="A610" s="1" t="s">
        <v>613</v>
      </c>
      <c r="B610" s="4"/>
      <c r="F610" s="3">
        <f>9%*Table1[[#This Row],[Cost ]]</f>
        <v>0</v>
      </c>
      <c r="J610" s="11">
        <f>SUMIF('Multi-level BOM'!C$3:C$464,Table1[[#This Row],[Part Number]],'Multi-level BOM'!F$3:F$464)</f>
        <v>0</v>
      </c>
      <c r="K610" s="11">
        <f>Table1[[#This Row],[extended quantity]]*(Table1[[#This Row],[Cost ]]+Table1[[#This Row],[shipping]]+Table1[[#This Row],[Tax]])</f>
        <v>0</v>
      </c>
      <c r="L610" s="11"/>
      <c r="M610" s="42"/>
      <c r="N610" s="53" t="e">
        <f>CEILING((Table1[[#This Row],[extended quantity]]-Table1[[#This Row],[quantity on-hand]])/Table1[[#This Row],[Minimum order quantity]],1)*Table1[[#This Row],[Minimum order quantity]]</f>
        <v>#DIV/0!</v>
      </c>
      <c r="O610" s="53" t="e">
        <f>Table1[[#This Row],[Order quantity]]+Table1[[#This Row],[quantity on-hand]]-Table1[[#This Row],[extended quantity]]</f>
        <v>#DIV/0!</v>
      </c>
      <c r="P610" s="11">
        <f>IFERROR(Table1[[#This Row],[Order quantity]]*(Table1[[#This Row],[Cost ]]+Table1[[#This Row],[shipping]]+Table1[[#This Row],[Tax]]),0)</f>
        <v>0</v>
      </c>
      <c r="Q610" s="38">
        <f>IFERROR(Table1[[#This Row],[leftover material]]*(Table1[[#This Row],[Cost ]]+Table1[[#This Row],[shipping]]+Table1[[#This Row],[Tax]]),0)</f>
        <v>0</v>
      </c>
      <c r="R610" s="38"/>
    </row>
    <row r="611" spans="1:18" x14ac:dyDescent="0.25">
      <c r="A611" s="1" t="s">
        <v>614</v>
      </c>
      <c r="B611" s="4"/>
      <c r="F611" s="3">
        <f>9%*Table1[[#This Row],[Cost ]]</f>
        <v>0</v>
      </c>
      <c r="J611" s="11">
        <f>SUMIF('Multi-level BOM'!C$3:C$464,Table1[[#This Row],[Part Number]],'Multi-level BOM'!F$3:F$464)</f>
        <v>0</v>
      </c>
      <c r="K611" s="11">
        <f>Table1[[#This Row],[extended quantity]]*(Table1[[#This Row],[Cost ]]+Table1[[#This Row],[shipping]]+Table1[[#This Row],[Tax]])</f>
        <v>0</v>
      </c>
      <c r="L611" s="11"/>
      <c r="M611" s="42"/>
      <c r="N611" s="53" t="e">
        <f>CEILING((Table1[[#This Row],[extended quantity]]-Table1[[#This Row],[quantity on-hand]])/Table1[[#This Row],[Minimum order quantity]],1)*Table1[[#This Row],[Minimum order quantity]]</f>
        <v>#DIV/0!</v>
      </c>
      <c r="O611" s="53" t="e">
        <f>Table1[[#This Row],[Order quantity]]+Table1[[#This Row],[quantity on-hand]]-Table1[[#This Row],[extended quantity]]</f>
        <v>#DIV/0!</v>
      </c>
      <c r="P611" s="11">
        <f>IFERROR(Table1[[#This Row],[Order quantity]]*(Table1[[#This Row],[Cost ]]+Table1[[#This Row],[shipping]]+Table1[[#This Row],[Tax]]),0)</f>
        <v>0</v>
      </c>
      <c r="Q611" s="38">
        <f>IFERROR(Table1[[#This Row],[leftover material]]*(Table1[[#This Row],[Cost ]]+Table1[[#This Row],[shipping]]+Table1[[#This Row],[Tax]]),0)</f>
        <v>0</v>
      </c>
      <c r="R611" s="38"/>
    </row>
    <row r="612" spans="1:18" x14ac:dyDescent="0.25">
      <c r="A612" s="1" t="s">
        <v>615</v>
      </c>
      <c r="B612" s="4"/>
      <c r="F612" s="3">
        <f>9%*Table1[[#This Row],[Cost ]]</f>
        <v>0</v>
      </c>
      <c r="J612" s="11">
        <f>SUMIF('Multi-level BOM'!C$3:C$464,Table1[[#This Row],[Part Number]],'Multi-level BOM'!F$3:F$464)</f>
        <v>0</v>
      </c>
      <c r="K612" s="11">
        <f>Table1[[#This Row],[extended quantity]]*(Table1[[#This Row],[Cost ]]+Table1[[#This Row],[shipping]]+Table1[[#This Row],[Tax]])</f>
        <v>0</v>
      </c>
      <c r="L612" s="11"/>
      <c r="M612" s="42"/>
      <c r="N612" s="53" t="e">
        <f>CEILING((Table1[[#This Row],[extended quantity]]-Table1[[#This Row],[quantity on-hand]])/Table1[[#This Row],[Minimum order quantity]],1)*Table1[[#This Row],[Minimum order quantity]]</f>
        <v>#DIV/0!</v>
      </c>
      <c r="O612" s="53" t="e">
        <f>Table1[[#This Row],[Order quantity]]+Table1[[#This Row],[quantity on-hand]]-Table1[[#This Row],[extended quantity]]</f>
        <v>#DIV/0!</v>
      </c>
      <c r="P612" s="11">
        <f>IFERROR(Table1[[#This Row],[Order quantity]]*(Table1[[#This Row],[Cost ]]+Table1[[#This Row],[shipping]]+Table1[[#This Row],[Tax]]),0)</f>
        <v>0</v>
      </c>
      <c r="Q612" s="38">
        <f>IFERROR(Table1[[#This Row],[leftover material]]*(Table1[[#This Row],[Cost ]]+Table1[[#This Row],[shipping]]+Table1[[#This Row],[Tax]]),0)</f>
        <v>0</v>
      </c>
      <c r="R612" s="38"/>
    </row>
    <row r="613" spans="1:18" x14ac:dyDescent="0.25">
      <c r="A613" s="1" t="s">
        <v>616</v>
      </c>
      <c r="B613" s="4"/>
      <c r="F613" s="3">
        <f>9%*Table1[[#This Row],[Cost ]]</f>
        <v>0</v>
      </c>
      <c r="J613" s="11">
        <f>SUMIF('Multi-level BOM'!C$3:C$464,Table1[[#This Row],[Part Number]],'Multi-level BOM'!F$3:F$464)</f>
        <v>0</v>
      </c>
      <c r="K613" s="11">
        <f>Table1[[#This Row],[extended quantity]]*(Table1[[#This Row],[Cost ]]+Table1[[#This Row],[shipping]]+Table1[[#This Row],[Tax]])</f>
        <v>0</v>
      </c>
      <c r="L613" s="11"/>
      <c r="M613" s="42"/>
      <c r="N613" s="53" t="e">
        <f>CEILING((Table1[[#This Row],[extended quantity]]-Table1[[#This Row],[quantity on-hand]])/Table1[[#This Row],[Minimum order quantity]],1)*Table1[[#This Row],[Minimum order quantity]]</f>
        <v>#DIV/0!</v>
      </c>
      <c r="O613" s="53" t="e">
        <f>Table1[[#This Row],[Order quantity]]+Table1[[#This Row],[quantity on-hand]]-Table1[[#This Row],[extended quantity]]</f>
        <v>#DIV/0!</v>
      </c>
      <c r="P613" s="11">
        <f>IFERROR(Table1[[#This Row],[Order quantity]]*(Table1[[#This Row],[Cost ]]+Table1[[#This Row],[shipping]]+Table1[[#This Row],[Tax]]),0)</f>
        <v>0</v>
      </c>
      <c r="Q613" s="38">
        <f>IFERROR(Table1[[#This Row],[leftover material]]*(Table1[[#This Row],[Cost ]]+Table1[[#This Row],[shipping]]+Table1[[#This Row],[Tax]]),0)</f>
        <v>0</v>
      </c>
      <c r="R613" s="38"/>
    </row>
    <row r="614" spans="1:18" x14ac:dyDescent="0.25">
      <c r="A614" s="1" t="s">
        <v>617</v>
      </c>
      <c r="B614" s="4"/>
      <c r="F614" s="3">
        <f>9%*Table1[[#This Row],[Cost ]]</f>
        <v>0</v>
      </c>
      <c r="J614" s="11">
        <f>SUMIF('Multi-level BOM'!C$3:C$464,Table1[[#This Row],[Part Number]],'Multi-level BOM'!F$3:F$464)</f>
        <v>0</v>
      </c>
      <c r="K614" s="11">
        <f>Table1[[#This Row],[extended quantity]]*(Table1[[#This Row],[Cost ]]+Table1[[#This Row],[shipping]]+Table1[[#This Row],[Tax]])</f>
        <v>0</v>
      </c>
      <c r="L614" s="11"/>
      <c r="M614" s="42"/>
      <c r="N614" s="53" t="e">
        <f>CEILING((Table1[[#This Row],[extended quantity]]-Table1[[#This Row],[quantity on-hand]])/Table1[[#This Row],[Minimum order quantity]],1)*Table1[[#This Row],[Minimum order quantity]]</f>
        <v>#DIV/0!</v>
      </c>
      <c r="O614" s="53" t="e">
        <f>Table1[[#This Row],[Order quantity]]+Table1[[#This Row],[quantity on-hand]]-Table1[[#This Row],[extended quantity]]</f>
        <v>#DIV/0!</v>
      </c>
      <c r="P614" s="11">
        <f>IFERROR(Table1[[#This Row],[Order quantity]]*(Table1[[#This Row],[Cost ]]+Table1[[#This Row],[shipping]]+Table1[[#This Row],[Tax]]),0)</f>
        <v>0</v>
      </c>
      <c r="Q614" s="38">
        <f>IFERROR(Table1[[#This Row],[leftover material]]*(Table1[[#This Row],[Cost ]]+Table1[[#This Row],[shipping]]+Table1[[#This Row],[Tax]]),0)</f>
        <v>0</v>
      </c>
      <c r="R614" s="38"/>
    </row>
    <row r="615" spans="1:18" x14ac:dyDescent="0.25">
      <c r="A615" s="1" t="s">
        <v>618</v>
      </c>
      <c r="B615" s="4"/>
      <c r="F615" s="3">
        <f>9%*Table1[[#This Row],[Cost ]]</f>
        <v>0</v>
      </c>
      <c r="J615" s="11">
        <f>SUMIF('Multi-level BOM'!C$3:C$464,Table1[[#This Row],[Part Number]],'Multi-level BOM'!F$3:F$464)</f>
        <v>0</v>
      </c>
      <c r="K615" s="11">
        <f>Table1[[#This Row],[extended quantity]]*(Table1[[#This Row],[Cost ]]+Table1[[#This Row],[shipping]]+Table1[[#This Row],[Tax]])</f>
        <v>0</v>
      </c>
      <c r="L615" s="11"/>
      <c r="M615" s="42"/>
      <c r="N615" s="53" t="e">
        <f>CEILING((Table1[[#This Row],[extended quantity]]-Table1[[#This Row],[quantity on-hand]])/Table1[[#This Row],[Minimum order quantity]],1)*Table1[[#This Row],[Minimum order quantity]]</f>
        <v>#DIV/0!</v>
      </c>
      <c r="O615" s="53" t="e">
        <f>Table1[[#This Row],[Order quantity]]+Table1[[#This Row],[quantity on-hand]]-Table1[[#This Row],[extended quantity]]</f>
        <v>#DIV/0!</v>
      </c>
      <c r="P615" s="11">
        <f>IFERROR(Table1[[#This Row],[Order quantity]]*(Table1[[#This Row],[Cost ]]+Table1[[#This Row],[shipping]]+Table1[[#This Row],[Tax]]),0)</f>
        <v>0</v>
      </c>
      <c r="Q615" s="38">
        <f>IFERROR(Table1[[#This Row],[leftover material]]*(Table1[[#This Row],[Cost ]]+Table1[[#This Row],[shipping]]+Table1[[#This Row],[Tax]]),0)</f>
        <v>0</v>
      </c>
      <c r="R615" s="38"/>
    </row>
    <row r="616" spans="1:18" x14ac:dyDescent="0.25">
      <c r="A616" s="1" t="s">
        <v>619</v>
      </c>
      <c r="B616" s="4"/>
      <c r="F616" s="3">
        <f>9%*Table1[[#This Row],[Cost ]]</f>
        <v>0</v>
      </c>
      <c r="J616" s="11">
        <f>SUMIF('Multi-level BOM'!C$3:C$464,Table1[[#This Row],[Part Number]],'Multi-level BOM'!F$3:F$464)</f>
        <v>0</v>
      </c>
      <c r="K616" s="11">
        <f>Table1[[#This Row],[extended quantity]]*(Table1[[#This Row],[Cost ]]+Table1[[#This Row],[shipping]]+Table1[[#This Row],[Tax]])</f>
        <v>0</v>
      </c>
      <c r="L616" s="11"/>
      <c r="M616" s="42"/>
      <c r="N616" s="53" t="e">
        <f>CEILING((Table1[[#This Row],[extended quantity]]-Table1[[#This Row],[quantity on-hand]])/Table1[[#This Row],[Minimum order quantity]],1)*Table1[[#This Row],[Minimum order quantity]]</f>
        <v>#DIV/0!</v>
      </c>
      <c r="O616" s="53" t="e">
        <f>Table1[[#This Row],[Order quantity]]+Table1[[#This Row],[quantity on-hand]]-Table1[[#This Row],[extended quantity]]</f>
        <v>#DIV/0!</v>
      </c>
      <c r="P616" s="11">
        <f>IFERROR(Table1[[#This Row],[Order quantity]]*(Table1[[#This Row],[Cost ]]+Table1[[#This Row],[shipping]]+Table1[[#This Row],[Tax]]),0)</f>
        <v>0</v>
      </c>
      <c r="Q616" s="38">
        <f>IFERROR(Table1[[#This Row],[leftover material]]*(Table1[[#This Row],[Cost ]]+Table1[[#This Row],[shipping]]+Table1[[#This Row],[Tax]]),0)</f>
        <v>0</v>
      </c>
      <c r="R616" s="38"/>
    </row>
    <row r="617" spans="1:18" x14ac:dyDescent="0.25">
      <c r="A617" s="1" t="s">
        <v>620</v>
      </c>
      <c r="B617" s="4"/>
      <c r="F617" s="3">
        <f>9%*Table1[[#This Row],[Cost ]]</f>
        <v>0</v>
      </c>
      <c r="J617" s="11">
        <f>SUMIF('Multi-level BOM'!C$3:C$464,Table1[[#This Row],[Part Number]],'Multi-level BOM'!F$3:F$464)</f>
        <v>0</v>
      </c>
      <c r="K617" s="11">
        <f>Table1[[#This Row],[extended quantity]]*(Table1[[#This Row],[Cost ]]+Table1[[#This Row],[shipping]]+Table1[[#This Row],[Tax]])</f>
        <v>0</v>
      </c>
      <c r="L617" s="11"/>
      <c r="M617" s="42"/>
      <c r="N617" s="53" t="e">
        <f>CEILING((Table1[[#This Row],[extended quantity]]-Table1[[#This Row],[quantity on-hand]])/Table1[[#This Row],[Minimum order quantity]],1)*Table1[[#This Row],[Minimum order quantity]]</f>
        <v>#DIV/0!</v>
      </c>
      <c r="O617" s="53" t="e">
        <f>Table1[[#This Row],[Order quantity]]+Table1[[#This Row],[quantity on-hand]]-Table1[[#This Row],[extended quantity]]</f>
        <v>#DIV/0!</v>
      </c>
      <c r="P617" s="11">
        <f>IFERROR(Table1[[#This Row],[Order quantity]]*(Table1[[#This Row],[Cost ]]+Table1[[#This Row],[shipping]]+Table1[[#This Row],[Tax]]),0)</f>
        <v>0</v>
      </c>
      <c r="Q617" s="38">
        <f>IFERROR(Table1[[#This Row],[leftover material]]*(Table1[[#This Row],[Cost ]]+Table1[[#This Row],[shipping]]+Table1[[#This Row],[Tax]]),0)</f>
        <v>0</v>
      </c>
      <c r="R617" s="38"/>
    </row>
    <row r="618" spans="1:18" x14ac:dyDescent="0.25">
      <c r="A618" s="1" t="s">
        <v>621</v>
      </c>
      <c r="B618" s="4"/>
      <c r="F618" s="3">
        <f>9%*Table1[[#This Row],[Cost ]]</f>
        <v>0</v>
      </c>
      <c r="J618" s="11">
        <f>SUMIF('Multi-level BOM'!C$3:C$464,Table1[[#This Row],[Part Number]],'Multi-level BOM'!F$3:F$464)</f>
        <v>0</v>
      </c>
      <c r="K618" s="11">
        <f>Table1[[#This Row],[extended quantity]]*(Table1[[#This Row],[Cost ]]+Table1[[#This Row],[shipping]]+Table1[[#This Row],[Tax]])</f>
        <v>0</v>
      </c>
      <c r="L618" s="11"/>
      <c r="M618" s="42"/>
      <c r="N618" s="53" t="e">
        <f>CEILING((Table1[[#This Row],[extended quantity]]-Table1[[#This Row],[quantity on-hand]])/Table1[[#This Row],[Minimum order quantity]],1)*Table1[[#This Row],[Minimum order quantity]]</f>
        <v>#DIV/0!</v>
      </c>
      <c r="O618" s="53" t="e">
        <f>Table1[[#This Row],[Order quantity]]+Table1[[#This Row],[quantity on-hand]]-Table1[[#This Row],[extended quantity]]</f>
        <v>#DIV/0!</v>
      </c>
      <c r="P618" s="11">
        <f>IFERROR(Table1[[#This Row],[Order quantity]]*(Table1[[#This Row],[Cost ]]+Table1[[#This Row],[shipping]]+Table1[[#This Row],[Tax]]),0)</f>
        <v>0</v>
      </c>
      <c r="Q618" s="38">
        <f>IFERROR(Table1[[#This Row],[leftover material]]*(Table1[[#This Row],[Cost ]]+Table1[[#This Row],[shipping]]+Table1[[#This Row],[Tax]]),0)</f>
        <v>0</v>
      </c>
      <c r="R618" s="38"/>
    </row>
    <row r="619" spans="1:18" x14ac:dyDescent="0.25">
      <c r="A619" s="1" t="s">
        <v>622</v>
      </c>
      <c r="B619" s="4"/>
      <c r="F619" s="3">
        <f>9%*Table1[[#This Row],[Cost ]]</f>
        <v>0</v>
      </c>
      <c r="J619" s="11">
        <f>SUMIF('Multi-level BOM'!C$3:C$464,Table1[[#This Row],[Part Number]],'Multi-level BOM'!F$3:F$464)</f>
        <v>0</v>
      </c>
      <c r="K619" s="11">
        <f>Table1[[#This Row],[extended quantity]]*(Table1[[#This Row],[Cost ]]+Table1[[#This Row],[shipping]]+Table1[[#This Row],[Tax]])</f>
        <v>0</v>
      </c>
      <c r="L619" s="11"/>
      <c r="M619" s="42"/>
      <c r="N619" s="53" t="e">
        <f>CEILING((Table1[[#This Row],[extended quantity]]-Table1[[#This Row],[quantity on-hand]])/Table1[[#This Row],[Minimum order quantity]],1)*Table1[[#This Row],[Minimum order quantity]]</f>
        <v>#DIV/0!</v>
      </c>
      <c r="O619" s="53" t="e">
        <f>Table1[[#This Row],[Order quantity]]+Table1[[#This Row],[quantity on-hand]]-Table1[[#This Row],[extended quantity]]</f>
        <v>#DIV/0!</v>
      </c>
      <c r="P619" s="11">
        <f>IFERROR(Table1[[#This Row],[Order quantity]]*(Table1[[#This Row],[Cost ]]+Table1[[#This Row],[shipping]]+Table1[[#This Row],[Tax]]),0)</f>
        <v>0</v>
      </c>
      <c r="Q619" s="38">
        <f>IFERROR(Table1[[#This Row],[leftover material]]*(Table1[[#This Row],[Cost ]]+Table1[[#This Row],[shipping]]+Table1[[#This Row],[Tax]]),0)</f>
        <v>0</v>
      </c>
      <c r="R619" s="38"/>
    </row>
    <row r="620" spans="1:18" x14ac:dyDescent="0.25">
      <c r="A620" s="1" t="s">
        <v>623</v>
      </c>
      <c r="B620" s="4"/>
      <c r="F620" s="3">
        <f>9%*Table1[[#This Row],[Cost ]]</f>
        <v>0</v>
      </c>
      <c r="J620" s="11">
        <f>SUMIF('Multi-level BOM'!C$3:C$464,Table1[[#This Row],[Part Number]],'Multi-level BOM'!F$3:F$464)</f>
        <v>0</v>
      </c>
      <c r="K620" s="11">
        <f>Table1[[#This Row],[extended quantity]]*(Table1[[#This Row],[Cost ]]+Table1[[#This Row],[shipping]]+Table1[[#This Row],[Tax]])</f>
        <v>0</v>
      </c>
      <c r="L620" s="11"/>
      <c r="M620" s="42"/>
      <c r="N620" s="53" t="e">
        <f>CEILING((Table1[[#This Row],[extended quantity]]-Table1[[#This Row],[quantity on-hand]])/Table1[[#This Row],[Minimum order quantity]],1)*Table1[[#This Row],[Minimum order quantity]]</f>
        <v>#DIV/0!</v>
      </c>
      <c r="O620" s="53" t="e">
        <f>Table1[[#This Row],[Order quantity]]+Table1[[#This Row],[quantity on-hand]]-Table1[[#This Row],[extended quantity]]</f>
        <v>#DIV/0!</v>
      </c>
      <c r="P620" s="11">
        <f>IFERROR(Table1[[#This Row],[Order quantity]]*(Table1[[#This Row],[Cost ]]+Table1[[#This Row],[shipping]]+Table1[[#This Row],[Tax]]),0)</f>
        <v>0</v>
      </c>
      <c r="Q620" s="38">
        <f>IFERROR(Table1[[#This Row],[leftover material]]*(Table1[[#This Row],[Cost ]]+Table1[[#This Row],[shipping]]+Table1[[#This Row],[Tax]]),0)</f>
        <v>0</v>
      </c>
      <c r="R620" s="38"/>
    </row>
    <row r="621" spans="1:18" x14ac:dyDescent="0.25">
      <c r="A621" s="1" t="s">
        <v>624</v>
      </c>
      <c r="B621" s="4"/>
      <c r="F621" s="3">
        <f>9%*Table1[[#This Row],[Cost ]]</f>
        <v>0</v>
      </c>
      <c r="J621" s="11">
        <f>SUMIF('Multi-level BOM'!C$3:C$464,Table1[[#This Row],[Part Number]],'Multi-level BOM'!F$3:F$464)</f>
        <v>0</v>
      </c>
      <c r="K621" s="11">
        <f>Table1[[#This Row],[extended quantity]]*(Table1[[#This Row],[Cost ]]+Table1[[#This Row],[shipping]]+Table1[[#This Row],[Tax]])</f>
        <v>0</v>
      </c>
      <c r="L621" s="11"/>
      <c r="M621" s="42"/>
      <c r="N621" s="53" t="e">
        <f>CEILING((Table1[[#This Row],[extended quantity]]-Table1[[#This Row],[quantity on-hand]])/Table1[[#This Row],[Minimum order quantity]],1)*Table1[[#This Row],[Minimum order quantity]]</f>
        <v>#DIV/0!</v>
      </c>
      <c r="O621" s="53" t="e">
        <f>Table1[[#This Row],[Order quantity]]+Table1[[#This Row],[quantity on-hand]]-Table1[[#This Row],[extended quantity]]</f>
        <v>#DIV/0!</v>
      </c>
      <c r="P621" s="11">
        <f>IFERROR(Table1[[#This Row],[Order quantity]]*(Table1[[#This Row],[Cost ]]+Table1[[#This Row],[shipping]]+Table1[[#This Row],[Tax]]),0)</f>
        <v>0</v>
      </c>
      <c r="Q621" s="38">
        <f>IFERROR(Table1[[#This Row],[leftover material]]*(Table1[[#This Row],[Cost ]]+Table1[[#This Row],[shipping]]+Table1[[#This Row],[Tax]]),0)</f>
        <v>0</v>
      </c>
      <c r="R621" s="38"/>
    </row>
    <row r="622" spans="1:18" x14ac:dyDescent="0.25">
      <c r="A622" s="1" t="s">
        <v>625</v>
      </c>
      <c r="B622" s="4"/>
      <c r="F622" s="3">
        <f>9%*Table1[[#This Row],[Cost ]]</f>
        <v>0</v>
      </c>
      <c r="J622" s="11">
        <f>SUMIF('Multi-level BOM'!C$3:C$464,Table1[[#This Row],[Part Number]],'Multi-level BOM'!F$3:F$464)</f>
        <v>0</v>
      </c>
      <c r="K622" s="11">
        <f>Table1[[#This Row],[extended quantity]]*(Table1[[#This Row],[Cost ]]+Table1[[#This Row],[shipping]]+Table1[[#This Row],[Tax]])</f>
        <v>0</v>
      </c>
      <c r="L622" s="11"/>
      <c r="M622" s="42"/>
      <c r="N622" s="53" t="e">
        <f>CEILING((Table1[[#This Row],[extended quantity]]-Table1[[#This Row],[quantity on-hand]])/Table1[[#This Row],[Minimum order quantity]],1)*Table1[[#This Row],[Minimum order quantity]]</f>
        <v>#DIV/0!</v>
      </c>
      <c r="O622" s="53" t="e">
        <f>Table1[[#This Row],[Order quantity]]+Table1[[#This Row],[quantity on-hand]]-Table1[[#This Row],[extended quantity]]</f>
        <v>#DIV/0!</v>
      </c>
      <c r="P622" s="11">
        <f>IFERROR(Table1[[#This Row],[Order quantity]]*(Table1[[#This Row],[Cost ]]+Table1[[#This Row],[shipping]]+Table1[[#This Row],[Tax]]),0)</f>
        <v>0</v>
      </c>
      <c r="Q622" s="38">
        <f>IFERROR(Table1[[#This Row],[leftover material]]*(Table1[[#This Row],[Cost ]]+Table1[[#This Row],[shipping]]+Table1[[#This Row],[Tax]]),0)</f>
        <v>0</v>
      </c>
      <c r="R622" s="38"/>
    </row>
    <row r="623" spans="1:18" x14ac:dyDescent="0.25">
      <c r="A623" s="1" t="s">
        <v>626</v>
      </c>
      <c r="B623" s="4"/>
      <c r="F623" s="3">
        <f>9%*Table1[[#This Row],[Cost ]]</f>
        <v>0</v>
      </c>
      <c r="J623" s="11">
        <f>SUMIF('Multi-level BOM'!C$3:C$464,Table1[[#This Row],[Part Number]],'Multi-level BOM'!F$3:F$464)</f>
        <v>0</v>
      </c>
      <c r="K623" s="11">
        <f>Table1[[#This Row],[extended quantity]]*(Table1[[#This Row],[Cost ]]+Table1[[#This Row],[shipping]]+Table1[[#This Row],[Tax]])</f>
        <v>0</v>
      </c>
      <c r="L623" s="11"/>
      <c r="M623" s="42"/>
      <c r="N623" s="53" t="e">
        <f>CEILING((Table1[[#This Row],[extended quantity]]-Table1[[#This Row],[quantity on-hand]])/Table1[[#This Row],[Minimum order quantity]],1)*Table1[[#This Row],[Minimum order quantity]]</f>
        <v>#DIV/0!</v>
      </c>
      <c r="O623" s="53" t="e">
        <f>Table1[[#This Row],[Order quantity]]+Table1[[#This Row],[quantity on-hand]]-Table1[[#This Row],[extended quantity]]</f>
        <v>#DIV/0!</v>
      </c>
      <c r="P623" s="11">
        <f>IFERROR(Table1[[#This Row],[Order quantity]]*(Table1[[#This Row],[Cost ]]+Table1[[#This Row],[shipping]]+Table1[[#This Row],[Tax]]),0)</f>
        <v>0</v>
      </c>
      <c r="Q623" s="38">
        <f>IFERROR(Table1[[#This Row],[leftover material]]*(Table1[[#This Row],[Cost ]]+Table1[[#This Row],[shipping]]+Table1[[#This Row],[Tax]]),0)</f>
        <v>0</v>
      </c>
      <c r="R623" s="38"/>
    </row>
    <row r="624" spans="1:18" x14ac:dyDescent="0.25">
      <c r="A624" s="1" t="s">
        <v>627</v>
      </c>
      <c r="B624" s="4"/>
      <c r="F624" s="3">
        <f>9%*Table1[[#This Row],[Cost ]]</f>
        <v>0</v>
      </c>
      <c r="J624" s="11">
        <f>SUMIF('Multi-level BOM'!C$3:C$464,Table1[[#This Row],[Part Number]],'Multi-level BOM'!F$3:F$464)</f>
        <v>0</v>
      </c>
      <c r="K624" s="11">
        <f>Table1[[#This Row],[extended quantity]]*(Table1[[#This Row],[Cost ]]+Table1[[#This Row],[shipping]]+Table1[[#This Row],[Tax]])</f>
        <v>0</v>
      </c>
      <c r="L624" s="11"/>
      <c r="M624" s="42"/>
      <c r="N624" s="53" t="e">
        <f>CEILING((Table1[[#This Row],[extended quantity]]-Table1[[#This Row],[quantity on-hand]])/Table1[[#This Row],[Minimum order quantity]],1)*Table1[[#This Row],[Minimum order quantity]]</f>
        <v>#DIV/0!</v>
      </c>
      <c r="O624" s="53" t="e">
        <f>Table1[[#This Row],[Order quantity]]+Table1[[#This Row],[quantity on-hand]]-Table1[[#This Row],[extended quantity]]</f>
        <v>#DIV/0!</v>
      </c>
      <c r="P624" s="11">
        <f>IFERROR(Table1[[#This Row],[Order quantity]]*(Table1[[#This Row],[Cost ]]+Table1[[#This Row],[shipping]]+Table1[[#This Row],[Tax]]),0)</f>
        <v>0</v>
      </c>
      <c r="Q624" s="38">
        <f>IFERROR(Table1[[#This Row],[leftover material]]*(Table1[[#This Row],[Cost ]]+Table1[[#This Row],[shipping]]+Table1[[#This Row],[Tax]]),0)</f>
        <v>0</v>
      </c>
      <c r="R624" s="38"/>
    </row>
    <row r="625" spans="1:18" x14ac:dyDescent="0.25">
      <c r="A625" s="1" t="s">
        <v>628</v>
      </c>
      <c r="B625" s="4"/>
      <c r="F625" s="3">
        <f>9%*Table1[[#This Row],[Cost ]]</f>
        <v>0</v>
      </c>
      <c r="J625" s="11">
        <f>SUMIF('Multi-level BOM'!C$3:C$464,Table1[[#This Row],[Part Number]],'Multi-level BOM'!F$3:F$464)</f>
        <v>0</v>
      </c>
      <c r="K625" s="11">
        <f>Table1[[#This Row],[extended quantity]]*(Table1[[#This Row],[Cost ]]+Table1[[#This Row],[shipping]]+Table1[[#This Row],[Tax]])</f>
        <v>0</v>
      </c>
      <c r="L625" s="11"/>
      <c r="M625" s="42"/>
      <c r="N625" s="53" t="e">
        <f>CEILING((Table1[[#This Row],[extended quantity]]-Table1[[#This Row],[quantity on-hand]])/Table1[[#This Row],[Minimum order quantity]],1)*Table1[[#This Row],[Minimum order quantity]]</f>
        <v>#DIV/0!</v>
      </c>
      <c r="O625" s="53" t="e">
        <f>Table1[[#This Row],[Order quantity]]+Table1[[#This Row],[quantity on-hand]]-Table1[[#This Row],[extended quantity]]</f>
        <v>#DIV/0!</v>
      </c>
      <c r="P625" s="11">
        <f>IFERROR(Table1[[#This Row],[Order quantity]]*(Table1[[#This Row],[Cost ]]+Table1[[#This Row],[shipping]]+Table1[[#This Row],[Tax]]),0)</f>
        <v>0</v>
      </c>
      <c r="Q625" s="38">
        <f>IFERROR(Table1[[#This Row],[leftover material]]*(Table1[[#This Row],[Cost ]]+Table1[[#This Row],[shipping]]+Table1[[#This Row],[Tax]]),0)</f>
        <v>0</v>
      </c>
      <c r="R625" s="38"/>
    </row>
    <row r="626" spans="1:18" x14ac:dyDescent="0.25">
      <c r="A626" s="1" t="s">
        <v>629</v>
      </c>
      <c r="B626" s="4"/>
      <c r="F626" s="3">
        <f>9%*Table1[[#This Row],[Cost ]]</f>
        <v>0</v>
      </c>
      <c r="J626" s="11">
        <f>SUMIF('Multi-level BOM'!C$3:C$464,Table1[[#This Row],[Part Number]],'Multi-level BOM'!F$3:F$464)</f>
        <v>0</v>
      </c>
      <c r="K626" s="11">
        <f>Table1[[#This Row],[extended quantity]]*(Table1[[#This Row],[Cost ]]+Table1[[#This Row],[shipping]]+Table1[[#This Row],[Tax]])</f>
        <v>0</v>
      </c>
      <c r="L626" s="11"/>
      <c r="M626" s="42"/>
      <c r="N626" s="53" t="e">
        <f>CEILING((Table1[[#This Row],[extended quantity]]-Table1[[#This Row],[quantity on-hand]])/Table1[[#This Row],[Minimum order quantity]],1)*Table1[[#This Row],[Minimum order quantity]]</f>
        <v>#DIV/0!</v>
      </c>
      <c r="O626" s="53" t="e">
        <f>Table1[[#This Row],[Order quantity]]+Table1[[#This Row],[quantity on-hand]]-Table1[[#This Row],[extended quantity]]</f>
        <v>#DIV/0!</v>
      </c>
      <c r="P626" s="11">
        <f>IFERROR(Table1[[#This Row],[Order quantity]]*(Table1[[#This Row],[Cost ]]+Table1[[#This Row],[shipping]]+Table1[[#This Row],[Tax]]),0)</f>
        <v>0</v>
      </c>
      <c r="Q626" s="38">
        <f>IFERROR(Table1[[#This Row],[leftover material]]*(Table1[[#This Row],[Cost ]]+Table1[[#This Row],[shipping]]+Table1[[#This Row],[Tax]]),0)</f>
        <v>0</v>
      </c>
      <c r="R626" s="38"/>
    </row>
    <row r="627" spans="1:18" x14ac:dyDescent="0.25">
      <c r="A627" s="1" t="s">
        <v>630</v>
      </c>
      <c r="B627" s="4"/>
      <c r="F627" s="3">
        <f>9%*Table1[[#This Row],[Cost ]]</f>
        <v>0</v>
      </c>
      <c r="J627" s="11">
        <f>SUMIF('Multi-level BOM'!C$3:C$464,Table1[[#This Row],[Part Number]],'Multi-level BOM'!F$3:F$464)</f>
        <v>0</v>
      </c>
      <c r="K627" s="11">
        <f>Table1[[#This Row],[extended quantity]]*(Table1[[#This Row],[Cost ]]+Table1[[#This Row],[shipping]]+Table1[[#This Row],[Tax]])</f>
        <v>0</v>
      </c>
      <c r="L627" s="11"/>
      <c r="M627" s="42"/>
      <c r="N627" s="53" t="e">
        <f>CEILING((Table1[[#This Row],[extended quantity]]-Table1[[#This Row],[quantity on-hand]])/Table1[[#This Row],[Minimum order quantity]],1)*Table1[[#This Row],[Minimum order quantity]]</f>
        <v>#DIV/0!</v>
      </c>
      <c r="O627" s="53" t="e">
        <f>Table1[[#This Row],[Order quantity]]+Table1[[#This Row],[quantity on-hand]]-Table1[[#This Row],[extended quantity]]</f>
        <v>#DIV/0!</v>
      </c>
      <c r="P627" s="11">
        <f>IFERROR(Table1[[#This Row],[Order quantity]]*(Table1[[#This Row],[Cost ]]+Table1[[#This Row],[shipping]]+Table1[[#This Row],[Tax]]),0)</f>
        <v>0</v>
      </c>
      <c r="Q627" s="38">
        <f>IFERROR(Table1[[#This Row],[leftover material]]*(Table1[[#This Row],[Cost ]]+Table1[[#This Row],[shipping]]+Table1[[#This Row],[Tax]]),0)</f>
        <v>0</v>
      </c>
      <c r="R627" s="38"/>
    </row>
    <row r="628" spans="1:18" x14ac:dyDescent="0.25">
      <c r="A628" s="1" t="s">
        <v>631</v>
      </c>
      <c r="B628" s="4"/>
      <c r="F628" s="3">
        <f>9%*Table1[[#This Row],[Cost ]]</f>
        <v>0</v>
      </c>
      <c r="J628" s="11">
        <f>SUMIF('Multi-level BOM'!C$3:C$464,Table1[[#This Row],[Part Number]],'Multi-level BOM'!F$3:F$464)</f>
        <v>0</v>
      </c>
      <c r="K628" s="11">
        <f>Table1[[#This Row],[extended quantity]]*(Table1[[#This Row],[Cost ]]+Table1[[#This Row],[shipping]]+Table1[[#This Row],[Tax]])</f>
        <v>0</v>
      </c>
      <c r="L628" s="11"/>
      <c r="M628" s="42"/>
      <c r="N628" s="53" t="e">
        <f>CEILING((Table1[[#This Row],[extended quantity]]-Table1[[#This Row],[quantity on-hand]])/Table1[[#This Row],[Minimum order quantity]],1)*Table1[[#This Row],[Minimum order quantity]]</f>
        <v>#DIV/0!</v>
      </c>
      <c r="O628" s="53" t="e">
        <f>Table1[[#This Row],[Order quantity]]+Table1[[#This Row],[quantity on-hand]]-Table1[[#This Row],[extended quantity]]</f>
        <v>#DIV/0!</v>
      </c>
      <c r="P628" s="11">
        <f>IFERROR(Table1[[#This Row],[Order quantity]]*(Table1[[#This Row],[Cost ]]+Table1[[#This Row],[shipping]]+Table1[[#This Row],[Tax]]),0)</f>
        <v>0</v>
      </c>
      <c r="Q628" s="38">
        <f>IFERROR(Table1[[#This Row],[leftover material]]*(Table1[[#This Row],[Cost ]]+Table1[[#This Row],[shipping]]+Table1[[#This Row],[Tax]]),0)</f>
        <v>0</v>
      </c>
      <c r="R628" s="38"/>
    </row>
    <row r="629" spans="1:18" x14ac:dyDescent="0.25">
      <c r="A629" s="1" t="s">
        <v>632</v>
      </c>
      <c r="B629" s="4"/>
      <c r="F629" s="3">
        <f>9%*Table1[[#This Row],[Cost ]]</f>
        <v>0</v>
      </c>
      <c r="J629" s="11">
        <f>SUMIF('Multi-level BOM'!C$3:C$464,Table1[[#This Row],[Part Number]],'Multi-level BOM'!F$3:F$464)</f>
        <v>0</v>
      </c>
      <c r="K629" s="11">
        <f>Table1[[#This Row],[extended quantity]]*(Table1[[#This Row],[Cost ]]+Table1[[#This Row],[shipping]]+Table1[[#This Row],[Tax]])</f>
        <v>0</v>
      </c>
      <c r="L629" s="11"/>
      <c r="M629" s="42"/>
      <c r="N629" s="53" t="e">
        <f>CEILING((Table1[[#This Row],[extended quantity]]-Table1[[#This Row],[quantity on-hand]])/Table1[[#This Row],[Minimum order quantity]],1)*Table1[[#This Row],[Minimum order quantity]]</f>
        <v>#DIV/0!</v>
      </c>
      <c r="O629" s="53" t="e">
        <f>Table1[[#This Row],[Order quantity]]+Table1[[#This Row],[quantity on-hand]]-Table1[[#This Row],[extended quantity]]</f>
        <v>#DIV/0!</v>
      </c>
      <c r="P629" s="11">
        <f>IFERROR(Table1[[#This Row],[Order quantity]]*(Table1[[#This Row],[Cost ]]+Table1[[#This Row],[shipping]]+Table1[[#This Row],[Tax]]),0)</f>
        <v>0</v>
      </c>
      <c r="Q629" s="38">
        <f>IFERROR(Table1[[#This Row],[leftover material]]*(Table1[[#This Row],[Cost ]]+Table1[[#This Row],[shipping]]+Table1[[#This Row],[Tax]]),0)</f>
        <v>0</v>
      </c>
      <c r="R629" s="38"/>
    </row>
    <row r="630" spans="1:18" x14ac:dyDescent="0.25">
      <c r="A630" s="1" t="s">
        <v>633</v>
      </c>
      <c r="B630" s="4"/>
      <c r="F630" s="3">
        <f>9%*Table1[[#This Row],[Cost ]]</f>
        <v>0</v>
      </c>
      <c r="J630" s="11">
        <f>SUMIF('Multi-level BOM'!C$3:C$464,Table1[[#This Row],[Part Number]],'Multi-level BOM'!F$3:F$464)</f>
        <v>0</v>
      </c>
      <c r="K630" s="11">
        <f>Table1[[#This Row],[extended quantity]]*(Table1[[#This Row],[Cost ]]+Table1[[#This Row],[shipping]]+Table1[[#This Row],[Tax]])</f>
        <v>0</v>
      </c>
      <c r="L630" s="11"/>
      <c r="M630" s="42"/>
      <c r="N630" s="53" t="e">
        <f>CEILING((Table1[[#This Row],[extended quantity]]-Table1[[#This Row],[quantity on-hand]])/Table1[[#This Row],[Minimum order quantity]],1)*Table1[[#This Row],[Minimum order quantity]]</f>
        <v>#DIV/0!</v>
      </c>
      <c r="O630" s="53" t="e">
        <f>Table1[[#This Row],[Order quantity]]+Table1[[#This Row],[quantity on-hand]]-Table1[[#This Row],[extended quantity]]</f>
        <v>#DIV/0!</v>
      </c>
      <c r="P630" s="11">
        <f>IFERROR(Table1[[#This Row],[Order quantity]]*(Table1[[#This Row],[Cost ]]+Table1[[#This Row],[shipping]]+Table1[[#This Row],[Tax]]),0)</f>
        <v>0</v>
      </c>
      <c r="Q630" s="38">
        <f>IFERROR(Table1[[#This Row],[leftover material]]*(Table1[[#This Row],[Cost ]]+Table1[[#This Row],[shipping]]+Table1[[#This Row],[Tax]]),0)</f>
        <v>0</v>
      </c>
      <c r="R630" s="38"/>
    </row>
    <row r="631" spans="1:18" x14ac:dyDescent="0.25">
      <c r="A631" s="1" t="s">
        <v>634</v>
      </c>
      <c r="B631" s="4"/>
      <c r="F631" s="3">
        <f>9%*Table1[[#This Row],[Cost ]]</f>
        <v>0</v>
      </c>
      <c r="J631" s="11">
        <f>SUMIF('Multi-level BOM'!C$3:C$464,Table1[[#This Row],[Part Number]],'Multi-level BOM'!F$3:F$464)</f>
        <v>0</v>
      </c>
      <c r="K631" s="11">
        <f>Table1[[#This Row],[extended quantity]]*(Table1[[#This Row],[Cost ]]+Table1[[#This Row],[shipping]]+Table1[[#This Row],[Tax]])</f>
        <v>0</v>
      </c>
      <c r="L631" s="11"/>
      <c r="M631" s="42"/>
      <c r="N631" s="53" t="e">
        <f>CEILING((Table1[[#This Row],[extended quantity]]-Table1[[#This Row],[quantity on-hand]])/Table1[[#This Row],[Minimum order quantity]],1)*Table1[[#This Row],[Minimum order quantity]]</f>
        <v>#DIV/0!</v>
      </c>
      <c r="O631" s="53" t="e">
        <f>Table1[[#This Row],[Order quantity]]+Table1[[#This Row],[quantity on-hand]]-Table1[[#This Row],[extended quantity]]</f>
        <v>#DIV/0!</v>
      </c>
      <c r="P631" s="11">
        <f>IFERROR(Table1[[#This Row],[Order quantity]]*(Table1[[#This Row],[Cost ]]+Table1[[#This Row],[shipping]]+Table1[[#This Row],[Tax]]),0)</f>
        <v>0</v>
      </c>
      <c r="Q631" s="38">
        <f>IFERROR(Table1[[#This Row],[leftover material]]*(Table1[[#This Row],[Cost ]]+Table1[[#This Row],[shipping]]+Table1[[#This Row],[Tax]]),0)</f>
        <v>0</v>
      </c>
      <c r="R631" s="38"/>
    </row>
    <row r="632" spans="1:18" x14ac:dyDescent="0.25">
      <c r="A632" s="1" t="s">
        <v>635</v>
      </c>
      <c r="B632" s="4"/>
      <c r="F632" s="3">
        <f>9%*Table1[[#This Row],[Cost ]]</f>
        <v>0</v>
      </c>
      <c r="J632" s="11">
        <f>SUMIF('Multi-level BOM'!C$3:C$464,Table1[[#This Row],[Part Number]],'Multi-level BOM'!F$3:F$464)</f>
        <v>0</v>
      </c>
      <c r="K632" s="11">
        <f>Table1[[#This Row],[extended quantity]]*(Table1[[#This Row],[Cost ]]+Table1[[#This Row],[shipping]]+Table1[[#This Row],[Tax]])</f>
        <v>0</v>
      </c>
      <c r="L632" s="11"/>
      <c r="M632" s="42"/>
      <c r="N632" s="53" t="e">
        <f>CEILING((Table1[[#This Row],[extended quantity]]-Table1[[#This Row],[quantity on-hand]])/Table1[[#This Row],[Minimum order quantity]],1)*Table1[[#This Row],[Minimum order quantity]]</f>
        <v>#DIV/0!</v>
      </c>
      <c r="O632" s="53" t="e">
        <f>Table1[[#This Row],[Order quantity]]+Table1[[#This Row],[quantity on-hand]]-Table1[[#This Row],[extended quantity]]</f>
        <v>#DIV/0!</v>
      </c>
      <c r="P632" s="11">
        <f>IFERROR(Table1[[#This Row],[Order quantity]]*(Table1[[#This Row],[Cost ]]+Table1[[#This Row],[shipping]]+Table1[[#This Row],[Tax]]),0)</f>
        <v>0</v>
      </c>
      <c r="Q632" s="38">
        <f>IFERROR(Table1[[#This Row],[leftover material]]*(Table1[[#This Row],[Cost ]]+Table1[[#This Row],[shipping]]+Table1[[#This Row],[Tax]]),0)</f>
        <v>0</v>
      </c>
      <c r="R632" s="38"/>
    </row>
    <row r="633" spans="1:18" x14ac:dyDescent="0.25">
      <c r="A633" s="1" t="s">
        <v>636</v>
      </c>
      <c r="B633" s="4"/>
      <c r="F633" s="3">
        <f>9%*Table1[[#This Row],[Cost ]]</f>
        <v>0</v>
      </c>
      <c r="J633" s="11">
        <f>SUMIF('Multi-level BOM'!C$3:C$464,Table1[[#This Row],[Part Number]],'Multi-level BOM'!F$3:F$464)</f>
        <v>0</v>
      </c>
      <c r="K633" s="11">
        <f>Table1[[#This Row],[extended quantity]]*(Table1[[#This Row],[Cost ]]+Table1[[#This Row],[shipping]]+Table1[[#This Row],[Tax]])</f>
        <v>0</v>
      </c>
      <c r="L633" s="11"/>
      <c r="M633" s="42"/>
      <c r="N633" s="53" t="e">
        <f>CEILING((Table1[[#This Row],[extended quantity]]-Table1[[#This Row],[quantity on-hand]])/Table1[[#This Row],[Minimum order quantity]],1)*Table1[[#This Row],[Minimum order quantity]]</f>
        <v>#DIV/0!</v>
      </c>
      <c r="O633" s="53" t="e">
        <f>Table1[[#This Row],[Order quantity]]+Table1[[#This Row],[quantity on-hand]]-Table1[[#This Row],[extended quantity]]</f>
        <v>#DIV/0!</v>
      </c>
      <c r="P633" s="11">
        <f>IFERROR(Table1[[#This Row],[Order quantity]]*(Table1[[#This Row],[Cost ]]+Table1[[#This Row],[shipping]]+Table1[[#This Row],[Tax]]),0)</f>
        <v>0</v>
      </c>
      <c r="Q633" s="38">
        <f>IFERROR(Table1[[#This Row],[leftover material]]*(Table1[[#This Row],[Cost ]]+Table1[[#This Row],[shipping]]+Table1[[#This Row],[Tax]]),0)</f>
        <v>0</v>
      </c>
      <c r="R633" s="38"/>
    </row>
    <row r="634" spans="1:18" x14ac:dyDescent="0.25">
      <c r="A634" s="1" t="s">
        <v>637</v>
      </c>
      <c r="B634" s="4"/>
      <c r="F634" s="3">
        <f>9%*Table1[[#This Row],[Cost ]]</f>
        <v>0</v>
      </c>
      <c r="J634" s="11">
        <f>SUMIF('Multi-level BOM'!C$3:C$464,Table1[[#This Row],[Part Number]],'Multi-level BOM'!F$3:F$464)</f>
        <v>0</v>
      </c>
      <c r="K634" s="11">
        <f>Table1[[#This Row],[extended quantity]]*(Table1[[#This Row],[Cost ]]+Table1[[#This Row],[shipping]]+Table1[[#This Row],[Tax]])</f>
        <v>0</v>
      </c>
      <c r="L634" s="11"/>
      <c r="M634" s="42"/>
      <c r="N634" s="53" t="e">
        <f>CEILING((Table1[[#This Row],[extended quantity]]-Table1[[#This Row],[quantity on-hand]])/Table1[[#This Row],[Minimum order quantity]],1)*Table1[[#This Row],[Minimum order quantity]]</f>
        <v>#DIV/0!</v>
      </c>
      <c r="O634" s="53" t="e">
        <f>Table1[[#This Row],[Order quantity]]+Table1[[#This Row],[quantity on-hand]]-Table1[[#This Row],[extended quantity]]</f>
        <v>#DIV/0!</v>
      </c>
      <c r="P634" s="11">
        <f>IFERROR(Table1[[#This Row],[Order quantity]]*(Table1[[#This Row],[Cost ]]+Table1[[#This Row],[shipping]]+Table1[[#This Row],[Tax]]),0)</f>
        <v>0</v>
      </c>
      <c r="Q634" s="38">
        <f>IFERROR(Table1[[#This Row],[leftover material]]*(Table1[[#This Row],[Cost ]]+Table1[[#This Row],[shipping]]+Table1[[#This Row],[Tax]]),0)</f>
        <v>0</v>
      </c>
      <c r="R634" s="38"/>
    </row>
    <row r="635" spans="1:18" x14ac:dyDescent="0.25">
      <c r="A635" s="1" t="s">
        <v>638</v>
      </c>
      <c r="B635" s="4"/>
      <c r="F635" s="3">
        <f>9%*Table1[[#This Row],[Cost ]]</f>
        <v>0</v>
      </c>
      <c r="J635" s="11">
        <f>SUMIF('Multi-level BOM'!C$3:C$464,Table1[[#This Row],[Part Number]],'Multi-level BOM'!F$3:F$464)</f>
        <v>0</v>
      </c>
      <c r="K635" s="11">
        <f>Table1[[#This Row],[extended quantity]]*(Table1[[#This Row],[Cost ]]+Table1[[#This Row],[shipping]]+Table1[[#This Row],[Tax]])</f>
        <v>0</v>
      </c>
      <c r="L635" s="11"/>
      <c r="M635" s="42"/>
      <c r="N635" s="53" t="e">
        <f>CEILING((Table1[[#This Row],[extended quantity]]-Table1[[#This Row],[quantity on-hand]])/Table1[[#This Row],[Minimum order quantity]],1)*Table1[[#This Row],[Minimum order quantity]]</f>
        <v>#DIV/0!</v>
      </c>
      <c r="O635" s="53" t="e">
        <f>Table1[[#This Row],[Order quantity]]+Table1[[#This Row],[quantity on-hand]]-Table1[[#This Row],[extended quantity]]</f>
        <v>#DIV/0!</v>
      </c>
      <c r="P635" s="11">
        <f>IFERROR(Table1[[#This Row],[Order quantity]]*(Table1[[#This Row],[Cost ]]+Table1[[#This Row],[shipping]]+Table1[[#This Row],[Tax]]),0)</f>
        <v>0</v>
      </c>
      <c r="Q635" s="38">
        <f>IFERROR(Table1[[#This Row],[leftover material]]*(Table1[[#This Row],[Cost ]]+Table1[[#This Row],[shipping]]+Table1[[#This Row],[Tax]]),0)</f>
        <v>0</v>
      </c>
      <c r="R635" s="38"/>
    </row>
    <row r="637" spans="1:18" x14ac:dyDescent="0.25">
      <c r="M637" s="40" t="s">
        <v>709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9" r:id="rId6"/>
    <hyperlink ref="G40" r:id="rId7"/>
    <hyperlink ref="G37" r:id="rId8"/>
    <hyperlink ref="G56" r:id="rId9"/>
    <hyperlink ref="G22" r:id="rId10"/>
    <hyperlink ref="G23" r:id="rId11"/>
  </hyperlinks>
  <pageMargins left="0.7" right="0.7" top="0.75" bottom="0.75" header="0.3" footer="0.3"/>
  <pageSetup orientation="portrait" r:id="rId12"/>
  <tableParts count="1"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3" sqref="A3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G1" s="21"/>
      <c r="H1" s="22" t="s">
        <v>767</v>
      </c>
      <c r="I1" s="23"/>
      <c r="L1" s="21"/>
      <c r="M1" s="22" t="s">
        <v>784</v>
      </c>
      <c r="N1" s="23"/>
    </row>
    <row r="2" spans="1:14" x14ac:dyDescent="0.25">
      <c r="A2">
        <v>597</v>
      </c>
      <c r="B2">
        <f>A2/25.4</f>
        <v>23.503937007874018</v>
      </c>
      <c r="G2" s="24"/>
      <c r="H2" s="25">
        <v>0.9</v>
      </c>
      <c r="I2" s="26" t="s">
        <v>761</v>
      </c>
      <c r="L2" s="24"/>
      <c r="M2" s="31">
        <v>5.9</v>
      </c>
      <c r="N2" s="26" t="s">
        <v>752</v>
      </c>
    </row>
    <row r="3" spans="1:14" x14ac:dyDescent="0.25">
      <c r="A3">
        <v>690</v>
      </c>
      <c r="B3">
        <f>A3/25.4</f>
        <v>27.165354330708663</v>
      </c>
      <c r="G3" s="24"/>
      <c r="H3" s="25">
        <v>6</v>
      </c>
      <c r="I3" s="26" t="s">
        <v>762</v>
      </c>
      <c r="L3" s="24"/>
      <c r="M3" s="25">
        <v>0.9</v>
      </c>
      <c r="N3" s="26" t="s">
        <v>766</v>
      </c>
    </row>
    <row r="4" spans="1:14" x14ac:dyDescent="0.25">
      <c r="G4" s="24"/>
      <c r="H4" s="25">
        <v>0.25</v>
      </c>
      <c r="I4" s="26" t="s">
        <v>763</v>
      </c>
      <c r="L4" s="24"/>
      <c r="M4" s="25">
        <v>6</v>
      </c>
      <c r="N4" s="26" t="s">
        <v>762</v>
      </c>
    </row>
    <row r="5" spans="1:14" x14ac:dyDescent="0.25">
      <c r="G5" s="24"/>
      <c r="H5" s="25">
        <v>6</v>
      </c>
      <c r="I5" s="26" t="s">
        <v>762</v>
      </c>
      <c r="L5" s="24"/>
      <c r="M5" s="25">
        <v>0.25</v>
      </c>
      <c r="N5" s="26" t="s">
        <v>763</v>
      </c>
    </row>
    <row r="6" spans="1:14" x14ac:dyDescent="0.25">
      <c r="G6" s="24">
        <v>34.25</v>
      </c>
      <c r="H6" s="25">
        <f>G6</f>
        <v>34.25</v>
      </c>
      <c r="I6" s="26" t="s">
        <v>764</v>
      </c>
      <c r="L6" s="24"/>
      <c r="M6" s="25">
        <v>6</v>
      </c>
      <c r="N6" s="26" t="s">
        <v>762</v>
      </c>
    </row>
    <row r="7" spans="1:14" x14ac:dyDescent="0.25">
      <c r="A7">
        <v>24</v>
      </c>
      <c r="B7">
        <f>25.4*A7</f>
        <v>609.59999999999991</v>
      </c>
      <c r="G7" s="24"/>
      <c r="H7" s="25">
        <v>9.52</v>
      </c>
      <c r="I7" s="26" t="s">
        <v>765</v>
      </c>
      <c r="L7" s="24"/>
      <c r="M7" s="25">
        <v>11.9</v>
      </c>
      <c r="N7" s="26" t="s">
        <v>766</v>
      </c>
    </row>
    <row r="8" spans="1:14" ht="15.75" thickBot="1" x14ac:dyDescent="0.3">
      <c r="A8">
        <v>48</v>
      </c>
      <c r="B8">
        <f>25.4*A8</f>
        <v>1219.1999999999998</v>
      </c>
      <c r="G8" s="24"/>
      <c r="H8" s="25">
        <v>0.9</v>
      </c>
      <c r="I8" s="26" t="s">
        <v>766</v>
      </c>
      <c r="L8" s="24"/>
      <c r="M8" s="20">
        <v>0.9</v>
      </c>
      <c r="N8" s="26" t="s">
        <v>785</v>
      </c>
    </row>
    <row r="9" spans="1:14" ht="16.5" thickTop="1" thickBot="1" x14ac:dyDescent="0.3">
      <c r="G9" s="24"/>
      <c r="H9" s="20">
        <v>5.9</v>
      </c>
      <c r="I9" s="26" t="s">
        <v>752</v>
      </c>
      <c r="L9" s="27"/>
      <c r="M9" s="28">
        <f>SUM(M2:M8)</f>
        <v>31.85</v>
      </c>
      <c r="N9" s="29"/>
    </row>
    <row r="10" spans="1:14" ht="16.5" thickTop="1" thickBot="1" x14ac:dyDescent="0.3">
      <c r="G10" s="27"/>
      <c r="H10" s="28">
        <f>SUM(H2:H9)</f>
        <v>63.72</v>
      </c>
      <c r="I10" s="29"/>
    </row>
    <row r="11" spans="1:14" ht="15.75" thickBot="1" x14ac:dyDescent="0.3"/>
    <row r="12" spans="1:14" x14ac:dyDescent="0.25">
      <c r="G12" s="21"/>
      <c r="H12" s="22" t="s">
        <v>768</v>
      </c>
      <c r="I12" s="23"/>
    </row>
    <row r="13" spans="1:14" x14ac:dyDescent="0.25">
      <c r="G13" s="24"/>
      <c r="H13" s="25">
        <v>0.9</v>
      </c>
      <c r="I13" s="26" t="s">
        <v>761</v>
      </c>
    </row>
    <row r="14" spans="1:14" x14ac:dyDescent="0.25">
      <c r="G14" s="24"/>
      <c r="H14" s="25">
        <v>6</v>
      </c>
      <c r="I14" s="26" t="s">
        <v>769</v>
      </c>
    </row>
    <row r="15" spans="1:14" x14ac:dyDescent="0.25">
      <c r="G15" s="24">
        <v>49.5</v>
      </c>
      <c r="H15" s="25">
        <f>G15</f>
        <v>49.5</v>
      </c>
      <c r="I15" s="26" t="s">
        <v>764</v>
      </c>
    </row>
    <row r="16" spans="1:14" x14ac:dyDescent="0.25">
      <c r="G16" s="24"/>
      <c r="H16" s="25">
        <v>9.52</v>
      </c>
      <c r="I16" s="26" t="s">
        <v>765</v>
      </c>
    </row>
    <row r="17" spans="7:14" x14ac:dyDescent="0.25">
      <c r="G17" s="24"/>
      <c r="H17" s="25">
        <v>0.9</v>
      </c>
      <c r="I17" s="26" t="s">
        <v>766</v>
      </c>
    </row>
    <row r="18" spans="7:14" ht="15.75" thickBot="1" x14ac:dyDescent="0.3">
      <c r="G18" s="24"/>
      <c r="H18" s="20">
        <v>5</v>
      </c>
      <c r="I18" s="26" t="s">
        <v>778</v>
      </c>
    </row>
    <row r="19" spans="7:14" ht="16.5" thickTop="1" thickBot="1" x14ac:dyDescent="0.3">
      <c r="G19" s="27"/>
      <c r="H19" s="28">
        <f>SUM(H13:H18)</f>
        <v>71.820000000000007</v>
      </c>
      <c r="I19" s="29"/>
    </row>
    <row r="21" spans="7:14" ht="15.75" thickBot="1" x14ac:dyDescent="0.3"/>
    <row r="22" spans="7:14" x14ac:dyDescent="0.25">
      <c r="G22" s="21"/>
      <c r="H22" s="22" t="s">
        <v>776</v>
      </c>
      <c r="I22" s="23"/>
      <c r="L22" s="21"/>
      <c r="M22" s="22" t="s">
        <v>792</v>
      </c>
      <c r="N22" s="23"/>
    </row>
    <row r="23" spans="7:14" x14ac:dyDescent="0.25">
      <c r="G23" s="24"/>
      <c r="H23" s="25">
        <f>16-4.5</f>
        <v>11.5</v>
      </c>
      <c r="I23" s="26" t="s">
        <v>775</v>
      </c>
      <c r="L23" s="24"/>
      <c r="M23" s="25">
        <f>13-4.5</f>
        <v>8.5</v>
      </c>
      <c r="N23" s="26" t="s">
        <v>775</v>
      </c>
    </row>
    <row r="24" spans="7:14" x14ac:dyDescent="0.25">
      <c r="G24" s="24"/>
      <c r="H24" s="25">
        <v>9.52</v>
      </c>
      <c r="I24" s="26" t="s">
        <v>765</v>
      </c>
      <c r="L24" s="24"/>
      <c r="M24" s="25">
        <v>6.35</v>
      </c>
      <c r="N24" s="26" t="s">
        <v>793</v>
      </c>
    </row>
    <row r="25" spans="7:14" x14ac:dyDescent="0.25">
      <c r="G25" s="24"/>
      <c r="H25" s="25">
        <v>0.5</v>
      </c>
      <c r="I25" s="26" t="s">
        <v>766</v>
      </c>
      <c r="L25" s="24"/>
      <c r="M25" s="25">
        <v>0.5</v>
      </c>
      <c r="N25" s="26" t="s">
        <v>766</v>
      </c>
    </row>
    <row r="26" spans="7:14" ht="15.75" thickBot="1" x14ac:dyDescent="0.3">
      <c r="G26" s="24"/>
      <c r="H26" s="20">
        <v>3.9</v>
      </c>
      <c r="I26" s="26" t="s">
        <v>777</v>
      </c>
      <c r="L26" s="24"/>
      <c r="M26" s="20">
        <v>3.9</v>
      </c>
      <c r="N26" s="26" t="s">
        <v>777</v>
      </c>
    </row>
    <row r="27" spans="7:14" ht="16.5" thickTop="1" thickBot="1" x14ac:dyDescent="0.3">
      <c r="G27" s="27"/>
      <c r="H27" s="28">
        <f>SUM(H23:H26)</f>
        <v>25.419999999999998</v>
      </c>
      <c r="I27" s="29"/>
      <c r="L27" s="27"/>
      <c r="M27" s="28">
        <f>SUM(M23:M26)</f>
        <v>19.25</v>
      </c>
      <c r="N27" s="29"/>
    </row>
    <row r="29" spans="7:14" ht="15.75" thickBot="1" x14ac:dyDescent="0.3"/>
    <row r="30" spans="7:14" x14ac:dyDescent="0.25">
      <c r="G30" s="21"/>
      <c r="H30" s="22" t="s">
        <v>842</v>
      </c>
      <c r="I30" s="23"/>
    </row>
    <row r="31" spans="7:14" x14ac:dyDescent="0.25">
      <c r="G31" s="24"/>
      <c r="H31" s="25">
        <v>241.5</v>
      </c>
      <c r="I31" s="26" t="s">
        <v>838</v>
      </c>
    </row>
    <row r="32" spans="7:14" x14ac:dyDescent="0.25">
      <c r="G32" s="24"/>
      <c r="H32" s="25">
        <v>9.5</v>
      </c>
      <c r="I32" s="26" t="s">
        <v>828</v>
      </c>
    </row>
    <row r="33" spans="7:9" x14ac:dyDescent="0.25">
      <c r="G33" s="24"/>
      <c r="H33" s="25">
        <v>597.5</v>
      </c>
      <c r="I33" s="26" t="s">
        <v>829</v>
      </c>
    </row>
    <row r="34" spans="7:9" x14ac:dyDescent="0.25">
      <c r="G34" s="24"/>
      <c r="H34" s="33">
        <v>10.5</v>
      </c>
      <c r="I34" s="26" t="s">
        <v>830</v>
      </c>
    </row>
    <row r="35" spans="7:9" x14ac:dyDescent="0.25">
      <c r="G35" s="24"/>
      <c r="H35" s="33">
        <v>68.7</v>
      </c>
      <c r="I35" s="26" t="s">
        <v>832</v>
      </c>
    </row>
    <row r="36" spans="7:9" x14ac:dyDescent="0.25">
      <c r="G36" s="24"/>
      <c r="H36" s="33">
        <v>14.9</v>
      </c>
      <c r="I36" s="26" t="s">
        <v>831</v>
      </c>
    </row>
    <row r="37" spans="7:9" x14ac:dyDescent="0.25">
      <c r="G37" s="24"/>
      <c r="H37" s="33">
        <v>36.799999999999997</v>
      </c>
      <c r="I37" s="26" t="s">
        <v>833</v>
      </c>
    </row>
    <row r="38" spans="7:9" x14ac:dyDescent="0.25">
      <c r="G38" s="24"/>
      <c r="H38" s="33">
        <v>22.2</v>
      </c>
      <c r="I38" s="26" t="s">
        <v>834</v>
      </c>
    </row>
    <row r="39" spans="7:9" x14ac:dyDescent="0.25">
      <c r="G39" s="24"/>
      <c r="H39" s="33">
        <v>440</v>
      </c>
      <c r="I39" s="26" t="s">
        <v>835</v>
      </c>
    </row>
    <row r="40" spans="7:9" x14ac:dyDescent="0.25">
      <c r="G40" s="24"/>
      <c r="H40" s="33">
        <v>13.3</v>
      </c>
      <c r="I40" s="26" t="s">
        <v>836</v>
      </c>
    </row>
    <row r="41" spans="7:9" x14ac:dyDescent="0.25">
      <c r="G41" s="24"/>
      <c r="H41" s="33">
        <v>302</v>
      </c>
      <c r="I41" s="26" t="s">
        <v>837</v>
      </c>
    </row>
    <row r="42" spans="7:9" x14ac:dyDescent="0.25">
      <c r="G42" s="24"/>
      <c r="H42" s="33">
        <v>13.4</v>
      </c>
      <c r="I42" s="26" t="s">
        <v>839</v>
      </c>
    </row>
    <row r="43" spans="7:9" x14ac:dyDescent="0.25">
      <c r="G43" s="24"/>
      <c r="H43" s="33">
        <v>470</v>
      </c>
      <c r="I43" s="26" t="s">
        <v>840</v>
      </c>
    </row>
    <row r="44" spans="7:9" ht="15.75" thickBot="1" x14ac:dyDescent="0.3">
      <c r="G44" s="24"/>
      <c r="H44" s="35">
        <v>16.5</v>
      </c>
      <c r="I44" s="26" t="s">
        <v>841</v>
      </c>
    </row>
    <row r="45" spans="7:9" ht="16.5" thickTop="1" thickBot="1" x14ac:dyDescent="0.3">
      <c r="G45" s="27"/>
      <c r="H45" s="28">
        <f>SUM(H31:H44)</f>
        <v>2256.8000000000002</v>
      </c>
      <c r="I45" s="29"/>
    </row>
    <row r="47" spans="7:9" x14ac:dyDescent="0.25">
      <c r="H47">
        <f>2*H45/1000</f>
        <v>4.5136000000000003</v>
      </c>
      <c r="I47" s="34" t="s">
        <v>843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Multi-level BOM</vt:lpstr>
      <vt:lpstr>Parts</vt:lpstr>
      <vt:lpstr>Sheet3</vt:lpstr>
      <vt:lpstr>part_details</vt:lpstr>
      <vt:lpstr>Part_number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2020-01-20T15:36:08Z</dcterms:created>
  <dcterms:modified xsi:type="dcterms:W3CDTF">2020-01-30T22:13:56Z</dcterms:modified>
</cp:coreProperties>
</file>