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1580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BOM'!$A$2:$F$377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I243" i="2" l="1"/>
  <c r="J243" i="2"/>
  <c r="K243" i="2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L243" i="2"/>
  <c r="M243" i="2"/>
  <c r="N243" i="2"/>
  <c r="O243" i="2"/>
  <c r="O244" i="2" s="1"/>
  <c r="O245" i="2" s="1"/>
  <c r="O246" i="2" s="1"/>
  <c r="P243" i="2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R243" i="2"/>
  <c r="R244" i="2" s="1"/>
  <c r="R245" i="2" s="1"/>
  <c r="R246" i="2" s="1"/>
  <c r="R247" i="2" s="1"/>
  <c r="S243" i="2"/>
  <c r="S244" i="2" s="1"/>
  <c r="U243" i="2"/>
  <c r="V243" i="2"/>
  <c r="I244" i="2"/>
  <c r="J244" i="2"/>
  <c r="J245" i="2" s="1"/>
  <c r="L244" i="2"/>
  <c r="M244" i="2"/>
  <c r="N244" i="2"/>
  <c r="N245" i="2" s="1"/>
  <c r="P244" i="2"/>
  <c r="P245" i="2" s="1"/>
  <c r="P246" i="2" s="1"/>
  <c r="P247" i="2" s="1"/>
  <c r="P248" i="2" s="1"/>
  <c r="U244" i="2"/>
  <c r="V244" i="2"/>
  <c r="I245" i="2"/>
  <c r="L245" i="2"/>
  <c r="L246" i="2" s="1"/>
  <c r="L247" i="2" s="1"/>
  <c r="M245" i="2"/>
  <c r="M246" i="2" s="1"/>
  <c r="M247" i="2" s="1"/>
  <c r="S245" i="2"/>
  <c r="U245" i="2"/>
  <c r="V245" i="2"/>
  <c r="I246" i="2"/>
  <c r="J246" i="2"/>
  <c r="N246" i="2"/>
  <c r="N247" i="2" s="1"/>
  <c r="N248" i="2" s="1"/>
  <c r="N249" i="2" s="1"/>
  <c r="N250" i="2" s="1"/>
  <c r="S246" i="2"/>
  <c r="S247" i="2" s="1"/>
  <c r="S248" i="2" s="1"/>
  <c r="S249" i="2" s="1"/>
  <c r="S250" i="2" s="1"/>
  <c r="U246" i="2"/>
  <c r="V246" i="2"/>
  <c r="I247" i="2"/>
  <c r="J247" i="2"/>
  <c r="J248" i="2" s="1"/>
  <c r="J249" i="2" s="1"/>
  <c r="J250" i="2" s="1"/>
  <c r="J251" i="2" s="1"/>
  <c r="O247" i="2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U247" i="2"/>
  <c r="V247" i="2"/>
  <c r="I248" i="2"/>
  <c r="L248" i="2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M248" i="2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R248" i="2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U248" i="2"/>
  <c r="V248" i="2"/>
  <c r="I249" i="2"/>
  <c r="P249" i="2"/>
  <c r="U249" i="2"/>
  <c r="V249" i="2"/>
  <c r="I250" i="2"/>
  <c r="P250" i="2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U250" i="2"/>
  <c r="V250" i="2"/>
  <c r="I251" i="2"/>
  <c r="N251" i="2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S251" i="2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U251" i="2"/>
  <c r="V251" i="2"/>
  <c r="I252" i="2"/>
  <c r="J252" i="2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U252" i="2"/>
  <c r="V252" i="2"/>
  <c r="I253" i="2"/>
  <c r="U253" i="2"/>
  <c r="V253" i="2"/>
  <c r="I254" i="2"/>
  <c r="U254" i="2"/>
  <c r="V254" i="2"/>
  <c r="I255" i="2"/>
  <c r="U255" i="2"/>
  <c r="V255" i="2"/>
  <c r="I256" i="2"/>
  <c r="U256" i="2"/>
  <c r="V256" i="2"/>
  <c r="I257" i="2"/>
  <c r="U257" i="2"/>
  <c r="V257" i="2"/>
  <c r="I258" i="2"/>
  <c r="U258" i="2"/>
  <c r="V258" i="2"/>
  <c r="I259" i="2"/>
  <c r="U259" i="2"/>
  <c r="V259" i="2"/>
  <c r="I260" i="2"/>
  <c r="U260" i="2"/>
  <c r="V260" i="2"/>
  <c r="I261" i="2"/>
  <c r="U261" i="2"/>
  <c r="V261" i="2"/>
  <c r="I262" i="2"/>
  <c r="U262" i="2"/>
  <c r="V262" i="2"/>
  <c r="I263" i="2"/>
  <c r="U263" i="2"/>
  <c r="V263" i="2"/>
  <c r="I264" i="2"/>
  <c r="U264" i="2"/>
  <c r="V264" i="2"/>
  <c r="I265" i="2"/>
  <c r="U265" i="2"/>
  <c r="V265" i="2"/>
  <c r="I266" i="2"/>
  <c r="U266" i="2"/>
  <c r="V266" i="2"/>
  <c r="I267" i="2"/>
  <c r="U267" i="2"/>
  <c r="V267" i="2"/>
  <c r="I268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O307" i="2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S307" i="2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307" i="2"/>
  <c r="V307" i="2"/>
  <c r="I308" i="2"/>
  <c r="K308" i="2"/>
  <c r="K309" i="2" s="1"/>
  <c r="K310" i="2" s="1"/>
  <c r="Q308" i="2"/>
  <c r="U308" i="2"/>
  <c r="V308" i="2"/>
  <c r="I309" i="2"/>
  <c r="L309" i="2"/>
  <c r="L310" i="2" s="1"/>
  <c r="M309" i="2"/>
  <c r="M310" i="2" s="1"/>
  <c r="M311" i="2" s="1"/>
  <c r="Q309" i="2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U309" i="2"/>
  <c r="V309" i="2"/>
  <c r="I310" i="2"/>
  <c r="P310" i="2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U310" i="2"/>
  <c r="V310" i="2"/>
  <c r="I311" i="2"/>
  <c r="K311" i="2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311" i="2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311" i="2"/>
  <c r="V311" i="2"/>
  <c r="I312" i="2"/>
  <c r="M312" i="2"/>
  <c r="M313" i="2" s="1"/>
  <c r="M314" i="2" s="1"/>
  <c r="M315" i="2" s="1"/>
  <c r="R312" i="2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U312" i="2"/>
  <c r="V312" i="2"/>
  <c r="I313" i="2"/>
  <c r="U313" i="2"/>
  <c r="V313" i="2"/>
  <c r="I314" i="2"/>
  <c r="U314" i="2"/>
  <c r="V314" i="2"/>
  <c r="I315" i="2"/>
  <c r="U315" i="2"/>
  <c r="V315" i="2"/>
  <c r="I316" i="2"/>
  <c r="M316" i="2"/>
  <c r="U316" i="2"/>
  <c r="V316" i="2"/>
  <c r="I317" i="2"/>
  <c r="M317" i="2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6" i="2"/>
  <c r="H257" i="2"/>
  <c r="H258" i="2"/>
  <c r="H260" i="2"/>
  <c r="H261" i="2"/>
  <c r="H262" i="2"/>
  <c r="H264" i="2"/>
  <c r="H265" i="2"/>
  <c r="H266" i="2"/>
  <c r="H268" i="2"/>
  <c r="H269" i="2"/>
  <c r="H270" i="2"/>
  <c r="H272" i="2"/>
  <c r="H273" i="2"/>
  <c r="H274" i="2"/>
  <c r="H276" i="2"/>
  <c r="H277" i="2"/>
  <c r="H278" i="2"/>
  <c r="H280" i="2"/>
  <c r="H282" i="2"/>
  <c r="H284" i="2"/>
  <c r="H285" i="2"/>
  <c r="H288" i="2"/>
  <c r="H289" i="2"/>
  <c r="H290" i="2"/>
  <c r="D75" i="1"/>
  <c r="H97" i="2"/>
  <c r="H133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H286" i="2" l="1"/>
  <c r="H281" i="2"/>
  <c r="J292" i="2"/>
  <c r="H291" i="2"/>
  <c r="H287" i="2"/>
  <c r="H283" i="2"/>
  <c r="H279" i="2"/>
  <c r="H275" i="2"/>
  <c r="H271" i="2"/>
  <c r="H267" i="2"/>
  <c r="H263" i="2"/>
  <c r="H259" i="2"/>
  <c r="H255" i="2"/>
  <c r="D38" i="1"/>
  <c r="D37" i="1"/>
  <c r="D15" i="1"/>
  <c r="D65" i="1"/>
  <c r="D44" i="1"/>
  <c r="J293" i="2" l="1"/>
  <c r="H292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J294" i="2" l="1"/>
  <c r="H293" i="2"/>
  <c r="S122" i="1"/>
  <c r="S623" i="1"/>
  <c r="S591" i="1"/>
  <c r="S559" i="1"/>
  <c r="S518" i="1"/>
  <c r="S475" i="1"/>
  <c r="S433" i="1"/>
  <c r="S390" i="1"/>
  <c r="S338" i="1"/>
  <c r="S273" i="1"/>
  <c r="S186" i="1"/>
  <c r="S615" i="1"/>
  <c r="S583" i="1"/>
  <c r="S550" i="1"/>
  <c r="S507" i="1"/>
  <c r="S465" i="1"/>
  <c r="S422" i="1"/>
  <c r="S379" i="1"/>
  <c r="S325" i="1"/>
  <c r="S250" i="1"/>
  <c r="S165" i="1"/>
  <c r="S607" i="1"/>
  <c r="S575" i="1"/>
  <c r="S539" i="1"/>
  <c r="S497" i="1"/>
  <c r="S454" i="1"/>
  <c r="S411" i="1"/>
  <c r="S368" i="1"/>
  <c r="S310" i="1"/>
  <c r="S229" i="1"/>
  <c r="S145" i="1"/>
  <c r="S631" i="1"/>
  <c r="S599" i="1"/>
  <c r="S567" i="1"/>
  <c r="S529" i="1"/>
  <c r="S486" i="1"/>
  <c r="S443" i="1"/>
  <c r="S401" i="1"/>
  <c r="S353" i="1"/>
  <c r="S293" i="1"/>
  <c r="S209" i="1"/>
  <c r="S4" i="1"/>
  <c r="S9" i="1"/>
  <c r="S17" i="1"/>
  <c r="S27" i="1"/>
  <c r="S41" i="1"/>
  <c r="S47" i="1"/>
  <c r="S51" i="1"/>
  <c r="S55" i="1"/>
  <c r="S59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5" i="1"/>
  <c r="S10" i="1"/>
  <c r="S31" i="1"/>
  <c r="S42" i="1"/>
  <c r="S48" i="1"/>
  <c r="S52" i="1"/>
  <c r="S56" i="1"/>
  <c r="S61" i="1"/>
  <c r="S69" i="1"/>
  <c r="S73" i="1"/>
  <c r="S77" i="1"/>
  <c r="S81" i="1"/>
  <c r="S85" i="1"/>
  <c r="S89" i="1"/>
  <c r="S93" i="1"/>
  <c r="S6" i="1"/>
  <c r="S11" i="1"/>
  <c r="S20" i="1"/>
  <c r="S36" i="1"/>
  <c r="S45" i="1"/>
  <c r="S49" i="1"/>
  <c r="S53" i="1"/>
  <c r="S57" i="1"/>
  <c r="S62" i="1"/>
  <c r="S70" i="1"/>
  <c r="S78" i="1"/>
  <c r="S82" i="1"/>
  <c r="S86" i="1"/>
  <c r="S90" i="1"/>
  <c r="S7" i="1"/>
  <c r="S12" i="1"/>
  <c r="S24" i="1"/>
  <c r="S40" i="1"/>
  <c r="S46" i="1"/>
  <c r="S50" i="1"/>
  <c r="S54" i="1"/>
  <c r="S58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08" i="1"/>
  <c r="S313" i="1"/>
  <c r="S318" i="1"/>
  <c r="S324" i="1"/>
  <c r="S329" i="1"/>
  <c r="S334" i="1"/>
  <c r="S340" i="1"/>
  <c r="S345" i="1"/>
  <c r="S350" i="1"/>
  <c r="S356" i="1"/>
  <c r="S361" i="1"/>
  <c r="S366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97" i="1"/>
  <c r="S106" i="1"/>
  <c r="S117" i="1"/>
  <c r="S129" i="1"/>
  <c r="S138" i="1"/>
  <c r="S149" i="1"/>
  <c r="S161" i="1"/>
  <c r="S170" i="1"/>
  <c r="S181" i="1"/>
  <c r="S193" i="1"/>
  <c r="S202" i="1"/>
  <c r="S213" i="1"/>
  <c r="S225" i="1"/>
  <c r="S234" i="1"/>
  <c r="S245" i="1"/>
  <c r="S257" i="1"/>
  <c r="S266" i="1"/>
  <c r="S277" i="1"/>
  <c r="S289" i="1"/>
  <c r="S298" i="1"/>
  <c r="S306" i="1"/>
  <c r="S314" i="1"/>
  <c r="S321" i="1"/>
  <c r="S328" i="1"/>
  <c r="S336" i="1"/>
  <c r="S342" i="1"/>
  <c r="S349" i="1"/>
  <c r="S357" i="1"/>
  <c r="S364" i="1"/>
  <c r="S370" i="1"/>
  <c r="S377" i="1"/>
  <c r="S382" i="1"/>
  <c r="S387" i="1"/>
  <c r="S393" i="1"/>
  <c r="S398" i="1"/>
  <c r="S403" i="1"/>
  <c r="S409" i="1"/>
  <c r="S414" i="1"/>
  <c r="S419" i="1"/>
  <c r="S425" i="1"/>
  <c r="S430" i="1"/>
  <c r="S435" i="1"/>
  <c r="S441" i="1"/>
  <c r="S446" i="1"/>
  <c r="S451" i="1"/>
  <c r="S457" i="1"/>
  <c r="S462" i="1"/>
  <c r="S467" i="1"/>
  <c r="S473" i="1"/>
  <c r="S478" i="1"/>
  <c r="S483" i="1"/>
  <c r="S489" i="1"/>
  <c r="S494" i="1"/>
  <c r="S499" i="1"/>
  <c r="S505" i="1"/>
  <c r="S510" i="1"/>
  <c r="S515" i="1"/>
  <c r="S521" i="1"/>
  <c r="S526" i="1"/>
  <c r="S531" i="1"/>
  <c r="S537" i="1"/>
  <c r="S542" i="1"/>
  <c r="S547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98" i="1"/>
  <c r="S109" i="1"/>
  <c r="S121" i="1"/>
  <c r="S130" i="1"/>
  <c r="S141" i="1"/>
  <c r="S153" i="1"/>
  <c r="S162" i="1"/>
  <c r="S173" i="1"/>
  <c r="S185" i="1"/>
  <c r="S194" i="1"/>
  <c r="S205" i="1"/>
  <c r="S217" i="1"/>
  <c r="S226" i="1"/>
  <c r="S237" i="1"/>
  <c r="S249" i="1"/>
  <c r="S258" i="1"/>
  <c r="S269" i="1"/>
  <c r="S281" i="1"/>
  <c r="S290" i="1"/>
  <c r="S301" i="1"/>
  <c r="S309" i="1"/>
  <c r="S316" i="1"/>
  <c r="S322" i="1"/>
  <c r="S330" i="1"/>
  <c r="S337" i="1"/>
  <c r="S344" i="1"/>
  <c r="S352" i="1"/>
  <c r="S358" i="1"/>
  <c r="S365" i="1"/>
  <c r="S373" i="1"/>
  <c r="S378" i="1"/>
  <c r="S383" i="1"/>
  <c r="S389" i="1"/>
  <c r="S394" i="1"/>
  <c r="S399" i="1"/>
  <c r="S405" i="1"/>
  <c r="S410" i="1"/>
  <c r="S415" i="1"/>
  <c r="S421" i="1"/>
  <c r="S426" i="1"/>
  <c r="S431" i="1"/>
  <c r="S437" i="1"/>
  <c r="S442" i="1"/>
  <c r="S447" i="1"/>
  <c r="S453" i="1"/>
  <c r="S458" i="1"/>
  <c r="S463" i="1"/>
  <c r="S469" i="1"/>
  <c r="S474" i="1"/>
  <c r="S479" i="1"/>
  <c r="S485" i="1"/>
  <c r="S490" i="1"/>
  <c r="S495" i="1"/>
  <c r="S501" i="1"/>
  <c r="S506" i="1"/>
  <c r="S511" i="1"/>
  <c r="S517" i="1"/>
  <c r="S522" i="1"/>
  <c r="S527" i="1"/>
  <c r="S533" i="1"/>
  <c r="S538" i="1"/>
  <c r="S543" i="1"/>
  <c r="S549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101" i="1"/>
  <c r="S628" i="1"/>
  <c r="S620" i="1"/>
  <c r="S612" i="1"/>
  <c r="S604" i="1"/>
  <c r="S596" i="1"/>
  <c r="S588" i="1"/>
  <c r="S580" i="1"/>
  <c r="S572" i="1"/>
  <c r="S564" i="1"/>
  <c r="S556" i="1"/>
  <c r="S546" i="1"/>
  <c r="S535" i="1"/>
  <c r="S525" i="1"/>
  <c r="S514" i="1"/>
  <c r="S503" i="1"/>
  <c r="S493" i="1"/>
  <c r="S482" i="1"/>
  <c r="S471" i="1"/>
  <c r="S461" i="1"/>
  <c r="S450" i="1"/>
  <c r="S439" i="1"/>
  <c r="S429" i="1"/>
  <c r="S418" i="1"/>
  <c r="S407" i="1"/>
  <c r="S397" i="1"/>
  <c r="S386" i="1"/>
  <c r="S375" i="1"/>
  <c r="S362" i="1"/>
  <c r="S348" i="1"/>
  <c r="S333" i="1"/>
  <c r="S320" i="1"/>
  <c r="S305" i="1"/>
  <c r="S285" i="1"/>
  <c r="S265" i="1"/>
  <c r="S242" i="1"/>
  <c r="S221" i="1"/>
  <c r="S201" i="1"/>
  <c r="S178" i="1"/>
  <c r="S157" i="1"/>
  <c r="S137" i="1"/>
  <c r="S114" i="1"/>
  <c r="S635" i="1"/>
  <c r="S611" i="1"/>
  <c r="S595" i="1"/>
  <c r="S579" i="1"/>
  <c r="S563" i="1"/>
  <c r="S555" i="1"/>
  <c r="S534" i="1"/>
  <c r="S523" i="1"/>
  <c r="S513" i="1"/>
  <c r="S502" i="1"/>
  <c r="S491" i="1"/>
  <c r="S481" i="1"/>
  <c r="S470" i="1"/>
  <c r="S459" i="1"/>
  <c r="S449" i="1"/>
  <c r="S438" i="1"/>
  <c r="S427" i="1"/>
  <c r="S417" i="1"/>
  <c r="S406" i="1"/>
  <c r="S395" i="1"/>
  <c r="S385" i="1"/>
  <c r="S374" i="1"/>
  <c r="S360" i="1"/>
  <c r="S346" i="1"/>
  <c r="S332" i="1"/>
  <c r="S317" i="1"/>
  <c r="S304" i="1"/>
  <c r="S282" i="1"/>
  <c r="S261" i="1"/>
  <c r="S241" i="1"/>
  <c r="S218" i="1"/>
  <c r="S197" i="1"/>
  <c r="S177" i="1"/>
  <c r="S154" i="1"/>
  <c r="S133" i="1"/>
  <c r="S113" i="1"/>
  <c r="S627" i="1"/>
  <c r="S619" i="1"/>
  <c r="S603" i="1"/>
  <c r="S587" i="1"/>
  <c r="S571" i="1"/>
  <c r="S545" i="1"/>
  <c r="S632" i="1"/>
  <c r="S624" i="1"/>
  <c r="S616" i="1"/>
  <c r="S608" i="1"/>
  <c r="S600" i="1"/>
  <c r="S592" i="1"/>
  <c r="S584" i="1"/>
  <c r="S576" i="1"/>
  <c r="S568" i="1"/>
  <c r="S560" i="1"/>
  <c r="S551" i="1"/>
  <c r="S541" i="1"/>
  <c r="S530" i="1"/>
  <c r="S519" i="1"/>
  <c r="S509" i="1"/>
  <c r="S498" i="1"/>
  <c r="S487" i="1"/>
  <c r="S477" i="1"/>
  <c r="S466" i="1"/>
  <c r="S455" i="1"/>
  <c r="S445" i="1"/>
  <c r="S434" i="1"/>
  <c r="S423" i="1"/>
  <c r="S413" i="1"/>
  <c r="S402" i="1"/>
  <c r="S391" i="1"/>
  <c r="S381" i="1"/>
  <c r="S369" i="1"/>
  <c r="S354" i="1"/>
  <c r="S341" i="1"/>
  <c r="S326" i="1"/>
  <c r="S312" i="1"/>
  <c r="S297" i="1"/>
  <c r="S274" i="1"/>
  <c r="S253" i="1"/>
  <c r="S233" i="1"/>
  <c r="S210" i="1"/>
  <c r="S189" i="1"/>
  <c r="S169" i="1"/>
  <c r="S146" i="1"/>
  <c r="S125" i="1"/>
  <c r="S105" i="1"/>
  <c r="A8" i="3"/>
  <c r="A7" i="3"/>
  <c r="J295" i="2" l="1"/>
  <c r="H294" i="2"/>
  <c r="E73" i="1"/>
  <c r="J296" i="2" l="1"/>
  <c r="H295" i="2"/>
  <c r="D73" i="1"/>
  <c r="J297" i="2" l="1"/>
  <c r="H296" i="2"/>
  <c r="E18" i="1"/>
  <c r="J298" i="2" l="1"/>
  <c r="H297" i="2"/>
  <c r="D17" i="4"/>
  <c r="D15" i="4"/>
  <c r="A10" i="4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J299" i="2" l="1"/>
  <c r="H298" i="2"/>
  <c r="U13" i="2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89" i="2"/>
  <c r="U90" i="2"/>
  <c r="U91" i="2"/>
  <c r="U92" i="2"/>
  <c r="U93" i="2"/>
  <c r="U94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0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7" i="2"/>
  <c r="U8" i="2"/>
  <c r="U9" i="2"/>
  <c r="U10" i="2"/>
  <c r="U11" i="2"/>
  <c r="J300" i="2" l="1"/>
  <c r="H299" i="2"/>
  <c r="D48" i="1"/>
  <c r="J301" i="2" l="1"/>
  <c r="H300" i="2"/>
  <c r="I201" i="2"/>
  <c r="I202" i="2"/>
  <c r="I203" i="2"/>
  <c r="I207" i="2"/>
  <c r="I211" i="2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J302" i="2" l="1"/>
  <c r="H301" i="2"/>
  <c r="Q135" i="2"/>
  <c r="Q134" i="2"/>
  <c r="P135" i="2"/>
  <c r="P134" i="2"/>
  <c r="M135" i="2"/>
  <c r="M134" i="2"/>
  <c r="S135" i="2"/>
  <c r="S134" i="2"/>
  <c r="O135" i="2"/>
  <c r="O134" i="2"/>
  <c r="L135" i="2"/>
  <c r="L134" i="2"/>
  <c r="R135" i="2"/>
  <c r="R134" i="2"/>
  <c r="N135" i="2"/>
  <c r="N134" i="2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J303" i="2" l="1"/>
  <c r="H302" i="2"/>
  <c r="K132" i="2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J304" i="2" l="1"/>
  <c r="H303" i="2"/>
  <c r="K135" i="2"/>
  <c r="K134" i="2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305" i="2" l="1"/>
  <c r="H304" i="2"/>
  <c r="J62" i="1"/>
  <c r="N62" i="1" s="1"/>
  <c r="J72" i="1"/>
  <c r="N72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G231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J306" i="2" l="1"/>
  <c r="H305" i="2"/>
  <c r="O626" i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74" i="1"/>
  <c r="Q74" i="1" s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75" i="1"/>
  <c r="Q75" i="1"/>
  <c r="O62" i="1"/>
  <c r="Q62" i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J307" i="2" l="1"/>
  <c r="H306" i="2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D36" i="1"/>
  <c r="H23" i="3"/>
  <c r="H27" i="3" s="1"/>
  <c r="M20" i="3"/>
  <c r="M24" i="3" s="1"/>
  <c r="G84" i="2"/>
  <c r="G76" i="2"/>
  <c r="M9" i="3"/>
  <c r="D12" i="1"/>
  <c r="H15" i="3"/>
  <c r="H19" i="3" s="1"/>
  <c r="D9" i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H307" i="2" l="1"/>
  <c r="J308" i="2"/>
  <c r="G87" i="2"/>
  <c r="J309" i="2" l="1"/>
  <c r="H308" i="2"/>
  <c r="L155" i="2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D28" i="1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310" i="2" l="1"/>
  <c r="H309" i="2"/>
  <c r="J11" i="2"/>
  <c r="H10" i="2"/>
  <c r="F28" i="1"/>
  <c r="I173" i="2" s="1"/>
  <c r="U173" i="2" s="1"/>
  <c r="F26" i="1"/>
  <c r="I188" i="2" s="1"/>
  <c r="U188" i="2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E17" i="1"/>
  <c r="G4" i="2"/>
  <c r="G5" i="2"/>
  <c r="G7" i="2"/>
  <c r="D16" i="1"/>
  <c r="E14" i="1"/>
  <c r="E55" i="2"/>
  <c r="E47" i="2"/>
  <c r="F13" i="1"/>
  <c r="I48" i="2" s="1"/>
  <c r="U48" i="2" s="1"/>
  <c r="F12" i="1"/>
  <c r="E80" i="2"/>
  <c r="M80" i="2" s="1"/>
  <c r="E19" i="2"/>
  <c r="E11" i="2"/>
  <c r="D10" i="1"/>
  <c r="D8" i="1"/>
  <c r="D7" i="1"/>
  <c r="F9" i="1"/>
  <c r="I13" i="2" s="1"/>
  <c r="F11" i="1"/>
  <c r="F17" i="1"/>
  <c r="F21" i="1"/>
  <c r="F22" i="1"/>
  <c r="F23" i="1"/>
  <c r="F24" i="1"/>
  <c r="I87" i="2" s="1"/>
  <c r="I108" i="2"/>
  <c r="F30" i="1"/>
  <c r="I149" i="2" s="1"/>
  <c r="U149" i="2" s="1"/>
  <c r="F31" i="1"/>
  <c r="I21" i="2"/>
  <c r="U21" i="2" s="1"/>
  <c r="I56" i="2"/>
  <c r="U56" i="2" s="1"/>
  <c r="I74" i="2"/>
  <c r="U74" i="2" s="1"/>
  <c r="I82" i="2"/>
  <c r="U82" i="2" s="1"/>
  <c r="F36" i="1"/>
  <c r="I89" i="2" s="1"/>
  <c r="F39" i="1"/>
  <c r="F41" i="1"/>
  <c r="I66" i="2" s="1"/>
  <c r="F42" i="1"/>
  <c r="F45" i="1"/>
  <c r="I229" i="2" s="1"/>
  <c r="F46" i="1"/>
  <c r="I230" i="2" s="1"/>
  <c r="F47" i="1"/>
  <c r="F48" i="1"/>
  <c r="I152" i="2" s="1"/>
  <c r="F49" i="1"/>
  <c r="I233" i="2" s="1"/>
  <c r="F50" i="1"/>
  <c r="I236" i="2" s="1"/>
  <c r="F51" i="1"/>
  <c r="F52" i="1"/>
  <c r="I204" i="2" s="1"/>
  <c r="F53" i="1"/>
  <c r="I205" i="2" s="1"/>
  <c r="F54" i="1"/>
  <c r="I206" i="2" s="1"/>
  <c r="F55" i="1"/>
  <c r="I209" i="2" s="1"/>
  <c r="F56" i="1"/>
  <c r="I210" i="2" s="1"/>
  <c r="F60" i="1"/>
  <c r="I241" i="2" s="1"/>
  <c r="U241" i="2" s="1"/>
  <c r="F61" i="1"/>
  <c r="I242" i="2" s="1"/>
  <c r="F62" i="1"/>
  <c r="F63" i="1"/>
  <c r="F67" i="1"/>
  <c r="F68" i="1"/>
  <c r="F69" i="1"/>
  <c r="F70" i="1"/>
  <c r="F71" i="1"/>
  <c r="F7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E2" i="3" s="1"/>
  <c r="J311" i="2" l="1"/>
  <c r="H310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I57" i="2" s="1"/>
  <c r="U57" i="2" s="1"/>
  <c r="F6" i="1"/>
  <c r="I18" i="2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I19" i="2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I38" i="2" s="1"/>
  <c r="U38" i="2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I75" i="2" s="1"/>
  <c r="I55" i="2"/>
  <c r="I47" i="2"/>
  <c r="I180" i="2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S74" i="1" s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62" i="1"/>
  <c r="P62" i="1"/>
  <c r="K22" i="2"/>
  <c r="K24" i="2" s="1"/>
  <c r="K23" i="2"/>
  <c r="H311" i="2" l="1"/>
  <c r="J312" i="2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H312" i="2" l="1"/>
  <c r="J313" i="2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N4" i="1" s="1"/>
  <c r="J314" i="2" l="1"/>
  <c r="H313" i="2"/>
  <c r="N9" i="1"/>
  <c r="K9" i="1"/>
  <c r="J16" i="2"/>
  <c r="J17" i="2" s="1"/>
  <c r="H14" i="2"/>
  <c r="O4" i="1"/>
  <c r="Q4" i="1" s="1"/>
  <c r="K46" i="2"/>
  <c r="K35" i="2"/>
  <c r="K36" i="2" s="1"/>
  <c r="K37" i="2" s="1"/>
  <c r="K38" i="2" s="1"/>
  <c r="K39" i="2" s="1"/>
  <c r="P4" i="1"/>
  <c r="K4" i="1"/>
  <c r="J315" i="2" l="1"/>
  <c r="H314" i="2"/>
  <c r="J18" i="2"/>
  <c r="H17" i="2"/>
  <c r="I17" i="2" s="1"/>
  <c r="O9" i="1"/>
  <c r="Q9" i="1"/>
  <c r="P9" i="1"/>
  <c r="K41" i="2"/>
  <c r="K43" i="2" s="1"/>
  <c r="K40" i="2"/>
  <c r="K42" i="2" s="1"/>
  <c r="K44" i="2" s="1"/>
  <c r="J316" i="2" l="1"/>
  <c r="H315" i="2"/>
  <c r="H18" i="2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317" i="2" l="1"/>
  <c r="H316" i="2"/>
  <c r="J20" i="2"/>
  <c r="H19" i="2"/>
  <c r="J318" i="2" l="1"/>
  <c r="H317" i="2"/>
  <c r="H20" i="2"/>
  <c r="J21" i="2"/>
  <c r="J319" i="2" l="1"/>
  <c r="H318" i="2"/>
  <c r="J23" i="2"/>
  <c r="H23" i="2" s="1"/>
  <c r="H21" i="2"/>
  <c r="J22" i="2"/>
  <c r="H319" i="2" l="1"/>
  <c r="J320" i="2"/>
  <c r="H22" i="2"/>
  <c r="J24" i="2"/>
  <c r="J25" i="2" s="1"/>
  <c r="J321" i="2" l="1"/>
  <c r="H320" i="2"/>
  <c r="J26" i="2"/>
  <c r="H25" i="2"/>
  <c r="I25" i="2" s="1"/>
  <c r="J322" i="2" l="1"/>
  <c r="H321" i="2"/>
  <c r="J27" i="2"/>
  <c r="H26" i="2"/>
  <c r="J323" i="2" l="1"/>
  <c r="H322" i="2"/>
  <c r="H27" i="2"/>
  <c r="J28" i="2"/>
  <c r="H323" i="2" l="1"/>
  <c r="J324" i="2"/>
  <c r="H28" i="2"/>
  <c r="J29" i="2"/>
  <c r="J325" i="2" l="1"/>
  <c r="H324" i="2"/>
  <c r="H29" i="2"/>
  <c r="J31" i="2"/>
  <c r="J30" i="2"/>
  <c r="J326" i="2" l="1"/>
  <c r="H325" i="2"/>
  <c r="J32" i="2"/>
  <c r="H30" i="2"/>
  <c r="H31" i="2"/>
  <c r="J33" i="2"/>
  <c r="J327" i="2" l="1"/>
  <c r="H326" i="2"/>
  <c r="J45" i="2"/>
  <c r="H33" i="2"/>
  <c r="H32" i="2"/>
  <c r="J34" i="2"/>
  <c r="J328" i="2" l="1"/>
  <c r="H327" i="2"/>
  <c r="J35" i="2"/>
  <c r="J46" i="2"/>
  <c r="H46" i="2" s="1"/>
  <c r="J47" i="2"/>
  <c r="H45" i="2"/>
  <c r="I45" i="2" s="1"/>
  <c r="J329" i="2" l="1"/>
  <c r="H328" i="2"/>
  <c r="H47" i="2"/>
  <c r="J48" i="2"/>
  <c r="J36" i="2"/>
  <c r="H35" i="2"/>
  <c r="I35" i="2" s="1"/>
  <c r="J330" i="2" l="1"/>
  <c r="H329" i="2"/>
  <c r="J49" i="2"/>
  <c r="H48" i="2"/>
  <c r="J13" i="1" s="1"/>
  <c r="J37" i="2"/>
  <c r="H36" i="2"/>
  <c r="J331" i="2" l="1"/>
  <c r="H330" i="2"/>
  <c r="H37" i="2"/>
  <c r="J38" i="2"/>
  <c r="N13" i="1"/>
  <c r="K13" i="1"/>
  <c r="H49" i="2"/>
  <c r="J50" i="2"/>
  <c r="H331" i="2" l="1"/>
  <c r="J332" i="2"/>
  <c r="O13" i="1"/>
  <c r="Q13" i="1" s="1"/>
  <c r="P13" i="1"/>
  <c r="S13" i="1" s="1"/>
  <c r="H38" i="2"/>
  <c r="J39" i="2"/>
  <c r="H50" i="2"/>
  <c r="J51" i="2"/>
  <c r="J333" i="2" l="1"/>
  <c r="H332" i="2"/>
  <c r="J41" i="2"/>
  <c r="H39" i="2"/>
  <c r="J40" i="2"/>
  <c r="H51" i="2"/>
  <c r="J52" i="2"/>
  <c r="J53" i="2" s="1"/>
  <c r="J334" i="2" l="1"/>
  <c r="H333" i="2"/>
  <c r="H40" i="2"/>
  <c r="J42" i="2"/>
  <c r="H53" i="2"/>
  <c r="I53" i="2" s="1"/>
  <c r="I5" i="2" s="1"/>
  <c r="J54" i="2"/>
  <c r="J43" i="2"/>
  <c r="H43" i="2" s="1"/>
  <c r="H41" i="2"/>
  <c r="J335" i="2" l="1"/>
  <c r="H334" i="2"/>
  <c r="H54" i="2"/>
  <c r="J11" i="1" s="1"/>
  <c r="J55" i="2"/>
  <c r="J44" i="2"/>
  <c r="H42" i="2"/>
  <c r="J67" i="1" s="1"/>
  <c r="J336" i="2" l="1"/>
  <c r="H335" i="2"/>
  <c r="N11" i="1"/>
  <c r="K11" i="1"/>
  <c r="N67" i="1"/>
  <c r="K67" i="1"/>
  <c r="J56" i="2"/>
  <c r="H55" i="2"/>
  <c r="J12" i="1" s="1"/>
  <c r="J337" i="2" l="1"/>
  <c r="H336" i="2"/>
  <c r="O67" i="1"/>
  <c r="Q67" i="1" s="1"/>
  <c r="P67" i="1"/>
  <c r="N12" i="1"/>
  <c r="K12" i="1"/>
  <c r="H56" i="2"/>
  <c r="J57" i="2"/>
  <c r="O11" i="1"/>
  <c r="Q11" i="1" s="1"/>
  <c r="P11" i="1"/>
  <c r="J338" i="2" l="1"/>
  <c r="H337" i="2"/>
  <c r="O12" i="1"/>
  <c r="Q12" i="1" s="1"/>
  <c r="P12" i="1"/>
  <c r="J58" i="2"/>
  <c r="H57" i="2"/>
  <c r="J16" i="1" s="1"/>
  <c r="J339" i="2" l="1"/>
  <c r="H338" i="2"/>
  <c r="H58" i="2"/>
  <c r="J59" i="2"/>
  <c r="N16" i="1"/>
  <c r="K16" i="1"/>
  <c r="H339" i="2" l="1"/>
  <c r="J340" i="2"/>
  <c r="O16" i="1"/>
  <c r="Q16" i="1" s="1"/>
  <c r="P16" i="1"/>
  <c r="S16" i="1" s="1"/>
  <c r="J60" i="2"/>
  <c r="J61" i="2" s="1"/>
  <c r="H59" i="2"/>
  <c r="J341" i="2" l="1"/>
  <c r="H340" i="2"/>
  <c r="H61" i="2"/>
  <c r="J62" i="2"/>
  <c r="J63" i="2" s="1"/>
  <c r="J342" i="2" l="1"/>
  <c r="H341" i="2"/>
  <c r="H63" i="2"/>
  <c r="J64" i="2"/>
  <c r="J343" i="2" l="1"/>
  <c r="H342" i="2"/>
  <c r="J65" i="2"/>
  <c r="H64" i="2"/>
  <c r="J344" i="2" l="1"/>
  <c r="H343" i="2"/>
  <c r="J66" i="2"/>
  <c r="H65" i="2"/>
  <c r="J345" i="2" l="1"/>
  <c r="H344" i="2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J346" i="2" l="1"/>
  <c r="H345" i="2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3" i="2"/>
  <c r="I93" i="2" s="1"/>
  <c r="N41" i="1"/>
  <c r="K41" i="1"/>
  <c r="H94" i="2"/>
  <c r="J5" i="1" s="1"/>
  <c r="N5" i="1" s="1"/>
  <c r="J347" i="2" l="1"/>
  <c r="H346" i="2"/>
  <c r="J132" i="2"/>
  <c r="J133" i="2"/>
  <c r="O41" i="1"/>
  <c r="Q41" i="1" s="1"/>
  <c r="P41" i="1"/>
  <c r="O5" i="1"/>
  <c r="Q5" i="1" s="1"/>
  <c r="K5" i="1"/>
  <c r="H95" i="2"/>
  <c r="J17" i="1" s="1"/>
  <c r="N17" i="1" s="1"/>
  <c r="H347" i="2" l="1"/>
  <c r="J348" i="2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34" i="2"/>
  <c r="O17" i="1"/>
  <c r="Q17" i="1" s="1"/>
  <c r="H96" i="2"/>
  <c r="K17" i="1"/>
  <c r="P5" i="1"/>
  <c r="J349" i="2" l="1"/>
  <c r="H348" i="2"/>
  <c r="J153" i="2"/>
  <c r="J154" i="2" s="1"/>
  <c r="H152" i="2"/>
  <c r="P17" i="1"/>
  <c r="J350" i="2" l="1"/>
  <c r="H349" i="2"/>
  <c r="H132" i="2"/>
  <c r="N18" i="1" s="1"/>
  <c r="J351" i="2" l="1"/>
  <c r="H350" i="2"/>
  <c r="O18" i="1"/>
  <c r="Q18" i="1" s="1"/>
  <c r="K18" i="1"/>
  <c r="J352" i="2" l="1"/>
  <c r="H351" i="2"/>
  <c r="H68" i="2"/>
  <c r="P18" i="1"/>
  <c r="S18" i="1" s="1"/>
  <c r="H352" i="2" l="1"/>
  <c r="J353" i="2"/>
  <c r="H69" i="2"/>
  <c r="J20" i="1" s="1"/>
  <c r="N20" i="1" s="1"/>
  <c r="J354" i="2" l="1"/>
  <c r="H353" i="2"/>
  <c r="O20" i="1"/>
  <c r="Q20" i="1" s="1"/>
  <c r="K20" i="1"/>
  <c r="J355" i="2" l="1"/>
  <c r="H354" i="2"/>
  <c r="P20" i="1"/>
  <c r="H71" i="2"/>
  <c r="I71" i="2" s="1"/>
  <c r="H355" i="2" l="1"/>
  <c r="J356" i="2"/>
  <c r="H72" i="2"/>
  <c r="J357" i="2" l="1"/>
  <c r="H356" i="2"/>
  <c r="H73" i="2"/>
  <c r="J358" i="2" l="1"/>
  <c r="H357" i="2"/>
  <c r="H74" i="2"/>
  <c r="J359" i="2" l="1"/>
  <c r="H358" i="2"/>
  <c r="H75" i="2"/>
  <c r="J360" i="2" l="1"/>
  <c r="H359" i="2"/>
  <c r="H76" i="2"/>
  <c r="J361" i="2" l="1"/>
  <c r="H360" i="2"/>
  <c r="H78" i="2"/>
  <c r="I78" i="2" s="1"/>
  <c r="I68" i="2" s="1"/>
  <c r="J362" i="2" l="1"/>
  <c r="H361" i="2"/>
  <c r="H79" i="2"/>
  <c r="J363" i="2" l="1"/>
  <c r="H362" i="2"/>
  <c r="H80" i="2"/>
  <c r="H363" i="2" l="1"/>
  <c r="J364" i="2"/>
  <c r="H81" i="2"/>
  <c r="J365" i="2" l="1"/>
  <c r="H364" i="2"/>
  <c r="H82" i="2"/>
  <c r="J366" i="2" l="1"/>
  <c r="H365" i="2"/>
  <c r="H83" i="2"/>
  <c r="J367" i="2" l="1"/>
  <c r="H366" i="2"/>
  <c r="H84" i="2"/>
  <c r="J368" i="2" l="1"/>
  <c r="H367" i="2"/>
  <c r="H86" i="2"/>
  <c r="J19" i="1" s="1"/>
  <c r="N19" i="1" s="1"/>
  <c r="H368" i="2" l="1"/>
  <c r="J369" i="2"/>
  <c r="O19" i="1"/>
  <c r="Q19" i="1" s="1"/>
  <c r="K19" i="1"/>
  <c r="H87" i="2"/>
  <c r="J24" i="1" s="1"/>
  <c r="N24" i="1" s="1"/>
  <c r="J370" i="2" l="1"/>
  <c r="H369" i="2"/>
  <c r="O24" i="1"/>
  <c r="Q24" i="1"/>
  <c r="K24" i="1"/>
  <c r="H88" i="2"/>
  <c r="P19" i="1"/>
  <c r="S19" i="1" s="1"/>
  <c r="J371" i="2" l="1"/>
  <c r="H370" i="2"/>
  <c r="H89" i="2"/>
  <c r="J36" i="1" s="1"/>
  <c r="N36" i="1" s="1"/>
  <c r="P24" i="1"/>
  <c r="H371" i="2" l="1"/>
  <c r="J372" i="2"/>
  <c r="O36" i="1"/>
  <c r="Q36" i="1" s="1"/>
  <c r="K36" i="1"/>
  <c r="H90" i="2"/>
  <c r="H372" i="2" l="1"/>
  <c r="J373" i="2"/>
  <c r="P36" i="1"/>
  <c r="H91" i="2"/>
  <c r="J374" i="2" l="1"/>
  <c r="H373" i="2"/>
  <c r="H101" i="2"/>
  <c r="J375" i="2" l="1"/>
  <c r="H374" i="2"/>
  <c r="H104" i="2"/>
  <c r="H103" i="2"/>
  <c r="H102" i="2"/>
  <c r="J376" i="2" l="1"/>
  <c r="H375" i="2"/>
  <c r="H105" i="2"/>
  <c r="J377" i="2" l="1"/>
  <c r="H377" i="2" s="1"/>
  <c r="H376" i="2"/>
  <c r="H106" i="2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N70" i="1" s="1"/>
  <c r="O70" i="1" l="1"/>
  <c r="Q70" i="1" s="1"/>
  <c r="H127" i="2"/>
  <c r="K70" i="1"/>
  <c r="P70" i="1" l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N48" i="1" l="1"/>
  <c r="K48" i="1"/>
  <c r="H153" i="2"/>
  <c r="O48" i="1" l="1"/>
  <c r="Q48" i="1" s="1"/>
  <c r="P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K32" i="1" l="1"/>
  <c r="N32" i="1"/>
  <c r="J162" i="2"/>
  <c r="H161" i="2"/>
  <c r="J33" i="1" s="1"/>
  <c r="N33" i="1" l="1"/>
  <c r="K33" i="1"/>
  <c r="O32" i="1"/>
  <c r="Q32" i="1" s="1"/>
  <c r="P32" i="1"/>
  <c r="S32" i="1" s="1"/>
  <c r="H162" i="2"/>
  <c r="J34" i="1" s="1"/>
  <c r="J163" i="2"/>
  <c r="N34" i="1" l="1"/>
  <c r="K34" i="1"/>
  <c r="P33" i="1"/>
  <c r="S33" i="1" s="1"/>
  <c r="O33" i="1"/>
  <c r="Q33" i="1" s="1"/>
  <c r="H163" i="2"/>
  <c r="J164" i="2"/>
  <c r="O34" i="1" l="1"/>
  <c r="Q34" i="1" s="1"/>
  <c r="P34" i="1"/>
  <c r="S34" i="1" s="1"/>
  <c r="J165" i="2"/>
  <c r="H164" i="2"/>
  <c r="J35" i="1" s="1"/>
  <c r="N35" i="1" l="1"/>
  <c r="K35" i="1"/>
  <c r="H165" i="2"/>
  <c r="J37" i="1" s="1"/>
  <c r="J166" i="2"/>
  <c r="N37" i="1" l="1"/>
  <c r="K37" i="1"/>
  <c r="O35" i="1"/>
  <c r="Q35" i="1" s="1"/>
  <c r="P35" i="1"/>
  <c r="S35" i="1" s="1"/>
  <c r="J167" i="2"/>
  <c r="H166" i="2"/>
  <c r="J38" i="1" s="1"/>
  <c r="N38" i="1" l="1"/>
  <c r="K38" i="1"/>
  <c r="O37" i="1"/>
  <c r="Q37" i="1" s="1"/>
  <c r="P37" i="1"/>
  <c r="S37" i="1" s="1"/>
  <c r="H167" i="2"/>
  <c r="J168" i="2"/>
  <c r="O38" i="1" l="1"/>
  <c r="Q38" i="1" s="1"/>
  <c r="P38" i="1"/>
  <c r="S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N21" i="1" s="1"/>
  <c r="J183" i="2"/>
  <c r="O21" i="1" l="1"/>
  <c r="Q21" i="1" s="1"/>
  <c r="J184" i="2"/>
  <c r="H183" i="2"/>
  <c r="J22" i="1" s="1"/>
  <c r="N22" i="1" s="1"/>
  <c r="K21" i="1"/>
  <c r="O22" i="1" l="1"/>
  <c r="Q22" i="1" s="1"/>
  <c r="P21" i="1"/>
  <c r="S21" i="1" s="1"/>
  <c r="K22" i="1"/>
  <c r="H184" i="2"/>
  <c r="J185" i="2"/>
  <c r="P22" i="1" l="1"/>
  <c r="S22" i="1" s="1"/>
  <c r="H185" i="2"/>
  <c r="J186" i="2"/>
  <c r="J187" i="2" l="1"/>
  <c r="H186" i="2"/>
  <c r="J23" i="1" s="1"/>
  <c r="N23" i="1" s="1"/>
  <c r="O23" i="1" l="1"/>
  <c r="Q23" i="1" s="1"/>
  <c r="K23" i="1"/>
  <c r="H187" i="2"/>
  <c r="J63" i="1" s="1"/>
  <c r="N63" i="1" s="1"/>
  <c r="J188" i="2"/>
  <c r="O63" i="1" l="1"/>
  <c r="Q63" i="1" s="1"/>
  <c r="H188" i="2"/>
  <c r="J189" i="2"/>
  <c r="K63" i="1"/>
  <c r="P23" i="1"/>
  <c r="S23" i="1" s="1"/>
  <c r="J64" i="1" l="1"/>
  <c r="P63" i="1"/>
  <c r="S63" i="1" s="1"/>
  <c r="H189" i="2"/>
  <c r="J29" i="1" s="1"/>
  <c r="N29" i="1" s="1"/>
  <c r="J190" i="2"/>
  <c r="J31" i="1"/>
  <c r="N31" i="1" s="1"/>
  <c r="N64" i="1" l="1"/>
  <c r="K64" i="1"/>
  <c r="O29" i="1"/>
  <c r="Q29" i="1" s="1"/>
  <c r="O31" i="1"/>
  <c r="Q31" i="1"/>
  <c r="H190" i="2"/>
  <c r="J191" i="2"/>
  <c r="J192" i="2" s="1"/>
  <c r="K29" i="1"/>
  <c r="K31" i="1"/>
  <c r="O64" i="1" l="1"/>
  <c r="Q64" i="1" s="1"/>
  <c r="P64" i="1"/>
  <c r="S64" i="1" s="1"/>
  <c r="H192" i="2"/>
  <c r="J71" i="1" s="1"/>
  <c r="J193" i="2"/>
  <c r="P29" i="1"/>
  <c r="S29" i="1" s="1"/>
  <c r="H191" i="2"/>
  <c r="J30" i="1" s="1"/>
  <c r="N30" i="1" s="1"/>
  <c r="P31" i="1"/>
  <c r="N71" i="1" l="1"/>
  <c r="K71" i="1"/>
  <c r="O30" i="1"/>
  <c r="Q30" i="1" s="1"/>
  <c r="H193" i="2"/>
  <c r="J194" i="2"/>
  <c r="K30" i="1"/>
  <c r="J28" i="1" l="1"/>
  <c r="K28" i="1" s="1"/>
  <c r="J65" i="1"/>
  <c r="O71" i="1"/>
  <c r="Q71" i="1" s="1"/>
  <c r="P71" i="1"/>
  <c r="H194" i="2"/>
  <c r="J195" i="2"/>
  <c r="P30" i="1"/>
  <c r="S30" i="1" s="1"/>
  <c r="N28" i="1" l="1"/>
  <c r="J39" i="1"/>
  <c r="N39" i="1" s="1"/>
  <c r="O39" i="1" s="1"/>
  <c r="Q39" i="1" s="1"/>
  <c r="J66" i="1"/>
  <c r="N65" i="1"/>
  <c r="K65" i="1"/>
  <c r="O28" i="1"/>
  <c r="Q28" i="1" s="1"/>
  <c r="P28" i="1"/>
  <c r="S28" i="1" s="1"/>
  <c r="H195" i="2"/>
  <c r="J196" i="2"/>
  <c r="O65" i="1" l="1"/>
  <c r="Q65" i="1" s="1"/>
  <c r="P65" i="1"/>
  <c r="S65" i="1" s="1"/>
  <c r="K66" i="1"/>
  <c r="N66" i="1"/>
  <c r="K39" i="1"/>
  <c r="P39" i="1"/>
  <c r="S39" i="1" s="1"/>
  <c r="H196" i="2"/>
  <c r="J43" i="1" s="1"/>
  <c r="N43" i="1" s="1"/>
  <c r="J197" i="2"/>
  <c r="O66" i="1" l="1"/>
  <c r="Q66" i="1" s="1"/>
  <c r="P66" i="1"/>
  <c r="S66" i="1" s="1"/>
  <c r="O43" i="1"/>
  <c r="Q43" i="1" s="1"/>
  <c r="K43" i="1"/>
  <c r="H197" i="2"/>
  <c r="J44" i="1" s="1"/>
  <c r="N44" i="1" s="1"/>
  <c r="J198" i="2"/>
  <c r="O44" i="1" l="1"/>
  <c r="Q44" i="1" s="1"/>
  <c r="J199" i="2"/>
  <c r="K44" i="1"/>
  <c r="P43" i="1"/>
  <c r="S43" i="1" s="1"/>
  <c r="P44" i="1" l="1"/>
  <c r="S44" i="1" s="1"/>
  <c r="H199" i="2"/>
  <c r="I199" i="2" s="1"/>
  <c r="J200" i="2"/>
  <c r="J201" i="2" l="1"/>
  <c r="H200" i="2"/>
  <c r="J40" i="1" s="1"/>
  <c r="N40" i="1" s="1"/>
  <c r="O40" i="1" l="1"/>
  <c r="Q40" i="1" s="1"/>
  <c r="K40" i="1"/>
  <c r="H201" i="2"/>
  <c r="J73" i="1" s="1"/>
  <c r="J202" i="2"/>
  <c r="N73" i="1" l="1"/>
  <c r="K73" i="1"/>
  <c r="J203" i="2"/>
  <c r="H202" i="2"/>
  <c r="P40" i="1"/>
  <c r="O73" i="1" l="1"/>
  <c r="Q73" i="1" s="1"/>
  <c r="P73" i="1"/>
  <c r="H203" i="2"/>
  <c r="J204" i="2"/>
  <c r="H204" i="2" l="1"/>
  <c r="J52" i="1" s="1"/>
  <c r="N52" i="1" s="1"/>
  <c r="J205" i="2"/>
  <c r="O52" i="1" l="1"/>
  <c r="Q52" i="1" s="1"/>
  <c r="H205" i="2"/>
  <c r="J53" i="1" s="1"/>
  <c r="N53" i="1" s="1"/>
  <c r="J206" i="2"/>
  <c r="K52" i="1"/>
  <c r="O53" i="1" l="1"/>
  <c r="Q53" i="1" s="1"/>
  <c r="P52" i="1"/>
  <c r="J207" i="2"/>
  <c r="H206" i="2"/>
  <c r="J54" i="1" s="1"/>
  <c r="N54" i="1" s="1"/>
  <c r="K53" i="1"/>
  <c r="O54" i="1" l="1"/>
  <c r="Q54" i="1" s="1"/>
  <c r="K54" i="1"/>
  <c r="J208" i="2"/>
  <c r="P53" i="1"/>
  <c r="H208" i="2" l="1"/>
  <c r="I208" i="2" s="1"/>
  <c r="J209" i="2"/>
  <c r="P54" i="1"/>
  <c r="J210" i="2" l="1"/>
  <c r="H209" i="2"/>
  <c r="J55" i="1" s="1"/>
  <c r="N55" i="1" s="1"/>
  <c r="O55" i="1" l="1"/>
  <c r="Q55" i="1" s="1"/>
  <c r="K55" i="1"/>
  <c r="H210" i="2"/>
  <c r="J56" i="1" s="1"/>
  <c r="N56" i="1" s="1"/>
  <c r="J211" i="2"/>
  <c r="O56" i="1" l="1"/>
  <c r="Q56" i="1" s="1"/>
  <c r="H211" i="2"/>
  <c r="J57" i="1" s="1"/>
  <c r="N57" i="1" s="1"/>
  <c r="J212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J213" i="2"/>
  <c r="K57" i="1"/>
  <c r="K8" i="1"/>
  <c r="K27" i="1"/>
  <c r="K6" i="1"/>
  <c r="K15" i="1"/>
  <c r="K25" i="1"/>
  <c r="K14" i="1"/>
  <c r="K10" i="1"/>
  <c r="J214" i="2" l="1"/>
  <c r="P57" i="1"/>
  <c r="P14" i="1"/>
  <c r="S14" i="1" s="1"/>
  <c r="P15" i="1"/>
  <c r="S15" i="1" s="1"/>
  <c r="P27" i="1"/>
  <c r="P10" i="1"/>
  <c r="P25" i="1"/>
  <c r="S25" i="1" s="1"/>
  <c r="P6" i="1"/>
  <c r="P8" i="1"/>
  <c r="S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N42" i="1" s="1"/>
  <c r="J222" i="2"/>
  <c r="O42" i="1" l="1"/>
  <c r="Q42" i="1" s="1"/>
  <c r="H222" i="2"/>
  <c r="J223" i="2"/>
  <c r="K42" i="1"/>
  <c r="P42" i="1" l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N45" i="1" s="1"/>
  <c r="J230" i="2"/>
  <c r="O45" i="1" l="1"/>
  <c r="Q45" i="1" s="1"/>
  <c r="J231" i="2"/>
  <c r="H230" i="2"/>
  <c r="J46" i="1" s="1"/>
  <c r="N46" i="1" s="1"/>
  <c r="K45" i="1"/>
  <c r="O46" i="1" l="1"/>
  <c r="Q46" i="1" s="1"/>
  <c r="P45" i="1"/>
  <c r="K46" i="1"/>
  <c r="J232" i="2"/>
  <c r="H231" i="2"/>
  <c r="P46" i="1" l="1"/>
  <c r="H232" i="2"/>
  <c r="J47" i="1" s="1"/>
  <c r="N47" i="1" s="1"/>
  <c r="J233" i="2"/>
  <c r="O47" i="1" l="1"/>
  <c r="Q47" i="1" s="1"/>
  <c r="J234" i="2"/>
  <c r="H233" i="2"/>
  <c r="J49" i="1" s="1"/>
  <c r="N49" i="1" s="1"/>
  <c r="K47" i="1"/>
  <c r="O49" i="1" l="1"/>
  <c r="Q49" i="1" s="1"/>
  <c r="P47" i="1"/>
  <c r="K49" i="1"/>
  <c r="H234" i="2"/>
  <c r="J235" i="2"/>
  <c r="P49" i="1" l="1"/>
  <c r="J236" i="2"/>
  <c r="H235" i="2"/>
  <c r="J51" i="1"/>
  <c r="N51" i="1" s="1"/>
  <c r="O51" i="1" l="1"/>
  <c r="Q51" i="1" s="1"/>
  <c r="H236" i="2"/>
  <c r="J50" i="1" s="1"/>
  <c r="N50" i="1" s="1"/>
  <c r="J237" i="2"/>
  <c r="K51" i="1"/>
  <c r="O50" i="1" l="1"/>
  <c r="Q50" i="1" s="1"/>
  <c r="P51" i="1"/>
  <c r="H237" i="2"/>
  <c r="J238" i="2"/>
  <c r="K50" i="1"/>
  <c r="H238" i="2" l="1"/>
  <c r="I238" i="2" s="1"/>
  <c r="I4" i="2" s="1"/>
  <c r="J239" i="2"/>
  <c r="P50" i="1"/>
  <c r="J240" i="2" l="1"/>
  <c r="H239" i="2"/>
  <c r="J58" i="1" s="1"/>
  <c r="N58" i="1" s="1"/>
  <c r="O58" i="1" l="1"/>
  <c r="Q58" i="1"/>
  <c r="K58" i="1"/>
  <c r="H240" i="2"/>
  <c r="J59" i="1" s="1"/>
  <c r="N59" i="1" s="1"/>
  <c r="J241" i="2"/>
  <c r="O59" i="1" l="1"/>
  <c r="Q59" i="1" s="1"/>
  <c r="J242" i="2"/>
  <c r="H241" i="2"/>
  <c r="J60" i="1" s="1"/>
  <c r="N60" i="1" s="1"/>
  <c r="K59" i="1"/>
  <c r="P58" i="1"/>
  <c r="O60" i="1" l="1"/>
  <c r="Q60" i="1" s="1"/>
  <c r="P59" i="1"/>
  <c r="K60" i="1"/>
  <c r="H242" i="2"/>
  <c r="J61" i="1" s="1"/>
  <c r="N61" i="1" s="1"/>
  <c r="O61" i="1" l="1"/>
  <c r="Q61" i="1" s="1"/>
  <c r="P60" i="1"/>
  <c r="S60" i="1" s="1"/>
  <c r="K61" i="1"/>
  <c r="P61" i="1" l="1"/>
  <c r="J26" i="1" l="1"/>
  <c r="N26" i="1" s="1"/>
  <c r="J68" i="1"/>
  <c r="N68" i="1" s="1"/>
  <c r="J69" i="1"/>
  <c r="N69" i="1" s="1"/>
  <c r="O68" i="1" l="1"/>
  <c r="Q68" i="1" s="1"/>
  <c r="O26" i="1"/>
  <c r="Q26" i="1" s="1"/>
  <c r="O69" i="1"/>
  <c r="Q69" i="1" s="1"/>
  <c r="K26" i="1"/>
  <c r="K69" i="1"/>
  <c r="K68" i="1"/>
  <c r="P26" i="1"/>
  <c r="S26" i="1" s="1"/>
  <c r="S2" i="1" s="1"/>
  <c r="P68" i="1" l="1"/>
  <c r="P69" i="1"/>
  <c r="J7" i="1" l="1"/>
  <c r="N7" i="1" l="1"/>
  <c r="K7" i="1"/>
  <c r="K2" i="1" s="1"/>
  <c r="O7" i="1" l="1"/>
  <c r="Q7" i="1"/>
  <c r="Q2" i="1" s="1"/>
  <c r="P7" i="1"/>
  <c r="P2" i="1" s="1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<sst xmlns="http://schemas.openxmlformats.org/spreadsheetml/2006/main" count="1444" uniqueCount="1004">
  <si>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</si>
  <si>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</si>
  <si>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</si>
  <si>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</si>
  <si>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</si>
  <si>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</si>
  <si>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</si>
  <si>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</si>
  <si>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</si>
  <si>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</si>
  <si>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</si>
  <si>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</si>
  <si>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</si>
  <si>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</si>
  <si>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</si>
  <si>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</si>
  <si>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</si>
  <si>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</si>
  <si>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</si>
  <si>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</si>
  <si>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</si>
  <si>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</si>
  <si>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</si>
  <si>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</si>
  <si>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</si>
  <si>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</si>
  <si>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</si>
  <si>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</si>
  <si>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</si>
  <si>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</si>
  <si>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</si>
  <si>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</si>
  <si>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</si>
  <si>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</si>
  <si>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</si>
  <si>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</si>
  <si>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</si>
  <si>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</si>
  <si>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</si>
  <si>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</si>
  <si>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</si>
  <si>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</si>
  <si>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</si>
  <si>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</si>
  <si>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</si>
  <si>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</si>
  <si>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</si>
  <si>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</si>
  <si>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</si>
  <si>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</si>
  <si>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</si>
  <si>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</si>
  <si>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</si>
  <si>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</si>
  <si>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</si>
  <si>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</si>
  <si>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</si>
  <si>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</si>
  <si>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</si>
  <si>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</si>
  <si>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</si>
  <si>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</si>
  <si>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</si>
  <si>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</si>
  <si>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</si>
  <si>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</si>
  <si>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</si>
  <si>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</si>
  <si>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</si>
  <si>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</si>
  <si>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</si>
  <si>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</si>
  <si>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</si>
  <si>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</si>
  <si>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</si>
  <si>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</si>
  <si>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</si>
  <si>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</si>
  <si>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</si>
  <si>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</si>
  <si>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</si>
  <si>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</si>
  <si>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</si>
  <si>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</si>
  <si>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</si>
  <si>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</si>
  <si>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</si>
  <si>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</si>
  <si>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</si>
  <si>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</si>
  <si>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</si>
  <si>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</si>
  <si>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</si>
  <si>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</si>
  <si>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</si>
  <si>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</si>
  <si>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</si>
  <si>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</si>
  <si>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</si>
  <si>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</si>
  <si>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</si>
  <si>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</si>
  <si>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</si>
  <si>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</si>
  <si>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</si>
  <si>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</si>
  <si>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</si>
  <si>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</si>
  <si>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</si>
  <si>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</si>
  <si>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</si>
  <si>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</si>
  <si>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</si>
  <si>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</si>
  <si>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</si>
  <si>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</si>
  <si>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</si>
  <si>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</si>
  <si>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</si>
  <si>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</si>
  <si>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</si>
  <si>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</si>
  <si>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</si>
  <si>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</si>
  <si>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</si>
  <si>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</si>
  <si>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</si>
  <si>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</si>
  <si>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</si>
  <si>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</si>
  <si>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</si>
  <si>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</si>
  <si>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</si>
  <si>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</si>
  <si>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</si>
  <si>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</si>
  <si>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</si>
  <si>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</si>
  <si>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</si>
  <si>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</si>
  <si>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</si>
  <si>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</si>
  <si>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</si>
  <si>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</si>
  <si>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</si>
  <si>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</si>
  <si>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</si>
  <si>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</si>
  <si>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</si>
  <si>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</si>
  <si>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</si>
  <si>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</si>
  <si>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</si>
  <si>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</si>
  <si>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</si>
  <si>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</si>
  <si>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</si>
  <si>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</si>
  <si>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</si>
  <si>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</si>
  <si>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</si>
  <si>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</si>
  <si>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</si>
  <si>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</si>
  <si>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</si>
  <si>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</si>
  <si>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</si>
  <si>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</si>
  <si>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</si>
  <si>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</si>
  <si>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</si>
  <si>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</si>
  <si>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</si>
  <si>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</si>
  <si>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</si>
  <si>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</si>
  <si>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</si>
  <si>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</si>
  <si>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</si>
  <si>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</si>
  <si>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</si>
  <si>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</si>
  <si>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</si>
  <si>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</si>
  <si>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</si>
  <si>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</si>
  <si>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</si>
  <si>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</si>
  <si>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</si>
  <si>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</si>
  <si>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</si>
  <si>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</si>
  <si>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</si>
  <si>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</si>
  <si>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</si>
  <si>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</si>
  <si>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</si>
  <si>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</si>
  <si>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</si>
  <si>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</si>
  <si>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</si>
  <si>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</si>
  <si>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</si>
  <si>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</si>
  <si>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</si>
  <si>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</si>
  <si>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</si>
  <si>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</si>
  <si>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</si>
  <si>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</si>
  <si>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</si>
  <si>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</si>
  <si>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</si>
  <si>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</si>
  <si>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</si>
  <si>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</si>
  <si>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</si>
  <si>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</si>
  <si>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</si>
  <si>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</si>
  <si>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</si>
  <si>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</si>
  <si>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</si>
  <si>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</si>
  <si>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</si>
  <si>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</si>
  <si>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</si>
  <si>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</si>
  <si>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</si>
  <si>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</si>
  <si>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</si>
  <si>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</si>
  <si>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</si>
  <si>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</si>
  <si>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</si>
  <si>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</si>
  <si>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</si>
  <si>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</si>
  <si>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</si>
  <si>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</si>
  <si>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</si>
  <si>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</si>
  <si>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</si>
  <si>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</si>
  <si>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</si>
  <si>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</si>
  <si>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</si>
  <si>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</si>
  <si>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</si>
  <si>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</si>
  <si>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</si>
  <si>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</si>
  <si>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</si>
  <si>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</si>
  <si>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</si>
  <si>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</si>
  <si>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</si>
  <si>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</si>
  <si>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</si>
  <si>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</si>
  <si>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</si>
  <si>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</si>
  <si>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</si>
  <si>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</si>
  <si>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</si>
  <si>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</si>
  <si>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</si>
  <si>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</si>
  <si>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</si>
  <si>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</si>
  <si>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</si>
  <si>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</si>
  <si>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</si>
  <si>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</si>
  <si>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</si>
  <si>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</si>
  <si>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</si>
  <si>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</si>
  <si>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</si>
  <si>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</si>
  <si>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</si>
  <si>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</si>
  <si>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</si>
  <si>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</si>
  <si>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</si>
  <si>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</si>
  <si>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</si>
  <si>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</si>
  <si>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</si>
  <si>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</si>
  <si>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</si>
  <si>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</si>
  <si>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</si>
  <si>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</si>
  <si>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</si>
  <si>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</si>
  <si>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</si>
  <si>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</si>
  <si>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</si>
  <si>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</si>
  <si>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</si>
  <si>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</si>
  <si>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</si>
  <si>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</si>
  <si>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</si>
  <si>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</si>
  <si>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</si>
  <si>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</si>
  <si>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</si>
  <si>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</si>
  <si>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</si>
  <si>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</si>
  <si>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</si>
  <si>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</si>
  <si>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</si>
  <si>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</si>
  <si>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</si>
  <si>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</si>
  <si>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</si>
  <si>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</si>
  <si>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</si>
  <si>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</si>
  <si>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</si>
  <si>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</si>
  <si>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</si>
  <si>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</si>
  <si>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</si>
  <si>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</si>
  <si>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</si>
  <si>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</si>
  <si>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</si>
  <si>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</si>
  <si>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</si>
  <si>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</si>
  <si>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</si>
  <si>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</si>
  <si>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</si>
  <si>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</si>
  <si>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</si>
  <si>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</si>
  <si>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</si>
  <si>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</si>
  <si>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</si>
  <si>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</si>
  <si>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</si>
  <si>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</si>
  <si>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</si>
  <si>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</si>
  <si>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</si>
  <si>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</si>
  <si>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</si>
  <si>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</si>
  <si>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</si>
  <si>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</si>
  <si>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</si>
  <si>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</si>
  <si>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</si>
  <si>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</si>
  <si>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</si>
  <si>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</si>
  <si>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</si>
  <si>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</si>
  <si>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</si>
  <si>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</si>
  <si>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</si>
  <si>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</si>
  <si>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</si>
  <si>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</si>
  <si>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</si>
  <si>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</si>
  <si>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</si>
  <si>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</si>
  <si>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</si>
  <si>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</si>
  <si>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</si>
  <si>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</si>
  <si>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</si>
  <si>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</si>
  <si>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</si>
  <si>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</si>
  <si>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</si>
  <si>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</si>
  <si>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</si>
  <si>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</si>
  <si>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</si>
  <si>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</si>
  <si>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</si>
  <si>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</si>
  <si>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</si>
  <si>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</si>
  <si>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</si>
  <si>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</si>
  <si>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</si>
  <si>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</si>
  <si>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</si>
  <si>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</si>
  <si>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</si>
  <si>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</si>
  <si>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</si>
  <si>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</si>
  <si>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</si>
  <si>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</si>
  <si>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</si>
  <si>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</si>
  <si>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</si>
  <si>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</si>
  <si>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</si>
  <si>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</si>
  <si>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</si>
  <si>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</si>
  <si>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</si>
  <si>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</si>
  <si>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</si>
  <si>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</si>
  <si>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</si>
  <si>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</si>
  <si>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</si>
  <si>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</si>
  <si>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</si>
  <si>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</si>
  <si>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</si>
  <si>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</si>
  <si>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</si>
  <si>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</si>
  <si>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</si>
  <si>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</si>
  <si>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</si>
  <si>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</si>
  <si>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</si>
  <si>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</si>
  <si>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</si>
  <si>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</si>
  <si>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</si>
  <si>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</si>
  <si>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</si>
  <si>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</si>
  <si>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</si>
  <si>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</si>
  <si>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</si>
  <si>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</si>
  <si>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</si>
  <si>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</si>
  <si>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</si>
  <si>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</si>
  <si>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</si>
  <si>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</si>
  <si>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</si>
  <si>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</si>
  <si>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</si>
  <si>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</si>
  <si>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</si>
  <si>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</si>
  <si>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</si>
  <si>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</si>
  <si>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</si>
  <si>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</si>
  <si>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</si>
  <si>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</si>
  <si>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</si>
  <si>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</si>
  <si>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</si>
  <si>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</si>
  <si>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</si>
  <si>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</si>
  <si>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</si>
  <si>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</si>
  <si>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</si>
  <si>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</si>
  <si>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</si>
  <si>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</si>
  <si>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</si>
  <si>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</si>
  <si>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</si>
  <si>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</si>
  <si>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</si>
  <si>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</si>
  <si>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</si>
  <si>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</si>
  <si>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</si>
  <si>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</si>
  <si>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</si>
  <si>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</si>
  <si>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</si>
  <si>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</si>
  <si>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</si>
  <si>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</si>
  <si>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</si>
  <si>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</si>
  <si>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</si>
  <si>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</si>
  <si>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</si>
  <si>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</si>
  <si>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</si>
  <si>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</si>
  <si>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</si>
  <si>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</si>
  <si>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</si>
  <si>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</si>
  <si>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</si>
  <si>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</si>
  <si>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</si>
  <si>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</si>
  <si>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</si>
  <si>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</si>
  <si>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</si>
  <si>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</si>
  <si>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</si>
  <si>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</si>
  <si>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</si>
  <si>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</si>
  <si>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</si>
  <si>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</si>
  <si>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</si>
  <si>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</si>
  <si>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</si>
  <si>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</si>
  <si>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</si>
  <si>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</si>
  <si>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</si>
  <si>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</si>
  <si>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</si>
  <si>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</si>
  <si>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</si>
  <si>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</si>
  <si>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</si>
  <si>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</si>
  <si>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</si>
  <si>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</si>
  <si>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</si>
  <si>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</si>
  <si>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</si>
  <si>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</si>
  <si>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</si>
  <si>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</si>
  <si>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</si>
  <si>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</si>
  <si>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</si>
  <si>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</si>
  <si>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</si>
  <si>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</si>
  <si>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</si>
  <si>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</si>
  <si>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</si>
  <si>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</si>
  <si>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</si>
  <si>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</si>
  <si>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</si>
  <si>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</si>
  <si>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</si>
  <si>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</si>
  <si>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</si>
  <si>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</si>
  <si>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</si>
  <si>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</si>
  <si>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</si>
  <si>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</si>
  <si>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</si>
  <si>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</si>
  <si>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</si>
  <si>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</si>
  <si>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</si>
  <si>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</si>
  <si>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</si>
  <si>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</si>
  <si>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</si>
  <si>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</si>
  <si>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</si>
  <si>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</si>
  <si>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</si>
  <si>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</si>
  <si>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</si>
  <si>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</si>
  <si>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</si>
  <si>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</si>
  <si>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</si>
  <si>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</si>
  <si>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</si>
  <si>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</si>
  <si>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</si>
  <si>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</si>
  <si>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</si>
  <si>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</si>
  <si>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</si>
  <si>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</si>
  <si>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</si>
  <si>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</si>
  <si>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</si>
  <si>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</si>
  <si>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</si>
  <si>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</si>
  <si>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</si>
  <si>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</si>
  <si>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</si>
  <si>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</si>
  <si>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</si>
  <si>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</si>
  <si>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</si>
  <si>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</si>
  <si>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</si>
  <si>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</si>
  <si>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</si>
  <si>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</si>
  <si>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</si>
  <si>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</si>
  <si>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</si>
  <si>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</si>
  <si>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</si>
  <si>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</si>
  <si>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</si>
  <si>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</si>
  <si>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</si>
  <si>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</si>
  <si>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</si>
  <si>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</si>
  <si>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</si>
  <si>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</si>
  <si>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</si>
  <si>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</si>
  <si>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</si>
  <si>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</si>
  <si>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</si>
  <si>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</si>
  <si>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</si>
  <si>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</si>
  <si>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</si>
  <si>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</si>
  <si>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</si>
  <si>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</si>
  <si>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</si>
  <si>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</si>
  <si>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</si>
  <si>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</si>
  <si>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</si>
  <si>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</si>
  <si>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</si>
  <si>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</si>
  <si>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</si>
  <si>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</si>
  <si>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</si>
  <si>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</si>
  <si>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</si>
  <si>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</si>
  <si>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</si>
  <si>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</si>
  <si>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</si>
  <si>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</si>
  <si>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</si>
  <si>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</si>
  <si>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</si>
  <si>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</si>
  <si>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</si>
  <si>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</si>
  <si>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</si>
  <si>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</si>
  <si>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</si>
  <si>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</si>
  <si>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</si>
  <si>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</si>
  <si>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</si>
  <si>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</si>
  <si>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</si>
  <si>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</si>
  <si>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</si>
  <si>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</si>
  <si>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</si>
  <si>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</si>
  <si>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</si>
  <si>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</si>
  <si>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</si>
  <si>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</si>
  <si>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</si>
  <si>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</si>
  <si>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</si>
  <si>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</si>
  <si>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</si>
  <si>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</si>
  <si>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</si>
  <si>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</si>
  <si>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</si>
  <si>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</si>
  <si>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</si>
  <si>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</si>
  <si>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</si>
  <si>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</si>
  <si>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</si>
  <si>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</si>
  <si>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</si>
  <si>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</si>
  <si>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</si>
  <si>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</si>
  <si>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</si>
  <si>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</si>
  <si>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</si>
  <si>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</si>
  <si>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</si>
  <si>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</si>
  <si>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</si>
  <si>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</si>
  <si>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</si>
  <si>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</si>
  <si>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</si>
  <si>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</si>
  <si>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</si>
  <si>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</si>
  <si>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</si>
  <si>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</si>
  <si>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</si>
  <si>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</si>
  <si>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</si>
  <si>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</si>
  <si>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</si>
  <si>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</si>
  <si>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</si>
  <si>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</si>
  <si>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</si>
  <si>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</si>
  <si>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</si>
  <si>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</si>
  <si>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</si>
  <si>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</si>
  <si>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</si>
  <si>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</si>
  <si>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</si>
  <si>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</si>
  <si>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</si>
  <si>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</si>
  <si>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</si>
  <si>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</si>
  <si>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</si>
  <si>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</si>
  <si>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</si>
  <si>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</si>
  <si>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</si>
  <si>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</si>
  <si>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</si>
  <si>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</si>
  <si>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</si>
  <si>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</si>
  <si>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</si>
  <si>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</si>
  <si>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</si>
  <si>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</si>
  <si>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</si>
  <si>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</si>
  <si>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</si>
  <si>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</si>
  <si>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</si>
  <si>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</si>
  <si>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</si>
  <si>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</si>
  <si>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</si>
  <si>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</si>
  <si>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</si>
  <si>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</si>
  <si>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</si>
  <si>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</si>
  <si>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</si>
  <si>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</si>
  <si>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</si>
  <si>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</si>
  <si>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</si>
  <si>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</si>
  <si>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</si>
  <si>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</si>
  <si>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</si>
  <si>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</si>
  <si>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</si>
  <si>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</si>
  <si>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</si>
  <si>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</si>
  <si>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</si>
  <si>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</si>
  <si>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</si>
  <si>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</si>
  <si>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</si>
  <si>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</si>
  <si>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</si>
  <si>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</si>
  <si>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</si>
  <si>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</si>
  <si>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</si>
  <si>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</si>
  <si>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</si>
  <si>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</si>
  <si>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</si>
  <si>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</si>
  <si>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</si>
  <si>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</si>
  <si>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</si>
  <si>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</si>
  <si>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</si>
  <si>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</si>
  <si>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</si>
  <si>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</si>
  <si>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</si>
  <si>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</si>
  <si>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</si>
  <si>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</si>
  <si>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</si>
  <si>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</si>
  <si>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</si>
  <si>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</si>
  <si>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</si>
  <si>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</si>
  <si>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</si>
  <si>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</si>
  <si>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</si>
  <si>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</si>
  <si>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</si>
  <si>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</si>
  <si>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</si>
  <si>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</si>
  <si>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</si>
  <si>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</si>
  <si>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</si>
  <si>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</si>
  <si>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</si>
  <si>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</si>
  <si>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</si>
  <si>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</si>
  <si>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</si>
  <si>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</si>
  <si>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</si>
  <si>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</si>
  <si>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</si>
  <si>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</si>
  <si>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</si>
  <si>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</si>
  <si>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</si>
  <si>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</si>
  <si>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</si>
  <si>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</si>
  <si>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</si>
  <si>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</si>
  <si>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</si>
  <si>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</si>
  <si>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</si>
  <si>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</si>
  <si>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</si>
  <si>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</si>
  <si>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</si>
  <si>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</si>
  <si>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</si>
  <si>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</si>
  <si>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</si>
  <si>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</si>
  <si>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</si>
  <si>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</si>
  <si>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</si>
  <si>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</si>
  <si>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</si>
  <si>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</si>
  <si>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</si>
  <si>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</si>
  <si>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</si>
  <si>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</si>
  <si>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</si>
  <si>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</si>
  <si>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</si>
  <si>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</si>
  <si>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</si>
  <si>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</si>
  <si>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</si>
  <si>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</si>
  <si>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</si>
  <si>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</si>
  <si>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</si>
  <si>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</si>
  <si>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</si>
  <si>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</si>
  <si>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</si>
  <si>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</si>
  <si>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</si>
  <si>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</si>
  <si>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</si>
  <si>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</si>
  <si>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</si>
  <si>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</si>
  <si>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</si>
  <si>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</si>
  <si>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</si>
  <si>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</si>
  <si>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</si>
  <si>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</si>
  <si>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</si>
  <si>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</si>
  <si>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</si>
  <si>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</si>
  <si>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</si>
  <si>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</si>
  <si>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</si>
  <si>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</si>
  <si>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</si>
  <si>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</si>
  <si>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</si>
  <si>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</si>
  <si>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</si>
  <si>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</si>
  <si>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</si>
  <si>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</si>
  <si>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</si>
  <si>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</si>
  <si>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</si>
  <si>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</si>
  <si>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</si>
  <si>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</si>
  <si>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</si>
  <si>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</si>
  <si>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</si>
  <si>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</si>
  <si>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</si>
  <si>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</si>
  <si>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</si>
  <si>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</si>
  <si>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</si>
  <si>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</si>
  <si>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</si>
  <si>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</si>
  <si>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</si>
  <si>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</si>
  <si>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</si>
  <si>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</si>
  <si>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</si>
  <si>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</si>
  <si>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</si>
  <si>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</si>
  <si>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</si>
  <si>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</si>
  <si>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</si>
  <si>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</si>
  <si>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</si>
  <si>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</si>
  <si>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</si>
  <si>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</si>
  <si>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</si>
  <si>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</si>
  <si>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</si>
  <si>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</si>
  <si>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</si>
  <si>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</si>
  <si>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</si>
  <si>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</si>
  <si>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</si>
  <si>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</si>
  <si>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</si>
  <si>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</si>
  <si>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</si>
  <si>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</si>
  <si>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</si>
  <si>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</si>
  <si>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</si>
  <si>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</si>
  <si>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</si>
  <si>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</si>
  <si>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</si>
  <si>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</si>
  <si>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</si>
  <si>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</si>
  <si>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</si>
  <si>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</si>
  <si>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</si>
  <si>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</si>
  <si>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</si>
  <si>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</si>
  <si>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</si>
  <si>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</si>
  <si>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</si>
  <si>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</si>
  <si>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</si>
  <si>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</si>
  <si>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</si>
  <si>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https://www.boltdepot.com/Product-Details.aspx?product=6549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</si>
  <si>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</si>
  <si>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</si>
  <si>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</si>
  <si>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</si>
  <si>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</si>
  <si>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</si>
  <si>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</si>
  <si>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</si>
  <si>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</si>
  <si>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</si>
  <si>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</si>
  <si>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</si>
  <si>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</si>
  <si>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</si>
  <si>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</si>
  <si>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</si>
  <si>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</si>
  <si>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</si>
  <si>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</si>
  <si>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</si>
  <si>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</si>
  <si>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</si>
  <si>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</si>
  <si>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</si>
  <si>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</si>
  <si>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</si>
  <si>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</si>
  <si>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 xml:space="preserve">amazon.com </t>
  </si>
  <si>
    <t>https://www.amazon.com/200x200x0-5mm-Conductivity-Conductive-Insulation-temperature/dp/B075JDF6JV</t>
  </si>
  <si>
    <t>1.5mm Thermal Pad, 6W/m.k Thermal Conductivity</t>
  </si>
  <si>
    <t>Thermal interface for SSR heatsink</t>
  </si>
  <si>
    <t>SSR for bed heater (with heatsink)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</si>
</sst>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94">
    <dxf>
      <fill>
        <patternFill>
          <bgColor rgb="FFFFC000"/>
        </patternFill>
      </fill>
    </dxf>
    <dxf>
      <fill>
        <patternFill>
          <bgColor rgb="FF33FF8F"/>
        </patternFill>
      </fill>
    </dxf>
    <dxf>
      <fill>
        <patternFill>
          <bgColor rgb="FF33FF8F"/>
        </patternFill>
      </fill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4240"/>
        <c:axId val="176315776"/>
      </c:scatterChart>
      <c:valAx>
        <c:axId val="1763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315776"/>
        <c:crosses val="autoZero"/>
        <c:crossBetween val="midCat"/>
        <c:majorUnit val="100"/>
      </c:valAx>
      <c:valAx>
        <c:axId val="1763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1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S635" totalsRowShown="0" headerRowDxfId="193" dataDxfId="192" headerRowCellStyle="Currency" dataCellStyle="Currency">
  <autoFilter ref="A3:S635"/>
  <tableColumns count="19">
    <tableColumn id="1" name="Part Number" dataDxfId="191"/>
    <tableColumn id="2" name="Description" dataDxfId="190"/>
    <tableColumn id="3" name="Supplier" dataDxfId="189"/>
    <tableColumn id="4" name="Cost " dataDxfId="188" dataCellStyle="Currency"/>
    <tableColumn id="5" name="shipping" dataDxfId="187" dataCellStyle="Currency"/>
    <tableColumn id="6" name="Tax" dataDxfId="186" dataCellStyle="Currency">
      <calculatedColumnFormula>9%*Table1[[#This Row],[Cost ]]</calculatedColumnFormula>
    </tableColumn>
    <tableColumn id="7" name="Web-link" dataDxfId="185"/>
    <tableColumn id="9" name="Minimum order quantity" dataDxfId="184"/>
    <tableColumn id="8" name="Comments" dataDxfId="183"/>
    <tableColumn id="10" name="extended quantity" dataDxfId="182" dataCellStyle="Currency">
      <calculatedColumnFormula>SUMIF('Multi-level BOM'!D$4:D$467,Table1[[#This Row],[Part Number]],'Multi-level BOM'!H$4:H$467)</calculatedColumnFormula>
    </tableColumn>
    <tableColumn id="15" name="Ideal cost" dataDxfId="181" dataCellStyle="Currency">
      <calculatedColumnFormula>Table1[[#This Row],[extended quantity]]*(Table1[[#This Row],[Cost ]]+Table1[[#This Row],[shipping]]+Table1[[#This Row],[Tax]])</calculatedColumnFormula>
    </tableColumn>
    <tableColumn id="16" name=" " dataDxfId="180" dataCellStyle="Currency"/>
    <tableColumn id="17" name="quantity on-hand" dataDxfId="179" dataCellStyle="Currency"/>
    <tableColumn id="11" name="Order quantity" dataDxfId="178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177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176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175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74" dataCellStyle="Currency"/>
    <tableColumn id="18" name="Buy-now costs" dataDxfId="173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songshine-Stepper-Bipolar-Extruder-17HS4023/dp/B07TY4BFF2" TargetMode="External"/><Relationship Id="rId13" Type="http://schemas.openxmlformats.org/officeDocument/2006/relationships/hyperlink" Target="https://www.boltdepot.com/Product-Details.aspx?product=13641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amazon.com/uxcell-Aluminum-12-13mm-Seamless-Straight/dp/B07YCHFN8F" TargetMode="Externa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hyperlink" Target="https://www.boltdepot.com/Product-Details.aspx?product=13345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us.misumi-ec.com/vona2/detail/110302683830/?ProductCode=HFS5-2020-200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amazon.com/Witbot-Pillow-Bearing-Coupler-Printer/dp/B074Z4Q23M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STEPPERONLINE-Bipolar-Stepper-0-9deg-62-3oz/dp/B00PNEQMLY" TargetMode="External"/><Relationship Id="rId14" Type="http://schemas.openxmlformats.org/officeDocument/2006/relationships/hyperlink" Target="https://www.boltdepot.com/Product-Details.aspx?product=47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tabSelected="1" workbookViewId="0">
      <pane ySplit="3" topLeftCell="A162" activePane="bottomLeft" state="frozen"/>
      <selection pane="bottomLeft" activeCell="C250" sqref="C250"/>
    </sheetView>
  </sheetViews>
  <sheetFormatPr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326.86429923076923</v>
      </c>
    </row>
    <row r="2" spans="1:22" ht="45" customHeight="1" x14ac:dyDescent="0.25">
      <c r="A2" s="58" t="s">
        <v>963</v>
      </c>
      <c r="B2" s="59" t="s">
        <v>669</v>
      </c>
      <c r="C2" s="60" t="s">
        <v>641</v>
      </c>
      <c r="D2" s="60" t="s">
        <v>0</v>
      </c>
      <c r="E2" s="60" t="s">
        <v>639</v>
      </c>
      <c r="F2" s="59" t="s">
        <v>937</v>
      </c>
      <c r="G2" s="60" t="s">
        <v>642</v>
      </c>
      <c r="H2" s="59" t="s">
        <v>667</v>
      </c>
      <c r="I2" s="43" t="s">
        <v>701</v>
      </c>
      <c r="J2" s="59" t="s">
        <v>668</v>
      </c>
      <c r="K2" s="59"/>
      <c r="L2" s="59"/>
      <c r="M2" s="59"/>
      <c r="N2" s="59"/>
      <c r="O2" s="59"/>
      <c r="P2" s="59"/>
      <c r="Q2" s="59"/>
      <c r="R2" s="59"/>
      <c r="S2" s="59"/>
      <c r="U2" s="59" t="s">
        <v>940</v>
      </c>
      <c r="V2" s="58" t="s">
        <v>965</v>
      </c>
    </row>
    <row r="3" spans="1:22" x14ac:dyDescent="0.25">
      <c r="A3" s="58"/>
      <c r="B3" s="59"/>
      <c r="C3" s="60"/>
      <c r="D3" s="60"/>
      <c r="E3" s="60"/>
      <c r="F3" s="59"/>
      <c r="G3" s="60"/>
      <c r="H3" s="59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59"/>
      <c r="V3" s="58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 t="shared" ref="H4:H7" si="0">PRODUCT(J4:S4)</f>
        <v>1</v>
      </c>
      <c r="I4" s="44">
        <f>SUM(I5,I68,I93,I132,I136,I199,I208,I217,I228,I238)</f>
        <v>1965.5320628320515</v>
      </c>
      <c r="J4" s="4">
        <f t="shared" ref="J4:J5" si="1">IF($B4="",J3,
    IF(J$3=$B4,$E4,
       IF(J$3&lt;$B4,J3,
           1
)))</f>
        <v>1</v>
      </c>
      <c r="K4" s="4">
        <f t="shared" ref="K4:K5" si="2">IF($B4="",K3,
    IF(K$3=$B4,$E4,
       IF(K$3&lt;$B4,K3,
           1
)))</f>
        <v>1</v>
      </c>
      <c r="L4" s="4">
        <f t="shared" ref="L4:L5" si="3">IF($B4="",L3,
    IF(L$3=$B4,$E4,
       IF(L$3&lt;$B4,L3,
           1
)))</f>
        <v>1</v>
      </c>
      <c r="M4" s="4">
        <f t="shared" ref="M4:M5" si="4">IF($B4="",M3,
    IF(M$3=$B4,$E4,
       IF(M$3&lt;$B4,M3,
           1
)))</f>
        <v>1</v>
      </c>
      <c r="N4" s="4">
        <f t="shared" ref="N4:N5" si="5">IF($B4="",N3,
    IF(N$3=$B4,$E4,
       IF(N$3&lt;$B4,N3,
           1
)))</f>
        <v>1</v>
      </c>
      <c r="O4" s="4">
        <f t="shared" ref="O4:O5" si="6">IF($B4="",O3,
    IF(O$3=$B4,$E4,
       IF(O$3&lt;$B4,O3,
           1
)))</f>
        <v>1</v>
      </c>
      <c r="P4" s="4">
        <f t="shared" ref="P4:P5" si="7">IF($B4="",P3,
    IF(P$3=$B4,$E4,
       IF(P$3&lt;$B4,P3,
           1
)))</f>
        <v>1</v>
      </c>
      <c r="Q4" s="4">
        <f t="shared" ref="Q4:Q5" si="8">IF($B4="",Q3,
    IF(Q$3=$B4,$E4,
       IF(Q$3&lt;$B4,Q3,
           1
)))</f>
        <v>1</v>
      </c>
      <c r="R4" s="4">
        <f t="shared" ref="R4:R5" si="9">IF($B4="",R3,
    IF(R$3=$B4,$E4,
       IF(R$3&lt;$B4,R3,
           1
)))</f>
        <v>1</v>
      </c>
      <c r="S4" s="4">
        <f t="shared" ref="S4:S5" si="10">IF($B4="",S3,
    IF(S$3=$B4,$E4,
       IF(S$3&lt;$B4,S3,
           1
)))</f>
        <v>1</v>
      </c>
      <c r="U4" s="3">
        <f t="shared" ref="U4:U11" si="11">IF(F4="x",I4,0)</f>
        <v>0</v>
      </c>
      <c r="V4" s="1" t="str">
        <f t="shared" ref="V4:V67" si="1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 t="shared" si="0"/>
        <v>1</v>
      </c>
      <c r="I5" s="47">
        <f>H5*SUM(I7,I9,I17,I25,I35,I45,I53,I61,I63:I66)</f>
        <v>384.25484294230779</v>
      </c>
      <c r="J5" s="4">
        <f t="shared" si="1"/>
        <v>1</v>
      </c>
      <c r="K5" s="4">
        <f t="shared" si="2"/>
        <v>1</v>
      </c>
      <c r="L5" s="4">
        <f t="shared" si="3"/>
        <v>1</v>
      </c>
      <c r="M5" s="4">
        <f t="shared" si="4"/>
        <v>1</v>
      </c>
      <c r="N5" s="4">
        <f t="shared" si="5"/>
        <v>1</v>
      </c>
      <c r="O5" s="4">
        <f t="shared" si="6"/>
        <v>1</v>
      </c>
      <c r="P5" s="4">
        <f t="shared" si="7"/>
        <v>1</v>
      </c>
      <c r="Q5" s="4">
        <f t="shared" si="8"/>
        <v>1</v>
      </c>
      <c r="R5" s="4">
        <f t="shared" si="9"/>
        <v>1</v>
      </c>
      <c r="S5" s="4">
        <f t="shared" si="10"/>
        <v>1</v>
      </c>
      <c r="U5" s="3">
        <f t="shared" si="11"/>
        <v>0</v>
      </c>
      <c r="V5" s="1" t="str">
        <f t="shared" si="1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13">IF($B6="",K5,
    IF(K$3=$B6,$E6,
       IF(K$3&lt;$B6,K5,
           1
)))</f>
        <v>1</v>
      </c>
      <c r="L6" s="4">
        <f t="shared" si="13"/>
        <v>1</v>
      </c>
      <c r="M6" s="4">
        <f t="shared" si="13"/>
        <v>1</v>
      </c>
      <c r="N6" s="4">
        <f t="shared" si="13"/>
        <v>1</v>
      </c>
      <c r="O6" s="4">
        <f t="shared" si="13"/>
        <v>1</v>
      </c>
      <c r="P6" s="4">
        <f t="shared" si="13"/>
        <v>1</v>
      </c>
      <c r="Q6" s="4">
        <f t="shared" si="13"/>
        <v>1</v>
      </c>
      <c r="R6" s="4">
        <f t="shared" si="13"/>
        <v>1</v>
      </c>
      <c r="S6" s="4">
        <f t="shared" si="13"/>
        <v>1</v>
      </c>
      <c r="U6" s="3">
        <f t="shared" si="11"/>
        <v>0</v>
      </c>
      <c r="V6" s="1" t="str">
        <f t="shared" si="1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 t="shared" si="0"/>
        <v>1</v>
      </c>
      <c r="I7" s="44">
        <f>IF(D7&lt;&gt;"",(VLOOKUP(D7,part_details,4,FALSE)+VLOOKUP(D7,part_details,5,FALSE)+VLOOKUP(D7,part_details,6,FALSE))*'Multi-level BOM'!E7,"")</f>
        <v>137.435</v>
      </c>
      <c r="J7" s="4">
        <f t="shared" ref="J7" si="14">IF($B7="",J6,
    IF(J$3=$B7,$E7,
       IF(J$3&lt;$B7,J6,
           1
)))</f>
        <v>1</v>
      </c>
      <c r="K7" s="4">
        <f t="shared" si="13"/>
        <v>1</v>
      </c>
      <c r="L7" s="4">
        <f t="shared" si="13"/>
        <v>1</v>
      </c>
      <c r="M7" s="4">
        <f t="shared" si="13"/>
        <v>1</v>
      </c>
      <c r="N7" s="4">
        <f t="shared" si="13"/>
        <v>1</v>
      </c>
      <c r="O7" s="4">
        <f t="shared" si="13"/>
        <v>1</v>
      </c>
      <c r="P7" s="4">
        <f t="shared" si="13"/>
        <v>1</v>
      </c>
      <c r="Q7" s="4">
        <f t="shared" si="13"/>
        <v>1</v>
      </c>
      <c r="R7" s="4">
        <f t="shared" si="13"/>
        <v>1</v>
      </c>
      <c r="S7" s="4">
        <f t="shared" si="13"/>
        <v>1</v>
      </c>
      <c r="U7" s="3">
        <f t="shared" si="11"/>
        <v>0</v>
      </c>
      <c r="V7" s="1" t="str">
        <f t="shared" si="1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15">IF($B8="",J7,
    IF(J$3=$B8,$E8,
       IF(J$3&lt;$B8,J7,
           1
)))</f>
        <v>1</v>
      </c>
      <c r="K8" s="4">
        <f t="shared" ref="K8:K96" si="16">IF($B8="",K7,
    IF(K$3=$B8,$E8,
       IF(K$3&lt;$B8,K7,
           1
)))</f>
        <v>1</v>
      </c>
      <c r="L8" s="4">
        <f t="shared" ref="L8:L96" si="17">IF($B8="",L7,
    IF(L$3=$B8,$E8,
       IF(L$3&lt;$B8,L7,
           1
)))</f>
        <v>1</v>
      </c>
      <c r="M8" s="4">
        <f t="shared" ref="M8:M96" si="18">IF($B8="",M7,
    IF(M$3=$B8,$E8,
       IF(M$3&lt;$B8,M7,
           1
)))</f>
        <v>1</v>
      </c>
      <c r="N8" s="4">
        <f t="shared" ref="N8:N96" si="19">IF($B8="",N7,
    IF(N$3=$B8,$E8,
       IF(N$3&lt;$B8,N7,
           1
)))</f>
        <v>1</v>
      </c>
      <c r="O8" s="4">
        <f t="shared" ref="O8:O96" si="20">IF($B8="",O7,
    IF(O$3=$B8,$E8,
       IF(O$3&lt;$B8,O7,
           1
)))</f>
        <v>1</v>
      </c>
      <c r="P8" s="4">
        <f t="shared" ref="P8:P96" si="21">IF($B8="",P7,
    IF(P$3=$B8,$E8,
       IF(P$3&lt;$B8,P7,
           1
)))</f>
        <v>1</v>
      </c>
      <c r="Q8" s="4">
        <f t="shared" ref="Q8:Q96" si="22">IF($B8="",Q7,
    IF(Q$3=$B8,$E8,
       IF(Q$3&lt;$B8,Q7,
           1
)))</f>
        <v>1</v>
      </c>
      <c r="R8" s="4">
        <f t="shared" ref="R8:R96" si="23">IF($B8="",R7,
    IF(R$3=$B8,$E8,
       IF(R$3&lt;$B8,R7,
           1
)))</f>
        <v>1</v>
      </c>
      <c r="S8" s="4">
        <f t="shared" ref="S8:S96" si="24">IF($B8="",S7,
    IF(S$3=$B8,$E8,
       IF(S$3&lt;$B8,S7,
           1
)))</f>
        <v>1</v>
      </c>
      <c r="U8" s="3">
        <f t="shared" si="11"/>
        <v>0</v>
      </c>
      <c r="V8" s="1" t="str">
        <f t="shared" si="12"/>
        <v/>
      </c>
    </row>
    <row r="9" spans="1:22" x14ac:dyDescent="0.25">
      <c r="A9" s="2">
        <v>6</v>
      </c>
      <c r="B9" s="2">
        <v>2</v>
      </c>
      <c r="C9" s="7" t="s">
        <v>673</v>
      </c>
      <c r="E9" s="2">
        <v>3</v>
      </c>
      <c r="G9" s="1" t="str">
        <f>IF(D9="","",VLOOKUP(D9,Table1[#All],2,FALSE))</f>
        <v/>
      </c>
      <c r="H9" s="2">
        <f t="shared" ref="H9:H14" si="25">PRODUCT(J9:S9)</f>
        <v>3</v>
      </c>
      <c r="I9" s="45">
        <f>H9*SUM(I10:I15)</f>
        <v>14.445465874999996</v>
      </c>
      <c r="J9" s="4">
        <f t="shared" si="15"/>
        <v>1</v>
      </c>
      <c r="K9" s="4">
        <f t="shared" si="16"/>
        <v>1</v>
      </c>
      <c r="L9" s="4">
        <f t="shared" si="17"/>
        <v>3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  <c r="R9" s="4">
        <f t="shared" si="23"/>
        <v>1</v>
      </c>
      <c r="S9" s="4">
        <f t="shared" si="24"/>
        <v>1</v>
      </c>
      <c r="U9" s="3">
        <f t="shared" si="11"/>
        <v>0</v>
      </c>
      <c r="V9" s="1" t="str">
        <f t="shared" si="1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25"/>
        <v>6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15"/>
        <v>1</v>
      </c>
      <c r="K10" s="4">
        <f t="shared" si="16"/>
        <v>1</v>
      </c>
      <c r="L10" s="4">
        <f t="shared" si="17"/>
        <v>3</v>
      </c>
      <c r="M10" s="4">
        <f t="shared" si="18"/>
        <v>2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  <c r="R10" s="4">
        <f t="shared" si="23"/>
        <v>1</v>
      </c>
      <c r="S10" s="4">
        <f t="shared" si="24"/>
        <v>1</v>
      </c>
      <c r="U10" s="3">
        <f t="shared" si="11"/>
        <v>0</v>
      </c>
      <c r="V10" s="1" t="str">
        <f t="shared" si="12"/>
        <v/>
      </c>
    </row>
    <row r="11" spans="1:22" x14ac:dyDescent="0.25">
      <c r="A11" s="2">
        <v>8</v>
      </c>
      <c r="B11" s="2">
        <v>3</v>
      </c>
      <c r="C11" s="7" t="s">
        <v>679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25"/>
        <v>84.75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15"/>
        <v>1</v>
      </c>
      <c r="K11" s="4">
        <f t="shared" si="16"/>
        <v>1</v>
      </c>
      <c r="L11" s="4">
        <f t="shared" si="17"/>
        <v>3</v>
      </c>
      <c r="M11" s="4">
        <f t="shared" si="18"/>
        <v>28.25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  <c r="R11" s="4">
        <f t="shared" si="23"/>
        <v>1</v>
      </c>
      <c r="S11" s="4">
        <f t="shared" si="24"/>
        <v>1</v>
      </c>
      <c r="U11" s="3">
        <f t="shared" si="11"/>
        <v>0</v>
      </c>
      <c r="V11" s="1" t="str">
        <f t="shared" si="1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F12" s="2" t="s">
        <v>938</v>
      </c>
      <c r="G12" s="1" t="str">
        <f>IF(D12="","",VLOOKUP(D12,Table1[#All],2,FALSE))</f>
        <v xml:space="preserve">K &amp; S PRECISION METALS 251 .010x4x10 BRS SHT Metal </v>
      </c>
      <c r="H12" s="2">
        <f t="shared" si="25"/>
        <v>3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15"/>
        <v>1</v>
      </c>
      <c r="K12" s="4">
        <f t="shared" si="16"/>
        <v>1</v>
      </c>
      <c r="L12" s="4">
        <f t="shared" si="17"/>
        <v>3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  <c r="R12" s="4">
        <f t="shared" si="23"/>
        <v>1</v>
      </c>
      <c r="S12" s="4">
        <f t="shared" si="24"/>
        <v>1</v>
      </c>
      <c r="U12" s="3">
        <f>IF(F12="x",I12,0)</f>
        <v>0.23925499999999997</v>
      </c>
      <c r="V12" s="1" t="str">
        <f t="shared" si="12"/>
        <v>A-0005</v>
      </c>
    </row>
    <row r="13" spans="1:22" x14ac:dyDescent="0.25">
      <c r="A13" s="2">
        <v>10</v>
      </c>
      <c r="B13" s="2">
        <v>3</v>
      </c>
      <c r="C13" s="7" t="s">
        <v>746</v>
      </c>
      <c r="D13" s="41" t="s">
        <v>12</v>
      </c>
      <c r="E13" s="2">
        <v>1</v>
      </c>
      <c r="G13" s="1" t="str">
        <f>IF(D13="","",VLOOKUP(D13,Table1[#All],2,FALSE))</f>
        <v>M6-1.0 x 55mm ISO 4762 Hex Drive Class 12.9 Black Oxide Finish Alloy Steel Socket Cap Screw</v>
      </c>
      <c r="H13" s="2">
        <f t="shared" si="25"/>
        <v>3</v>
      </c>
      <c r="I13" s="44">
        <f>IF(D13&lt;&gt;"",(VLOOKUP(D13,part_details,4,FALSE)+VLOOKUP(D13,part_details,5,FALSE)+VLOOKUP(D13,part_details,6,FALSE))*'Multi-level BOM'!E13,"")</f>
        <v>0.94394</v>
      </c>
      <c r="J13" s="4">
        <f t="shared" si="15"/>
        <v>1</v>
      </c>
      <c r="K13" s="4">
        <f t="shared" si="16"/>
        <v>1</v>
      </c>
      <c r="L13" s="4">
        <f t="shared" si="17"/>
        <v>3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  <c r="R13" s="4">
        <f t="shared" si="23"/>
        <v>1</v>
      </c>
      <c r="S13" s="4">
        <f t="shared" si="24"/>
        <v>1</v>
      </c>
      <c r="U13" s="3">
        <f t="shared" ref="U13:U76" si="26">IF(F13="x",I13,0)</f>
        <v>0</v>
      </c>
      <c r="V13" s="1" t="str">
        <f t="shared" si="12"/>
        <v/>
      </c>
    </row>
    <row r="14" spans="1:22" x14ac:dyDescent="0.25">
      <c r="A14" s="2">
        <v>11</v>
      </c>
      <c r="B14" s="2">
        <v>3</v>
      </c>
      <c r="C14" s="7" t="s">
        <v>672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25"/>
        <v>6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15"/>
        <v>1</v>
      </c>
      <c r="K14" s="4">
        <f t="shared" si="16"/>
        <v>1</v>
      </c>
      <c r="L14" s="4">
        <f t="shared" si="17"/>
        <v>3</v>
      </c>
      <c r="M14" s="4">
        <f t="shared" si="18"/>
        <v>2</v>
      </c>
      <c r="N14" s="4">
        <f t="shared" si="19"/>
        <v>1</v>
      </c>
      <c r="O14" s="4">
        <f t="shared" si="20"/>
        <v>1</v>
      </c>
      <c r="P14" s="4">
        <f t="shared" si="21"/>
        <v>1</v>
      </c>
      <c r="Q14" s="4">
        <f t="shared" si="22"/>
        <v>1</v>
      </c>
      <c r="R14" s="4">
        <f t="shared" si="23"/>
        <v>1</v>
      </c>
      <c r="S14" s="4">
        <f t="shared" si="24"/>
        <v>1</v>
      </c>
      <c r="U14" s="3">
        <f t="shared" si="26"/>
        <v>0</v>
      </c>
      <c r="V14" s="1" t="str">
        <f t="shared" si="12"/>
        <v/>
      </c>
    </row>
    <row r="15" spans="1:22" x14ac:dyDescent="0.25">
      <c r="A15" s="2">
        <v>12</v>
      </c>
      <c r="C15" s="7" t="s">
        <v>742</v>
      </c>
      <c r="D15" s="41" t="s">
        <v>28</v>
      </c>
      <c r="E15" s="2">
        <v>1</v>
      </c>
      <c r="F15" s="2" t="s">
        <v>938</v>
      </c>
      <c r="G15" s="1" t="str">
        <f>IF(D15="","",VLOOKUP(D15,Table1[#All],2,FALSE))</f>
        <v xml:space="preserve">M6 x 1.0mm Nylon Inserted Hex Lock Nuts 304 Stainless Steel </v>
      </c>
      <c r="H15" s="2">
        <f t="shared" ref="H15" si="27">PRODUCT(J15:S15)</f>
        <v>3</v>
      </c>
      <c r="I15" s="44">
        <f>IF(D15&lt;&gt;"",(VLOOKUP(D15,part_details,4,FALSE)+VLOOKUP(D15,part_details,5,FALSE)+VLOOKUP(D15,part_details,6,FALSE))*'Multi-level BOM'!E15,"")</f>
        <v>0.08</v>
      </c>
      <c r="J15" s="4">
        <f t="shared" ref="J15:S15" si="28">IF($B15="",J13,
    IF(J$3=$B15,$E15,
       IF(J$3&lt;$B15,J13,
           1
)))</f>
        <v>1</v>
      </c>
      <c r="K15" s="4">
        <f t="shared" si="28"/>
        <v>1</v>
      </c>
      <c r="L15" s="4">
        <f t="shared" si="28"/>
        <v>3</v>
      </c>
      <c r="M15" s="4">
        <f t="shared" si="28"/>
        <v>1</v>
      </c>
      <c r="N15" s="4">
        <f t="shared" si="28"/>
        <v>1</v>
      </c>
      <c r="O15" s="4">
        <f t="shared" si="28"/>
        <v>1</v>
      </c>
      <c r="P15" s="4">
        <f t="shared" si="28"/>
        <v>1</v>
      </c>
      <c r="Q15" s="4">
        <f t="shared" si="28"/>
        <v>1</v>
      </c>
      <c r="R15" s="4">
        <f t="shared" si="28"/>
        <v>1</v>
      </c>
      <c r="S15" s="4">
        <f t="shared" si="28"/>
        <v>1</v>
      </c>
      <c r="U15" s="3">
        <f t="shared" si="26"/>
        <v>0.08</v>
      </c>
      <c r="V15" s="1" t="str">
        <f t="shared" si="12"/>
        <v>A-0022</v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29">IF($B16="",J14,
    IF(J$3=$B16,$E16,
       IF(J$3&lt;$B16,J14,
           1
)))</f>
        <v>1</v>
      </c>
      <c r="K16" s="4">
        <f t="shared" si="29"/>
        <v>1</v>
      </c>
      <c r="L16" s="4">
        <f t="shared" si="29"/>
        <v>3</v>
      </c>
      <c r="M16" s="4">
        <f t="shared" si="29"/>
        <v>2</v>
      </c>
      <c r="N16" s="4">
        <f t="shared" si="29"/>
        <v>1</v>
      </c>
      <c r="O16" s="4">
        <f t="shared" si="29"/>
        <v>1</v>
      </c>
      <c r="P16" s="4">
        <f t="shared" si="29"/>
        <v>1</v>
      </c>
      <c r="Q16" s="4">
        <f t="shared" si="29"/>
        <v>1</v>
      </c>
      <c r="R16" s="4">
        <f t="shared" si="29"/>
        <v>1</v>
      </c>
      <c r="S16" s="4">
        <f t="shared" si="29"/>
        <v>1</v>
      </c>
      <c r="U16" s="3">
        <f t="shared" si="26"/>
        <v>0</v>
      </c>
      <c r="V16" s="1" t="str">
        <f t="shared" si="12"/>
        <v/>
      </c>
    </row>
    <row r="17" spans="1:22" x14ac:dyDescent="0.25">
      <c r="A17" s="2">
        <v>14</v>
      </c>
      <c r="B17" s="2">
        <v>2</v>
      </c>
      <c r="C17" s="7" t="s">
        <v>674</v>
      </c>
      <c r="D17" s="41"/>
      <c r="E17" s="2">
        <v>3</v>
      </c>
      <c r="G17" s="1" t="str">
        <f>IF(D17="","",VLOOKUP(D17,Table1[#All],2,FALSE))</f>
        <v/>
      </c>
      <c r="H17" s="2">
        <f t="shared" ref="H17:H23" si="30">PRODUCT(J17:S17)</f>
        <v>3</v>
      </c>
      <c r="I17" s="45">
        <f>H17*SUM(I18:I23)</f>
        <v>13.394536374999998</v>
      </c>
      <c r="J17" s="4">
        <f t="shared" si="15"/>
        <v>1</v>
      </c>
      <c r="K17" s="4">
        <f t="shared" si="16"/>
        <v>1</v>
      </c>
      <c r="L17" s="4">
        <f t="shared" si="17"/>
        <v>3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  <c r="R17" s="4">
        <f t="shared" si="23"/>
        <v>1</v>
      </c>
      <c r="S17" s="4">
        <f t="shared" si="24"/>
        <v>1</v>
      </c>
      <c r="U17" s="3">
        <f t="shared" si="26"/>
        <v>0</v>
      </c>
      <c r="V17" s="1" t="str">
        <f t="shared" si="1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30"/>
        <v>6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15"/>
        <v>1</v>
      </c>
      <c r="K18" s="4">
        <f t="shared" si="16"/>
        <v>1</v>
      </c>
      <c r="L18" s="4">
        <f t="shared" si="17"/>
        <v>3</v>
      </c>
      <c r="M18" s="4">
        <f t="shared" si="18"/>
        <v>2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  <c r="R18" s="4">
        <f t="shared" si="23"/>
        <v>1</v>
      </c>
      <c r="S18" s="4">
        <f t="shared" si="24"/>
        <v>1</v>
      </c>
      <c r="U18" s="3">
        <f t="shared" si="26"/>
        <v>0</v>
      </c>
      <c r="V18" s="1" t="str">
        <f t="shared" si="12"/>
        <v/>
      </c>
    </row>
    <row r="19" spans="1:22" x14ac:dyDescent="0.25">
      <c r="A19" s="2">
        <v>16</v>
      </c>
      <c r="B19" s="2">
        <v>3</v>
      </c>
      <c r="C19" s="7" t="s">
        <v>678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30"/>
        <v>117.75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15"/>
        <v>1</v>
      </c>
      <c r="K19" s="4">
        <f t="shared" si="16"/>
        <v>1</v>
      </c>
      <c r="L19" s="4">
        <f t="shared" si="17"/>
        <v>3</v>
      </c>
      <c r="M19" s="4">
        <f t="shared" si="18"/>
        <v>39.25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  <c r="R19" s="4">
        <f t="shared" si="23"/>
        <v>1</v>
      </c>
      <c r="S19" s="4">
        <f t="shared" si="24"/>
        <v>1</v>
      </c>
      <c r="U19" s="3">
        <f t="shared" si="26"/>
        <v>0</v>
      </c>
      <c r="V19" s="1" t="str">
        <f t="shared" si="1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F20" s="2" t="s">
        <v>938</v>
      </c>
      <c r="G20" s="1" t="str">
        <f>IF(D20="","",VLOOKUP(D20,Table1[#All],2,FALSE))</f>
        <v xml:space="preserve">K &amp; S PRECISION METALS 251 .010x4x10 BRS SHT Metal </v>
      </c>
      <c r="H20" s="2">
        <f t="shared" si="30"/>
        <v>3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15"/>
        <v>1</v>
      </c>
      <c r="K20" s="4">
        <f t="shared" si="16"/>
        <v>1</v>
      </c>
      <c r="L20" s="4">
        <f t="shared" si="17"/>
        <v>3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  <c r="R20" s="4">
        <f t="shared" si="23"/>
        <v>1</v>
      </c>
      <c r="S20" s="4">
        <f t="shared" si="24"/>
        <v>1</v>
      </c>
      <c r="U20" s="3">
        <f t="shared" si="26"/>
        <v>0.23925499999999997</v>
      </c>
      <c r="V20" s="1" t="str">
        <f t="shared" si="12"/>
        <v>A-0005</v>
      </c>
    </row>
    <row r="21" spans="1:22" x14ac:dyDescent="0.25">
      <c r="A21" s="2">
        <v>18</v>
      </c>
      <c r="B21" s="2">
        <v>3</v>
      </c>
      <c r="C21" s="7" t="s">
        <v>748</v>
      </c>
      <c r="D21" s="41" t="s">
        <v>35</v>
      </c>
      <c r="E21" s="2">
        <v>1</v>
      </c>
      <c r="F21" s="2" t="s">
        <v>938</v>
      </c>
      <c r="G21" s="1" t="str">
        <f>IF(D21="","",VLOOKUP(D21,Table1[#All],2,FALSE))</f>
        <v>M6 x 65mm Socket Head Cap Screws Metric, Grade 12.9 Alloy Steel Black Oxide</v>
      </c>
      <c r="H21" s="2">
        <f t="shared" si="30"/>
        <v>3</v>
      </c>
      <c r="I21" s="44">
        <f>IF(D21&lt;&gt;"",(VLOOKUP(D21,part_details,4,FALSE)+VLOOKUP(D21,part_details,5,FALSE)+VLOOKUP(D21,part_details,6,FALSE))*'Multi-level BOM'!E21,"")</f>
        <v>0.39</v>
      </c>
      <c r="J21" s="4">
        <f t="shared" si="15"/>
        <v>1</v>
      </c>
      <c r="K21" s="4">
        <f t="shared" si="16"/>
        <v>1</v>
      </c>
      <c r="L21" s="4">
        <f t="shared" si="17"/>
        <v>3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  <c r="R21" s="4">
        <f t="shared" si="23"/>
        <v>1</v>
      </c>
      <c r="S21" s="4">
        <f t="shared" si="24"/>
        <v>1</v>
      </c>
      <c r="U21" s="3">
        <f t="shared" si="26"/>
        <v>0.39</v>
      </c>
      <c r="V21" s="1" t="str">
        <f t="shared" si="12"/>
        <v>A-0029</v>
      </c>
    </row>
    <row r="22" spans="1:22" x14ac:dyDescent="0.25">
      <c r="A22" s="2">
        <v>19</v>
      </c>
      <c r="B22" s="2">
        <v>3</v>
      </c>
      <c r="C22" s="7" t="s">
        <v>672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30"/>
        <v>6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15"/>
        <v>1</v>
      </c>
      <c r="K22" s="4">
        <f t="shared" si="16"/>
        <v>1</v>
      </c>
      <c r="L22" s="4">
        <f t="shared" si="17"/>
        <v>3</v>
      </c>
      <c r="M22" s="4">
        <f t="shared" si="18"/>
        <v>2</v>
      </c>
      <c r="N22" s="4">
        <f t="shared" si="19"/>
        <v>1</v>
      </c>
      <c r="O22" s="4">
        <f t="shared" si="20"/>
        <v>1</v>
      </c>
      <c r="P22" s="4">
        <f t="shared" si="21"/>
        <v>1</v>
      </c>
      <c r="Q22" s="4">
        <f t="shared" si="22"/>
        <v>1</v>
      </c>
      <c r="R22" s="4">
        <f t="shared" si="23"/>
        <v>1</v>
      </c>
      <c r="S22" s="4">
        <f t="shared" si="24"/>
        <v>1</v>
      </c>
      <c r="U22" s="3">
        <f t="shared" si="26"/>
        <v>0</v>
      </c>
      <c r="V22" s="1" t="str">
        <f t="shared" si="12"/>
        <v/>
      </c>
    </row>
    <row r="23" spans="1:22" x14ac:dyDescent="0.25">
      <c r="A23" s="2">
        <v>20</v>
      </c>
      <c r="C23" s="7" t="s">
        <v>742</v>
      </c>
      <c r="D23" s="41" t="s">
        <v>28</v>
      </c>
      <c r="E23" s="2">
        <v>1</v>
      </c>
      <c r="F23" s="2" t="s">
        <v>938</v>
      </c>
      <c r="G23" s="1" t="str">
        <f>IF(D23="","",VLOOKUP(D23,Table1[#All],2,FALSE))</f>
        <v xml:space="preserve">M6 x 1.0mm Nylon Inserted Hex Lock Nuts 304 Stainless Steel </v>
      </c>
      <c r="H23" s="2">
        <f t="shared" si="30"/>
        <v>3</v>
      </c>
      <c r="I23" s="44">
        <f>IF(D23&lt;&gt;"",(VLOOKUP(D23,part_details,4,FALSE)+VLOOKUP(D23,part_details,5,FALSE)+VLOOKUP(D23,part_details,6,FALSE))*'Multi-level BOM'!E23,"")</f>
        <v>0.08</v>
      </c>
      <c r="J23" s="4">
        <f t="shared" ref="J23:S23" si="31">IF($B23="",J21,
    IF(J$3=$B23,$E23,
       IF(J$3&lt;$B23,J21,
           1
)))</f>
        <v>1</v>
      </c>
      <c r="K23" s="4">
        <f t="shared" si="31"/>
        <v>1</v>
      </c>
      <c r="L23" s="4">
        <f t="shared" si="31"/>
        <v>3</v>
      </c>
      <c r="M23" s="4">
        <f t="shared" si="31"/>
        <v>1</v>
      </c>
      <c r="N23" s="4">
        <f t="shared" si="31"/>
        <v>1</v>
      </c>
      <c r="O23" s="4">
        <f t="shared" si="31"/>
        <v>1</v>
      </c>
      <c r="P23" s="4">
        <f t="shared" si="31"/>
        <v>1</v>
      </c>
      <c r="Q23" s="4">
        <f t="shared" si="31"/>
        <v>1</v>
      </c>
      <c r="R23" s="4">
        <f t="shared" si="31"/>
        <v>1</v>
      </c>
      <c r="S23" s="4">
        <f t="shared" si="31"/>
        <v>1</v>
      </c>
      <c r="U23" s="3">
        <f t="shared" si="26"/>
        <v>0.08</v>
      </c>
      <c r="V23" s="1" t="str">
        <f t="shared" si="12"/>
        <v>A-0022</v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32">IF($B24="",J22,
    IF(J$3=$B24,$E24,
       IF(J$3&lt;$B24,J22,
           1
)))</f>
        <v>1</v>
      </c>
      <c r="K24" s="4">
        <f t="shared" si="32"/>
        <v>1</v>
      </c>
      <c r="L24" s="4">
        <f t="shared" si="32"/>
        <v>3</v>
      </c>
      <c r="M24" s="4">
        <f t="shared" si="32"/>
        <v>2</v>
      </c>
      <c r="N24" s="4">
        <f t="shared" si="32"/>
        <v>1</v>
      </c>
      <c r="O24" s="4">
        <f t="shared" si="32"/>
        <v>1</v>
      </c>
      <c r="P24" s="4">
        <f t="shared" si="32"/>
        <v>1</v>
      </c>
      <c r="Q24" s="4">
        <f t="shared" si="32"/>
        <v>1</v>
      </c>
      <c r="R24" s="4">
        <f t="shared" si="32"/>
        <v>1</v>
      </c>
      <c r="S24" s="4">
        <f t="shared" si="32"/>
        <v>1</v>
      </c>
      <c r="U24" s="3">
        <f t="shared" si="26"/>
        <v>0</v>
      </c>
      <c r="V24" s="1" t="str">
        <f t="shared" si="12"/>
        <v/>
      </c>
    </row>
    <row r="25" spans="1:22" x14ac:dyDescent="0.25">
      <c r="A25" s="2">
        <v>22</v>
      </c>
      <c r="B25" s="2">
        <v>2</v>
      </c>
      <c r="C25" s="7" t="s">
        <v>898</v>
      </c>
      <c r="D25" s="41"/>
      <c r="E25" s="2">
        <v>1</v>
      </c>
      <c r="G25" s="1" t="str">
        <f>IF(D25="","",VLOOKUP(D25,Table1[#All],2,FALSE))</f>
        <v/>
      </c>
      <c r="H25" s="2">
        <f t="shared" ref="H25:H31" si="33">PRODUCT(J25:S25)</f>
        <v>1</v>
      </c>
      <c r="I25" s="45">
        <f>H25*SUM(I26:I33)</f>
        <v>5.6978595128205125</v>
      </c>
      <c r="J25" s="4">
        <f t="shared" si="15"/>
        <v>1</v>
      </c>
      <c r="K25" s="4">
        <f t="shared" si="16"/>
        <v>1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  <c r="R25" s="4">
        <f t="shared" si="23"/>
        <v>1</v>
      </c>
      <c r="S25" s="4">
        <f t="shared" si="24"/>
        <v>1</v>
      </c>
      <c r="U25" s="3">
        <f t="shared" si="26"/>
        <v>0</v>
      </c>
      <c r="V25" s="1" t="str">
        <f t="shared" si="1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33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15"/>
        <v>1</v>
      </c>
      <c r="K26" s="4">
        <f t="shared" si="16"/>
        <v>1</v>
      </c>
      <c r="L26" s="4">
        <f t="shared" si="17"/>
        <v>1</v>
      </c>
      <c r="M26" s="4">
        <f t="shared" si="18"/>
        <v>2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  <c r="R26" s="4">
        <f t="shared" si="23"/>
        <v>1</v>
      </c>
      <c r="S26" s="4">
        <f t="shared" si="24"/>
        <v>1</v>
      </c>
      <c r="U26" s="3">
        <f t="shared" si="26"/>
        <v>0</v>
      </c>
      <c r="V26" s="1" t="str">
        <f t="shared" si="12"/>
        <v/>
      </c>
    </row>
    <row r="27" spans="1:22" x14ac:dyDescent="0.25">
      <c r="A27" s="2">
        <v>24</v>
      </c>
      <c r="B27" s="2">
        <v>3</v>
      </c>
      <c r="C27" s="7" t="s">
        <v>899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33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15"/>
        <v>1</v>
      </c>
      <c r="K27" s="4">
        <f t="shared" si="16"/>
        <v>1</v>
      </c>
      <c r="L27" s="4">
        <f t="shared" si="17"/>
        <v>1</v>
      </c>
      <c r="M27" s="4">
        <f t="shared" si="18"/>
        <v>5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  <c r="R27" s="4">
        <f t="shared" si="23"/>
        <v>1</v>
      </c>
      <c r="S27" s="4">
        <f t="shared" si="24"/>
        <v>1</v>
      </c>
      <c r="U27" s="3">
        <f t="shared" si="26"/>
        <v>0</v>
      </c>
      <c r="V27" s="1" t="str">
        <f t="shared" si="1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F28" s="2" t="s">
        <v>938</v>
      </c>
      <c r="G28" s="1" t="str">
        <f>IF(D28="","",VLOOKUP(D28,Table1[#All],2,FALSE))</f>
        <v xml:space="preserve">K &amp; S PRECISION METALS 251 .010x4x10 BRS SHT Metal </v>
      </c>
      <c r="H28" s="2">
        <f t="shared" si="33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15"/>
        <v>1</v>
      </c>
      <c r="K28" s="4">
        <f t="shared" si="16"/>
        <v>1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  <c r="R28" s="4">
        <f t="shared" si="23"/>
        <v>1</v>
      </c>
      <c r="S28" s="4">
        <f t="shared" si="24"/>
        <v>1</v>
      </c>
      <c r="U28" s="3">
        <f t="shared" si="26"/>
        <v>0.23925499999999997</v>
      </c>
      <c r="V28" s="1" t="str">
        <f t="shared" si="12"/>
        <v>A-0005</v>
      </c>
    </row>
    <row r="29" spans="1:22" x14ac:dyDescent="0.25">
      <c r="A29" s="2">
        <v>26</v>
      </c>
      <c r="B29" s="2">
        <v>3</v>
      </c>
      <c r="C29" s="28" t="s">
        <v>900</v>
      </c>
      <c r="D29" s="41" t="s">
        <v>69</v>
      </c>
      <c r="E29" s="2">
        <v>4</v>
      </c>
      <c r="F29" s="2" t="s">
        <v>938</v>
      </c>
      <c r="G29" s="1" t="str">
        <f>IF(D29="","",VLOOKUP(D29,Table1[#All],2,FALSE))</f>
        <v>M6 x 25mm button head screw</v>
      </c>
      <c r="H29" s="2">
        <f t="shared" si="33"/>
        <v>4</v>
      </c>
      <c r="I29" s="44">
        <f>IF(D29&lt;&gt;"",(VLOOKUP(D29,part_details,4,FALSE)+VLOOKUP(D29,part_details,5,FALSE)+VLOOKUP(D29,part_details,6,FALSE))*'Multi-level BOM'!E29,"")</f>
        <v>0.64</v>
      </c>
      <c r="J29" s="4">
        <f t="shared" si="15"/>
        <v>1</v>
      </c>
      <c r="K29" s="4">
        <f t="shared" si="16"/>
        <v>1</v>
      </c>
      <c r="L29" s="4">
        <f t="shared" si="17"/>
        <v>1</v>
      </c>
      <c r="M29" s="4">
        <f t="shared" si="18"/>
        <v>4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  <c r="R29" s="4">
        <f t="shared" si="23"/>
        <v>1</v>
      </c>
      <c r="S29" s="4">
        <f t="shared" si="24"/>
        <v>1</v>
      </c>
      <c r="U29" s="3">
        <f t="shared" si="26"/>
        <v>0.64</v>
      </c>
      <c r="V29" s="1" t="str">
        <f t="shared" si="12"/>
        <v>A-0063</v>
      </c>
    </row>
    <row r="30" spans="1:22" x14ac:dyDescent="0.25">
      <c r="A30" s="2">
        <v>27</v>
      </c>
      <c r="B30" s="2">
        <v>3</v>
      </c>
      <c r="C30" s="7" t="s">
        <v>672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33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15"/>
        <v>1</v>
      </c>
      <c r="K30" s="4">
        <f t="shared" si="16"/>
        <v>1</v>
      </c>
      <c r="L30" s="4">
        <f t="shared" si="17"/>
        <v>1</v>
      </c>
      <c r="M30" s="4">
        <f t="shared" si="18"/>
        <v>3</v>
      </c>
      <c r="N30" s="4">
        <f t="shared" si="19"/>
        <v>1</v>
      </c>
      <c r="O30" s="4">
        <f t="shared" si="20"/>
        <v>1</v>
      </c>
      <c r="P30" s="4">
        <f t="shared" si="21"/>
        <v>1</v>
      </c>
      <c r="Q30" s="4">
        <f t="shared" si="22"/>
        <v>1</v>
      </c>
      <c r="R30" s="4">
        <f t="shared" si="23"/>
        <v>1</v>
      </c>
      <c r="S30" s="4">
        <f t="shared" si="24"/>
        <v>1</v>
      </c>
      <c r="U30" s="3">
        <f t="shared" si="26"/>
        <v>0</v>
      </c>
      <c r="V30" s="1" t="str">
        <f t="shared" si="12"/>
        <v/>
      </c>
    </row>
    <row r="31" spans="1:22" x14ac:dyDescent="0.25">
      <c r="A31" s="2">
        <v>28</v>
      </c>
      <c r="B31" s="2">
        <v>3</v>
      </c>
      <c r="C31" s="7" t="s">
        <v>742</v>
      </c>
      <c r="D31" s="41" t="s">
        <v>28</v>
      </c>
      <c r="E31" s="2">
        <v>1</v>
      </c>
      <c r="F31" s="2" t="s">
        <v>938</v>
      </c>
      <c r="G31" s="1" t="str">
        <f>IF(D31="","",VLOOKUP(D31,Table1[#All],2,FALSE))</f>
        <v xml:space="preserve">M6 x 1.0mm Nylon Inserted Hex Lock Nuts 304 Stainless Steel </v>
      </c>
      <c r="H31" s="2">
        <f t="shared" si="33"/>
        <v>1</v>
      </c>
      <c r="I31" s="44">
        <f>IF(D31&lt;&gt;"",(VLOOKUP(D31,part_details,4,FALSE)+VLOOKUP(D31,part_details,5,FALSE)+VLOOKUP(D31,part_details,6,FALSE))*'Multi-level BOM'!E31,"")</f>
        <v>0.08</v>
      </c>
      <c r="J31" s="4">
        <f t="shared" ref="J31:S31" si="34">IF($B31="",J29,
    IF(J$3=$B31,$E31,
       IF(J$3&lt;$B31,J29,
           1
)))</f>
        <v>1</v>
      </c>
      <c r="K31" s="4">
        <f t="shared" si="34"/>
        <v>1</v>
      </c>
      <c r="L31" s="4">
        <f t="shared" si="34"/>
        <v>1</v>
      </c>
      <c r="M31" s="4">
        <f t="shared" si="34"/>
        <v>1</v>
      </c>
      <c r="N31" s="4">
        <f t="shared" si="34"/>
        <v>1</v>
      </c>
      <c r="O31" s="4">
        <f t="shared" si="34"/>
        <v>1</v>
      </c>
      <c r="P31" s="4">
        <f t="shared" si="34"/>
        <v>1</v>
      </c>
      <c r="Q31" s="4">
        <f t="shared" si="34"/>
        <v>1</v>
      </c>
      <c r="R31" s="4">
        <f t="shared" si="34"/>
        <v>1</v>
      </c>
      <c r="S31" s="4">
        <f t="shared" si="34"/>
        <v>1</v>
      </c>
      <c r="U31" s="3">
        <f t="shared" si="26"/>
        <v>0.08</v>
      </c>
      <c r="V31" s="1" t="str">
        <f t="shared" si="12"/>
        <v>A-0022</v>
      </c>
    </row>
    <row r="32" spans="1:22" x14ac:dyDescent="0.25">
      <c r="A32" s="2">
        <v>29</v>
      </c>
      <c r="B32" s="2">
        <v>3</v>
      </c>
      <c r="C32" s="7" t="s">
        <v>902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35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36">IF($B32="",J30,
    IF(J$3=$B32,$E32,
       IF(J$3&lt;$B32,J30,
           1
)))</f>
        <v>1</v>
      </c>
      <c r="K32" s="4">
        <f t="shared" si="36"/>
        <v>1</v>
      </c>
      <c r="L32" s="4">
        <f t="shared" si="36"/>
        <v>1</v>
      </c>
      <c r="M32" s="4">
        <f t="shared" si="36"/>
        <v>2</v>
      </c>
      <c r="N32" s="4">
        <f t="shared" si="36"/>
        <v>1</v>
      </c>
      <c r="O32" s="4">
        <f t="shared" si="36"/>
        <v>1</v>
      </c>
      <c r="P32" s="4">
        <f t="shared" si="36"/>
        <v>1</v>
      </c>
      <c r="Q32" s="4">
        <f t="shared" si="36"/>
        <v>1</v>
      </c>
      <c r="R32" s="4">
        <f t="shared" si="36"/>
        <v>1</v>
      </c>
      <c r="S32" s="4">
        <f t="shared" si="36"/>
        <v>1</v>
      </c>
      <c r="U32" s="3">
        <f t="shared" si="26"/>
        <v>0</v>
      </c>
      <c r="V32" s="1" t="str">
        <f t="shared" si="12"/>
        <v/>
      </c>
    </row>
    <row r="33" spans="1:22" x14ac:dyDescent="0.25">
      <c r="A33" s="2">
        <v>30</v>
      </c>
      <c r="B33" s="2">
        <v>3</v>
      </c>
      <c r="C33" s="7" t="s">
        <v>903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35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37">IF($B33="",J31,
    IF(J$3=$B33,$E33,
       IF(J$3&lt;$B33,J31,
           1
)))</f>
        <v>1</v>
      </c>
      <c r="K33" s="4">
        <f t="shared" si="37"/>
        <v>1</v>
      </c>
      <c r="L33" s="4">
        <f t="shared" si="37"/>
        <v>1</v>
      </c>
      <c r="M33" s="4">
        <f t="shared" si="37"/>
        <v>2</v>
      </c>
      <c r="N33" s="4">
        <f t="shared" si="37"/>
        <v>1</v>
      </c>
      <c r="O33" s="4">
        <f t="shared" si="37"/>
        <v>1</v>
      </c>
      <c r="P33" s="4">
        <f t="shared" si="37"/>
        <v>1</v>
      </c>
      <c r="Q33" s="4">
        <f t="shared" si="37"/>
        <v>1</v>
      </c>
      <c r="R33" s="4">
        <f t="shared" si="37"/>
        <v>1</v>
      </c>
      <c r="S33" s="4">
        <f t="shared" si="37"/>
        <v>1</v>
      </c>
      <c r="U33" s="3">
        <f t="shared" si="26"/>
        <v>0</v>
      </c>
      <c r="V33" s="1" t="str">
        <f t="shared" si="1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38">IF($B34="",J32,
    IF(J$3=$B34,$E34,
       IF(J$3&lt;$B34,J32,
           1
)))</f>
        <v>1</v>
      </c>
      <c r="K34" s="4">
        <f t="shared" si="38"/>
        <v>1</v>
      </c>
      <c r="L34" s="4">
        <f t="shared" si="38"/>
        <v>1</v>
      </c>
      <c r="M34" s="4">
        <f t="shared" si="38"/>
        <v>2</v>
      </c>
      <c r="N34" s="4">
        <f t="shared" si="38"/>
        <v>1</v>
      </c>
      <c r="O34" s="4">
        <f t="shared" si="38"/>
        <v>1</v>
      </c>
      <c r="P34" s="4">
        <f t="shared" si="38"/>
        <v>1</v>
      </c>
      <c r="Q34" s="4">
        <f t="shared" si="38"/>
        <v>1</v>
      </c>
      <c r="R34" s="4">
        <f t="shared" si="38"/>
        <v>1</v>
      </c>
      <c r="S34" s="4">
        <f t="shared" si="38"/>
        <v>1</v>
      </c>
      <c r="U34" s="3">
        <f t="shared" si="26"/>
        <v>0</v>
      </c>
      <c r="V34" s="1" t="str">
        <f t="shared" si="12"/>
        <v/>
      </c>
    </row>
    <row r="35" spans="1:22" x14ac:dyDescent="0.25">
      <c r="A35" s="2">
        <v>32</v>
      </c>
      <c r="B35" s="2">
        <v>2</v>
      </c>
      <c r="C35" s="7" t="s">
        <v>905</v>
      </c>
      <c r="D35" s="41"/>
      <c r="E35" s="2">
        <v>1</v>
      </c>
      <c r="G35" s="1" t="str">
        <f>IF(D35="","",VLOOKUP(D35,Table1[#All],2,FALSE))</f>
        <v/>
      </c>
      <c r="H35" s="2">
        <f t="shared" si="35"/>
        <v>1</v>
      </c>
      <c r="I35" s="45">
        <f>H35*SUM(I36:I43)</f>
        <v>5.6978595128205125</v>
      </c>
      <c r="J35" s="4">
        <f t="shared" si="15"/>
        <v>1</v>
      </c>
      <c r="K35" s="4">
        <f t="shared" si="16"/>
        <v>1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  <c r="R35" s="4">
        <f t="shared" si="23"/>
        <v>1</v>
      </c>
      <c r="S35" s="4">
        <f t="shared" si="24"/>
        <v>1</v>
      </c>
      <c r="U35" s="3">
        <f t="shared" si="26"/>
        <v>0</v>
      </c>
      <c r="V35" s="1" t="str">
        <f t="shared" si="1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35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15"/>
        <v>1</v>
      </c>
      <c r="K36" s="4">
        <f t="shared" si="16"/>
        <v>1</v>
      </c>
      <c r="L36" s="4">
        <f t="shared" si="17"/>
        <v>1</v>
      </c>
      <c r="M36" s="4">
        <f t="shared" si="18"/>
        <v>2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  <c r="R36" s="4">
        <f t="shared" si="23"/>
        <v>1</v>
      </c>
      <c r="S36" s="4">
        <f t="shared" si="24"/>
        <v>1</v>
      </c>
      <c r="U36" s="3">
        <f t="shared" si="26"/>
        <v>0</v>
      </c>
      <c r="V36" s="1" t="str">
        <f t="shared" si="12"/>
        <v/>
      </c>
    </row>
    <row r="37" spans="1:22" x14ac:dyDescent="0.25">
      <c r="A37" s="2">
        <v>34</v>
      </c>
      <c r="B37" s="2">
        <v>3</v>
      </c>
      <c r="C37" s="7" t="s">
        <v>899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35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15"/>
        <v>1</v>
      </c>
      <c r="K37" s="4">
        <f t="shared" si="16"/>
        <v>1</v>
      </c>
      <c r="L37" s="4">
        <f t="shared" si="17"/>
        <v>1</v>
      </c>
      <c r="M37" s="4">
        <f t="shared" si="18"/>
        <v>5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  <c r="R37" s="4">
        <f t="shared" si="23"/>
        <v>1</v>
      </c>
      <c r="S37" s="4">
        <f t="shared" si="24"/>
        <v>1</v>
      </c>
      <c r="U37" s="3">
        <f t="shared" si="26"/>
        <v>0</v>
      </c>
      <c r="V37" s="1" t="str">
        <f t="shared" si="1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F38" s="2" t="s">
        <v>938</v>
      </c>
      <c r="G38" s="1" t="str">
        <f>IF(D38="","",VLOOKUP(D38,Table1[#All],2,FALSE))</f>
        <v xml:space="preserve">K &amp; S PRECISION METALS 251 .010x4x10 BRS SHT Metal </v>
      </c>
      <c r="H38" s="2">
        <f t="shared" si="35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15"/>
        <v>1</v>
      </c>
      <c r="K38" s="4">
        <f t="shared" si="16"/>
        <v>1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  <c r="R38" s="4">
        <f t="shared" si="23"/>
        <v>1</v>
      </c>
      <c r="S38" s="4">
        <f t="shared" si="24"/>
        <v>1</v>
      </c>
      <c r="U38" s="3">
        <f t="shared" si="26"/>
        <v>0.23925499999999997</v>
      </c>
      <c r="V38" s="1" t="str">
        <f t="shared" si="12"/>
        <v>A-0005</v>
      </c>
    </row>
    <row r="39" spans="1:22" x14ac:dyDescent="0.25">
      <c r="A39" s="2">
        <v>36</v>
      </c>
      <c r="B39" s="2">
        <v>3</v>
      </c>
      <c r="C39" s="28" t="s">
        <v>900</v>
      </c>
      <c r="D39" s="41" t="s">
        <v>69</v>
      </c>
      <c r="E39" s="2">
        <v>4</v>
      </c>
      <c r="F39" s="2" t="s">
        <v>938</v>
      </c>
      <c r="G39" s="1" t="str">
        <f>IF(D39="","",VLOOKUP(D39,Table1[#All],2,FALSE))</f>
        <v>M6 x 25mm button head screw</v>
      </c>
      <c r="H39" s="2">
        <f t="shared" si="35"/>
        <v>4</v>
      </c>
      <c r="I39" s="44">
        <f>IF(D39&lt;&gt;"",(VLOOKUP(D39,part_details,4,FALSE)+VLOOKUP(D39,part_details,5,FALSE)+VLOOKUP(D39,part_details,6,FALSE))*'Multi-level BOM'!E39,"")</f>
        <v>0.64</v>
      </c>
      <c r="J39" s="4">
        <f t="shared" si="15"/>
        <v>1</v>
      </c>
      <c r="K39" s="4">
        <f t="shared" si="16"/>
        <v>1</v>
      </c>
      <c r="L39" s="4">
        <f t="shared" si="17"/>
        <v>1</v>
      </c>
      <c r="M39" s="4">
        <f t="shared" si="18"/>
        <v>4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  <c r="R39" s="4">
        <f t="shared" si="23"/>
        <v>1</v>
      </c>
      <c r="S39" s="4">
        <f t="shared" si="24"/>
        <v>1</v>
      </c>
      <c r="U39" s="3">
        <f t="shared" si="26"/>
        <v>0.64</v>
      </c>
      <c r="V39" s="1" t="str">
        <f t="shared" si="12"/>
        <v>A-0063</v>
      </c>
    </row>
    <row r="40" spans="1:22" x14ac:dyDescent="0.25">
      <c r="A40" s="2">
        <v>37</v>
      </c>
      <c r="B40" s="2">
        <v>3</v>
      </c>
      <c r="C40" s="7" t="s">
        <v>672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35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15"/>
        <v>1</v>
      </c>
      <c r="K40" s="4">
        <f t="shared" si="16"/>
        <v>1</v>
      </c>
      <c r="L40" s="4">
        <f t="shared" si="17"/>
        <v>1</v>
      </c>
      <c r="M40" s="4">
        <f t="shared" si="18"/>
        <v>3</v>
      </c>
      <c r="N40" s="4">
        <f t="shared" si="19"/>
        <v>1</v>
      </c>
      <c r="O40" s="4">
        <f t="shared" si="20"/>
        <v>1</v>
      </c>
      <c r="P40" s="4">
        <f t="shared" si="21"/>
        <v>1</v>
      </c>
      <c r="Q40" s="4">
        <f t="shared" si="22"/>
        <v>1</v>
      </c>
      <c r="R40" s="4">
        <f t="shared" si="23"/>
        <v>1</v>
      </c>
      <c r="S40" s="4">
        <f t="shared" si="24"/>
        <v>1</v>
      </c>
      <c r="U40" s="3">
        <f t="shared" si="26"/>
        <v>0</v>
      </c>
      <c r="V40" s="1" t="str">
        <f t="shared" si="12"/>
        <v/>
      </c>
    </row>
    <row r="41" spans="1:22" x14ac:dyDescent="0.25">
      <c r="A41" s="2">
        <v>38</v>
      </c>
      <c r="B41" s="2">
        <v>3</v>
      </c>
      <c r="C41" s="7" t="s">
        <v>742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35"/>
        <v>1</v>
      </c>
      <c r="I41" s="44">
        <f>IF(D41&lt;&gt;"",(VLOOKUP(D41,part_details,4,FALSE)+VLOOKUP(D41,part_details,5,FALSE)+VLOOKUP(D41,part_details,6,FALSE))*'Multi-level BOM'!E41,"")</f>
        <v>0.08</v>
      </c>
      <c r="J41" s="4">
        <f t="shared" ref="J41:S41" si="39">IF($B41="",J39,
    IF(J$3=$B41,$E41,
       IF(J$3&lt;$B41,J39,
           1
)))</f>
        <v>1</v>
      </c>
      <c r="K41" s="4">
        <f t="shared" si="39"/>
        <v>1</v>
      </c>
      <c r="L41" s="4">
        <f t="shared" si="39"/>
        <v>1</v>
      </c>
      <c r="M41" s="4">
        <f t="shared" si="39"/>
        <v>1</v>
      </c>
      <c r="N41" s="4">
        <f t="shared" si="39"/>
        <v>1</v>
      </c>
      <c r="O41" s="4">
        <f t="shared" si="39"/>
        <v>1</v>
      </c>
      <c r="P41" s="4">
        <f t="shared" si="39"/>
        <v>1</v>
      </c>
      <c r="Q41" s="4">
        <f t="shared" si="39"/>
        <v>1</v>
      </c>
      <c r="R41" s="4">
        <f t="shared" si="39"/>
        <v>1</v>
      </c>
      <c r="S41" s="4">
        <f t="shared" si="39"/>
        <v>1</v>
      </c>
      <c r="U41" s="3">
        <f t="shared" si="26"/>
        <v>0</v>
      </c>
      <c r="V41" s="1" t="str">
        <f t="shared" si="12"/>
        <v/>
      </c>
    </row>
    <row r="42" spans="1:22" x14ac:dyDescent="0.25">
      <c r="A42" s="2">
        <v>39</v>
      </c>
      <c r="B42" s="2">
        <v>3</v>
      </c>
      <c r="C42" s="7" t="s">
        <v>902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40">IF($B42="",J40,
    IF(J$3=$B42,$E42,
       IF(J$3&lt;$B42,J40,
           1
)))</f>
        <v>1</v>
      </c>
      <c r="K42" s="4">
        <f t="shared" si="40"/>
        <v>1</v>
      </c>
      <c r="L42" s="4">
        <f t="shared" si="40"/>
        <v>1</v>
      </c>
      <c r="M42" s="4">
        <f t="shared" si="40"/>
        <v>2</v>
      </c>
      <c r="N42" s="4">
        <f t="shared" si="40"/>
        <v>1</v>
      </c>
      <c r="O42" s="4">
        <f t="shared" si="40"/>
        <v>1</v>
      </c>
      <c r="P42" s="4">
        <f t="shared" si="40"/>
        <v>1</v>
      </c>
      <c r="Q42" s="4">
        <f t="shared" si="40"/>
        <v>1</v>
      </c>
      <c r="R42" s="4">
        <f t="shared" si="40"/>
        <v>1</v>
      </c>
      <c r="S42" s="4">
        <f t="shared" si="40"/>
        <v>1</v>
      </c>
      <c r="U42" s="3">
        <f t="shared" si="26"/>
        <v>0</v>
      </c>
      <c r="V42" s="1" t="str">
        <f t="shared" si="12"/>
        <v/>
      </c>
    </row>
    <row r="43" spans="1:22" x14ac:dyDescent="0.25">
      <c r="A43" s="2">
        <v>40</v>
      </c>
      <c r="B43" s="2">
        <v>3</v>
      </c>
      <c r="C43" s="7" t="s">
        <v>903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41">IF($B43="",J41,
    IF(J$3=$B43,$E43,
       IF(J$3&lt;$B43,J41,
           1
)))</f>
        <v>1</v>
      </c>
      <c r="K43" s="4">
        <f t="shared" si="41"/>
        <v>1</v>
      </c>
      <c r="L43" s="4">
        <f t="shared" si="41"/>
        <v>1</v>
      </c>
      <c r="M43" s="4">
        <f t="shared" si="41"/>
        <v>2</v>
      </c>
      <c r="N43" s="4">
        <f t="shared" si="41"/>
        <v>1</v>
      </c>
      <c r="O43" s="4">
        <f t="shared" si="41"/>
        <v>1</v>
      </c>
      <c r="P43" s="4">
        <f t="shared" si="41"/>
        <v>1</v>
      </c>
      <c r="Q43" s="4">
        <f t="shared" si="41"/>
        <v>1</v>
      </c>
      <c r="R43" s="4">
        <f t="shared" si="41"/>
        <v>1</v>
      </c>
      <c r="S43" s="4">
        <f t="shared" si="41"/>
        <v>1</v>
      </c>
      <c r="U43" s="3">
        <f t="shared" si="26"/>
        <v>0</v>
      </c>
      <c r="V43" s="1" t="str">
        <f t="shared" si="1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42">IF($B44="",J42,
    IF(J$3=$B44,$E44,
       IF(J$3&lt;$B44,J42,
           1
)))</f>
        <v>1</v>
      </c>
      <c r="K44" s="4">
        <f t="shared" si="42"/>
        <v>1</v>
      </c>
      <c r="L44" s="4">
        <f t="shared" si="42"/>
        <v>1</v>
      </c>
      <c r="M44" s="4">
        <f t="shared" si="42"/>
        <v>2</v>
      </c>
      <c r="N44" s="4">
        <f t="shared" si="42"/>
        <v>1</v>
      </c>
      <c r="O44" s="4">
        <f t="shared" si="42"/>
        <v>1</v>
      </c>
      <c r="P44" s="4">
        <f t="shared" si="42"/>
        <v>1</v>
      </c>
      <c r="Q44" s="4">
        <f t="shared" si="42"/>
        <v>1</v>
      </c>
      <c r="R44" s="4">
        <f t="shared" si="42"/>
        <v>1</v>
      </c>
      <c r="S44" s="4">
        <f t="shared" si="42"/>
        <v>1</v>
      </c>
      <c r="U44" s="3">
        <f t="shared" si="26"/>
        <v>0</v>
      </c>
      <c r="V44" s="1" t="str">
        <f t="shared" si="12"/>
        <v/>
      </c>
    </row>
    <row r="45" spans="1:22" x14ac:dyDescent="0.25">
      <c r="A45" s="2">
        <v>42</v>
      </c>
      <c r="B45" s="2">
        <v>2</v>
      </c>
      <c r="C45" s="7" t="s">
        <v>680</v>
      </c>
      <c r="D45" s="41"/>
      <c r="E45" s="2">
        <v>1</v>
      </c>
      <c r="G45" s="1" t="str">
        <f>IF(D45="","",VLOOKUP(D45,Table1[#All],2,FALSE))</f>
        <v/>
      </c>
      <c r="H45" s="2">
        <f t="shared" si="35"/>
        <v>1</v>
      </c>
      <c r="I45" s="45">
        <f>H45*SUM(I46:I51)</f>
        <v>49.166333499999993</v>
      </c>
      <c r="J45" s="4">
        <f t="shared" ref="J45:S45" si="43">IF($B45="",J33,
    IF(J$3=$B45,$E45,
       IF(J$3&lt;$B45,J33,
           1
)))</f>
        <v>1</v>
      </c>
      <c r="K45" s="4">
        <f t="shared" si="43"/>
        <v>1</v>
      </c>
      <c r="L45" s="4">
        <f t="shared" si="43"/>
        <v>1</v>
      </c>
      <c r="M45" s="4">
        <f t="shared" si="43"/>
        <v>1</v>
      </c>
      <c r="N45" s="4">
        <f t="shared" si="43"/>
        <v>1</v>
      </c>
      <c r="O45" s="4">
        <f t="shared" si="43"/>
        <v>1</v>
      </c>
      <c r="P45" s="4">
        <f t="shared" si="43"/>
        <v>1</v>
      </c>
      <c r="Q45" s="4">
        <f t="shared" si="43"/>
        <v>1</v>
      </c>
      <c r="R45" s="4">
        <f t="shared" si="43"/>
        <v>1</v>
      </c>
      <c r="S45" s="4">
        <f t="shared" si="43"/>
        <v>1</v>
      </c>
      <c r="U45" s="3">
        <f t="shared" si="26"/>
        <v>0</v>
      </c>
      <c r="V45" s="1" t="str">
        <f t="shared" si="12"/>
        <v/>
      </c>
    </row>
    <row r="46" spans="1:22" x14ac:dyDescent="0.25">
      <c r="A46" s="2">
        <v>43</v>
      </c>
      <c r="B46" s="2">
        <v>3</v>
      </c>
      <c r="C46" s="7" t="s">
        <v>681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35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44">IF($B46="",J34,
    IF(J$3=$B46,$E46,
       IF(J$3&lt;$B46,J34,
           1
)))</f>
        <v>1</v>
      </c>
      <c r="K46" s="4">
        <f t="shared" si="44"/>
        <v>1</v>
      </c>
      <c r="L46" s="4">
        <f t="shared" si="44"/>
        <v>1</v>
      </c>
      <c r="M46" s="4">
        <f t="shared" si="44"/>
        <v>1</v>
      </c>
      <c r="N46" s="4">
        <f t="shared" si="44"/>
        <v>1</v>
      </c>
      <c r="O46" s="4">
        <f t="shared" si="44"/>
        <v>1</v>
      </c>
      <c r="P46" s="4">
        <f t="shared" si="44"/>
        <v>1</v>
      </c>
      <c r="Q46" s="4">
        <f t="shared" si="44"/>
        <v>1</v>
      </c>
      <c r="R46" s="4">
        <f t="shared" si="44"/>
        <v>1</v>
      </c>
      <c r="S46" s="4">
        <f t="shared" si="44"/>
        <v>1</v>
      </c>
      <c r="U46" s="3">
        <f t="shared" si="26"/>
        <v>0</v>
      </c>
      <c r="V46" s="1" t="str">
        <f t="shared" si="12"/>
        <v/>
      </c>
    </row>
    <row r="47" spans="1:22" x14ac:dyDescent="0.25">
      <c r="A47" s="2">
        <v>44</v>
      </c>
      <c r="B47" s="2">
        <v>3</v>
      </c>
      <c r="C47" s="7" t="s">
        <v>683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35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45">IF($B47="",J45,
    IF(J$3=$B47,$E47,
       IF(J$3&lt;$B47,J45,
           1
)))</f>
        <v>1</v>
      </c>
      <c r="K47" s="4">
        <f t="shared" si="45"/>
        <v>1</v>
      </c>
      <c r="L47" s="4">
        <f t="shared" si="45"/>
        <v>1</v>
      </c>
      <c r="M47" s="4">
        <f t="shared" si="45"/>
        <v>154.5</v>
      </c>
      <c r="N47" s="4">
        <f t="shared" si="45"/>
        <v>1</v>
      </c>
      <c r="O47" s="4">
        <f t="shared" si="45"/>
        <v>1</v>
      </c>
      <c r="P47" s="4">
        <f t="shared" si="45"/>
        <v>1</v>
      </c>
      <c r="Q47" s="4">
        <f t="shared" si="45"/>
        <v>1</v>
      </c>
      <c r="R47" s="4">
        <f t="shared" si="45"/>
        <v>1</v>
      </c>
      <c r="S47" s="4">
        <f t="shared" si="45"/>
        <v>1</v>
      </c>
      <c r="U47" s="3">
        <f t="shared" si="26"/>
        <v>0</v>
      </c>
      <c r="V47" s="1" t="str">
        <f t="shared" si="12"/>
        <v/>
      </c>
    </row>
    <row r="48" spans="1:22" x14ac:dyDescent="0.25">
      <c r="A48" s="2">
        <v>45</v>
      </c>
      <c r="B48" s="2">
        <v>3</v>
      </c>
      <c r="C48" s="28" t="s">
        <v>759</v>
      </c>
      <c r="D48" s="41" t="s">
        <v>16</v>
      </c>
      <c r="E48" s="2">
        <v>4</v>
      </c>
      <c r="F48" s="2" t="s">
        <v>938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1.5259999999999998</v>
      </c>
      <c r="J48" s="4">
        <f t="shared" si="15"/>
        <v>1</v>
      </c>
      <c r="K48" s="4">
        <f t="shared" si="16"/>
        <v>1</v>
      </c>
      <c r="L48" s="4">
        <f t="shared" si="17"/>
        <v>1</v>
      </c>
      <c r="M48" s="4">
        <f t="shared" si="18"/>
        <v>4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  <c r="R48" s="4">
        <f t="shared" si="23"/>
        <v>1</v>
      </c>
      <c r="S48" s="4">
        <f t="shared" si="24"/>
        <v>1</v>
      </c>
      <c r="U48" s="3">
        <f t="shared" si="26"/>
        <v>1.5259999999999998</v>
      </c>
      <c r="V48" s="1" t="str">
        <f t="shared" si="12"/>
        <v>A-0010</v>
      </c>
    </row>
    <row r="49" spans="1:22" x14ac:dyDescent="0.25">
      <c r="A49" s="2">
        <v>46</v>
      </c>
      <c r="B49" s="2">
        <v>3</v>
      </c>
      <c r="C49" s="7" t="s">
        <v>694</v>
      </c>
      <c r="D49" s="41" t="s">
        <v>19</v>
      </c>
      <c r="E49" s="2">
        <v>1</v>
      </c>
      <c r="F49" s="2" t="s">
        <v>938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15"/>
        <v>1</v>
      </c>
      <c r="K49" s="4">
        <f t="shared" si="16"/>
        <v>1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  <c r="R49" s="4">
        <f t="shared" si="23"/>
        <v>1</v>
      </c>
      <c r="S49" s="4">
        <f t="shared" si="24"/>
        <v>1</v>
      </c>
      <c r="U49" s="3">
        <f t="shared" si="26"/>
        <v>3.13375</v>
      </c>
      <c r="V49" s="1" t="str">
        <f t="shared" si="12"/>
        <v>A-0013</v>
      </c>
    </row>
    <row r="50" spans="1:22" x14ac:dyDescent="0.25">
      <c r="A50" s="2">
        <v>47</v>
      </c>
      <c r="B50" s="2">
        <v>3</v>
      </c>
      <c r="C50" s="7" t="s">
        <v>672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15"/>
        <v>1</v>
      </c>
      <c r="K50" s="4">
        <f t="shared" si="16"/>
        <v>1</v>
      </c>
      <c r="L50" s="4">
        <f t="shared" si="17"/>
        <v>1</v>
      </c>
      <c r="M50" s="4">
        <f t="shared" si="18"/>
        <v>4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  <c r="R50" s="4">
        <f t="shared" si="23"/>
        <v>1</v>
      </c>
      <c r="S50" s="4">
        <f t="shared" si="24"/>
        <v>1</v>
      </c>
      <c r="U50" s="3">
        <f t="shared" si="26"/>
        <v>0</v>
      </c>
      <c r="V50" s="1" t="str">
        <f t="shared" si="12"/>
        <v/>
      </c>
    </row>
    <row r="51" spans="1:22" x14ac:dyDescent="0.25">
      <c r="A51" s="2">
        <v>48</v>
      </c>
      <c r="B51" s="2">
        <v>3</v>
      </c>
      <c r="C51" s="7" t="s">
        <v>742</v>
      </c>
      <c r="D51" s="41" t="s">
        <v>28</v>
      </c>
      <c r="E51" s="2">
        <v>4</v>
      </c>
      <c r="F51" s="2" t="s">
        <v>938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0.32</v>
      </c>
      <c r="J51" s="4">
        <f t="shared" si="15"/>
        <v>1</v>
      </c>
      <c r="K51" s="4">
        <f t="shared" si="16"/>
        <v>1</v>
      </c>
      <c r="L51" s="4">
        <f t="shared" si="17"/>
        <v>1</v>
      </c>
      <c r="M51" s="4">
        <f t="shared" si="18"/>
        <v>4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  <c r="R51" s="4">
        <f t="shared" si="23"/>
        <v>1</v>
      </c>
      <c r="S51" s="4">
        <f t="shared" si="24"/>
        <v>1</v>
      </c>
      <c r="U51" s="3">
        <f t="shared" si="26"/>
        <v>0.32</v>
      </c>
      <c r="V51" s="1" t="str">
        <f t="shared" si="12"/>
        <v>A-0022</v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15"/>
        <v>1</v>
      </c>
      <c r="K52" s="4">
        <f t="shared" si="16"/>
        <v>1</v>
      </c>
      <c r="L52" s="4">
        <f t="shared" si="17"/>
        <v>1</v>
      </c>
      <c r="M52" s="4">
        <f t="shared" si="18"/>
        <v>4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  <c r="R52" s="4">
        <f t="shared" si="23"/>
        <v>1</v>
      </c>
      <c r="S52" s="4">
        <f t="shared" si="24"/>
        <v>1</v>
      </c>
      <c r="U52" s="3">
        <f t="shared" si="26"/>
        <v>0</v>
      </c>
      <c r="V52" s="1" t="str">
        <f t="shared" si="12"/>
        <v/>
      </c>
    </row>
    <row r="53" spans="1:22" x14ac:dyDescent="0.25">
      <c r="A53" s="2">
        <v>50</v>
      </c>
      <c r="B53" s="2">
        <v>2</v>
      </c>
      <c r="C53" s="7" t="s">
        <v>685</v>
      </c>
      <c r="D53" s="41"/>
      <c r="E53" s="2">
        <v>1</v>
      </c>
      <c r="G53" s="1" t="str">
        <f>IF(D53="","",VLOOKUP(D53,Table1[#All],2,FALSE))</f>
        <v/>
      </c>
      <c r="H53" s="2">
        <f t="shared" ref="H53:H59" si="46">PRODUCT(J53:S53)</f>
        <v>1</v>
      </c>
      <c r="I53" s="45">
        <f>H53*SUM(I54:I59)</f>
        <v>51.013388166666658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  <c r="R53" s="4">
        <f t="shared" si="23"/>
        <v>1</v>
      </c>
      <c r="S53" s="4">
        <f t="shared" si="24"/>
        <v>1</v>
      </c>
      <c r="U53" s="3">
        <f t="shared" si="26"/>
        <v>0</v>
      </c>
      <c r="V53" s="1" t="str">
        <f t="shared" si="12"/>
        <v/>
      </c>
    </row>
    <row r="54" spans="1:22" x14ac:dyDescent="0.25">
      <c r="A54" s="2">
        <v>51</v>
      </c>
      <c r="B54" s="2">
        <v>3</v>
      </c>
      <c r="C54" s="7" t="s">
        <v>681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46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15"/>
        <v>1</v>
      </c>
      <c r="K54" s="4">
        <f t="shared" si="16"/>
        <v>1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  <c r="R54" s="4">
        <f t="shared" si="23"/>
        <v>1</v>
      </c>
      <c r="S54" s="4">
        <f t="shared" si="24"/>
        <v>1</v>
      </c>
      <c r="U54" s="3">
        <f t="shared" si="26"/>
        <v>0</v>
      </c>
      <c r="V54" s="1" t="str">
        <f t="shared" si="12"/>
        <v/>
      </c>
    </row>
    <row r="55" spans="1:22" x14ac:dyDescent="0.25">
      <c r="A55" s="2">
        <v>52</v>
      </c>
      <c r="B55" s="2">
        <v>3</v>
      </c>
      <c r="C55" s="7" t="s">
        <v>686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46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15"/>
        <v>1</v>
      </c>
      <c r="K55" s="4">
        <f t="shared" si="16"/>
        <v>1</v>
      </c>
      <c r="L55" s="4">
        <f t="shared" si="17"/>
        <v>1</v>
      </c>
      <c r="M55" s="4">
        <f t="shared" si="18"/>
        <v>198.5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  <c r="R55" s="4">
        <f t="shared" si="23"/>
        <v>1</v>
      </c>
      <c r="S55" s="4">
        <f t="shared" si="24"/>
        <v>1</v>
      </c>
      <c r="U55" s="3">
        <f t="shared" si="26"/>
        <v>0</v>
      </c>
      <c r="V55" s="1" t="str">
        <f t="shared" si="12"/>
        <v/>
      </c>
    </row>
    <row r="56" spans="1:22" x14ac:dyDescent="0.25">
      <c r="A56" s="2">
        <v>53</v>
      </c>
      <c r="B56" s="2">
        <v>3</v>
      </c>
      <c r="C56" s="28" t="s">
        <v>760</v>
      </c>
      <c r="D56" s="41" t="s">
        <v>36</v>
      </c>
      <c r="E56" s="2">
        <v>4</v>
      </c>
      <c r="F56" s="2" t="s">
        <v>938</v>
      </c>
      <c r="G56" s="1" t="str">
        <f>IF(D56="","",VLOOKUP(D56,Table1[#All],2,FALSE))</f>
        <v>M5-0.8 X 75MM Socket Head Cap Screws,  Black Oxide Coated Steel</v>
      </c>
      <c r="H56" s="2">
        <f t="shared" si="46"/>
        <v>4</v>
      </c>
      <c r="I56" s="44">
        <f>IF(D56&lt;&gt;"",(VLOOKUP(D56,part_details,4,FALSE)+VLOOKUP(D56,part_details,5,FALSE)+VLOOKUP(D56,part_details,6,FALSE))*'Multi-level BOM'!E56,"")</f>
        <v>1.76</v>
      </c>
      <c r="J56" s="4">
        <f t="shared" si="15"/>
        <v>1</v>
      </c>
      <c r="K56" s="4">
        <f t="shared" si="16"/>
        <v>1</v>
      </c>
      <c r="L56" s="4">
        <f t="shared" si="17"/>
        <v>1</v>
      </c>
      <c r="M56" s="4">
        <f t="shared" si="18"/>
        <v>4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  <c r="R56" s="4">
        <f t="shared" si="23"/>
        <v>1</v>
      </c>
      <c r="S56" s="4">
        <f t="shared" si="24"/>
        <v>1</v>
      </c>
      <c r="U56" s="3">
        <f t="shared" si="26"/>
        <v>1.76</v>
      </c>
      <c r="V56" s="1" t="str">
        <f t="shared" si="12"/>
        <v>A-0030</v>
      </c>
    </row>
    <row r="57" spans="1:22" x14ac:dyDescent="0.25">
      <c r="A57" s="2">
        <v>54</v>
      </c>
      <c r="B57" s="2">
        <v>3</v>
      </c>
      <c r="C57" s="7" t="s">
        <v>694</v>
      </c>
      <c r="D57" s="41" t="s">
        <v>19</v>
      </c>
      <c r="E57" s="2">
        <v>1</v>
      </c>
      <c r="F57" s="2" t="s">
        <v>938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46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15"/>
        <v>1</v>
      </c>
      <c r="K57" s="4">
        <f t="shared" si="16"/>
        <v>1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  <c r="R57" s="4">
        <f t="shared" si="23"/>
        <v>1</v>
      </c>
      <c r="S57" s="4">
        <f t="shared" si="24"/>
        <v>1</v>
      </c>
      <c r="U57" s="3">
        <f t="shared" si="26"/>
        <v>3.13375</v>
      </c>
      <c r="V57" s="1" t="str">
        <f t="shared" si="12"/>
        <v>A-0013</v>
      </c>
    </row>
    <row r="58" spans="1:22" x14ac:dyDescent="0.25">
      <c r="A58" s="2">
        <v>55</v>
      </c>
      <c r="B58" s="2">
        <v>3</v>
      </c>
      <c r="C58" s="7" t="s">
        <v>672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46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15"/>
        <v>1</v>
      </c>
      <c r="K58" s="4">
        <f t="shared" si="16"/>
        <v>1</v>
      </c>
      <c r="L58" s="4">
        <f t="shared" si="17"/>
        <v>1</v>
      </c>
      <c r="M58" s="4">
        <f t="shared" si="18"/>
        <v>4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  <c r="R58" s="4">
        <f t="shared" si="23"/>
        <v>1</v>
      </c>
      <c r="S58" s="4">
        <f t="shared" si="24"/>
        <v>1</v>
      </c>
      <c r="U58" s="3">
        <f t="shared" si="26"/>
        <v>0</v>
      </c>
      <c r="V58" s="1" t="str">
        <f t="shared" si="12"/>
        <v/>
      </c>
    </row>
    <row r="59" spans="1:22" x14ac:dyDescent="0.25">
      <c r="A59" s="2">
        <v>56</v>
      </c>
      <c r="B59" s="2">
        <v>3</v>
      </c>
      <c r="C59" s="7" t="s">
        <v>742</v>
      </c>
      <c r="D59" s="41" t="s">
        <v>28</v>
      </c>
      <c r="E59" s="2">
        <v>4</v>
      </c>
      <c r="F59" s="2" t="s">
        <v>938</v>
      </c>
      <c r="G59" s="1" t="str">
        <f>IF(D59="","",VLOOKUP(D59,Table1[#All],2,FALSE))</f>
        <v xml:space="preserve">M6 x 1.0mm Nylon Inserted Hex Lock Nuts 304 Stainless Steel </v>
      </c>
      <c r="H59" s="2">
        <f t="shared" si="46"/>
        <v>4</v>
      </c>
      <c r="I59" s="44">
        <f>IF(D59&lt;&gt;"",(VLOOKUP(D59,part_details,4,FALSE)+VLOOKUP(D59,part_details,5,FALSE)+VLOOKUP(D59,part_details,6,FALSE))*'Multi-level BOM'!E59,"")</f>
        <v>0.32</v>
      </c>
      <c r="J59" s="4">
        <f t="shared" si="15"/>
        <v>1</v>
      </c>
      <c r="K59" s="4">
        <f t="shared" si="16"/>
        <v>1</v>
      </c>
      <c r="L59" s="4">
        <f t="shared" si="17"/>
        <v>1</v>
      </c>
      <c r="M59" s="4">
        <f t="shared" si="18"/>
        <v>4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  <c r="R59" s="4">
        <f t="shared" si="23"/>
        <v>1</v>
      </c>
      <c r="S59" s="4">
        <f t="shared" si="24"/>
        <v>1</v>
      </c>
      <c r="U59" s="3">
        <f t="shared" si="26"/>
        <v>0.32</v>
      </c>
      <c r="V59" s="1" t="str">
        <f t="shared" si="12"/>
        <v>A-0022</v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15"/>
        <v>1</v>
      </c>
      <c r="K60" s="4">
        <f t="shared" si="16"/>
        <v>1</v>
      </c>
      <c r="L60" s="4">
        <f t="shared" si="17"/>
        <v>1</v>
      </c>
      <c r="M60" s="4">
        <f t="shared" si="18"/>
        <v>4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  <c r="R60" s="4">
        <f t="shared" si="23"/>
        <v>1</v>
      </c>
      <c r="S60" s="4">
        <f t="shared" si="24"/>
        <v>1</v>
      </c>
      <c r="U60" s="3">
        <f t="shared" si="26"/>
        <v>0</v>
      </c>
      <c r="V60" s="1" t="str">
        <f t="shared" si="12"/>
        <v/>
      </c>
    </row>
    <row r="61" spans="1:22" x14ac:dyDescent="0.25">
      <c r="A61" s="2">
        <v>58</v>
      </c>
      <c r="B61" s="2">
        <v>2</v>
      </c>
      <c r="C61" s="7" t="s">
        <v>687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67.62</v>
      </c>
      <c r="J61" s="4">
        <f t="shared" si="15"/>
        <v>1</v>
      </c>
      <c r="K61" s="4">
        <f t="shared" si="16"/>
        <v>1</v>
      </c>
      <c r="L61" s="4">
        <f t="shared" si="17"/>
        <v>2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  <c r="R61" s="4">
        <f t="shared" si="23"/>
        <v>1</v>
      </c>
      <c r="S61" s="4">
        <f t="shared" si="24"/>
        <v>1</v>
      </c>
      <c r="U61" s="3">
        <f t="shared" si="26"/>
        <v>0</v>
      </c>
      <c r="V61" s="1" t="str">
        <f t="shared" si="1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15"/>
        <v>1</v>
      </c>
      <c r="K62" s="4">
        <f t="shared" si="16"/>
        <v>1</v>
      </c>
      <c r="L62" s="4">
        <f t="shared" si="17"/>
        <v>2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  <c r="R62" s="4">
        <f t="shared" si="23"/>
        <v>1</v>
      </c>
      <c r="S62" s="4">
        <f t="shared" si="24"/>
        <v>1</v>
      </c>
      <c r="U62" s="3">
        <f t="shared" si="26"/>
        <v>0</v>
      </c>
      <c r="V62" s="1" t="str">
        <f t="shared" si="12"/>
        <v/>
      </c>
    </row>
    <row r="63" spans="1:22" x14ac:dyDescent="0.25">
      <c r="A63" s="2">
        <v>60</v>
      </c>
      <c r="B63" s="2">
        <v>2</v>
      </c>
      <c r="C63" s="7" t="s">
        <v>765</v>
      </c>
      <c r="D63" s="41" t="s">
        <v>18</v>
      </c>
      <c r="E63" s="2">
        <v>26</v>
      </c>
      <c r="F63" s="2" t="s">
        <v>938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2.379</v>
      </c>
      <c r="J63" s="4">
        <f t="shared" si="15"/>
        <v>1</v>
      </c>
      <c r="K63" s="4">
        <f t="shared" si="16"/>
        <v>1</v>
      </c>
      <c r="L63" s="4">
        <f t="shared" si="17"/>
        <v>26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  <c r="R63" s="4">
        <f t="shared" si="23"/>
        <v>1</v>
      </c>
      <c r="S63" s="4">
        <f t="shared" si="24"/>
        <v>1</v>
      </c>
      <c r="U63" s="3">
        <f t="shared" si="26"/>
        <v>2.379</v>
      </c>
      <c r="V63" s="1" t="str">
        <f t="shared" si="12"/>
        <v>A-0012</v>
      </c>
    </row>
    <row r="64" spans="1:22" x14ac:dyDescent="0.25">
      <c r="A64" s="2">
        <v>61</v>
      </c>
      <c r="B64" s="2">
        <v>2</v>
      </c>
      <c r="C64" s="7" t="s">
        <v>780</v>
      </c>
      <c r="D64" s="41" t="s">
        <v>41</v>
      </c>
      <c r="E64" s="2">
        <v>26</v>
      </c>
      <c r="F64" s="2" t="s">
        <v>938</v>
      </c>
      <c r="G64" s="1" t="str">
        <f>IF(D64="","",VLOOKUP(D64,Table1[#All],2,FALSE))</f>
        <v>M3x6mmx0.5mm Stainless Steel Flat Washer</v>
      </c>
      <c r="H64" s="2">
        <f t="shared" ref="H64:H93" si="47">PRODUCT(J64:S64)</f>
        <v>26</v>
      </c>
      <c r="I64" s="45">
        <f>IF(D64&lt;&gt;"",(VLOOKUP(D64,part_details,4,FALSE)+VLOOKUP(D64,part_details,5,FALSE)+VLOOKUP(D64,part_details,6,FALSE))*'Multi-level BOM'!E64,"")</f>
        <v>0.28600000000000003</v>
      </c>
      <c r="J64" s="4">
        <f t="shared" si="15"/>
        <v>1</v>
      </c>
      <c r="K64" s="4">
        <f t="shared" si="16"/>
        <v>1</v>
      </c>
      <c r="L64" s="4">
        <f t="shared" si="17"/>
        <v>26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  <c r="R64" s="4">
        <f t="shared" si="23"/>
        <v>1</v>
      </c>
      <c r="S64" s="4">
        <f t="shared" si="24"/>
        <v>1</v>
      </c>
      <c r="U64" s="3">
        <f t="shared" si="26"/>
        <v>0.28600000000000003</v>
      </c>
      <c r="V64" s="1" t="str">
        <f t="shared" si="12"/>
        <v>A-0035</v>
      </c>
    </row>
    <row r="65" spans="1:22" x14ac:dyDescent="0.25">
      <c r="A65" s="2">
        <v>62</v>
      </c>
      <c r="B65" s="2">
        <v>2</v>
      </c>
      <c r="C65" s="7" t="s">
        <v>781</v>
      </c>
      <c r="D65" s="41" t="s">
        <v>40</v>
      </c>
      <c r="E65" s="2">
        <v>26</v>
      </c>
      <c r="F65" s="2" t="s">
        <v>938</v>
      </c>
      <c r="G65" s="1" t="str">
        <f>IF(D65="","",VLOOKUP(D65,Table1[#All],2,FALSE))</f>
        <v>M3 x 0.5mm 304 Stainless Steel Self-Lock Nylon Inserted Hex Lock Nuts,</v>
      </c>
      <c r="H65" s="2">
        <f t="shared" si="47"/>
        <v>26</v>
      </c>
      <c r="I65" s="45">
        <f>IF(D65&lt;&gt;"",(VLOOKUP(D65,part_details,4,FALSE)+VLOOKUP(D65,part_details,5,FALSE)+VLOOKUP(D65,part_details,6,FALSE))*'Multi-level BOM'!E65,"")</f>
        <v>0.82939999999999992</v>
      </c>
      <c r="J65" s="4">
        <f t="shared" si="15"/>
        <v>1</v>
      </c>
      <c r="K65" s="4">
        <f t="shared" si="16"/>
        <v>1</v>
      </c>
      <c r="L65" s="4">
        <f t="shared" si="17"/>
        <v>26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  <c r="R65" s="4">
        <f t="shared" si="23"/>
        <v>1</v>
      </c>
      <c r="S65" s="4">
        <f t="shared" si="24"/>
        <v>1</v>
      </c>
      <c r="U65" s="3">
        <f t="shared" si="26"/>
        <v>0.82939999999999992</v>
      </c>
      <c r="V65" s="1" t="str">
        <f t="shared" si="12"/>
        <v>A-0034</v>
      </c>
    </row>
    <row r="66" spans="1:22" x14ac:dyDescent="0.25">
      <c r="A66" s="2">
        <v>63</v>
      </c>
      <c r="B66" s="2">
        <v>2</v>
      </c>
      <c r="C66" s="7" t="s">
        <v>799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 t="shared" ref="H66" si="48"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15"/>
        <v>1</v>
      </c>
      <c r="K66" s="4">
        <f t="shared" si="16"/>
        <v>1</v>
      </c>
      <c r="L66" s="4">
        <f t="shared" si="17"/>
        <v>5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  <c r="R66" s="4">
        <f t="shared" si="23"/>
        <v>1</v>
      </c>
      <c r="S66" s="4">
        <f t="shared" si="24"/>
        <v>1</v>
      </c>
      <c r="U66" s="3">
        <f t="shared" si="26"/>
        <v>0</v>
      </c>
      <c r="V66" s="1" t="str">
        <f t="shared" si="1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15"/>
        <v>1</v>
      </c>
      <c r="K67" s="4">
        <f t="shared" si="16"/>
        <v>1</v>
      </c>
      <c r="L67" s="4">
        <f t="shared" si="17"/>
        <v>5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  <c r="R67" s="4">
        <f t="shared" si="23"/>
        <v>1</v>
      </c>
      <c r="S67" s="4">
        <f t="shared" si="24"/>
        <v>1</v>
      </c>
      <c r="U67" s="3">
        <f t="shared" si="26"/>
        <v>0</v>
      </c>
      <c r="V67" s="1" t="str">
        <f t="shared" si="1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37.379362966666662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  <c r="R68" s="4">
        <f t="shared" si="23"/>
        <v>1</v>
      </c>
      <c r="S68" s="4">
        <f t="shared" si="24"/>
        <v>1</v>
      </c>
      <c r="U68" s="3">
        <f t="shared" si="26"/>
        <v>0</v>
      </c>
      <c r="V68" s="1" t="str">
        <f t="shared" ref="V68:V132" si="49">IF(F68="x",D68,"")</f>
        <v/>
      </c>
    </row>
    <row r="69" spans="1:22" x14ac:dyDescent="0.25">
      <c r="A69" s="2">
        <v>66</v>
      </c>
      <c r="B69" s="2">
        <v>2</v>
      </c>
      <c r="C69" s="7" t="s">
        <v>737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S69" s="4">
        <f t="shared" si="24"/>
        <v>1</v>
      </c>
      <c r="U69" s="3">
        <f t="shared" si="26"/>
        <v>0</v>
      </c>
      <c r="V69" s="1" t="str">
        <f t="shared" si="49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15"/>
        <v>1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  <c r="R70" s="4">
        <f t="shared" si="23"/>
        <v>1</v>
      </c>
      <c r="S70" s="4">
        <f t="shared" si="24"/>
        <v>1</v>
      </c>
      <c r="U70" s="3">
        <f t="shared" si="26"/>
        <v>0</v>
      </c>
      <c r="V70" s="1" t="str">
        <f t="shared" si="49"/>
        <v/>
      </c>
    </row>
    <row r="71" spans="1:22" x14ac:dyDescent="0.25">
      <c r="A71" s="2">
        <v>68</v>
      </c>
      <c r="B71" s="2">
        <v>2</v>
      </c>
      <c r="C71" s="7" t="s">
        <v>675</v>
      </c>
      <c r="D71" s="41"/>
      <c r="E71" s="2">
        <v>2</v>
      </c>
      <c r="G71" s="1" t="str">
        <f>IF(D71="","",VLOOKUP(D71,Table1[#All],2,FALSE))</f>
        <v/>
      </c>
      <c r="H71" s="2">
        <f>PRODUCT(J71:S71)</f>
        <v>2</v>
      </c>
      <c r="I71" s="45">
        <f>H71*SUM(I72:I76)</f>
        <v>7.0565120000000006</v>
      </c>
      <c r="J71" s="4">
        <f t="shared" si="15"/>
        <v>1</v>
      </c>
      <c r="K71" s="4">
        <f t="shared" si="16"/>
        <v>1</v>
      </c>
      <c r="L71" s="4">
        <f t="shared" si="17"/>
        <v>2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  <c r="R71" s="4">
        <f t="shared" si="23"/>
        <v>1</v>
      </c>
      <c r="S71" s="4">
        <f t="shared" si="24"/>
        <v>1</v>
      </c>
      <c r="U71" s="3">
        <f t="shared" si="26"/>
        <v>0</v>
      </c>
      <c r="V71" s="1" t="str">
        <f t="shared" si="49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>PRODUCT(J72:S72)</f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15"/>
        <v>1</v>
      </c>
      <c r="K72" s="4">
        <f t="shared" si="16"/>
        <v>1</v>
      </c>
      <c r="L72" s="4">
        <f t="shared" si="17"/>
        <v>2</v>
      </c>
      <c r="M72" s="4">
        <f t="shared" si="18"/>
        <v>2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  <c r="R72" s="4">
        <f t="shared" si="23"/>
        <v>1</v>
      </c>
      <c r="S72" s="4">
        <f t="shared" si="24"/>
        <v>1</v>
      </c>
      <c r="U72" s="3">
        <f t="shared" si="26"/>
        <v>0</v>
      </c>
      <c r="V72" s="1" t="str">
        <f t="shared" si="49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F73" s="2" t="s">
        <v>938</v>
      </c>
      <c r="G73" s="1" t="str">
        <f>IF(D73="","",VLOOKUP(D73,Table1[#All],2,FALSE))</f>
        <v xml:space="preserve">K &amp; S PRECISION METALS 251 .010x4x10 BRS SHT Metal </v>
      </c>
      <c r="H73" s="2">
        <f>PRODUCT(J73:S73)</f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15"/>
        <v>1</v>
      </c>
      <c r="K73" s="4">
        <f t="shared" si="16"/>
        <v>1</v>
      </c>
      <c r="L73" s="4">
        <f t="shared" si="17"/>
        <v>2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  <c r="R73" s="4">
        <f t="shared" si="23"/>
        <v>1</v>
      </c>
      <c r="S73" s="4">
        <f t="shared" si="24"/>
        <v>1</v>
      </c>
      <c r="U73" s="3">
        <f t="shared" si="26"/>
        <v>0.23925499999999997</v>
      </c>
      <c r="V73" s="1" t="str">
        <f t="shared" si="49"/>
        <v>A-0005</v>
      </c>
    </row>
    <row r="74" spans="1:22" x14ac:dyDescent="0.25">
      <c r="A74" s="2">
        <v>71</v>
      </c>
      <c r="B74" s="2">
        <v>3</v>
      </c>
      <c r="C74" s="8" t="s">
        <v>770</v>
      </c>
      <c r="D74" s="41" t="s">
        <v>37</v>
      </c>
      <c r="E74" s="2">
        <v>1</v>
      </c>
      <c r="F74" s="2" t="s">
        <v>938</v>
      </c>
      <c r="G74" s="1" t="str">
        <f>IF(D74="","",VLOOKUP(D74,Table1[#All],2,FALSE))</f>
        <v>M6 Flat/Countersunk Head Socket Screws (M6 x 22mm)</v>
      </c>
      <c r="H74" s="2">
        <f>PRODUCT(J74:S74)</f>
        <v>2</v>
      </c>
      <c r="I74" s="44">
        <f>IF(D74&lt;&gt;"",(VLOOKUP(D74,part_details,4,FALSE)+VLOOKUP(D74,part_details,5,FALSE)+VLOOKUP(D74,part_details,6,FALSE))*'Multi-level BOM'!E74,"")</f>
        <v>0.18</v>
      </c>
      <c r="J74" s="4">
        <f t="shared" si="15"/>
        <v>1</v>
      </c>
      <c r="K74" s="4">
        <f t="shared" si="16"/>
        <v>1</v>
      </c>
      <c r="L74" s="4">
        <f t="shared" si="17"/>
        <v>2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  <c r="R74" s="4">
        <f t="shared" si="23"/>
        <v>1</v>
      </c>
      <c r="S74" s="4">
        <f t="shared" si="24"/>
        <v>1</v>
      </c>
      <c r="U74" s="3">
        <f t="shared" si="26"/>
        <v>0.18</v>
      </c>
      <c r="V74" s="1" t="str">
        <f t="shared" si="49"/>
        <v>A-0031</v>
      </c>
    </row>
    <row r="75" spans="1:22" x14ac:dyDescent="0.25">
      <c r="A75" s="2">
        <v>72</v>
      </c>
      <c r="B75" s="2">
        <v>3</v>
      </c>
      <c r="C75" s="8" t="s">
        <v>672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>PRODUCT(J75:S75)</f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15"/>
        <v>1</v>
      </c>
      <c r="K75" s="4">
        <f t="shared" si="16"/>
        <v>1</v>
      </c>
      <c r="L75" s="4">
        <f t="shared" si="17"/>
        <v>2</v>
      </c>
      <c r="M75" s="4">
        <f t="shared" si="18"/>
        <v>2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  <c r="R75" s="4">
        <f t="shared" si="23"/>
        <v>1</v>
      </c>
      <c r="S75" s="4">
        <f t="shared" si="24"/>
        <v>1</v>
      </c>
      <c r="U75" s="3">
        <f t="shared" si="26"/>
        <v>0</v>
      </c>
      <c r="V75" s="1" t="str">
        <f t="shared" si="49"/>
        <v/>
      </c>
    </row>
    <row r="76" spans="1:22" x14ac:dyDescent="0.25">
      <c r="A76" s="2">
        <v>73</v>
      </c>
      <c r="B76" s="2">
        <v>3</v>
      </c>
      <c r="C76" s="8" t="s">
        <v>742</v>
      </c>
      <c r="D76" s="41" t="s">
        <v>28</v>
      </c>
      <c r="E76" s="2">
        <v>1</v>
      </c>
      <c r="F76" s="2" t="s">
        <v>938</v>
      </c>
      <c r="G76" s="1" t="str">
        <f>IF(D76="","",VLOOKUP(D76,Table1[#All],2,FALSE))</f>
        <v xml:space="preserve">M6 x 1.0mm Nylon Inserted Hex Lock Nuts 304 Stainless Steel </v>
      </c>
      <c r="H76" s="2">
        <f t="shared" ref="H76" si="50">PRODUCT(J76:S76)</f>
        <v>2</v>
      </c>
      <c r="I76" s="44">
        <f>IF(D76&lt;&gt;"",(VLOOKUP(D76,part_details,4,FALSE)+VLOOKUP(D76,part_details,5,FALSE)+VLOOKUP(D76,part_details,6,FALSE))*'Multi-level BOM'!E76,"")</f>
        <v>0.08</v>
      </c>
      <c r="J76" s="4">
        <f t="shared" si="15"/>
        <v>1</v>
      </c>
      <c r="K76" s="4">
        <f t="shared" si="16"/>
        <v>1</v>
      </c>
      <c r="L76" s="4">
        <f t="shared" si="17"/>
        <v>2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  <c r="R76" s="4">
        <f t="shared" si="23"/>
        <v>1</v>
      </c>
      <c r="S76" s="4">
        <f t="shared" si="24"/>
        <v>1</v>
      </c>
      <c r="U76" s="3">
        <f t="shared" si="26"/>
        <v>0.08</v>
      </c>
      <c r="V76" s="1" t="str">
        <f t="shared" si="49"/>
        <v>A-0022</v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15"/>
        <v>1</v>
      </c>
      <c r="K77" s="4">
        <f t="shared" si="16"/>
        <v>1</v>
      </c>
      <c r="L77" s="4">
        <f t="shared" si="17"/>
        <v>2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  <c r="R77" s="4">
        <f t="shared" si="23"/>
        <v>1</v>
      </c>
      <c r="S77" s="4">
        <f t="shared" si="24"/>
        <v>1</v>
      </c>
      <c r="U77" s="3">
        <f t="shared" ref="U77:U142" si="51">IF(F77="x",I77,0)</f>
        <v>0</v>
      </c>
      <c r="V77" s="1" t="str">
        <f t="shared" si="49"/>
        <v/>
      </c>
    </row>
    <row r="78" spans="1:22" x14ac:dyDescent="0.25">
      <c r="A78" s="2">
        <v>75</v>
      </c>
      <c r="B78" s="2">
        <v>2</v>
      </c>
      <c r="C78" s="7" t="s">
        <v>676</v>
      </c>
      <c r="D78" s="41"/>
      <c r="E78" s="2">
        <v>2</v>
      </c>
      <c r="G78" s="1" t="str">
        <f>IF(D78="","",VLOOKUP(D78,Table1[#All],2,FALSE))</f>
        <v/>
      </c>
      <c r="H78" s="2">
        <f t="shared" ref="H78:H84" si="52">PRODUCT(J78:S78)</f>
        <v>2</v>
      </c>
      <c r="I78" s="45">
        <f>H78*SUM(I79:I84)</f>
        <v>7.6340309666666668</v>
      </c>
      <c r="J78" s="4">
        <f t="shared" si="15"/>
        <v>1</v>
      </c>
      <c r="K78" s="4">
        <f t="shared" si="16"/>
        <v>1</v>
      </c>
      <c r="L78" s="4">
        <f t="shared" si="17"/>
        <v>2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  <c r="R78" s="4">
        <f t="shared" si="23"/>
        <v>1</v>
      </c>
      <c r="S78" s="4">
        <f t="shared" si="24"/>
        <v>1</v>
      </c>
      <c r="U78" s="3">
        <f t="shared" si="51"/>
        <v>0</v>
      </c>
      <c r="V78" s="1" t="str">
        <f t="shared" si="49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52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15"/>
        <v>1</v>
      </c>
      <c r="K79" s="4">
        <f t="shared" si="16"/>
        <v>1</v>
      </c>
      <c r="L79" s="4">
        <f t="shared" si="17"/>
        <v>2</v>
      </c>
      <c r="M79" s="4">
        <f t="shared" si="18"/>
        <v>2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  <c r="R79" s="4">
        <f t="shared" si="23"/>
        <v>1</v>
      </c>
      <c r="S79" s="4">
        <f t="shared" si="24"/>
        <v>1</v>
      </c>
      <c r="U79" s="3">
        <f t="shared" si="51"/>
        <v>0</v>
      </c>
      <c r="V79" s="1" t="str">
        <f t="shared" si="49"/>
        <v/>
      </c>
    </row>
    <row r="80" spans="1:22" x14ac:dyDescent="0.25">
      <c r="A80" s="2">
        <v>77</v>
      </c>
      <c r="B80" s="2">
        <v>3</v>
      </c>
      <c r="C80" s="8" t="s">
        <v>677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52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15"/>
        <v>1</v>
      </c>
      <c r="K80" s="4">
        <f t="shared" si="16"/>
        <v>1</v>
      </c>
      <c r="L80" s="4">
        <f t="shared" si="17"/>
        <v>2</v>
      </c>
      <c r="M80" s="4">
        <f t="shared" si="18"/>
        <v>16.899999999999999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  <c r="R80" s="4">
        <f t="shared" si="23"/>
        <v>1</v>
      </c>
      <c r="S80" s="4">
        <f t="shared" si="24"/>
        <v>1</v>
      </c>
      <c r="U80" s="3">
        <f t="shared" si="51"/>
        <v>0</v>
      </c>
      <c r="V80" s="1" t="str">
        <f t="shared" si="49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F81" s="2" t="s">
        <v>938</v>
      </c>
      <c r="G81" s="1" t="str">
        <f>IF(D81="","",VLOOKUP(D81,Table1[#All],2,FALSE))</f>
        <v xml:space="preserve">K &amp; S PRECISION METALS 251 .010x4x10 BRS SHT Metal </v>
      </c>
      <c r="H81" s="2">
        <f t="shared" si="52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15"/>
        <v>1</v>
      </c>
      <c r="K81" s="4">
        <f t="shared" si="16"/>
        <v>1</v>
      </c>
      <c r="L81" s="4">
        <f t="shared" si="17"/>
        <v>2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  <c r="R81" s="4">
        <f t="shared" si="23"/>
        <v>1</v>
      </c>
      <c r="S81" s="4">
        <f t="shared" si="24"/>
        <v>1</v>
      </c>
      <c r="U81" s="3">
        <f t="shared" si="51"/>
        <v>0.23925499999999997</v>
      </c>
      <c r="V81" s="1" t="str">
        <f t="shared" si="49"/>
        <v>A-0005</v>
      </c>
    </row>
    <row r="82" spans="1:22" x14ac:dyDescent="0.25">
      <c r="A82" s="2">
        <v>79</v>
      </c>
      <c r="B82" s="2">
        <v>3</v>
      </c>
      <c r="C82" s="8" t="s">
        <v>771</v>
      </c>
      <c r="D82" s="41" t="s">
        <v>38</v>
      </c>
      <c r="E82" s="2">
        <v>1</v>
      </c>
      <c r="F82" s="2" t="s">
        <v>938</v>
      </c>
      <c r="G82" s="1" t="str">
        <f>IF(D82="","",VLOOKUP(D82,Table1[#All],2,FALSE))</f>
        <v>M6-1.0 x 35mm Flat Head Socket  Screws</v>
      </c>
      <c r="H82" s="2">
        <f t="shared" si="52"/>
        <v>2</v>
      </c>
      <c r="I82" s="44">
        <f>IF(D82&lt;&gt;"",(VLOOKUP(D82,part_details,4,FALSE)+VLOOKUP(D82,part_details,5,FALSE)+VLOOKUP(D82,part_details,6,FALSE))*'Multi-level BOM'!E82,"")</f>
        <v>0.2</v>
      </c>
      <c r="J82" s="4">
        <f t="shared" si="15"/>
        <v>1</v>
      </c>
      <c r="K82" s="4">
        <f t="shared" si="16"/>
        <v>1</v>
      </c>
      <c r="L82" s="4">
        <f t="shared" si="17"/>
        <v>2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  <c r="R82" s="4">
        <f t="shared" si="23"/>
        <v>1</v>
      </c>
      <c r="S82" s="4">
        <f t="shared" si="24"/>
        <v>1</v>
      </c>
      <c r="U82" s="3">
        <f t="shared" si="51"/>
        <v>0.2</v>
      </c>
      <c r="V82" s="1" t="str">
        <f t="shared" si="49"/>
        <v>A-0032</v>
      </c>
    </row>
    <row r="83" spans="1:22" x14ac:dyDescent="0.25">
      <c r="A83" s="2">
        <v>80</v>
      </c>
      <c r="B83" s="2">
        <v>3</v>
      </c>
      <c r="C83" s="8" t="s">
        <v>672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52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15"/>
        <v>1</v>
      </c>
      <c r="K83" s="4">
        <f t="shared" si="16"/>
        <v>1</v>
      </c>
      <c r="L83" s="4">
        <f t="shared" si="17"/>
        <v>2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  <c r="R83" s="4">
        <f t="shared" si="23"/>
        <v>1</v>
      </c>
      <c r="S83" s="4">
        <f t="shared" si="24"/>
        <v>1</v>
      </c>
      <c r="U83" s="3">
        <f t="shared" si="51"/>
        <v>0</v>
      </c>
      <c r="V83" s="1" t="str">
        <f t="shared" si="49"/>
        <v/>
      </c>
    </row>
    <row r="84" spans="1:22" x14ac:dyDescent="0.25">
      <c r="A84" s="2">
        <v>81</v>
      </c>
      <c r="B84" s="2">
        <v>3</v>
      </c>
      <c r="C84" s="8" t="s">
        <v>742</v>
      </c>
      <c r="D84" s="41" t="s">
        <v>28</v>
      </c>
      <c r="E84" s="2">
        <v>1</v>
      </c>
      <c r="F84" s="2" t="s">
        <v>938</v>
      </c>
      <c r="G84" s="1" t="str">
        <f>IF(D84="","",VLOOKUP(D84,Table1[#All],2,FALSE))</f>
        <v xml:space="preserve">M6 x 1.0mm Nylon Inserted Hex Lock Nuts 304 Stainless Steel </v>
      </c>
      <c r="H84" s="2">
        <f t="shared" si="52"/>
        <v>2</v>
      </c>
      <c r="I84" s="44">
        <f>IF(D84&lt;&gt;"",(VLOOKUP(D84,part_details,4,FALSE)+VLOOKUP(D84,part_details,5,FALSE)+VLOOKUP(D84,part_details,6,FALSE))*'Multi-level BOM'!E84,"")</f>
        <v>0.08</v>
      </c>
      <c r="J84" s="4">
        <f t="shared" si="15"/>
        <v>1</v>
      </c>
      <c r="K84" s="4">
        <f t="shared" si="16"/>
        <v>1</v>
      </c>
      <c r="L84" s="4">
        <f t="shared" si="17"/>
        <v>2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  <c r="R84" s="4">
        <f t="shared" si="23"/>
        <v>1</v>
      </c>
      <c r="S84" s="4">
        <f t="shared" si="24"/>
        <v>1</v>
      </c>
      <c r="U84" s="3">
        <f t="shared" si="51"/>
        <v>0.08</v>
      </c>
      <c r="V84" s="1" t="str">
        <f t="shared" si="49"/>
        <v>A-0022</v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15"/>
        <v>1</v>
      </c>
      <c r="K85" s="4">
        <f t="shared" si="16"/>
        <v>1</v>
      </c>
      <c r="L85" s="4">
        <f t="shared" si="17"/>
        <v>2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  <c r="R85" s="4">
        <f t="shared" si="23"/>
        <v>1</v>
      </c>
      <c r="S85" s="4">
        <f t="shared" si="24"/>
        <v>1</v>
      </c>
      <c r="U85" s="3">
        <f t="shared" si="51"/>
        <v>0</v>
      </c>
      <c r="V85" s="1" t="str">
        <f t="shared" si="49"/>
        <v/>
      </c>
    </row>
    <row r="86" spans="1:22" x14ac:dyDescent="0.25">
      <c r="A86" s="2">
        <v>83</v>
      </c>
      <c r="B86" s="2">
        <v>2</v>
      </c>
      <c r="C86" s="7" t="s">
        <v>738</v>
      </c>
      <c r="D86" s="2" t="s">
        <v>22</v>
      </c>
      <c r="E86" s="2">
        <v>1</v>
      </c>
      <c r="F86" s="2" t="s">
        <v>938</v>
      </c>
      <c r="G86" s="1" t="str">
        <f>IF(D86="","",VLOOKUP(D86,Table1[#All],2,FALSE))</f>
        <v>500mm MGN12 Linear Rail Guide with MGN12H Carriage Block</v>
      </c>
      <c r="H86" s="2">
        <f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  <c r="R86" s="4">
        <f t="shared" si="23"/>
        <v>1</v>
      </c>
      <c r="S86" s="4">
        <f t="shared" si="24"/>
        <v>1</v>
      </c>
      <c r="U86" s="3">
        <f t="shared" si="51"/>
        <v>19.979999999999997</v>
      </c>
      <c r="V86" s="1" t="str">
        <f t="shared" si="49"/>
        <v>A-0016</v>
      </c>
    </row>
    <row r="87" spans="1:22" x14ac:dyDescent="0.25">
      <c r="A87" s="2">
        <v>84</v>
      </c>
      <c r="B87" s="2">
        <v>2</v>
      </c>
      <c r="C87" s="34" t="s">
        <v>739</v>
      </c>
      <c r="D87" s="35" t="s">
        <v>27</v>
      </c>
      <c r="E87" s="35">
        <v>0</v>
      </c>
      <c r="G87" s="1" t="str">
        <f>IF(D87="","",VLOOKUP(D87,Table1[#All],2,FALSE))</f>
        <v>Machifit MGN12C Linear Rail Block for MGN12 Linear Rail Guide</v>
      </c>
      <c r="H87" s="2">
        <f>PRODUCT(J87:S87)</f>
        <v>0</v>
      </c>
      <c r="I87" s="45">
        <f>IF(D87&lt;&gt;"",(VLOOKUP(D87,part_details,4,FALSE)+VLOOKUP(D87,part_details,5,FALSE)+VLOOKUP(D87,part_details,6,FALSE))*'Multi-level BOM'!E87,"")</f>
        <v>0</v>
      </c>
      <c r="J87" s="4">
        <f t="shared" si="15"/>
        <v>1</v>
      </c>
      <c r="K87" s="4">
        <f t="shared" si="16"/>
        <v>1</v>
      </c>
      <c r="L87" s="4">
        <f t="shared" si="17"/>
        <v>0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  <c r="R87" s="4">
        <f t="shared" si="23"/>
        <v>1</v>
      </c>
      <c r="S87" s="4">
        <f t="shared" si="24"/>
        <v>1</v>
      </c>
      <c r="U87" s="3">
        <f t="shared" si="51"/>
        <v>0</v>
      </c>
      <c r="V87" s="1" t="str">
        <f t="shared" si="49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ref="H88:H91" si="53">PRODUCT(J88:S88)</f>
        <v>0</v>
      </c>
      <c r="I88" s="45" t="str">
        <f>IF(D88&lt;&gt;"",VLOOKUP(D88,part_details,4,FALSE)*'Multi-level BOM'!E88,"")</f>
        <v/>
      </c>
      <c r="J88" s="4">
        <f t="shared" si="15"/>
        <v>1</v>
      </c>
      <c r="K88" s="4">
        <f t="shared" si="16"/>
        <v>1</v>
      </c>
      <c r="L88" s="4">
        <f t="shared" si="17"/>
        <v>0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S88" s="4">
        <f t="shared" si="24"/>
        <v>1</v>
      </c>
      <c r="U88" s="3">
        <f t="shared" si="51"/>
        <v>0</v>
      </c>
      <c r="V88" s="1" t="str">
        <f t="shared" si="49"/>
        <v/>
      </c>
    </row>
    <row r="89" spans="1:22" x14ac:dyDescent="0.25">
      <c r="A89" s="2">
        <v>86</v>
      </c>
      <c r="B89" s="2">
        <v>2</v>
      </c>
      <c r="C89" s="7" t="s">
        <v>774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53"/>
        <v>20</v>
      </c>
      <c r="I89" s="45">
        <f>IF(D89&lt;&gt;"",(VLOOKUP(D89,part_details,4,FALSE)+VLOOKUP(D89,part_details,5,FALSE)+VLOOKUP(D89,part_details,6,FALSE))*'Multi-level BOM'!E89,"")</f>
        <v>1.8508199999999999</v>
      </c>
      <c r="J89" s="4">
        <f t="shared" si="15"/>
        <v>1</v>
      </c>
      <c r="K89" s="4">
        <f t="shared" si="16"/>
        <v>1</v>
      </c>
      <c r="L89" s="4">
        <f t="shared" si="17"/>
        <v>20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S89" s="4">
        <f t="shared" si="24"/>
        <v>1</v>
      </c>
      <c r="U89" s="3">
        <f t="shared" si="51"/>
        <v>0</v>
      </c>
      <c r="V89" s="1" t="str">
        <f t="shared" si="49"/>
        <v/>
      </c>
    </row>
    <row r="90" spans="1:22" x14ac:dyDescent="0.25">
      <c r="A90" s="2">
        <v>87</v>
      </c>
      <c r="B90" s="2">
        <v>2</v>
      </c>
      <c r="C90" s="7" t="s">
        <v>780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53"/>
        <v>20</v>
      </c>
      <c r="I90" s="45">
        <f>IF(D90&lt;&gt;"",(VLOOKUP(D90,part_details,4,FALSE)+VLOOKUP(D90,part_details,5,FALSE)+VLOOKUP(D90,part_details,6,FALSE))*'Multi-level BOM'!E90,"")</f>
        <v>0.22000000000000003</v>
      </c>
      <c r="J90" s="4">
        <f t="shared" si="15"/>
        <v>1</v>
      </c>
      <c r="K90" s="4">
        <f t="shared" si="16"/>
        <v>1</v>
      </c>
      <c r="L90" s="4">
        <f t="shared" si="17"/>
        <v>20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S90" s="4">
        <f t="shared" si="24"/>
        <v>1</v>
      </c>
      <c r="U90" s="3">
        <f t="shared" si="51"/>
        <v>0</v>
      </c>
      <c r="V90" s="1" t="str">
        <f t="shared" si="49"/>
        <v/>
      </c>
    </row>
    <row r="91" spans="1:22" x14ac:dyDescent="0.25">
      <c r="A91" s="2">
        <v>88</v>
      </c>
      <c r="B91" s="2">
        <v>2</v>
      </c>
      <c r="C91" s="7" t="s">
        <v>781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53"/>
        <v>20</v>
      </c>
      <c r="I91" s="45">
        <f>IF(D91&lt;&gt;"",(VLOOKUP(D91,part_details,4,FALSE)+VLOOKUP(D91,part_details,5,FALSE)+VLOOKUP(D91,part_details,6,FALSE))*'Multi-level BOM'!E91,"")</f>
        <v>0.6379999999999999</v>
      </c>
      <c r="J91" s="4">
        <f t="shared" si="15"/>
        <v>1</v>
      </c>
      <c r="K91" s="4">
        <f t="shared" si="16"/>
        <v>1</v>
      </c>
      <c r="L91" s="4">
        <f t="shared" si="17"/>
        <v>20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  <c r="R91" s="4">
        <f t="shared" si="23"/>
        <v>1</v>
      </c>
      <c r="S91" s="4">
        <f t="shared" si="24"/>
        <v>1</v>
      </c>
      <c r="U91" s="3">
        <f t="shared" si="51"/>
        <v>0</v>
      </c>
      <c r="V91" s="1" t="str">
        <f t="shared" si="49"/>
        <v/>
      </c>
    </row>
    <row r="92" spans="1:22" x14ac:dyDescent="0.25">
      <c r="A92" s="2">
        <v>89</v>
      </c>
      <c r="C92" s="7"/>
      <c r="I92" s="45"/>
      <c r="J92" s="4">
        <f t="shared" si="15"/>
        <v>1</v>
      </c>
      <c r="K92" s="4">
        <f t="shared" si="16"/>
        <v>1</v>
      </c>
      <c r="L92" s="4">
        <f t="shared" si="17"/>
        <v>20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  <c r="R92" s="4">
        <f t="shared" si="23"/>
        <v>1</v>
      </c>
      <c r="S92" s="4">
        <f t="shared" si="24"/>
        <v>1</v>
      </c>
      <c r="U92" s="3">
        <f t="shared" si="51"/>
        <v>0</v>
      </c>
      <c r="V92" s="1" t="str">
        <f t="shared" si="49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 t="shared" si="47"/>
        <v>1</v>
      </c>
      <c r="I93" s="45">
        <f>H93*SUM(I94:I96,I100)</f>
        <v>363.30688769230767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  <c r="R93" s="4">
        <f t="shared" si="23"/>
        <v>1</v>
      </c>
      <c r="S93" s="4">
        <f t="shared" si="24"/>
        <v>1</v>
      </c>
      <c r="U93" s="3">
        <f t="shared" si="51"/>
        <v>0</v>
      </c>
      <c r="V93" s="1" t="str">
        <f t="shared" si="49"/>
        <v/>
      </c>
    </row>
    <row r="94" spans="1:22" x14ac:dyDescent="0.25">
      <c r="A94" s="2">
        <v>91</v>
      </c>
      <c r="B94" s="2">
        <v>2</v>
      </c>
      <c r="C94" s="7" t="s">
        <v>695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15"/>
        <v>1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  <c r="R94" s="4">
        <f t="shared" si="23"/>
        <v>1</v>
      </c>
      <c r="S94" s="4">
        <f t="shared" si="24"/>
        <v>1</v>
      </c>
      <c r="U94" s="3">
        <f t="shared" si="51"/>
        <v>0</v>
      </c>
      <c r="V94" s="1" t="str">
        <f t="shared" si="49"/>
        <v/>
      </c>
    </row>
    <row r="95" spans="1:22" x14ac:dyDescent="0.25">
      <c r="A95" s="2">
        <v>92</v>
      </c>
      <c r="B95" s="2">
        <v>2</v>
      </c>
      <c r="C95" s="7" t="s">
        <v>696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145.7236</v>
      </c>
      <c r="J95" s="4">
        <f t="shared" si="15"/>
        <v>1</v>
      </c>
      <c r="K95" s="4">
        <f t="shared" si="16"/>
        <v>1</v>
      </c>
      <c r="L95" s="4">
        <f t="shared" si="17"/>
        <v>3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  <c r="R95" s="4">
        <f t="shared" si="23"/>
        <v>1</v>
      </c>
      <c r="S95" s="4">
        <f t="shared" si="24"/>
        <v>1</v>
      </c>
      <c r="U95" s="3">
        <f t="shared" si="51"/>
        <v>0</v>
      </c>
      <c r="V95" s="1" t="str">
        <f t="shared" si="49"/>
        <v/>
      </c>
    </row>
    <row r="96" spans="1:22" x14ac:dyDescent="0.25">
      <c r="A96" s="2">
        <v>93</v>
      </c>
      <c r="B96" s="2">
        <v>2</v>
      </c>
      <c r="C96" s="7" t="s">
        <v>994</v>
      </c>
      <c r="D96" s="2" t="s">
        <v>21</v>
      </c>
      <c r="E96" s="2">
        <v>6</v>
      </c>
      <c r="F96" s="2" t="s">
        <v>938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3.9400000000000004</v>
      </c>
      <c r="J96" s="4">
        <f t="shared" si="15"/>
        <v>1</v>
      </c>
      <c r="K96" s="4">
        <f t="shared" si="16"/>
        <v>1</v>
      </c>
      <c r="L96" s="4">
        <f t="shared" si="17"/>
        <v>6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  <c r="R96" s="4">
        <f t="shared" si="23"/>
        <v>1</v>
      </c>
      <c r="S96" s="4">
        <f t="shared" si="24"/>
        <v>1</v>
      </c>
      <c r="U96" s="3">
        <f t="shared" si="51"/>
        <v>3.9400000000000004</v>
      </c>
      <c r="V96" s="1" t="str">
        <f t="shared" si="49"/>
        <v>A-0015</v>
      </c>
    </row>
    <row r="97" spans="1:22" x14ac:dyDescent="0.25">
      <c r="A97" s="2">
        <v>94</v>
      </c>
      <c r="B97" s="2">
        <v>2</v>
      </c>
      <c r="C97" s="7" t="s">
        <v>995</v>
      </c>
      <c r="D97" s="2" t="s">
        <v>77</v>
      </c>
      <c r="E97" s="2">
        <v>6</v>
      </c>
      <c r="F97" s="2" t="s">
        <v>938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>IF($B97="",J95,
    IF(J$3=$B97,$E97,
       IF(J$3&lt;$B97,J95,
           1
)))</f>
        <v>1</v>
      </c>
      <c r="K97" s="4">
        <f>IF($B97="",K95,
    IF(K$3=$B97,$E97,
       IF(K$3&lt;$B97,K95,
           1
)))</f>
        <v>1</v>
      </c>
      <c r="L97" s="4">
        <f>IF($B97="",L95,
    IF(L$3=$B97,$E97,
       IF(L$3&lt;$B97,L95,
           1
)))</f>
        <v>6</v>
      </c>
      <c r="M97" s="4">
        <f>IF($B97="",M95,
    IF(M$3=$B97,$E97,
       IF(M$3&lt;$B97,M95,
           1
)))</f>
        <v>1</v>
      </c>
      <c r="N97" s="4">
        <f>IF($B97="",N95,
    IF(N$3=$B97,$E97,
       IF(N$3&lt;$B97,N95,
           1
)))</f>
        <v>1</v>
      </c>
      <c r="O97" s="4">
        <f>IF($B97="",O95,
    IF(O$3=$B97,$E97,
       IF(O$3&lt;$B97,O95,
           1
)))</f>
        <v>1</v>
      </c>
      <c r="P97" s="4">
        <f>IF($B97="",P95,
    IF(P$3=$B97,$E97,
       IF(P$3&lt;$B97,P95,
           1
)))</f>
        <v>1</v>
      </c>
      <c r="Q97" s="4">
        <f>IF($B97="",Q95,
    IF(Q$3=$B97,$E97,
       IF(Q$3&lt;$B97,Q95,
           1
)))</f>
        <v>1</v>
      </c>
      <c r="R97" s="4">
        <f>IF($B97="",R95,
    IF(R$3=$B97,$E97,
       IF(R$3&lt;$B97,R95,
           1
)))</f>
        <v>1</v>
      </c>
      <c r="S97" s="4">
        <f>IF($B97="",S95,
    IF(S$3=$B97,$E97,
       IF(S$3&lt;$B97,S95,
           1
)))</f>
        <v>1</v>
      </c>
      <c r="U97" s="3">
        <f t="shared" ref="U97" si="54">IF(F97="x",I97,0)</f>
        <v>0.48</v>
      </c>
      <c r="V97" s="1" t="str">
        <f t="shared" ref="V97" si="55">IF(F97="x",D97,"")</f>
        <v>A-0071</v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>IF($B98="",J96,
    IF(J$3=$B98,$E98,
       IF(J$3&lt;$B98,J96,
           1
)))</f>
        <v>1</v>
      </c>
      <c r="K98" s="4">
        <f>IF($B98="",K96,
    IF(K$3=$B98,$E98,
       IF(K$3&lt;$B98,K96,
           1
)))</f>
        <v>1</v>
      </c>
      <c r="L98" s="4">
        <f>IF($B98="",L96,
    IF(L$3=$B98,$E98,
       IF(L$3&lt;$B98,L96,
           1
)))</f>
        <v>6</v>
      </c>
      <c r="M98" s="4">
        <f>IF($B98="",M96,
    IF(M$3=$B98,$E98,
       IF(M$3&lt;$B98,M96,
           1
)))</f>
        <v>1</v>
      </c>
      <c r="N98" s="4">
        <f>IF($B98="",N96,
    IF(N$3=$B98,$E98,
       IF(N$3&lt;$B98,N96,
           1
)))</f>
        <v>1</v>
      </c>
      <c r="O98" s="4">
        <f>IF($B98="",O96,
    IF(O$3=$B98,$E98,
       IF(O$3&lt;$B98,O96,
           1
)))</f>
        <v>1</v>
      </c>
      <c r="P98" s="4">
        <f>IF($B98="",P96,
    IF(P$3=$B98,$E98,
       IF(P$3&lt;$B98,P96,
           1
)))</f>
        <v>1</v>
      </c>
      <c r="Q98" s="4">
        <f>IF($B98="",Q96,
    IF(Q$3=$B98,$E98,
       IF(Q$3&lt;$B98,Q96,
           1
)))</f>
        <v>1</v>
      </c>
      <c r="R98" s="4">
        <f>IF($B98="",R96,
    IF(R$3=$B98,$E98,
       IF(R$3&lt;$B98,R96,
           1
)))</f>
        <v>1</v>
      </c>
      <c r="S98" s="4">
        <f>IF($B98="",S96,
    IF(S$3=$B98,$E98,
       IF(S$3&lt;$B98,S96,
           1
)))</f>
        <v>1</v>
      </c>
      <c r="U98" s="3">
        <f t="shared" si="51"/>
        <v>0</v>
      </c>
      <c r="V98" s="1" t="str">
        <f t="shared" si="49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56">IF($B99="",J98,
    IF(J$3=$B99,$E99,
       IF(J$3&lt;$B99,J98,
           1
)))</f>
        <v>1</v>
      </c>
      <c r="K99" s="4">
        <f t="shared" si="56"/>
        <v>1</v>
      </c>
      <c r="L99" s="4">
        <f t="shared" si="56"/>
        <v>6</v>
      </c>
      <c r="M99" s="4">
        <f t="shared" si="56"/>
        <v>1</v>
      </c>
      <c r="N99" s="4">
        <f t="shared" si="56"/>
        <v>1</v>
      </c>
      <c r="O99" s="4">
        <f t="shared" si="56"/>
        <v>1</v>
      </c>
      <c r="P99" s="4">
        <f t="shared" si="56"/>
        <v>1</v>
      </c>
      <c r="Q99" s="4">
        <f t="shared" si="56"/>
        <v>1</v>
      </c>
      <c r="R99" s="4">
        <f t="shared" si="56"/>
        <v>1</v>
      </c>
      <c r="S99" s="4">
        <f t="shared" si="56"/>
        <v>1</v>
      </c>
      <c r="U99" s="3">
        <f t="shared" si="51"/>
        <v>0</v>
      </c>
      <c r="V99" s="1" t="str">
        <f t="shared" si="49"/>
        <v/>
      </c>
    </row>
    <row r="100" spans="1:22" x14ac:dyDescent="0.25">
      <c r="A100" s="2">
        <v>97</v>
      </c>
      <c r="B100" s="2">
        <v>2</v>
      </c>
      <c r="C100" s="7" t="s">
        <v>906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117.20828769230769</v>
      </c>
      <c r="J100" s="4">
        <f t="shared" si="56"/>
        <v>1</v>
      </c>
      <c r="K100" s="4">
        <f t="shared" si="56"/>
        <v>1</v>
      </c>
      <c r="L100" s="4">
        <f t="shared" si="56"/>
        <v>0</v>
      </c>
      <c r="M100" s="4">
        <f t="shared" si="56"/>
        <v>1</v>
      </c>
      <c r="N100" s="4">
        <f t="shared" si="56"/>
        <v>1</v>
      </c>
      <c r="O100" s="4">
        <f t="shared" si="56"/>
        <v>1</v>
      </c>
      <c r="P100" s="4">
        <f t="shared" si="56"/>
        <v>1</v>
      </c>
      <c r="Q100" s="4">
        <f t="shared" si="56"/>
        <v>1</v>
      </c>
      <c r="R100" s="4">
        <f t="shared" si="56"/>
        <v>1</v>
      </c>
      <c r="S100" s="4">
        <f t="shared" si="56"/>
        <v>1</v>
      </c>
      <c r="U100" s="3">
        <f t="shared" si="51"/>
        <v>0</v>
      </c>
      <c r="V100" s="1" t="str">
        <f t="shared" si="49"/>
        <v/>
      </c>
    </row>
    <row r="101" spans="1:22" x14ac:dyDescent="0.25">
      <c r="A101" s="2">
        <v>98</v>
      </c>
      <c r="B101" s="2">
        <v>3</v>
      </c>
      <c r="C101" s="7" t="s">
        <v>907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57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56"/>
        <v>1</v>
      </c>
      <c r="K101" s="4">
        <f t="shared" si="56"/>
        <v>1</v>
      </c>
      <c r="L101" s="4">
        <f t="shared" si="56"/>
        <v>0</v>
      </c>
      <c r="M101" s="4">
        <f t="shared" si="56"/>
        <v>1</v>
      </c>
      <c r="N101" s="4">
        <f t="shared" si="56"/>
        <v>1</v>
      </c>
      <c r="O101" s="4">
        <f t="shared" si="56"/>
        <v>1</v>
      </c>
      <c r="P101" s="4">
        <f t="shared" si="56"/>
        <v>1</v>
      </c>
      <c r="Q101" s="4">
        <f t="shared" si="56"/>
        <v>1</v>
      </c>
      <c r="R101" s="4">
        <f t="shared" si="56"/>
        <v>1</v>
      </c>
      <c r="S101" s="4">
        <f t="shared" si="56"/>
        <v>1</v>
      </c>
      <c r="U101" s="3">
        <f t="shared" si="51"/>
        <v>0</v>
      </c>
      <c r="V101" s="1" t="str">
        <f t="shared" si="49"/>
        <v/>
      </c>
    </row>
    <row r="102" spans="1:22" x14ac:dyDescent="0.25">
      <c r="A102" s="2">
        <v>99</v>
      </c>
      <c r="B102" s="2">
        <v>3</v>
      </c>
      <c r="C102" s="7" t="s">
        <v>908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57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58">IF($B102="",J101,
    IF(J$3=$B102,$E102,
       IF(J$3&lt;$B102,J101,
           1
)))</f>
        <v>1</v>
      </c>
      <c r="K102" s="4">
        <f t="shared" si="58"/>
        <v>1</v>
      </c>
      <c r="L102" s="4">
        <f t="shared" si="58"/>
        <v>0</v>
      </c>
      <c r="M102" s="4">
        <f t="shared" si="58"/>
        <v>3</v>
      </c>
      <c r="N102" s="4">
        <f t="shared" si="58"/>
        <v>1</v>
      </c>
      <c r="O102" s="4">
        <f t="shared" si="58"/>
        <v>1</v>
      </c>
      <c r="P102" s="4">
        <f t="shared" si="58"/>
        <v>1</v>
      </c>
      <c r="Q102" s="4">
        <f t="shared" si="58"/>
        <v>1</v>
      </c>
      <c r="R102" s="4">
        <f t="shared" si="58"/>
        <v>1</v>
      </c>
      <c r="S102" s="4">
        <f t="shared" si="58"/>
        <v>1</v>
      </c>
      <c r="U102" s="3">
        <f t="shared" si="51"/>
        <v>0</v>
      </c>
      <c r="V102" s="1" t="str">
        <f t="shared" si="49"/>
        <v/>
      </c>
    </row>
    <row r="103" spans="1:22" x14ac:dyDescent="0.25">
      <c r="A103" s="2">
        <v>100</v>
      </c>
      <c r="B103" s="2">
        <v>3</v>
      </c>
      <c r="C103" s="7" t="s">
        <v>913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57"/>
        <v>0</v>
      </c>
      <c r="I103" s="44">
        <f>IF(D103&lt;&gt;"",(VLOOKUP(D103,part_details,4,FALSE)+VLOOKUP(D103,part_details,5,FALSE)+VLOOKUP(D103,part_details,6,FALSE))*'Multi-level BOM'!E103,"")</f>
        <v>0.72</v>
      </c>
      <c r="J103" s="4">
        <f t="shared" si="58"/>
        <v>1</v>
      </c>
      <c r="K103" s="4">
        <f t="shared" si="58"/>
        <v>1</v>
      </c>
      <c r="L103" s="4">
        <f t="shared" si="58"/>
        <v>0</v>
      </c>
      <c r="M103" s="4">
        <f t="shared" si="58"/>
        <v>6</v>
      </c>
      <c r="N103" s="4">
        <f t="shared" si="58"/>
        <v>1</v>
      </c>
      <c r="O103" s="4">
        <f t="shared" si="58"/>
        <v>1</v>
      </c>
      <c r="P103" s="4">
        <f t="shared" si="58"/>
        <v>1</v>
      </c>
      <c r="Q103" s="4">
        <f t="shared" si="58"/>
        <v>1</v>
      </c>
      <c r="R103" s="4">
        <f t="shared" si="58"/>
        <v>1</v>
      </c>
      <c r="S103" s="4">
        <f t="shared" si="58"/>
        <v>1</v>
      </c>
      <c r="U103" s="3">
        <f t="shared" si="51"/>
        <v>0</v>
      </c>
      <c r="V103" s="1" t="str">
        <f t="shared" si="49"/>
        <v/>
      </c>
    </row>
    <row r="104" spans="1:22" x14ac:dyDescent="0.25">
      <c r="A104" s="2">
        <v>101</v>
      </c>
      <c r="B104" s="2">
        <v>3</v>
      </c>
      <c r="C104" s="7" t="s">
        <v>914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57"/>
        <v>0</v>
      </c>
      <c r="I104" s="44">
        <f>IF(D104&lt;&gt;"",(VLOOKUP(D104,part_details,4,FALSE)+VLOOKUP(D104,part_details,5,FALSE)+VLOOKUP(D104,part_details,6,FALSE))*'Multi-level BOM'!E104,"")</f>
        <v>0.1062</v>
      </c>
      <c r="J104" s="4">
        <f t="shared" si="58"/>
        <v>1</v>
      </c>
      <c r="K104" s="4">
        <f t="shared" si="58"/>
        <v>1</v>
      </c>
      <c r="L104" s="4">
        <f t="shared" si="58"/>
        <v>0</v>
      </c>
      <c r="M104" s="4">
        <f t="shared" si="58"/>
        <v>6</v>
      </c>
      <c r="N104" s="4">
        <f t="shared" si="58"/>
        <v>1</v>
      </c>
      <c r="O104" s="4">
        <f t="shared" si="58"/>
        <v>1</v>
      </c>
      <c r="P104" s="4">
        <f t="shared" si="58"/>
        <v>1</v>
      </c>
      <c r="Q104" s="4">
        <f t="shared" si="58"/>
        <v>1</v>
      </c>
      <c r="R104" s="4">
        <f t="shared" si="58"/>
        <v>1</v>
      </c>
      <c r="S104" s="4">
        <f t="shared" si="58"/>
        <v>1</v>
      </c>
      <c r="U104" s="3">
        <f t="shared" si="51"/>
        <v>0</v>
      </c>
      <c r="V104" s="1" t="str">
        <f t="shared" si="49"/>
        <v/>
      </c>
    </row>
    <row r="105" spans="1:22" x14ac:dyDescent="0.25">
      <c r="A105" s="2">
        <v>102</v>
      </c>
      <c r="B105" s="2">
        <v>3</v>
      </c>
      <c r="C105" s="7" t="s">
        <v>915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57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58"/>
        <v>1</v>
      </c>
      <c r="K105" s="4">
        <f t="shared" si="58"/>
        <v>1</v>
      </c>
      <c r="L105" s="4">
        <f t="shared" si="58"/>
        <v>0</v>
      </c>
      <c r="M105" s="4">
        <f t="shared" si="58"/>
        <v>6</v>
      </c>
      <c r="N105" s="4">
        <f t="shared" si="58"/>
        <v>1</v>
      </c>
      <c r="O105" s="4">
        <f t="shared" si="58"/>
        <v>1</v>
      </c>
      <c r="P105" s="4">
        <f t="shared" si="58"/>
        <v>1</v>
      </c>
      <c r="Q105" s="4">
        <f t="shared" si="58"/>
        <v>1</v>
      </c>
      <c r="R105" s="4">
        <f t="shared" si="58"/>
        <v>1</v>
      </c>
      <c r="S105" s="4">
        <f t="shared" si="58"/>
        <v>1</v>
      </c>
      <c r="U105" s="3">
        <f t="shared" si="51"/>
        <v>0</v>
      </c>
      <c r="V105" s="1" t="str">
        <f t="shared" si="49"/>
        <v/>
      </c>
    </row>
    <row r="106" spans="1:22" x14ac:dyDescent="0.25">
      <c r="A106" s="2">
        <v>103</v>
      </c>
      <c r="B106" s="2">
        <v>3</v>
      </c>
      <c r="C106" s="7" t="s">
        <v>911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57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58"/>
        <v>1</v>
      </c>
      <c r="K106" s="4">
        <f t="shared" si="58"/>
        <v>1</v>
      </c>
      <c r="L106" s="4">
        <f t="shared" si="58"/>
        <v>0</v>
      </c>
      <c r="M106" s="4">
        <f t="shared" si="58"/>
        <v>1</v>
      </c>
      <c r="N106" s="4">
        <f t="shared" si="58"/>
        <v>1</v>
      </c>
      <c r="O106" s="4">
        <f t="shared" si="58"/>
        <v>1</v>
      </c>
      <c r="P106" s="4">
        <f t="shared" si="58"/>
        <v>1</v>
      </c>
      <c r="Q106" s="4">
        <f t="shared" si="58"/>
        <v>1</v>
      </c>
      <c r="R106" s="4">
        <f t="shared" si="58"/>
        <v>1</v>
      </c>
      <c r="S106" s="4">
        <f t="shared" si="58"/>
        <v>1</v>
      </c>
      <c r="U106" s="3">
        <f t="shared" si="51"/>
        <v>0</v>
      </c>
      <c r="V106" s="1" t="str">
        <f t="shared" si="49"/>
        <v/>
      </c>
    </row>
    <row r="107" spans="1:22" x14ac:dyDescent="0.25">
      <c r="A107" s="2">
        <v>104</v>
      </c>
      <c r="B107" s="2">
        <v>3</v>
      </c>
      <c r="C107" s="7" t="s">
        <v>908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57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58"/>
        <v>1</v>
      </c>
      <c r="K107" s="4">
        <f t="shared" si="58"/>
        <v>1</v>
      </c>
      <c r="L107" s="4">
        <f t="shared" si="58"/>
        <v>0</v>
      </c>
      <c r="M107" s="4">
        <f t="shared" si="58"/>
        <v>3</v>
      </c>
      <c r="N107" s="4">
        <f t="shared" si="58"/>
        <v>1</v>
      </c>
      <c r="O107" s="4">
        <f t="shared" si="58"/>
        <v>1</v>
      </c>
      <c r="P107" s="4">
        <f t="shared" si="58"/>
        <v>1</v>
      </c>
      <c r="Q107" s="4">
        <f t="shared" si="58"/>
        <v>1</v>
      </c>
      <c r="R107" s="4">
        <f t="shared" si="58"/>
        <v>1</v>
      </c>
      <c r="S107" s="4">
        <f t="shared" si="58"/>
        <v>1</v>
      </c>
      <c r="U107" s="3">
        <f t="shared" si="51"/>
        <v>0</v>
      </c>
      <c r="V107" s="1" t="str">
        <f t="shared" si="49"/>
        <v/>
      </c>
    </row>
    <row r="108" spans="1:22" x14ac:dyDescent="0.25">
      <c r="A108" s="2">
        <v>105</v>
      </c>
      <c r="B108" s="2">
        <v>3</v>
      </c>
      <c r="C108" s="7" t="s">
        <v>913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57"/>
        <v>0</v>
      </c>
      <c r="I108" s="44">
        <f>IF(D108&lt;&gt;"",(VLOOKUP(D108,part_details,4,FALSE)+VLOOKUP(D108,part_details,5,FALSE)+VLOOKUP(D108,part_details,6,FALSE))*'Multi-level BOM'!E108,"")</f>
        <v>0.72</v>
      </c>
      <c r="J108" s="4">
        <f t="shared" si="58"/>
        <v>1</v>
      </c>
      <c r="K108" s="4">
        <f t="shared" si="58"/>
        <v>1</v>
      </c>
      <c r="L108" s="4">
        <f t="shared" si="58"/>
        <v>0</v>
      </c>
      <c r="M108" s="4">
        <f t="shared" si="58"/>
        <v>6</v>
      </c>
      <c r="N108" s="4">
        <f t="shared" si="58"/>
        <v>1</v>
      </c>
      <c r="O108" s="4">
        <f t="shared" si="58"/>
        <v>1</v>
      </c>
      <c r="P108" s="4">
        <f t="shared" si="58"/>
        <v>1</v>
      </c>
      <c r="Q108" s="4">
        <f t="shared" si="58"/>
        <v>1</v>
      </c>
      <c r="R108" s="4">
        <f t="shared" si="58"/>
        <v>1</v>
      </c>
      <c r="S108" s="4">
        <f t="shared" si="58"/>
        <v>1</v>
      </c>
      <c r="U108" s="3">
        <f t="shared" si="51"/>
        <v>0</v>
      </c>
      <c r="V108" s="1" t="str">
        <f t="shared" si="49"/>
        <v/>
      </c>
    </row>
    <row r="109" spans="1:22" x14ac:dyDescent="0.25">
      <c r="A109" s="2">
        <v>106</v>
      </c>
      <c r="B109" s="2">
        <v>3</v>
      </c>
      <c r="C109" s="7" t="s">
        <v>914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57"/>
        <v>0</v>
      </c>
      <c r="I109" s="44">
        <f>IF(D109&lt;&gt;"",(VLOOKUP(D109,part_details,4,FALSE)+VLOOKUP(D109,part_details,5,FALSE)+VLOOKUP(D109,part_details,6,FALSE))*'Multi-level BOM'!E109,"")</f>
        <v>0.1062</v>
      </c>
      <c r="J109" s="4">
        <f t="shared" si="58"/>
        <v>1</v>
      </c>
      <c r="K109" s="4">
        <f t="shared" si="58"/>
        <v>1</v>
      </c>
      <c r="L109" s="4">
        <f t="shared" si="58"/>
        <v>0</v>
      </c>
      <c r="M109" s="4">
        <f t="shared" si="58"/>
        <v>6</v>
      </c>
      <c r="N109" s="4">
        <f t="shared" si="58"/>
        <v>1</v>
      </c>
      <c r="O109" s="4">
        <f t="shared" si="58"/>
        <v>1</v>
      </c>
      <c r="P109" s="4">
        <f t="shared" si="58"/>
        <v>1</v>
      </c>
      <c r="Q109" s="4">
        <f t="shared" si="58"/>
        <v>1</v>
      </c>
      <c r="R109" s="4">
        <f t="shared" si="58"/>
        <v>1</v>
      </c>
      <c r="S109" s="4">
        <f t="shared" si="58"/>
        <v>1</v>
      </c>
      <c r="U109" s="3">
        <f t="shared" si="51"/>
        <v>0</v>
      </c>
      <c r="V109" s="1" t="str">
        <f t="shared" si="49"/>
        <v/>
      </c>
    </row>
    <row r="110" spans="1:22" x14ac:dyDescent="0.25">
      <c r="A110" s="2">
        <v>107</v>
      </c>
      <c r="B110" s="2">
        <v>3</v>
      </c>
      <c r="C110" s="7" t="s">
        <v>915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57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58"/>
        <v>1</v>
      </c>
      <c r="K110" s="4">
        <f t="shared" si="58"/>
        <v>1</v>
      </c>
      <c r="L110" s="4">
        <f t="shared" si="58"/>
        <v>0</v>
      </c>
      <c r="M110" s="4">
        <f t="shared" si="58"/>
        <v>6</v>
      </c>
      <c r="N110" s="4">
        <f t="shared" si="58"/>
        <v>1</v>
      </c>
      <c r="O110" s="4">
        <f t="shared" si="58"/>
        <v>1</v>
      </c>
      <c r="P110" s="4">
        <f t="shared" si="58"/>
        <v>1</v>
      </c>
      <c r="Q110" s="4">
        <f t="shared" si="58"/>
        <v>1</v>
      </c>
      <c r="R110" s="4">
        <f t="shared" si="58"/>
        <v>1</v>
      </c>
      <c r="S110" s="4">
        <f t="shared" si="58"/>
        <v>1</v>
      </c>
      <c r="U110" s="3">
        <f t="shared" si="51"/>
        <v>0</v>
      </c>
      <c r="V110" s="1" t="str">
        <f t="shared" si="49"/>
        <v/>
      </c>
    </row>
    <row r="111" spans="1:22" x14ac:dyDescent="0.25">
      <c r="A111" s="2">
        <v>108</v>
      </c>
      <c r="B111" s="2">
        <v>3</v>
      </c>
      <c r="C111" s="7" t="s">
        <v>912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57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58"/>
        <v>1</v>
      </c>
      <c r="K111" s="4">
        <f t="shared" si="58"/>
        <v>1</v>
      </c>
      <c r="L111" s="4">
        <f t="shared" si="58"/>
        <v>0</v>
      </c>
      <c r="M111" s="4">
        <f t="shared" si="58"/>
        <v>1</v>
      </c>
      <c r="N111" s="4">
        <f t="shared" si="58"/>
        <v>1</v>
      </c>
      <c r="O111" s="4">
        <f t="shared" si="58"/>
        <v>1</v>
      </c>
      <c r="P111" s="4">
        <f t="shared" si="58"/>
        <v>1</v>
      </c>
      <c r="Q111" s="4">
        <f t="shared" si="58"/>
        <v>1</v>
      </c>
      <c r="R111" s="4">
        <f t="shared" si="58"/>
        <v>1</v>
      </c>
      <c r="S111" s="4">
        <f t="shared" si="58"/>
        <v>1</v>
      </c>
      <c r="U111" s="3">
        <f t="shared" si="51"/>
        <v>0</v>
      </c>
      <c r="V111" s="1" t="str">
        <f t="shared" si="49"/>
        <v/>
      </c>
    </row>
    <row r="112" spans="1:22" x14ac:dyDescent="0.25">
      <c r="A112" s="2">
        <v>109</v>
      </c>
      <c r="B112" s="2">
        <v>3</v>
      </c>
      <c r="C112" s="7" t="s">
        <v>908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57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58"/>
        <v>1</v>
      </c>
      <c r="K112" s="4">
        <f t="shared" si="58"/>
        <v>1</v>
      </c>
      <c r="L112" s="4">
        <f t="shared" si="58"/>
        <v>0</v>
      </c>
      <c r="M112" s="4">
        <f t="shared" si="58"/>
        <v>3</v>
      </c>
      <c r="N112" s="4">
        <f t="shared" si="58"/>
        <v>1</v>
      </c>
      <c r="O112" s="4">
        <f t="shared" si="58"/>
        <v>1</v>
      </c>
      <c r="P112" s="4">
        <f t="shared" si="58"/>
        <v>1</v>
      </c>
      <c r="Q112" s="4">
        <f t="shared" si="58"/>
        <v>1</v>
      </c>
      <c r="R112" s="4">
        <f t="shared" si="58"/>
        <v>1</v>
      </c>
      <c r="S112" s="4">
        <f t="shared" si="58"/>
        <v>1</v>
      </c>
      <c r="U112" s="3">
        <f t="shared" si="51"/>
        <v>0</v>
      </c>
      <c r="V112" s="1" t="str">
        <f t="shared" si="49"/>
        <v/>
      </c>
    </row>
    <row r="113" spans="1:22" x14ac:dyDescent="0.25">
      <c r="A113" s="2">
        <v>110</v>
      </c>
      <c r="B113" s="2">
        <v>3</v>
      </c>
      <c r="C113" s="7" t="s">
        <v>913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57"/>
        <v>0</v>
      </c>
      <c r="I113" s="44">
        <f>IF(D113&lt;&gt;"",(VLOOKUP(D113,part_details,4,FALSE)+VLOOKUP(D113,part_details,5,FALSE)+VLOOKUP(D113,part_details,6,FALSE))*'Multi-level BOM'!E113,"")</f>
        <v>0.72</v>
      </c>
      <c r="J113" s="4">
        <f t="shared" si="58"/>
        <v>1</v>
      </c>
      <c r="K113" s="4">
        <f t="shared" si="58"/>
        <v>1</v>
      </c>
      <c r="L113" s="4">
        <f t="shared" si="58"/>
        <v>0</v>
      </c>
      <c r="M113" s="4">
        <f t="shared" si="58"/>
        <v>6</v>
      </c>
      <c r="N113" s="4">
        <f t="shared" si="58"/>
        <v>1</v>
      </c>
      <c r="O113" s="4">
        <f t="shared" si="58"/>
        <v>1</v>
      </c>
      <c r="P113" s="4">
        <f t="shared" si="58"/>
        <v>1</v>
      </c>
      <c r="Q113" s="4">
        <f t="shared" si="58"/>
        <v>1</v>
      </c>
      <c r="R113" s="4">
        <f t="shared" si="58"/>
        <v>1</v>
      </c>
      <c r="S113" s="4">
        <f t="shared" si="58"/>
        <v>1</v>
      </c>
      <c r="U113" s="3">
        <f t="shared" si="51"/>
        <v>0</v>
      </c>
      <c r="V113" s="1" t="str">
        <f t="shared" si="49"/>
        <v/>
      </c>
    </row>
    <row r="114" spans="1:22" x14ac:dyDescent="0.25">
      <c r="A114" s="2">
        <v>111</v>
      </c>
      <c r="B114" s="2">
        <v>3</v>
      </c>
      <c r="C114" s="7" t="s">
        <v>914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57"/>
        <v>0</v>
      </c>
      <c r="I114" s="44">
        <f>IF(D114&lt;&gt;"",(VLOOKUP(D114,part_details,4,FALSE)+VLOOKUP(D114,part_details,5,FALSE)+VLOOKUP(D114,part_details,6,FALSE))*'Multi-level BOM'!E114,"")</f>
        <v>0.1062</v>
      </c>
      <c r="J114" s="4">
        <f t="shared" si="58"/>
        <v>1</v>
      </c>
      <c r="K114" s="4">
        <f t="shared" si="58"/>
        <v>1</v>
      </c>
      <c r="L114" s="4">
        <f t="shared" si="58"/>
        <v>0</v>
      </c>
      <c r="M114" s="4">
        <f t="shared" si="58"/>
        <v>6</v>
      </c>
      <c r="N114" s="4">
        <f t="shared" si="58"/>
        <v>1</v>
      </c>
      <c r="O114" s="4">
        <f t="shared" si="58"/>
        <v>1</v>
      </c>
      <c r="P114" s="4">
        <f t="shared" si="58"/>
        <v>1</v>
      </c>
      <c r="Q114" s="4">
        <f t="shared" si="58"/>
        <v>1</v>
      </c>
      <c r="R114" s="4">
        <f t="shared" si="58"/>
        <v>1</v>
      </c>
      <c r="S114" s="4">
        <f t="shared" si="58"/>
        <v>1</v>
      </c>
      <c r="U114" s="3">
        <f t="shared" si="51"/>
        <v>0</v>
      </c>
      <c r="V114" s="1" t="str">
        <f t="shared" si="49"/>
        <v/>
      </c>
    </row>
    <row r="115" spans="1:22" x14ac:dyDescent="0.25">
      <c r="A115" s="2">
        <v>112</v>
      </c>
      <c r="B115" s="2">
        <v>3</v>
      </c>
      <c r="C115" s="7" t="s">
        <v>915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57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59">IF($B115="",J114,
    IF(J$3=$B115,$E115,
       IF(J$3&lt;$B115,J114,
           1
)))</f>
        <v>1</v>
      </c>
      <c r="K115" s="4">
        <f t="shared" si="59"/>
        <v>1</v>
      </c>
      <c r="L115" s="4">
        <f t="shared" si="59"/>
        <v>0</v>
      </c>
      <c r="M115" s="4">
        <f t="shared" si="59"/>
        <v>6</v>
      </c>
      <c r="N115" s="4">
        <f t="shared" si="59"/>
        <v>1</v>
      </c>
      <c r="O115" s="4">
        <f t="shared" si="59"/>
        <v>1</v>
      </c>
      <c r="P115" s="4">
        <f t="shared" si="59"/>
        <v>1</v>
      </c>
      <c r="Q115" s="4">
        <f t="shared" si="59"/>
        <v>1</v>
      </c>
      <c r="R115" s="4">
        <f t="shared" si="59"/>
        <v>1</v>
      </c>
      <c r="S115" s="4">
        <f t="shared" si="59"/>
        <v>1</v>
      </c>
      <c r="U115" s="3">
        <f t="shared" si="51"/>
        <v>0</v>
      </c>
      <c r="V115" s="1" t="str">
        <f t="shared" si="49"/>
        <v/>
      </c>
    </row>
    <row r="116" spans="1:22" x14ac:dyDescent="0.25">
      <c r="A116" s="2">
        <v>113</v>
      </c>
      <c r="B116" s="2">
        <v>3</v>
      </c>
      <c r="C116" s="7" t="s">
        <v>917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57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59"/>
        <v>1</v>
      </c>
      <c r="K116" s="4">
        <f t="shared" si="59"/>
        <v>1</v>
      </c>
      <c r="L116" s="4">
        <f t="shared" si="59"/>
        <v>0</v>
      </c>
      <c r="M116" s="4">
        <f t="shared" si="59"/>
        <v>1</v>
      </c>
      <c r="N116" s="4">
        <f t="shared" si="59"/>
        <v>1</v>
      </c>
      <c r="O116" s="4">
        <f t="shared" si="59"/>
        <v>1</v>
      </c>
      <c r="P116" s="4">
        <f t="shared" si="59"/>
        <v>1</v>
      </c>
      <c r="Q116" s="4">
        <f t="shared" si="59"/>
        <v>1</v>
      </c>
      <c r="R116" s="4">
        <f t="shared" si="59"/>
        <v>1</v>
      </c>
      <c r="S116" s="4">
        <f t="shared" si="59"/>
        <v>1</v>
      </c>
      <c r="U116" s="3">
        <f t="shared" si="51"/>
        <v>0</v>
      </c>
      <c r="V116" s="1" t="str">
        <f t="shared" si="49"/>
        <v/>
      </c>
    </row>
    <row r="117" spans="1:22" x14ac:dyDescent="0.25">
      <c r="A117" s="2">
        <v>114</v>
      </c>
      <c r="B117" s="2">
        <v>3</v>
      </c>
      <c r="C117" s="7" t="s">
        <v>908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57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59"/>
        <v>1</v>
      </c>
      <c r="K117" s="4">
        <f t="shared" si="59"/>
        <v>1</v>
      </c>
      <c r="L117" s="4">
        <f t="shared" si="59"/>
        <v>0</v>
      </c>
      <c r="M117" s="4">
        <f t="shared" si="59"/>
        <v>2</v>
      </c>
      <c r="N117" s="4">
        <f t="shared" si="59"/>
        <v>1</v>
      </c>
      <c r="O117" s="4">
        <f t="shared" si="59"/>
        <v>1</v>
      </c>
      <c r="P117" s="4">
        <f t="shared" si="59"/>
        <v>1</v>
      </c>
      <c r="Q117" s="4">
        <f t="shared" si="59"/>
        <v>1</v>
      </c>
      <c r="R117" s="4">
        <f t="shared" si="59"/>
        <v>1</v>
      </c>
      <c r="S117" s="4">
        <f t="shared" si="59"/>
        <v>1</v>
      </c>
      <c r="U117" s="3">
        <f t="shared" si="51"/>
        <v>0</v>
      </c>
      <c r="V117" s="1" t="str">
        <f t="shared" si="49"/>
        <v/>
      </c>
    </row>
    <row r="118" spans="1:22" x14ac:dyDescent="0.25">
      <c r="A118" s="2">
        <v>115</v>
      </c>
      <c r="B118" s="2">
        <v>3</v>
      </c>
      <c r="C118" s="7" t="s">
        <v>916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57"/>
        <v>0</v>
      </c>
      <c r="I118" s="44">
        <f>IF(D118&lt;&gt;"",(VLOOKUP(D118,part_details,4,FALSE)+VLOOKUP(D118,part_details,5,FALSE)+VLOOKUP(D118,part_details,6,FALSE))*'Multi-level BOM'!E118,"")</f>
        <v>0.36</v>
      </c>
      <c r="J118" s="4">
        <f t="shared" si="59"/>
        <v>1</v>
      </c>
      <c r="K118" s="4">
        <f t="shared" si="59"/>
        <v>1</v>
      </c>
      <c r="L118" s="4">
        <f t="shared" si="59"/>
        <v>0</v>
      </c>
      <c r="M118" s="4">
        <f t="shared" si="59"/>
        <v>3</v>
      </c>
      <c r="N118" s="4">
        <f t="shared" si="59"/>
        <v>1</v>
      </c>
      <c r="O118" s="4">
        <f t="shared" si="59"/>
        <v>1</v>
      </c>
      <c r="P118" s="4">
        <f t="shared" si="59"/>
        <v>1</v>
      </c>
      <c r="Q118" s="4">
        <f t="shared" si="59"/>
        <v>1</v>
      </c>
      <c r="R118" s="4">
        <f t="shared" si="59"/>
        <v>1</v>
      </c>
      <c r="S118" s="4">
        <f t="shared" si="59"/>
        <v>1</v>
      </c>
      <c r="U118" s="3">
        <f t="shared" si="51"/>
        <v>0</v>
      </c>
      <c r="V118" s="1" t="str">
        <f t="shared" si="49"/>
        <v/>
      </c>
    </row>
    <row r="119" spans="1:22" x14ac:dyDescent="0.25">
      <c r="A119" s="2">
        <v>116</v>
      </c>
      <c r="B119" s="2">
        <v>3</v>
      </c>
      <c r="C119" s="7" t="s">
        <v>914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57"/>
        <v>0</v>
      </c>
      <c r="I119" s="44">
        <f>IF(D119&lt;&gt;"",(VLOOKUP(D119,part_details,4,FALSE)+VLOOKUP(D119,part_details,5,FALSE)+VLOOKUP(D119,part_details,6,FALSE))*'Multi-level BOM'!E119,"")</f>
        <v>5.3100000000000001E-2</v>
      </c>
      <c r="J119" s="4">
        <f t="shared" si="59"/>
        <v>1</v>
      </c>
      <c r="K119" s="4">
        <f t="shared" si="59"/>
        <v>1</v>
      </c>
      <c r="L119" s="4">
        <f t="shared" si="59"/>
        <v>0</v>
      </c>
      <c r="M119" s="4">
        <f t="shared" si="59"/>
        <v>3</v>
      </c>
      <c r="N119" s="4">
        <f t="shared" si="59"/>
        <v>1</v>
      </c>
      <c r="O119" s="4">
        <f t="shared" si="59"/>
        <v>1</v>
      </c>
      <c r="P119" s="4">
        <f t="shared" si="59"/>
        <v>1</v>
      </c>
      <c r="Q119" s="4">
        <f t="shared" si="59"/>
        <v>1</v>
      </c>
      <c r="R119" s="4">
        <f t="shared" si="59"/>
        <v>1</v>
      </c>
      <c r="S119" s="4">
        <f t="shared" si="59"/>
        <v>1</v>
      </c>
      <c r="U119" s="3">
        <f t="shared" si="51"/>
        <v>0</v>
      </c>
      <c r="V119" s="1" t="str">
        <f t="shared" si="49"/>
        <v/>
      </c>
    </row>
    <row r="120" spans="1:22" x14ac:dyDescent="0.25">
      <c r="A120" s="2">
        <v>117</v>
      </c>
      <c r="B120" s="2">
        <v>3</v>
      </c>
      <c r="C120" s="7" t="s">
        <v>915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57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59"/>
        <v>1</v>
      </c>
      <c r="K120" s="4">
        <f t="shared" si="59"/>
        <v>1</v>
      </c>
      <c r="L120" s="4">
        <f t="shared" si="59"/>
        <v>0</v>
      </c>
      <c r="M120" s="4">
        <f t="shared" si="59"/>
        <v>3</v>
      </c>
      <c r="N120" s="4">
        <f t="shared" si="59"/>
        <v>1</v>
      </c>
      <c r="O120" s="4">
        <f t="shared" si="59"/>
        <v>1</v>
      </c>
      <c r="P120" s="4">
        <f t="shared" si="59"/>
        <v>1</v>
      </c>
      <c r="Q120" s="4">
        <f t="shared" si="59"/>
        <v>1</v>
      </c>
      <c r="R120" s="4">
        <f t="shared" si="59"/>
        <v>1</v>
      </c>
      <c r="S120" s="4">
        <f t="shared" si="59"/>
        <v>1</v>
      </c>
      <c r="U120" s="3">
        <f t="shared" si="51"/>
        <v>0</v>
      </c>
      <c r="V120" s="1" t="str">
        <f t="shared" si="49"/>
        <v/>
      </c>
    </row>
    <row r="121" spans="1:22" x14ac:dyDescent="0.25">
      <c r="A121" s="2">
        <v>118</v>
      </c>
      <c r="B121" s="2">
        <v>3</v>
      </c>
      <c r="C121" s="7" t="s">
        <v>918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57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59"/>
        <v>1</v>
      </c>
      <c r="K121" s="4">
        <f t="shared" si="59"/>
        <v>1</v>
      </c>
      <c r="L121" s="4">
        <f t="shared" si="59"/>
        <v>0</v>
      </c>
      <c r="M121" s="4">
        <f t="shared" si="59"/>
        <v>1</v>
      </c>
      <c r="N121" s="4">
        <f t="shared" si="59"/>
        <v>1</v>
      </c>
      <c r="O121" s="4">
        <f t="shared" si="59"/>
        <v>1</v>
      </c>
      <c r="P121" s="4">
        <f t="shared" si="59"/>
        <v>1</v>
      </c>
      <c r="Q121" s="4">
        <f t="shared" si="59"/>
        <v>1</v>
      </c>
      <c r="R121" s="4">
        <f t="shared" si="59"/>
        <v>1</v>
      </c>
      <c r="S121" s="4">
        <f t="shared" si="59"/>
        <v>1</v>
      </c>
      <c r="U121" s="3">
        <f t="shared" si="51"/>
        <v>0</v>
      </c>
      <c r="V121" s="1" t="str">
        <f t="shared" si="49"/>
        <v/>
      </c>
    </row>
    <row r="122" spans="1:22" x14ac:dyDescent="0.25">
      <c r="A122" s="2">
        <v>119</v>
      </c>
      <c r="B122" s="2">
        <v>3</v>
      </c>
      <c r="C122" s="7" t="s">
        <v>908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57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59"/>
        <v>1</v>
      </c>
      <c r="K122" s="4">
        <f t="shared" si="59"/>
        <v>1</v>
      </c>
      <c r="L122" s="4">
        <f t="shared" si="59"/>
        <v>0</v>
      </c>
      <c r="M122" s="4">
        <f t="shared" si="59"/>
        <v>2</v>
      </c>
      <c r="N122" s="4">
        <f t="shared" si="59"/>
        <v>1</v>
      </c>
      <c r="O122" s="4">
        <f t="shared" si="59"/>
        <v>1</v>
      </c>
      <c r="P122" s="4">
        <f t="shared" si="59"/>
        <v>1</v>
      </c>
      <c r="Q122" s="4">
        <f t="shared" si="59"/>
        <v>1</v>
      </c>
      <c r="R122" s="4">
        <f t="shared" si="59"/>
        <v>1</v>
      </c>
      <c r="S122" s="4">
        <f t="shared" si="59"/>
        <v>1</v>
      </c>
      <c r="U122" s="3">
        <f t="shared" si="51"/>
        <v>0</v>
      </c>
      <c r="V122" s="1" t="str">
        <f t="shared" si="49"/>
        <v/>
      </c>
    </row>
    <row r="123" spans="1:22" x14ac:dyDescent="0.25">
      <c r="A123" s="2">
        <v>120</v>
      </c>
      <c r="B123" s="2">
        <v>3</v>
      </c>
      <c r="C123" s="7" t="s">
        <v>913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57"/>
        <v>0</v>
      </c>
      <c r="I123" s="44">
        <f>IF(D123&lt;&gt;"",(VLOOKUP(D123,part_details,4,FALSE)+VLOOKUP(D123,part_details,5,FALSE)+VLOOKUP(D123,part_details,6,FALSE))*'Multi-level BOM'!E123,"")</f>
        <v>0.36</v>
      </c>
      <c r="J123" s="4">
        <f t="shared" si="59"/>
        <v>1</v>
      </c>
      <c r="K123" s="4">
        <f t="shared" si="59"/>
        <v>1</v>
      </c>
      <c r="L123" s="4">
        <f t="shared" si="59"/>
        <v>0</v>
      </c>
      <c r="M123" s="4">
        <f t="shared" si="59"/>
        <v>3</v>
      </c>
      <c r="N123" s="4">
        <f t="shared" si="59"/>
        <v>1</v>
      </c>
      <c r="O123" s="4">
        <f t="shared" si="59"/>
        <v>1</v>
      </c>
      <c r="P123" s="4">
        <f t="shared" si="59"/>
        <v>1</v>
      </c>
      <c r="Q123" s="4">
        <f t="shared" si="59"/>
        <v>1</v>
      </c>
      <c r="R123" s="4">
        <f t="shared" si="59"/>
        <v>1</v>
      </c>
      <c r="S123" s="4">
        <f t="shared" si="59"/>
        <v>1</v>
      </c>
      <c r="U123" s="3">
        <f t="shared" si="51"/>
        <v>0</v>
      </c>
      <c r="V123" s="1" t="str">
        <f t="shared" si="49"/>
        <v/>
      </c>
    </row>
    <row r="124" spans="1:22" x14ac:dyDescent="0.25">
      <c r="A124" s="2">
        <v>121</v>
      </c>
      <c r="B124" s="2">
        <v>3</v>
      </c>
      <c r="C124" s="7" t="s">
        <v>914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57"/>
        <v>0</v>
      </c>
      <c r="I124" s="44">
        <f>IF(D124&lt;&gt;"",(VLOOKUP(D124,part_details,4,FALSE)+VLOOKUP(D124,part_details,5,FALSE)+VLOOKUP(D124,part_details,6,FALSE))*'Multi-level BOM'!E124,"")</f>
        <v>5.3100000000000001E-2</v>
      </c>
      <c r="J124" s="4">
        <f t="shared" si="59"/>
        <v>1</v>
      </c>
      <c r="K124" s="4">
        <f t="shared" si="59"/>
        <v>1</v>
      </c>
      <c r="L124" s="4">
        <f t="shared" si="59"/>
        <v>0</v>
      </c>
      <c r="M124" s="4">
        <f t="shared" si="59"/>
        <v>3</v>
      </c>
      <c r="N124" s="4">
        <f t="shared" si="59"/>
        <v>1</v>
      </c>
      <c r="O124" s="4">
        <f t="shared" si="59"/>
        <v>1</v>
      </c>
      <c r="P124" s="4">
        <f t="shared" si="59"/>
        <v>1</v>
      </c>
      <c r="Q124" s="4">
        <f t="shared" si="59"/>
        <v>1</v>
      </c>
      <c r="R124" s="4">
        <f t="shared" si="59"/>
        <v>1</v>
      </c>
      <c r="S124" s="4">
        <f t="shared" si="59"/>
        <v>1</v>
      </c>
      <c r="U124" s="3">
        <f t="shared" si="51"/>
        <v>0</v>
      </c>
      <c r="V124" s="1" t="str">
        <f t="shared" si="49"/>
        <v/>
      </c>
    </row>
    <row r="125" spans="1:22" x14ac:dyDescent="0.25">
      <c r="A125" s="2">
        <v>122</v>
      </c>
      <c r="B125" s="2">
        <v>3</v>
      </c>
      <c r="C125" s="7" t="s">
        <v>915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57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59"/>
        <v>1</v>
      </c>
      <c r="K125" s="4">
        <f t="shared" si="59"/>
        <v>1</v>
      </c>
      <c r="L125" s="4">
        <f t="shared" si="59"/>
        <v>0</v>
      </c>
      <c r="M125" s="4">
        <f t="shared" si="59"/>
        <v>3</v>
      </c>
      <c r="N125" s="4">
        <f t="shared" si="59"/>
        <v>1</v>
      </c>
      <c r="O125" s="4">
        <f t="shared" si="59"/>
        <v>1</v>
      </c>
      <c r="P125" s="4">
        <f t="shared" si="59"/>
        <v>1</v>
      </c>
      <c r="Q125" s="4">
        <f t="shared" si="59"/>
        <v>1</v>
      </c>
      <c r="R125" s="4">
        <f t="shared" si="59"/>
        <v>1</v>
      </c>
      <c r="S125" s="4">
        <f t="shared" si="59"/>
        <v>1</v>
      </c>
      <c r="U125" s="3">
        <f t="shared" si="51"/>
        <v>0</v>
      </c>
      <c r="V125" s="1" t="str">
        <f t="shared" si="49"/>
        <v/>
      </c>
    </row>
    <row r="126" spans="1:22" x14ac:dyDescent="0.25">
      <c r="A126" s="2">
        <v>123</v>
      </c>
      <c r="B126" s="2">
        <v>3</v>
      </c>
      <c r="C126" s="7" t="s">
        <v>919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57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59"/>
        <v>1</v>
      </c>
      <c r="K126" s="4">
        <f t="shared" si="59"/>
        <v>1</v>
      </c>
      <c r="L126" s="4">
        <f t="shared" si="59"/>
        <v>0</v>
      </c>
      <c r="M126" s="4">
        <f t="shared" si="59"/>
        <v>1</v>
      </c>
      <c r="N126" s="4">
        <f t="shared" si="59"/>
        <v>1</v>
      </c>
      <c r="O126" s="4">
        <f t="shared" si="59"/>
        <v>1</v>
      </c>
      <c r="P126" s="4">
        <f t="shared" si="59"/>
        <v>1</v>
      </c>
      <c r="Q126" s="4">
        <f t="shared" si="59"/>
        <v>1</v>
      </c>
      <c r="R126" s="4">
        <f t="shared" si="59"/>
        <v>1</v>
      </c>
      <c r="S126" s="4">
        <f t="shared" si="59"/>
        <v>1</v>
      </c>
      <c r="U126" s="3">
        <f t="shared" si="51"/>
        <v>0</v>
      </c>
      <c r="V126" s="1" t="str">
        <f t="shared" si="49"/>
        <v/>
      </c>
    </row>
    <row r="127" spans="1:22" x14ac:dyDescent="0.25">
      <c r="A127" s="2">
        <v>124</v>
      </c>
      <c r="B127" s="2">
        <v>3</v>
      </c>
      <c r="C127" s="7" t="s">
        <v>908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57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59"/>
        <v>1</v>
      </c>
      <c r="K127" s="4">
        <f t="shared" si="59"/>
        <v>1</v>
      </c>
      <c r="L127" s="4">
        <f t="shared" si="59"/>
        <v>0</v>
      </c>
      <c r="M127" s="4">
        <f t="shared" si="59"/>
        <v>2</v>
      </c>
      <c r="N127" s="4">
        <f t="shared" si="59"/>
        <v>1</v>
      </c>
      <c r="O127" s="4">
        <f t="shared" si="59"/>
        <v>1</v>
      </c>
      <c r="P127" s="4">
        <f t="shared" si="59"/>
        <v>1</v>
      </c>
      <c r="Q127" s="4">
        <f t="shared" si="59"/>
        <v>1</v>
      </c>
      <c r="R127" s="4">
        <f t="shared" si="59"/>
        <v>1</v>
      </c>
      <c r="S127" s="4">
        <f t="shared" si="59"/>
        <v>1</v>
      </c>
      <c r="U127" s="3">
        <f t="shared" si="51"/>
        <v>0</v>
      </c>
      <c r="V127" s="1" t="str">
        <f t="shared" si="49"/>
        <v/>
      </c>
    </row>
    <row r="128" spans="1:22" x14ac:dyDescent="0.25">
      <c r="A128" s="2">
        <v>125</v>
      </c>
      <c r="B128" s="2">
        <v>3</v>
      </c>
      <c r="C128" s="7" t="s">
        <v>913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57"/>
        <v>0</v>
      </c>
      <c r="I128" s="44">
        <f>IF(D128&lt;&gt;"",(VLOOKUP(D128,part_details,4,FALSE)+VLOOKUP(D128,part_details,5,FALSE)+VLOOKUP(D128,part_details,6,FALSE))*'Multi-level BOM'!E128,"")</f>
        <v>0.36</v>
      </c>
      <c r="J128" s="4">
        <f t="shared" ref="J128:S128" si="60">IF($B128="",J127,
    IF(J$3=$B128,$E128,
       IF(J$3&lt;$B128,J127,
           1
)))</f>
        <v>1</v>
      </c>
      <c r="K128" s="4">
        <f t="shared" si="60"/>
        <v>1</v>
      </c>
      <c r="L128" s="4">
        <f t="shared" si="60"/>
        <v>0</v>
      </c>
      <c r="M128" s="4">
        <f t="shared" si="60"/>
        <v>3</v>
      </c>
      <c r="N128" s="4">
        <f t="shared" si="60"/>
        <v>1</v>
      </c>
      <c r="O128" s="4">
        <f t="shared" si="60"/>
        <v>1</v>
      </c>
      <c r="P128" s="4">
        <f t="shared" si="60"/>
        <v>1</v>
      </c>
      <c r="Q128" s="4">
        <f t="shared" si="60"/>
        <v>1</v>
      </c>
      <c r="R128" s="4">
        <f t="shared" si="60"/>
        <v>1</v>
      </c>
      <c r="S128" s="4">
        <f t="shared" si="60"/>
        <v>1</v>
      </c>
      <c r="U128" s="3">
        <f t="shared" si="51"/>
        <v>0</v>
      </c>
      <c r="V128" s="1" t="str">
        <f t="shared" si="49"/>
        <v/>
      </c>
    </row>
    <row r="129" spans="1:22" x14ac:dyDescent="0.25">
      <c r="A129" s="2">
        <v>126</v>
      </c>
      <c r="B129" s="2">
        <v>3</v>
      </c>
      <c r="C129" s="7" t="s">
        <v>914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57"/>
        <v>0</v>
      </c>
      <c r="I129" s="44">
        <f>IF(D129&lt;&gt;"",(VLOOKUP(D129,part_details,4,FALSE)+VLOOKUP(D129,part_details,5,FALSE)+VLOOKUP(D129,part_details,6,FALSE))*'Multi-level BOM'!E129,"")</f>
        <v>5.3100000000000001E-2</v>
      </c>
      <c r="J129" s="4">
        <f t="shared" ref="J129:S129" si="61">IF($B129="",J128,
    IF(J$3=$B129,$E129,
       IF(J$3&lt;$B129,J128,
           1
)))</f>
        <v>1</v>
      </c>
      <c r="K129" s="4">
        <f t="shared" si="61"/>
        <v>1</v>
      </c>
      <c r="L129" s="4">
        <f t="shared" si="61"/>
        <v>0</v>
      </c>
      <c r="M129" s="4">
        <f t="shared" si="61"/>
        <v>3</v>
      </c>
      <c r="N129" s="4">
        <f t="shared" si="61"/>
        <v>1</v>
      </c>
      <c r="O129" s="4">
        <f t="shared" si="61"/>
        <v>1</v>
      </c>
      <c r="P129" s="4">
        <f t="shared" si="61"/>
        <v>1</v>
      </c>
      <c r="Q129" s="4">
        <f t="shared" si="61"/>
        <v>1</v>
      </c>
      <c r="R129" s="4">
        <f t="shared" si="61"/>
        <v>1</v>
      </c>
      <c r="S129" s="4">
        <f t="shared" si="61"/>
        <v>1</v>
      </c>
      <c r="U129" s="3">
        <f t="shared" si="51"/>
        <v>0</v>
      </c>
      <c r="V129" s="1" t="str">
        <f t="shared" si="49"/>
        <v/>
      </c>
    </row>
    <row r="130" spans="1:22" x14ac:dyDescent="0.25">
      <c r="A130" s="2">
        <v>127</v>
      </c>
      <c r="B130" s="2">
        <v>3</v>
      </c>
      <c r="C130" s="7" t="s">
        <v>915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57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62">IF($B130="",J129,
    IF(J$3=$B130,$E130,
       IF(J$3&lt;$B130,J129,
           1
)))</f>
        <v>1</v>
      </c>
      <c r="K130" s="4">
        <f t="shared" si="62"/>
        <v>1</v>
      </c>
      <c r="L130" s="4">
        <f t="shared" si="62"/>
        <v>0</v>
      </c>
      <c r="M130" s="4">
        <f t="shared" si="62"/>
        <v>3</v>
      </c>
      <c r="N130" s="4">
        <f t="shared" si="62"/>
        <v>1</v>
      </c>
      <c r="O130" s="4">
        <f t="shared" si="62"/>
        <v>1</v>
      </c>
      <c r="P130" s="4">
        <f t="shared" si="62"/>
        <v>1</v>
      </c>
      <c r="Q130" s="4">
        <f t="shared" si="62"/>
        <v>1</v>
      </c>
      <c r="R130" s="4">
        <f t="shared" si="62"/>
        <v>1</v>
      </c>
      <c r="S130" s="4">
        <f t="shared" si="62"/>
        <v>1</v>
      </c>
      <c r="U130" s="3">
        <f t="shared" si="51"/>
        <v>0</v>
      </c>
      <c r="V130" s="1" t="str">
        <f t="shared" si="49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63">IF($B131="",J130,
    IF(J$3=$B131,$E131,
       IF(J$3&lt;$B131,J130,
           1
)))</f>
        <v>1</v>
      </c>
      <c r="K131" s="4">
        <f t="shared" si="63"/>
        <v>1</v>
      </c>
      <c r="L131" s="4">
        <f t="shared" si="63"/>
        <v>0</v>
      </c>
      <c r="M131" s="4">
        <f t="shared" si="63"/>
        <v>3</v>
      </c>
      <c r="N131" s="4">
        <f t="shared" si="63"/>
        <v>1</v>
      </c>
      <c r="O131" s="4">
        <f t="shared" si="63"/>
        <v>1</v>
      </c>
      <c r="P131" s="4">
        <f t="shared" si="63"/>
        <v>1</v>
      </c>
      <c r="Q131" s="4">
        <f t="shared" si="63"/>
        <v>1</v>
      </c>
      <c r="R131" s="4">
        <f t="shared" si="63"/>
        <v>1</v>
      </c>
      <c r="S131" s="4">
        <f t="shared" si="63"/>
        <v>1</v>
      </c>
      <c r="U131" s="3">
        <f t="shared" si="51"/>
        <v>0</v>
      </c>
      <c r="V131" s="1" t="str">
        <f t="shared" si="49"/>
        <v/>
      </c>
    </row>
    <row r="132" spans="1:22" ht="15.75" x14ac:dyDescent="0.25">
      <c r="A132" s="2">
        <v>129</v>
      </c>
      <c r="B132" s="2">
        <v>1</v>
      </c>
      <c r="C132" s="7" t="s">
        <v>993</v>
      </c>
      <c r="D132" s="2" t="s">
        <v>21</v>
      </c>
      <c r="E132" s="2">
        <v>6</v>
      </c>
      <c r="F132" s="2" t="s">
        <v>938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3.9400000000000004</v>
      </c>
      <c r="J132" s="4">
        <f t="shared" ref="J132:S132" si="64">IF($B132="",J131,
    IF(J$3=$B132,$E132,
       IF(J$3&lt;$B132,J131,
           1
)))</f>
        <v>1</v>
      </c>
      <c r="K132" s="4">
        <f t="shared" si="64"/>
        <v>6</v>
      </c>
      <c r="L132" s="4">
        <f t="shared" si="64"/>
        <v>1</v>
      </c>
      <c r="M132" s="4">
        <f t="shared" si="64"/>
        <v>1</v>
      </c>
      <c r="N132" s="4">
        <f t="shared" si="64"/>
        <v>1</v>
      </c>
      <c r="O132" s="4">
        <f t="shared" si="64"/>
        <v>1</v>
      </c>
      <c r="P132" s="4">
        <f t="shared" si="64"/>
        <v>1</v>
      </c>
      <c r="Q132" s="4">
        <f t="shared" si="64"/>
        <v>1</v>
      </c>
      <c r="R132" s="4">
        <f t="shared" si="64"/>
        <v>1</v>
      </c>
      <c r="S132" s="4">
        <f t="shared" si="64"/>
        <v>1</v>
      </c>
      <c r="U132" s="3">
        <f t="shared" si="51"/>
        <v>3.9400000000000004</v>
      </c>
      <c r="V132" s="1" t="str">
        <f t="shared" si="49"/>
        <v>A-0015</v>
      </c>
    </row>
    <row r="133" spans="1:22" ht="15.75" x14ac:dyDescent="0.25">
      <c r="A133" s="2">
        <v>130</v>
      </c>
      <c r="B133" s="2">
        <v>1</v>
      </c>
      <c r="C133" s="7" t="s">
        <v>995</v>
      </c>
      <c r="D133" s="2" t="s">
        <v>77</v>
      </c>
      <c r="E133" s="2">
        <v>6</v>
      </c>
      <c r="F133" s="2" t="s">
        <v>938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>IF($B133="",J131,
    IF(J$3=$B133,$E133,
       IF(J$3&lt;$B133,J131,
           1
)))</f>
        <v>1</v>
      </c>
      <c r="K133" s="4">
        <f>IF($B133="",K131,
    IF(K$3=$B133,$E133,
       IF(K$3&lt;$B133,K131,
           1
)))</f>
        <v>6</v>
      </c>
      <c r="L133" s="4">
        <f>IF($B133="",L131,
    IF(L$3=$B133,$E133,
       IF(L$3&lt;$B133,L131,
           1
)))</f>
        <v>1</v>
      </c>
      <c r="M133" s="4">
        <f>IF($B133="",M131,
    IF(M$3=$B133,$E133,
       IF(M$3&lt;$B133,M131,
           1
)))</f>
        <v>1</v>
      </c>
      <c r="N133" s="4">
        <f>IF($B133="",N131,
    IF(N$3=$B133,$E133,
       IF(N$3&lt;$B133,N131,
           1
)))</f>
        <v>1</v>
      </c>
      <c r="O133" s="4">
        <f>IF($B133="",O131,
    IF(O$3=$B133,$E133,
       IF(O$3&lt;$B133,O131,
           1
)))</f>
        <v>1</v>
      </c>
      <c r="P133" s="4">
        <f>IF($B133="",P131,
    IF(P$3=$B133,$E133,
       IF(P$3&lt;$B133,P131,
           1
)))</f>
        <v>1</v>
      </c>
      <c r="Q133" s="4">
        <f>IF($B133="",Q131,
    IF(Q$3=$B133,$E133,
       IF(Q$3&lt;$B133,Q131,
           1
)))</f>
        <v>1</v>
      </c>
      <c r="R133" s="4">
        <f>IF($B133="",R131,
    IF(R$3=$B133,$E133,
       IF(R$3&lt;$B133,R131,
           1
)))</f>
        <v>1</v>
      </c>
      <c r="S133" s="4">
        <f>IF($B133="",S131,
    IF(S$3=$B133,$E133,
       IF(S$3&lt;$B133,S131,
           1
)))</f>
        <v>1</v>
      </c>
      <c r="U133" s="3">
        <f t="shared" si="51"/>
        <v>0.48</v>
      </c>
      <c r="V133" s="1" t="str">
        <f t="shared" ref="V133" si="65">IF(F133="x",D133,"")</f>
        <v>A-0071</v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66">IF($B134="",J132,
    IF(J$3=$B134,$E134,
       IF(J$3&lt;$B134,J132,
           1
)))</f>
        <v>1</v>
      </c>
      <c r="K134" s="4">
        <f t="shared" si="66"/>
        <v>6</v>
      </c>
      <c r="L134" s="4">
        <f t="shared" si="66"/>
        <v>1</v>
      </c>
      <c r="M134" s="4">
        <f t="shared" si="66"/>
        <v>1</v>
      </c>
      <c r="N134" s="4">
        <f t="shared" si="66"/>
        <v>1</v>
      </c>
      <c r="O134" s="4">
        <f t="shared" si="66"/>
        <v>1</v>
      </c>
      <c r="P134" s="4">
        <f t="shared" si="66"/>
        <v>1</v>
      </c>
      <c r="Q134" s="4">
        <f t="shared" si="66"/>
        <v>1</v>
      </c>
      <c r="R134" s="4">
        <f t="shared" si="66"/>
        <v>1</v>
      </c>
      <c r="S134" s="4">
        <f t="shared" si="66"/>
        <v>1</v>
      </c>
      <c r="U134" s="3">
        <f t="shared" si="51"/>
        <v>0</v>
      </c>
      <c r="V134" s="1" t="str">
        <f t="shared" ref="V134:V197" si="67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68">IF($B135="",J134,
    IF(J$3=$B135,$E135,
       IF(J$3&lt;$B135,J134,
           1
)))</f>
        <v>1</v>
      </c>
      <c r="K135" s="4">
        <f t="shared" si="68"/>
        <v>6</v>
      </c>
      <c r="L135" s="4">
        <f t="shared" si="68"/>
        <v>1</v>
      </c>
      <c r="M135" s="4">
        <f t="shared" si="68"/>
        <v>1</v>
      </c>
      <c r="N135" s="4">
        <f t="shared" si="68"/>
        <v>1</v>
      </c>
      <c r="O135" s="4">
        <f t="shared" si="68"/>
        <v>1</v>
      </c>
      <c r="P135" s="4">
        <f t="shared" si="68"/>
        <v>1</v>
      </c>
      <c r="Q135" s="4">
        <f t="shared" si="68"/>
        <v>1</v>
      </c>
      <c r="R135" s="4">
        <f t="shared" si="68"/>
        <v>1</v>
      </c>
      <c r="S135" s="4">
        <f t="shared" si="68"/>
        <v>1</v>
      </c>
      <c r="U135" s="3">
        <f t="shared" si="51"/>
        <v>0</v>
      </c>
      <c r="V135" s="1" t="str">
        <f t="shared" si="67"/>
        <v/>
      </c>
    </row>
    <row r="136" spans="1:22" ht="15.75" x14ac:dyDescent="0.25">
      <c r="A136" s="2">
        <v>133</v>
      </c>
      <c r="B136" s="2">
        <v>1</v>
      </c>
      <c r="C136" s="7" t="s">
        <v>706</v>
      </c>
      <c r="E136" s="2">
        <v>1</v>
      </c>
      <c r="G136" s="1" t="str">
        <f>IF(D136="","",VLOOKUP(D136,Table1[#All],2,FALSE))</f>
        <v/>
      </c>
      <c r="H136" s="2">
        <f t="shared" ref="H136:H141" si="69">PRODUCT(J136:S136)</f>
        <v>1</v>
      </c>
      <c r="I136" s="47">
        <f>H136*SUM(I137,I159,I179)</f>
        <v>351.11116923076929</v>
      </c>
      <c r="J136" s="4">
        <f t="shared" ref="J136:S149" si="70">IF($B136="",J135,
    IF(J$3=$B136,$E136,
       IF(J$3&lt;$B136,J135,
           1
)))</f>
        <v>1</v>
      </c>
      <c r="K136" s="4">
        <f t="shared" si="70"/>
        <v>1</v>
      </c>
      <c r="L136" s="4">
        <f t="shared" si="70"/>
        <v>1</v>
      </c>
      <c r="M136" s="4">
        <f t="shared" si="70"/>
        <v>1</v>
      </c>
      <c r="N136" s="4">
        <f t="shared" si="70"/>
        <v>1</v>
      </c>
      <c r="O136" s="4">
        <f t="shared" si="70"/>
        <v>1</v>
      </c>
      <c r="P136" s="4">
        <f t="shared" si="70"/>
        <v>1</v>
      </c>
      <c r="Q136" s="4">
        <f t="shared" si="70"/>
        <v>1</v>
      </c>
      <c r="R136" s="4">
        <f t="shared" si="70"/>
        <v>1</v>
      </c>
      <c r="S136" s="4">
        <f t="shared" si="70"/>
        <v>1</v>
      </c>
      <c r="U136" s="3">
        <f t="shared" si="51"/>
        <v>0</v>
      </c>
      <c r="V136" s="1" t="str">
        <f t="shared" si="67"/>
        <v/>
      </c>
    </row>
    <row r="137" spans="1:22" x14ac:dyDescent="0.25">
      <c r="A137" s="2">
        <v>134</v>
      </c>
      <c r="B137" s="2">
        <v>2</v>
      </c>
      <c r="C137" s="7" t="s">
        <v>728</v>
      </c>
      <c r="E137" s="2">
        <v>1</v>
      </c>
      <c r="G137" s="1" t="str">
        <f>IF(D137="","",VLOOKUP(D137,Table1[#All],2,FALSE))</f>
        <v/>
      </c>
      <c r="H137" s="2">
        <f t="shared" si="69"/>
        <v>1</v>
      </c>
      <c r="I137" s="45">
        <f>H137*SUM(I138:I156)</f>
        <v>122.2794730769231</v>
      </c>
      <c r="J137" s="4">
        <f t="shared" si="70"/>
        <v>1</v>
      </c>
      <c r="K137" s="4">
        <f t="shared" si="70"/>
        <v>1</v>
      </c>
      <c r="L137" s="4">
        <f t="shared" si="70"/>
        <v>1</v>
      </c>
      <c r="M137" s="4">
        <f t="shared" si="70"/>
        <v>1</v>
      </c>
      <c r="N137" s="4">
        <f t="shared" si="70"/>
        <v>1</v>
      </c>
      <c r="O137" s="4">
        <f t="shared" si="70"/>
        <v>1</v>
      </c>
      <c r="P137" s="4">
        <f t="shared" si="70"/>
        <v>1</v>
      </c>
      <c r="Q137" s="4">
        <f t="shared" si="70"/>
        <v>1</v>
      </c>
      <c r="R137" s="4">
        <f t="shared" si="70"/>
        <v>1</v>
      </c>
      <c r="S137" s="4">
        <f t="shared" si="70"/>
        <v>1</v>
      </c>
      <c r="U137" s="3">
        <f t="shared" si="51"/>
        <v>0</v>
      </c>
      <c r="V137" s="1" t="str">
        <f t="shared" si="67"/>
        <v/>
      </c>
    </row>
    <row r="138" spans="1:22" x14ac:dyDescent="0.25">
      <c r="A138" s="2">
        <v>135</v>
      </c>
      <c r="B138" s="2">
        <v>3</v>
      </c>
      <c r="C138" s="8" t="s">
        <v>707</v>
      </c>
      <c r="D138" s="2" t="s">
        <v>17</v>
      </c>
      <c r="E138" s="2">
        <v>1</v>
      </c>
      <c r="F138" s="2" t="s">
        <v>938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69"/>
        <v>1</v>
      </c>
      <c r="I138" s="44">
        <f>IF(D138&lt;&gt;"",(VLOOKUP(D138,part_details,4,FALSE)+VLOOKUP(D138,part_details,5,FALSE)+VLOOKUP(D138,part_details,6,FALSE))*'Multi-level BOM'!E138,"")</f>
        <v>33.81</v>
      </c>
      <c r="J138" s="4">
        <f t="shared" si="70"/>
        <v>1</v>
      </c>
      <c r="K138" s="4">
        <f t="shared" si="70"/>
        <v>1</v>
      </c>
      <c r="L138" s="4">
        <f t="shared" si="70"/>
        <v>1</v>
      </c>
      <c r="M138" s="4">
        <f t="shared" si="70"/>
        <v>1</v>
      </c>
      <c r="N138" s="4">
        <f t="shared" si="70"/>
        <v>1</v>
      </c>
      <c r="O138" s="4">
        <f t="shared" si="70"/>
        <v>1</v>
      </c>
      <c r="P138" s="4">
        <f t="shared" si="70"/>
        <v>1</v>
      </c>
      <c r="Q138" s="4">
        <f t="shared" si="70"/>
        <v>1</v>
      </c>
      <c r="R138" s="4">
        <f t="shared" si="70"/>
        <v>1</v>
      </c>
      <c r="S138" s="4">
        <f t="shared" si="70"/>
        <v>1</v>
      </c>
      <c r="U138" s="3">
        <f t="shared" si="51"/>
        <v>33.81</v>
      </c>
      <c r="V138" s="1" t="str">
        <f t="shared" si="67"/>
        <v>A-0011</v>
      </c>
    </row>
    <row r="139" spans="1:22" x14ac:dyDescent="0.25">
      <c r="A139" s="2">
        <v>136</v>
      </c>
      <c r="B139" s="2">
        <v>3</v>
      </c>
      <c r="C139" s="8" t="s">
        <v>690</v>
      </c>
      <c r="D139" s="2" t="s">
        <v>18</v>
      </c>
      <c r="E139" s="2">
        <v>13</v>
      </c>
      <c r="F139" s="2" t="s">
        <v>938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69"/>
        <v>13</v>
      </c>
      <c r="I139" s="44">
        <f>IF(D139&lt;&gt;"",(VLOOKUP(D139,part_details,4,FALSE)+VLOOKUP(D139,part_details,5,FALSE)+VLOOKUP(D139,part_details,6,FALSE))*'Multi-level BOM'!E139,"")</f>
        <v>1.1895</v>
      </c>
      <c r="J139" s="4">
        <f t="shared" si="70"/>
        <v>1</v>
      </c>
      <c r="K139" s="4">
        <f t="shared" si="70"/>
        <v>1</v>
      </c>
      <c r="L139" s="4">
        <f t="shared" si="70"/>
        <v>1</v>
      </c>
      <c r="M139" s="4">
        <f t="shared" si="70"/>
        <v>13</v>
      </c>
      <c r="N139" s="4">
        <f t="shared" si="70"/>
        <v>1</v>
      </c>
      <c r="O139" s="4">
        <f t="shared" si="70"/>
        <v>1</v>
      </c>
      <c r="P139" s="4">
        <f t="shared" si="70"/>
        <v>1</v>
      </c>
      <c r="Q139" s="4">
        <f t="shared" si="70"/>
        <v>1</v>
      </c>
      <c r="R139" s="4">
        <f t="shared" si="70"/>
        <v>1</v>
      </c>
      <c r="S139" s="4">
        <f t="shared" si="70"/>
        <v>1</v>
      </c>
      <c r="U139" s="3">
        <f t="shared" si="51"/>
        <v>1.1895</v>
      </c>
      <c r="V139" s="1" t="str">
        <f t="shared" si="67"/>
        <v>A-0012</v>
      </c>
    </row>
    <row r="140" spans="1:22" x14ac:dyDescent="0.25">
      <c r="A140" s="2">
        <v>137</v>
      </c>
      <c r="B140" s="2">
        <v>3</v>
      </c>
      <c r="C140" s="8" t="s">
        <v>785</v>
      </c>
      <c r="D140" s="2" t="s">
        <v>24</v>
      </c>
      <c r="E140" s="2">
        <v>1</v>
      </c>
      <c r="F140" s="2" t="s">
        <v>938</v>
      </c>
      <c r="G140" s="1" t="str">
        <f>IF(D140="","",VLOOKUP(D140,Table1[#All],2,FALSE))</f>
        <v>.625 x .375 aluminum bar T6061, 24 in long</v>
      </c>
      <c r="H140" s="2">
        <f t="shared" si="69"/>
        <v>1</v>
      </c>
      <c r="I140" s="44">
        <f>IF(D140&lt;&gt;"",(VLOOKUP(D140,part_details,4,FALSE)+VLOOKUP(D140,part_details,5,FALSE)+VLOOKUP(D140,part_details,6,FALSE))*'Multi-level BOM'!E140,"")</f>
        <v>6.0766</v>
      </c>
      <c r="J140" s="4">
        <f t="shared" si="70"/>
        <v>1</v>
      </c>
      <c r="K140" s="4">
        <f t="shared" si="70"/>
        <v>1</v>
      </c>
      <c r="L140" s="4">
        <f t="shared" si="70"/>
        <v>1</v>
      </c>
      <c r="M140" s="4">
        <f t="shared" si="70"/>
        <v>1</v>
      </c>
      <c r="N140" s="4">
        <f t="shared" si="70"/>
        <v>1</v>
      </c>
      <c r="O140" s="4">
        <f t="shared" si="70"/>
        <v>1</v>
      </c>
      <c r="P140" s="4">
        <f t="shared" si="70"/>
        <v>1</v>
      </c>
      <c r="Q140" s="4">
        <f t="shared" si="70"/>
        <v>1</v>
      </c>
      <c r="R140" s="4">
        <f t="shared" si="70"/>
        <v>1</v>
      </c>
      <c r="S140" s="4">
        <f t="shared" si="70"/>
        <v>1</v>
      </c>
      <c r="U140" s="3">
        <f t="shared" si="51"/>
        <v>6.0766</v>
      </c>
      <c r="V140" s="1" t="str">
        <f t="shared" si="67"/>
        <v>A-0018</v>
      </c>
    </row>
    <row r="141" spans="1:22" x14ac:dyDescent="0.25">
      <c r="A141" s="2">
        <v>138</v>
      </c>
      <c r="B141" s="2">
        <v>3</v>
      </c>
      <c r="C141" s="8" t="s">
        <v>713</v>
      </c>
      <c r="D141" s="2" t="s">
        <v>25</v>
      </c>
      <c r="E141" s="2">
        <v>1</v>
      </c>
      <c r="G141" s="1" t="str">
        <f>IF(D141="","",VLOOKUP(D141,Table1[#All],2,FALSE))</f>
        <v>Nema 17 Bipolar Stepper 0.9deg(400 steps/rev) 1.68A 44Ncm(62.3oz.in) Motor, 5mm shaft</v>
      </c>
      <c r="H141" s="2">
        <f t="shared" si="69"/>
        <v>1</v>
      </c>
      <c r="I141" s="44">
        <f>IF(D141&lt;&gt;"",(VLOOKUP(D141,part_details,4,FALSE)+VLOOKUP(D141,part_details,5,FALSE)+VLOOKUP(D141,part_details,6,FALSE))*'Multi-level BOM'!E141,"")</f>
        <v>23.4895</v>
      </c>
      <c r="J141" s="4">
        <f t="shared" si="70"/>
        <v>1</v>
      </c>
      <c r="K141" s="4">
        <f t="shared" si="70"/>
        <v>1</v>
      </c>
      <c r="L141" s="4">
        <f t="shared" si="70"/>
        <v>1</v>
      </c>
      <c r="M141" s="4">
        <f t="shared" si="70"/>
        <v>1</v>
      </c>
      <c r="N141" s="4">
        <f t="shared" si="70"/>
        <v>1</v>
      </c>
      <c r="O141" s="4">
        <f t="shared" si="70"/>
        <v>1</v>
      </c>
      <c r="P141" s="4">
        <f t="shared" si="70"/>
        <v>1</v>
      </c>
      <c r="Q141" s="4">
        <f t="shared" si="70"/>
        <v>1</v>
      </c>
      <c r="R141" s="4">
        <f t="shared" si="70"/>
        <v>1</v>
      </c>
      <c r="S141" s="4">
        <f t="shared" si="70"/>
        <v>1</v>
      </c>
      <c r="U141" s="3">
        <f t="shared" si="51"/>
        <v>0</v>
      </c>
      <c r="V141" s="1" t="str">
        <f t="shared" si="67"/>
        <v/>
      </c>
    </row>
    <row r="142" spans="1:22" x14ac:dyDescent="0.25">
      <c r="A142" s="2">
        <v>139</v>
      </c>
      <c r="B142" s="2">
        <v>3</v>
      </c>
      <c r="C142" s="8" t="s">
        <v>886</v>
      </c>
      <c r="D142" s="2" t="s">
        <v>67</v>
      </c>
      <c r="E142" s="2">
        <v>4</v>
      </c>
      <c r="F142" s="2" t="s">
        <v>938</v>
      </c>
      <c r="G142" s="1" t="str">
        <f>IF(D142="","",VLOOKUP(D142,Table1[#All],2,FALSE))</f>
        <v xml:space="preserve">M4 x 10mm Alloy Steel Hex Bolt Socket Head Cap Screws </v>
      </c>
      <c r="H142" s="2">
        <f t="shared" ref="H142:H145" si="71">PRODUCT(J142:S142)</f>
        <v>4</v>
      </c>
      <c r="I142" s="44">
        <f>IF(D142&lt;&gt;"",(VLOOKUP(D142,part_details,4,FALSE)+VLOOKUP(D142,part_details,5,FALSE)+VLOOKUP(D142,part_details,6,FALSE))*'Multi-level BOM'!E142,"")</f>
        <v>0.4</v>
      </c>
      <c r="J142" s="4">
        <f t="shared" si="70"/>
        <v>1</v>
      </c>
      <c r="K142" s="4">
        <f t="shared" si="70"/>
        <v>1</v>
      </c>
      <c r="L142" s="4">
        <f t="shared" si="70"/>
        <v>1</v>
      </c>
      <c r="M142" s="4">
        <f t="shared" si="70"/>
        <v>4</v>
      </c>
      <c r="N142" s="4">
        <f t="shared" si="70"/>
        <v>1</v>
      </c>
      <c r="O142" s="4">
        <f t="shared" si="70"/>
        <v>1</v>
      </c>
      <c r="P142" s="4">
        <f t="shared" si="70"/>
        <v>1</v>
      </c>
      <c r="Q142" s="4">
        <f t="shared" si="70"/>
        <v>1</v>
      </c>
      <c r="R142" s="4">
        <f t="shared" si="70"/>
        <v>1</v>
      </c>
      <c r="S142" s="4">
        <f t="shared" si="70"/>
        <v>1</v>
      </c>
      <c r="U142" s="3">
        <f t="shared" si="51"/>
        <v>0.4</v>
      </c>
      <c r="V142" s="1" t="str">
        <f t="shared" si="67"/>
        <v>A-0061</v>
      </c>
    </row>
    <row r="143" spans="1:22" x14ac:dyDescent="0.25">
      <c r="A143" s="2">
        <v>140</v>
      </c>
      <c r="B143" s="2">
        <v>3</v>
      </c>
      <c r="C143" s="8" t="s">
        <v>791</v>
      </c>
      <c r="D143" s="2" t="s">
        <v>47</v>
      </c>
      <c r="E143" s="2">
        <v>4</v>
      </c>
      <c r="F143" s="2" t="s">
        <v>938</v>
      </c>
      <c r="G143" s="1" t="str">
        <f>IF(D143="","",VLOOKUP(D143,Table1[#All],2,FALSE))</f>
        <v xml:space="preserve">M4x12mmx1 mm Stainless Steel Round Flat Washer </v>
      </c>
      <c r="H143" s="2">
        <f t="shared" si="71"/>
        <v>4</v>
      </c>
      <c r="I143" s="44">
        <f>IF(D143&lt;&gt;"",(VLOOKUP(D143,part_details,4,FALSE)+VLOOKUP(D143,part_details,5,FALSE)+VLOOKUP(D143,part_details,6,FALSE))*'Multi-level BOM'!E143,"")</f>
        <v>0.05</v>
      </c>
      <c r="J143" s="4">
        <f t="shared" si="70"/>
        <v>1</v>
      </c>
      <c r="K143" s="4">
        <f t="shared" si="70"/>
        <v>1</v>
      </c>
      <c r="L143" s="4">
        <f t="shared" si="70"/>
        <v>1</v>
      </c>
      <c r="M143" s="4">
        <f t="shared" si="70"/>
        <v>4</v>
      </c>
      <c r="N143" s="4">
        <f t="shared" si="70"/>
        <v>1</v>
      </c>
      <c r="O143" s="4">
        <f t="shared" si="70"/>
        <v>1</v>
      </c>
      <c r="P143" s="4">
        <f t="shared" si="70"/>
        <v>1</v>
      </c>
      <c r="Q143" s="4">
        <f t="shared" si="70"/>
        <v>1</v>
      </c>
      <c r="R143" s="4">
        <f t="shared" si="70"/>
        <v>1</v>
      </c>
      <c r="S143" s="4">
        <f t="shared" si="70"/>
        <v>1</v>
      </c>
      <c r="U143" s="3">
        <f t="shared" ref="U143:U206" si="72">IF(F143="x",I143,0)</f>
        <v>0.05</v>
      </c>
      <c r="V143" s="1" t="str">
        <f t="shared" si="67"/>
        <v>A-0041</v>
      </c>
    </row>
    <row r="144" spans="1:22" x14ac:dyDescent="0.25">
      <c r="A144" s="2">
        <v>141</v>
      </c>
      <c r="B144" s="2">
        <v>3</v>
      </c>
      <c r="C144" s="8" t="s">
        <v>883</v>
      </c>
      <c r="D144" s="2" t="s">
        <v>26</v>
      </c>
      <c r="E144" s="2">
        <v>1</v>
      </c>
      <c r="F144" s="2" t="s">
        <v>938</v>
      </c>
      <c r="G144" s="1" t="str">
        <f>IF(D144="","",VLOOKUP(D144,Table1[#All],2,FALSE))</f>
        <v>Witbot 500mm 8mm T8 Lead Screw Set Lead Screw+ Pillow Bearing Block + Copper Nut + Coupler for 3D Printer</v>
      </c>
      <c r="H144" s="2">
        <f t="shared" si="71"/>
        <v>1</v>
      </c>
      <c r="I144" s="44">
        <f>IF(D144&lt;&gt;"",(VLOOKUP(D144,part_details,4,FALSE)+VLOOKUP(D144,part_details,5,FALSE)+VLOOKUP(D144,part_details,6,FALSE))*'Multi-level BOM'!E144,"")</f>
        <v>21.778200000000002</v>
      </c>
      <c r="J144" s="4">
        <f t="shared" si="70"/>
        <v>1</v>
      </c>
      <c r="K144" s="4">
        <f t="shared" si="70"/>
        <v>1</v>
      </c>
      <c r="L144" s="4">
        <f t="shared" si="70"/>
        <v>1</v>
      </c>
      <c r="M144" s="4">
        <f t="shared" si="70"/>
        <v>1</v>
      </c>
      <c r="N144" s="4">
        <f t="shared" si="70"/>
        <v>1</v>
      </c>
      <c r="O144" s="4">
        <f t="shared" si="70"/>
        <v>1</v>
      </c>
      <c r="P144" s="4">
        <f t="shared" si="70"/>
        <v>1</v>
      </c>
      <c r="Q144" s="4">
        <f t="shared" si="70"/>
        <v>1</v>
      </c>
      <c r="R144" s="4">
        <f t="shared" si="70"/>
        <v>1</v>
      </c>
      <c r="S144" s="4">
        <f t="shared" si="70"/>
        <v>1</v>
      </c>
      <c r="U144" s="3">
        <f t="shared" si="72"/>
        <v>21.778200000000002</v>
      </c>
      <c r="V144" s="1" t="str">
        <f t="shared" si="67"/>
        <v>A-0020</v>
      </c>
    </row>
    <row r="145" spans="1:22" x14ac:dyDescent="0.25">
      <c r="A145" s="2">
        <v>142</v>
      </c>
      <c r="B145" s="2">
        <v>3</v>
      </c>
      <c r="C145" s="8" t="s">
        <v>884</v>
      </c>
      <c r="D145" s="2" t="s">
        <v>66</v>
      </c>
      <c r="E145" s="2">
        <v>1</v>
      </c>
      <c r="F145" s="2" t="s">
        <v>938</v>
      </c>
      <c r="G145" s="1" t="str">
        <f>IF(D145="","",VLOOKUP(D145,Table1[#All],2,FALSE))</f>
        <v>Flexible Couplings 5mm to 8mm NEMA 17 Shaft Coupler</v>
      </c>
      <c r="H145" s="2">
        <f t="shared" si="71"/>
        <v>1</v>
      </c>
      <c r="I145" s="44">
        <f>IF(D145&lt;&gt;"",(VLOOKUP(D145,part_details,4,FALSE)+VLOOKUP(D145,part_details,5,FALSE)+VLOOKUP(D145,part_details,6,FALSE))*'Multi-level BOM'!E145,"")</f>
        <v>10.305499999999999</v>
      </c>
      <c r="J145" s="4">
        <f t="shared" si="70"/>
        <v>1</v>
      </c>
      <c r="K145" s="4">
        <f t="shared" si="70"/>
        <v>1</v>
      </c>
      <c r="L145" s="4">
        <f t="shared" si="70"/>
        <v>1</v>
      </c>
      <c r="M145" s="4">
        <f t="shared" si="70"/>
        <v>1</v>
      </c>
      <c r="N145" s="4">
        <f t="shared" si="70"/>
        <v>1</v>
      </c>
      <c r="O145" s="4">
        <f t="shared" si="70"/>
        <v>1</v>
      </c>
      <c r="P145" s="4">
        <f t="shared" si="70"/>
        <v>1</v>
      </c>
      <c r="Q145" s="4">
        <f t="shared" si="70"/>
        <v>1</v>
      </c>
      <c r="R145" s="4">
        <f t="shared" si="70"/>
        <v>1</v>
      </c>
      <c r="S145" s="4">
        <f t="shared" si="70"/>
        <v>1</v>
      </c>
      <c r="U145" s="3">
        <f t="shared" si="72"/>
        <v>10.305499999999999</v>
      </c>
      <c r="V145" s="1" t="str">
        <f t="shared" si="67"/>
        <v>A-0060</v>
      </c>
    </row>
    <row r="146" spans="1:22" x14ac:dyDescent="0.25">
      <c r="A146" s="2">
        <v>143</v>
      </c>
      <c r="B146" s="2">
        <v>3</v>
      </c>
      <c r="C146" s="8" t="s">
        <v>927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ref="H146:H147" si="73">PRODUCT(J146:S146)</f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70"/>
        <v>1</v>
      </c>
      <c r="K146" s="4">
        <f t="shared" si="70"/>
        <v>1</v>
      </c>
      <c r="L146" s="4">
        <f t="shared" si="70"/>
        <v>1</v>
      </c>
      <c r="M146" s="4">
        <f t="shared" si="70"/>
        <v>1</v>
      </c>
      <c r="N146" s="4">
        <f t="shared" si="70"/>
        <v>1</v>
      </c>
      <c r="O146" s="4">
        <f t="shared" si="70"/>
        <v>1</v>
      </c>
      <c r="P146" s="4">
        <f t="shared" si="70"/>
        <v>1</v>
      </c>
      <c r="Q146" s="4">
        <f t="shared" si="70"/>
        <v>1</v>
      </c>
      <c r="R146" s="4">
        <f t="shared" si="70"/>
        <v>1</v>
      </c>
      <c r="S146" s="4">
        <f t="shared" si="70"/>
        <v>1</v>
      </c>
      <c r="U146" s="3">
        <f t="shared" si="72"/>
        <v>0</v>
      </c>
      <c r="V146" s="1" t="str">
        <f t="shared" si="67"/>
        <v/>
      </c>
    </row>
    <row r="147" spans="1:22" x14ac:dyDescent="0.25">
      <c r="A147" s="2">
        <v>144</v>
      </c>
      <c r="B147" s="2">
        <v>3</v>
      </c>
      <c r="C147" s="8" t="s">
        <v>888</v>
      </c>
      <c r="D147" s="2" t="s">
        <v>32</v>
      </c>
      <c r="E147" s="2">
        <v>3</v>
      </c>
      <c r="F147" s="2" t="s">
        <v>938</v>
      </c>
      <c r="G147" s="1" t="str">
        <f>IF(D147="","",VLOOKUP(D147,Table1[#All],2,FALSE))</f>
        <v>M5-0.8 x 16mm Button Head Socket Cap Screws</v>
      </c>
      <c r="H147" s="2">
        <f t="shared" si="73"/>
        <v>3</v>
      </c>
      <c r="I147" s="44">
        <f>IF(D147&lt;&gt;"",(VLOOKUP(D147,part_details,4,FALSE)+VLOOKUP(D147,part_details,5,FALSE)+VLOOKUP(D147,part_details,6,FALSE))*'Multi-level BOM'!E147,"")</f>
        <v>0.36</v>
      </c>
      <c r="J147" s="4">
        <f t="shared" si="70"/>
        <v>1</v>
      </c>
      <c r="K147" s="4">
        <f t="shared" si="70"/>
        <v>1</v>
      </c>
      <c r="L147" s="4">
        <f t="shared" si="70"/>
        <v>1</v>
      </c>
      <c r="M147" s="4">
        <f t="shared" si="70"/>
        <v>3</v>
      </c>
      <c r="N147" s="4">
        <f t="shared" si="70"/>
        <v>1</v>
      </c>
      <c r="O147" s="4">
        <f t="shared" si="70"/>
        <v>1</v>
      </c>
      <c r="P147" s="4">
        <f t="shared" si="70"/>
        <v>1</v>
      </c>
      <c r="Q147" s="4">
        <f t="shared" si="70"/>
        <v>1</v>
      </c>
      <c r="R147" s="4">
        <f t="shared" si="70"/>
        <v>1</v>
      </c>
      <c r="S147" s="4">
        <f t="shared" si="70"/>
        <v>1</v>
      </c>
      <c r="U147" s="3">
        <f t="shared" si="72"/>
        <v>0.36</v>
      </c>
      <c r="V147" s="1" t="str">
        <f t="shared" si="67"/>
        <v>A-0026</v>
      </c>
    </row>
    <row r="148" spans="1:22" x14ac:dyDescent="0.25">
      <c r="A148" s="2">
        <v>145</v>
      </c>
      <c r="B148" s="2">
        <v>3</v>
      </c>
      <c r="C148" s="8" t="s">
        <v>889</v>
      </c>
      <c r="D148" s="2" t="s">
        <v>68</v>
      </c>
      <c r="E148" s="2">
        <v>3</v>
      </c>
      <c r="F148" s="2" t="s">
        <v>938</v>
      </c>
      <c r="G148" s="1" t="str">
        <f>IF(D148="","",VLOOKUP(D148,Table1[#All],2,FALSE))</f>
        <v>M5x10mmx1mm Stainless Steel Metric Round Flat Washer</v>
      </c>
      <c r="H148" s="2">
        <f t="shared" ref="H148:H149" si="74">PRODUCT(J148:S148)</f>
        <v>3</v>
      </c>
      <c r="I148" s="44">
        <f>IF(D148&lt;&gt;"",(VLOOKUP(D148,part_details,4,FALSE)+VLOOKUP(D148,part_details,5,FALSE)+VLOOKUP(D148,part_details,6,FALSE))*'Multi-level BOM'!E148,"")</f>
        <v>5.3100000000000001E-2</v>
      </c>
      <c r="J148" s="4">
        <f t="shared" si="70"/>
        <v>1</v>
      </c>
      <c r="K148" s="4">
        <f t="shared" si="70"/>
        <v>1</v>
      </c>
      <c r="L148" s="4">
        <f t="shared" si="70"/>
        <v>1</v>
      </c>
      <c r="M148" s="4">
        <f t="shared" si="70"/>
        <v>3</v>
      </c>
      <c r="N148" s="4">
        <f t="shared" si="70"/>
        <v>1</v>
      </c>
      <c r="O148" s="4">
        <f t="shared" si="70"/>
        <v>1</v>
      </c>
      <c r="P148" s="4">
        <f t="shared" si="70"/>
        <v>1</v>
      </c>
      <c r="Q148" s="4">
        <f t="shared" si="70"/>
        <v>1</v>
      </c>
      <c r="R148" s="4">
        <f t="shared" si="70"/>
        <v>1</v>
      </c>
      <c r="S148" s="4">
        <f t="shared" si="70"/>
        <v>1</v>
      </c>
      <c r="U148" s="3">
        <f t="shared" si="72"/>
        <v>5.3100000000000001E-2</v>
      </c>
      <c r="V148" s="1" t="str">
        <f t="shared" si="67"/>
        <v>A-0062</v>
      </c>
    </row>
    <row r="149" spans="1:22" x14ac:dyDescent="0.25">
      <c r="A149" s="2">
        <v>146</v>
      </c>
      <c r="B149" s="2">
        <v>3</v>
      </c>
      <c r="C149" s="8" t="s">
        <v>723</v>
      </c>
      <c r="D149" s="2" t="s">
        <v>33</v>
      </c>
      <c r="E149" s="2">
        <v>3</v>
      </c>
      <c r="F149" s="2" t="s">
        <v>938</v>
      </c>
      <c r="G149" s="1" t="str">
        <f>IF(D149="","",VLOOKUP(D149,Table1[#All],2,FALSE))</f>
        <v>Sliding T Slot Nuts 4040 Series M5 26 Pack T Nuts Carbon Steel</v>
      </c>
      <c r="H149" s="2">
        <f t="shared" si="74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70"/>
        <v>1</v>
      </c>
      <c r="K149" s="4">
        <f t="shared" si="70"/>
        <v>1</v>
      </c>
      <c r="L149" s="4">
        <f t="shared" si="70"/>
        <v>1</v>
      </c>
      <c r="M149" s="4">
        <f t="shared" si="70"/>
        <v>3</v>
      </c>
      <c r="N149" s="4">
        <f t="shared" si="70"/>
        <v>1</v>
      </c>
      <c r="O149" s="4">
        <f t="shared" si="70"/>
        <v>1</v>
      </c>
      <c r="P149" s="4">
        <f t="shared" si="70"/>
        <v>1</v>
      </c>
      <c r="Q149" s="4">
        <f t="shared" si="70"/>
        <v>1</v>
      </c>
      <c r="R149" s="4">
        <f t="shared" si="70"/>
        <v>1</v>
      </c>
      <c r="S149" s="4">
        <f t="shared" si="70"/>
        <v>1</v>
      </c>
      <c r="U149" s="3">
        <f t="shared" si="72"/>
        <v>1.0174730769230771</v>
      </c>
      <c r="V149" s="1" t="str">
        <f t="shared" si="67"/>
        <v>A-0027</v>
      </c>
    </row>
    <row r="150" spans="1:22" x14ac:dyDescent="0.25">
      <c r="A150" s="2">
        <v>147</v>
      </c>
      <c r="B150" s="2">
        <v>3</v>
      </c>
      <c r="C150" s="8" t="s">
        <v>885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ref="H150" si="75">PRODUCT(J150:S150)</f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76">IF($B150="",J149,
    IF(J$3=$B150,$E150,
       IF(J$3&lt;$B150,J149,
           1
)))</f>
        <v>1</v>
      </c>
      <c r="K150" s="4">
        <f t="shared" si="76"/>
        <v>1</v>
      </c>
      <c r="L150" s="4">
        <f t="shared" si="76"/>
        <v>1</v>
      </c>
      <c r="M150" s="4">
        <f t="shared" si="76"/>
        <v>1</v>
      </c>
      <c r="N150" s="4">
        <f t="shared" si="76"/>
        <v>1</v>
      </c>
      <c r="O150" s="4">
        <f t="shared" si="76"/>
        <v>1</v>
      </c>
      <c r="P150" s="4">
        <f t="shared" si="76"/>
        <v>1</v>
      </c>
      <c r="Q150" s="4">
        <f t="shared" si="76"/>
        <v>1</v>
      </c>
      <c r="R150" s="4">
        <f t="shared" si="76"/>
        <v>1</v>
      </c>
      <c r="S150" s="4">
        <f t="shared" si="76"/>
        <v>1</v>
      </c>
      <c r="U150" s="3">
        <f t="shared" si="72"/>
        <v>0</v>
      </c>
      <c r="V150" s="1" t="str">
        <f t="shared" si="67"/>
        <v/>
      </c>
    </row>
    <row r="151" spans="1:22" x14ac:dyDescent="0.25">
      <c r="A151" s="2">
        <v>148</v>
      </c>
      <c r="B151" s="2">
        <v>3</v>
      </c>
      <c r="C151" s="8" t="s">
        <v>896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77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76"/>
        <v>1</v>
      </c>
      <c r="K151" s="4">
        <f t="shared" si="76"/>
        <v>1</v>
      </c>
      <c r="L151" s="4">
        <f t="shared" si="76"/>
        <v>1</v>
      </c>
      <c r="M151" s="4">
        <f t="shared" si="76"/>
        <v>1</v>
      </c>
      <c r="N151" s="4">
        <f t="shared" si="76"/>
        <v>1</v>
      </c>
      <c r="O151" s="4">
        <f t="shared" si="76"/>
        <v>1</v>
      </c>
      <c r="P151" s="4">
        <f t="shared" si="76"/>
        <v>1</v>
      </c>
      <c r="Q151" s="4">
        <f t="shared" si="76"/>
        <v>1</v>
      </c>
      <c r="R151" s="4">
        <f t="shared" si="76"/>
        <v>1</v>
      </c>
      <c r="S151" s="4">
        <f t="shared" si="76"/>
        <v>1</v>
      </c>
      <c r="U151" s="3">
        <f t="shared" si="72"/>
        <v>0</v>
      </c>
      <c r="V151" s="1" t="str">
        <f t="shared" si="67"/>
        <v/>
      </c>
    </row>
    <row r="152" spans="1:22" x14ac:dyDescent="0.25">
      <c r="A152" s="2">
        <v>149</v>
      </c>
      <c r="B152" s="2">
        <v>3</v>
      </c>
      <c r="C152" s="8" t="s">
        <v>895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77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76"/>
        <v>1</v>
      </c>
      <c r="K152" s="4">
        <f t="shared" si="76"/>
        <v>1</v>
      </c>
      <c r="L152" s="4">
        <f t="shared" si="76"/>
        <v>1</v>
      </c>
      <c r="M152" s="4">
        <f t="shared" si="76"/>
        <v>1</v>
      </c>
      <c r="N152" s="4">
        <f t="shared" si="76"/>
        <v>1</v>
      </c>
      <c r="O152" s="4">
        <f t="shared" si="76"/>
        <v>1</v>
      </c>
      <c r="P152" s="4">
        <f t="shared" si="76"/>
        <v>1</v>
      </c>
      <c r="Q152" s="4">
        <f t="shared" si="76"/>
        <v>1</v>
      </c>
      <c r="R152" s="4">
        <f t="shared" si="76"/>
        <v>1</v>
      </c>
      <c r="S152" s="4">
        <f t="shared" si="76"/>
        <v>1</v>
      </c>
      <c r="U152" s="3">
        <f t="shared" si="72"/>
        <v>0</v>
      </c>
      <c r="V152" s="1" t="str">
        <f t="shared" si="67"/>
        <v/>
      </c>
    </row>
    <row r="153" spans="1:22" x14ac:dyDescent="0.25">
      <c r="A153" s="2">
        <v>150</v>
      </c>
      <c r="B153" s="2">
        <v>3</v>
      </c>
      <c r="C153" s="8" t="s">
        <v>786</v>
      </c>
      <c r="D153" s="2" t="s">
        <v>42</v>
      </c>
      <c r="E153" s="2">
        <v>1</v>
      </c>
      <c r="F153" s="2" t="s">
        <v>938</v>
      </c>
      <c r="G153" s="1" t="str">
        <f>IF(D153="","",VLOOKUP(D153,Table1[#All],2,FALSE))</f>
        <v>DIN 319 Ball Knob, .63" diameter, M4 threaded hole</v>
      </c>
      <c r="H153" s="2">
        <f t="shared" si="77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76"/>
        <v>1</v>
      </c>
      <c r="K153" s="4">
        <f t="shared" si="76"/>
        <v>1</v>
      </c>
      <c r="L153" s="4">
        <f t="shared" si="76"/>
        <v>1</v>
      </c>
      <c r="M153" s="4">
        <f t="shared" si="76"/>
        <v>1</v>
      </c>
      <c r="N153" s="4">
        <f t="shared" si="76"/>
        <v>1</v>
      </c>
      <c r="O153" s="4">
        <f t="shared" si="76"/>
        <v>1</v>
      </c>
      <c r="P153" s="4">
        <f t="shared" si="76"/>
        <v>1</v>
      </c>
      <c r="Q153" s="4">
        <f t="shared" si="76"/>
        <v>1</v>
      </c>
      <c r="R153" s="4">
        <f t="shared" si="76"/>
        <v>1</v>
      </c>
      <c r="S153" s="4">
        <f t="shared" si="76"/>
        <v>1</v>
      </c>
      <c r="U153" s="3">
        <f t="shared" si="72"/>
        <v>7.2021000000000006</v>
      </c>
      <c r="V153" s="1" t="str">
        <f t="shared" si="67"/>
        <v>A-0036</v>
      </c>
    </row>
    <row r="154" spans="1:22" x14ac:dyDescent="0.25">
      <c r="A154" s="2">
        <v>151</v>
      </c>
      <c r="B154" s="2">
        <v>3</v>
      </c>
      <c r="C154" s="30" t="s">
        <v>820</v>
      </c>
      <c r="E154" s="2">
        <v>1</v>
      </c>
      <c r="F154" s="2" t="s">
        <v>938</v>
      </c>
      <c r="G154" s="1" t="str">
        <f>IF(D154="","",VLOOKUP(D154,Table1[#All],2,FALSE))</f>
        <v/>
      </c>
      <c r="H154" s="2">
        <f t="shared" si="77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76"/>
        <v>1</v>
      </c>
      <c r="K154" s="4">
        <f t="shared" si="76"/>
        <v>1</v>
      </c>
      <c r="L154" s="4">
        <f t="shared" si="76"/>
        <v>1</v>
      </c>
      <c r="M154" s="4">
        <f t="shared" si="76"/>
        <v>1</v>
      </c>
      <c r="N154" s="4">
        <f t="shared" si="76"/>
        <v>1</v>
      </c>
      <c r="O154" s="4">
        <f t="shared" si="76"/>
        <v>1</v>
      </c>
      <c r="P154" s="4">
        <f t="shared" si="76"/>
        <v>1</v>
      </c>
      <c r="Q154" s="4">
        <f t="shared" si="76"/>
        <v>1</v>
      </c>
      <c r="R154" s="4">
        <f t="shared" si="76"/>
        <v>1</v>
      </c>
      <c r="S154" s="4">
        <f t="shared" si="76"/>
        <v>1</v>
      </c>
      <c r="U154" s="3" t="str">
        <f t="shared" si="72"/>
        <v/>
      </c>
      <c r="V154" s="1">
        <f t="shared" si="67"/>
        <v>0</v>
      </c>
    </row>
    <row r="155" spans="1:22" x14ac:dyDescent="0.25">
      <c r="A155" s="2">
        <v>152</v>
      </c>
      <c r="B155" s="2">
        <v>3</v>
      </c>
      <c r="C155" s="30" t="s">
        <v>821</v>
      </c>
      <c r="D155" s="2" t="s">
        <v>46</v>
      </c>
      <c r="E155" s="2">
        <v>2</v>
      </c>
      <c r="F155" s="2" t="s">
        <v>938</v>
      </c>
      <c r="G155" s="1" t="str">
        <f>IF(D155="","",VLOOKUP(D155,Table1[#All],2,FALSE))</f>
        <v>M4 x 0.7mm 304 Stainless Steel Nylon Lock Nuts</v>
      </c>
      <c r="H155" s="2">
        <f t="shared" si="77"/>
        <v>2</v>
      </c>
      <c r="I155" s="44">
        <f>IF(D155&lt;&gt;"",(VLOOKUP(D155,part_details,4,FALSE)+VLOOKUP(D155,part_details,5,FALSE)+VLOOKUP(D155,part_details,6,FALSE))*'Multi-level BOM'!E155,"")</f>
        <v>0.12</v>
      </c>
      <c r="J155" s="4">
        <f t="shared" ref="J155:S155" si="78">IF($B155="",J154,
    IF(J$3=$B155,$E155,
       IF(J$3&lt;$B155,J154,
           1
)))</f>
        <v>1</v>
      </c>
      <c r="K155" s="4">
        <f t="shared" si="78"/>
        <v>1</v>
      </c>
      <c r="L155" s="4">
        <f t="shared" si="78"/>
        <v>1</v>
      </c>
      <c r="M155" s="4">
        <f t="shared" si="78"/>
        <v>2</v>
      </c>
      <c r="N155" s="4">
        <f t="shared" si="78"/>
        <v>1</v>
      </c>
      <c r="O155" s="4">
        <f t="shared" si="78"/>
        <v>1</v>
      </c>
      <c r="P155" s="4">
        <f t="shared" si="78"/>
        <v>1</v>
      </c>
      <c r="Q155" s="4">
        <f t="shared" si="78"/>
        <v>1</v>
      </c>
      <c r="R155" s="4">
        <f t="shared" si="78"/>
        <v>1</v>
      </c>
      <c r="S155" s="4">
        <f t="shared" si="78"/>
        <v>1</v>
      </c>
      <c r="U155" s="3">
        <f t="shared" si="72"/>
        <v>0.12</v>
      </c>
      <c r="V155" s="1" t="str">
        <f t="shared" si="67"/>
        <v>A-0040</v>
      </c>
    </row>
    <row r="156" spans="1:22" x14ac:dyDescent="0.25">
      <c r="A156" s="2">
        <v>153</v>
      </c>
      <c r="B156" s="2">
        <v>3</v>
      </c>
      <c r="C156" s="30" t="s">
        <v>791</v>
      </c>
      <c r="D156" s="2" t="s">
        <v>47</v>
      </c>
      <c r="E156" s="2">
        <v>6</v>
      </c>
      <c r="F156" s="2" t="s">
        <v>938</v>
      </c>
      <c r="G156" s="1" t="str">
        <f>IF(D156="","",VLOOKUP(D156,Table1[#All],2,FALSE))</f>
        <v xml:space="preserve">M4x12mmx1 mm Stainless Steel Round Flat Washer </v>
      </c>
      <c r="H156" s="2">
        <f t="shared" si="77"/>
        <v>6</v>
      </c>
      <c r="I156" s="44">
        <f>IF(D156&lt;&gt;"",(VLOOKUP(D156,part_details,4,FALSE)+VLOOKUP(D156,part_details,5,FALSE)+VLOOKUP(D156,part_details,6,FALSE))*'Multi-level BOM'!E156,"")</f>
        <v>7.5000000000000011E-2</v>
      </c>
      <c r="J156" s="4">
        <f t="shared" ref="J156:S156" si="79">IF($B156="",J155,
    IF(J$3=$B156,$E156,
       IF(J$3&lt;$B156,J155,
           1
)))</f>
        <v>1</v>
      </c>
      <c r="K156" s="4">
        <f t="shared" si="79"/>
        <v>1</v>
      </c>
      <c r="L156" s="4">
        <f t="shared" si="79"/>
        <v>1</v>
      </c>
      <c r="M156" s="4">
        <f t="shared" si="79"/>
        <v>6</v>
      </c>
      <c r="N156" s="4">
        <f t="shared" si="79"/>
        <v>1</v>
      </c>
      <c r="O156" s="4">
        <f t="shared" si="79"/>
        <v>1</v>
      </c>
      <c r="P156" s="4">
        <f t="shared" si="79"/>
        <v>1</v>
      </c>
      <c r="Q156" s="4">
        <f t="shared" si="79"/>
        <v>1</v>
      </c>
      <c r="R156" s="4">
        <f t="shared" si="79"/>
        <v>1</v>
      </c>
      <c r="S156" s="4">
        <f t="shared" si="79"/>
        <v>1</v>
      </c>
      <c r="U156" s="3">
        <f t="shared" si="72"/>
        <v>7.5000000000000011E-2</v>
      </c>
      <c r="V156" s="1" t="str">
        <f t="shared" si="67"/>
        <v>A-0041</v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80">IF($B157="",J156,
    IF(J$3=$B157,$E157,
       IF(J$3&lt;$B157,J156,
           1
)))</f>
        <v>1</v>
      </c>
      <c r="K157" s="4">
        <f t="shared" si="80"/>
        <v>1</v>
      </c>
      <c r="L157" s="4">
        <f t="shared" si="80"/>
        <v>1</v>
      </c>
      <c r="M157" s="4">
        <f t="shared" si="80"/>
        <v>6</v>
      </c>
      <c r="N157" s="4">
        <f t="shared" si="80"/>
        <v>1</v>
      </c>
      <c r="O157" s="4">
        <f t="shared" si="80"/>
        <v>1</v>
      </c>
      <c r="P157" s="4">
        <f t="shared" si="80"/>
        <v>1</v>
      </c>
      <c r="Q157" s="4">
        <f t="shared" si="80"/>
        <v>1</v>
      </c>
      <c r="R157" s="4">
        <f t="shared" si="80"/>
        <v>1</v>
      </c>
      <c r="S157" s="4">
        <f t="shared" si="80"/>
        <v>1</v>
      </c>
      <c r="U157" s="3">
        <f t="shared" si="72"/>
        <v>0</v>
      </c>
      <c r="V157" s="1" t="str">
        <f t="shared" si="67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81">IF($B158="",J157,
    IF(J$3=$B158,$E158,
       IF(J$3&lt;$B158,J157,
           1
)))</f>
        <v>1</v>
      </c>
      <c r="K158" s="4">
        <f t="shared" si="81"/>
        <v>1</v>
      </c>
      <c r="L158" s="4">
        <f t="shared" si="81"/>
        <v>1</v>
      </c>
      <c r="M158" s="4">
        <f t="shared" si="81"/>
        <v>6</v>
      </c>
      <c r="N158" s="4">
        <f t="shared" si="81"/>
        <v>1</v>
      </c>
      <c r="O158" s="4">
        <f t="shared" si="81"/>
        <v>1</v>
      </c>
      <c r="P158" s="4">
        <f t="shared" si="81"/>
        <v>1</v>
      </c>
      <c r="Q158" s="4">
        <f t="shared" si="81"/>
        <v>1</v>
      </c>
      <c r="R158" s="4">
        <f t="shared" si="81"/>
        <v>1</v>
      </c>
      <c r="S158" s="4">
        <f t="shared" si="81"/>
        <v>1</v>
      </c>
      <c r="U158" s="3">
        <f t="shared" si="72"/>
        <v>0</v>
      </c>
      <c r="V158" s="1" t="str">
        <f t="shared" si="67"/>
        <v/>
      </c>
    </row>
    <row r="159" spans="1:22" x14ac:dyDescent="0.25">
      <c r="A159" s="2">
        <v>156</v>
      </c>
      <c r="B159" s="2">
        <v>2</v>
      </c>
      <c r="C159" s="7" t="s">
        <v>727</v>
      </c>
      <c r="E159" s="2">
        <v>1</v>
      </c>
      <c r="G159" s="1" t="str">
        <f>IF(D159="","",VLOOKUP(D159,Table1[#All],2,FALSE))</f>
        <v/>
      </c>
      <c r="H159" s="2">
        <f t="shared" ref="H159:H171" si="82">PRODUCT(J159:S159)</f>
        <v>1</v>
      </c>
      <c r="I159" s="45">
        <f>H159*SUM(I160:I177)</f>
        <v>114.47584807692309</v>
      </c>
      <c r="J159" s="4">
        <f t="shared" ref="J159:S160" si="83">IF($B159="",J158,
    IF(J$3=$B159,$E159,
       IF(J$3&lt;$B159,J158,
           1
)))</f>
        <v>1</v>
      </c>
      <c r="K159" s="4">
        <f t="shared" si="83"/>
        <v>1</v>
      </c>
      <c r="L159" s="4">
        <f t="shared" si="83"/>
        <v>1</v>
      </c>
      <c r="M159" s="4">
        <f t="shared" si="83"/>
        <v>1</v>
      </c>
      <c r="N159" s="4">
        <f t="shared" si="83"/>
        <v>1</v>
      </c>
      <c r="O159" s="4">
        <f t="shared" si="83"/>
        <v>1</v>
      </c>
      <c r="P159" s="4">
        <f t="shared" si="83"/>
        <v>1</v>
      </c>
      <c r="Q159" s="4">
        <f t="shared" si="83"/>
        <v>1</v>
      </c>
      <c r="R159" s="4">
        <f t="shared" si="83"/>
        <v>1</v>
      </c>
      <c r="S159" s="4">
        <f t="shared" si="83"/>
        <v>1</v>
      </c>
      <c r="U159" s="3">
        <f t="shared" si="72"/>
        <v>0</v>
      </c>
      <c r="V159" s="1" t="str">
        <f t="shared" si="67"/>
        <v/>
      </c>
    </row>
    <row r="160" spans="1:22" x14ac:dyDescent="0.25">
      <c r="A160" s="2">
        <v>157</v>
      </c>
      <c r="B160" s="2">
        <v>3</v>
      </c>
      <c r="C160" s="8" t="s">
        <v>707</v>
      </c>
      <c r="D160" s="2" t="s">
        <v>17</v>
      </c>
      <c r="E160" s="2">
        <v>1</v>
      </c>
      <c r="F160" s="2" t="s">
        <v>938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82"/>
        <v>1</v>
      </c>
      <c r="I160" s="44">
        <f>IF(D160&lt;&gt;"",(VLOOKUP(D160,part_details,4,FALSE)+VLOOKUP(D160,part_details,5,FALSE)+VLOOKUP(D160,part_details,6,FALSE))*'Multi-level BOM'!E160,"")</f>
        <v>33.81</v>
      </c>
      <c r="J160" s="4">
        <f t="shared" si="83"/>
        <v>1</v>
      </c>
      <c r="K160" s="4">
        <f t="shared" si="83"/>
        <v>1</v>
      </c>
      <c r="L160" s="4">
        <f t="shared" si="83"/>
        <v>1</v>
      </c>
      <c r="M160" s="4">
        <f t="shared" si="83"/>
        <v>1</v>
      </c>
      <c r="N160" s="4">
        <f t="shared" si="83"/>
        <v>1</v>
      </c>
      <c r="O160" s="4">
        <f t="shared" si="83"/>
        <v>1</v>
      </c>
      <c r="P160" s="4">
        <f t="shared" si="83"/>
        <v>1</v>
      </c>
      <c r="Q160" s="4">
        <f t="shared" si="83"/>
        <v>1</v>
      </c>
      <c r="R160" s="4">
        <f t="shared" si="83"/>
        <v>1</v>
      </c>
      <c r="S160" s="4">
        <f t="shared" si="83"/>
        <v>1</v>
      </c>
      <c r="U160" s="3">
        <f t="shared" si="72"/>
        <v>33.81</v>
      </c>
      <c r="V160" s="1" t="str">
        <f t="shared" si="67"/>
        <v>A-0011</v>
      </c>
    </row>
    <row r="161" spans="1:22" x14ac:dyDescent="0.25">
      <c r="A161" s="2">
        <v>158</v>
      </c>
      <c r="B161" s="2">
        <v>3</v>
      </c>
      <c r="C161" s="8" t="s">
        <v>690</v>
      </c>
      <c r="D161" s="2" t="s">
        <v>18</v>
      </c>
      <c r="E161" s="2">
        <v>13</v>
      </c>
      <c r="F161" s="2" t="s">
        <v>938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82"/>
        <v>13</v>
      </c>
      <c r="I161" s="44">
        <f>IF(D161&lt;&gt;"",(VLOOKUP(D161,part_details,4,FALSE)+VLOOKUP(D161,part_details,5,FALSE)+VLOOKUP(D161,part_details,6,FALSE))*'Multi-level BOM'!E161,"")</f>
        <v>1.1895</v>
      </c>
      <c r="J161" s="4">
        <f t="shared" ref="J161:S161" si="84">IF($B161="",J160,
    IF(J$3=$B161,$E161,
       IF(J$3&lt;$B161,J160,
           1
)))</f>
        <v>1</v>
      </c>
      <c r="K161" s="4">
        <f t="shared" si="84"/>
        <v>1</v>
      </c>
      <c r="L161" s="4">
        <f t="shared" si="84"/>
        <v>1</v>
      </c>
      <c r="M161" s="4">
        <f t="shared" si="84"/>
        <v>13</v>
      </c>
      <c r="N161" s="4">
        <f t="shared" si="84"/>
        <v>1</v>
      </c>
      <c r="O161" s="4">
        <f t="shared" si="84"/>
        <v>1</v>
      </c>
      <c r="P161" s="4">
        <f t="shared" si="84"/>
        <v>1</v>
      </c>
      <c r="Q161" s="4">
        <f t="shared" si="84"/>
        <v>1</v>
      </c>
      <c r="R161" s="4">
        <f t="shared" si="84"/>
        <v>1</v>
      </c>
      <c r="S161" s="4">
        <f t="shared" si="84"/>
        <v>1</v>
      </c>
      <c r="U161" s="3">
        <f t="shared" si="72"/>
        <v>1.1895</v>
      </c>
      <c r="V161" s="1" t="str">
        <f t="shared" si="67"/>
        <v>A-0012</v>
      </c>
    </row>
    <row r="162" spans="1:22" x14ac:dyDescent="0.25">
      <c r="A162" s="2">
        <v>159</v>
      </c>
      <c r="B162" s="2">
        <v>3</v>
      </c>
      <c r="C162" s="8" t="s">
        <v>712</v>
      </c>
      <c r="D162" s="2" t="s">
        <v>24</v>
      </c>
      <c r="E162" s="2">
        <v>1</v>
      </c>
      <c r="F162" s="2" t="s">
        <v>938</v>
      </c>
      <c r="G162" s="1" t="str">
        <f>IF(D162="","",VLOOKUP(D162,Table1[#All],2,FALSE))</f>
        <v>.625 x .375 aluminum bar T6061, 24 in long</v>
      </c>
      <c r="H162" s="2">
        <f t="shared" si="82"/>
        <v>1</v>
      </c>
      <c r="I162" s="44">
        <f>IF(D162&lt;&gt;"",(VLOOKUP(D162,part_details,4,FALSE)+VLOOKUP(D162,part_details,5,FALSE)+VLOOKUP(D162,part_details,6,FALSE))*'Multi-level BOM'!E162,"")</f>
        <v>6.0766</v>
      </c>
      <c r="J162" s="4">
        <f t="shared" ref="J162:S162" si="85">IF($B162="",J161,
    IF(J$3=$B162,$E162,
       IF(J$3&lt;$B162,J161,
           1
)))</f>
        <v>1</v>
      </c>
      <c r="K162" s="4">
        <f t="shared" si="85"/>
        <v>1</v>
      </c>
      <c r="L162" s="4">
        <f t="shared" si="85"/>
        <v>1</v>
      </c>
      <c r="M162" s="4">
        <f t="shared" si="85"/>
        <v>1</v>
      </c>
      <c r="N162" s="4">
        <f t="shared" si="85"/>
        <v>1</v>
      </c>
      <c r="O162" s="4">
        <f t="shared" si="85"/>
        <v>1</v>
      </c>
      <c r="P162" s="4">
        <f t="shared" si="85"/>
        <v>1</v>
      </c>
      <c r="Q162" s="4">
        <f t="shared" si="85"/>
        <v>1</v>
      </c>
      <c r="R162" s="4">
        <f t="shared" si="85"/>
        <v>1</v>
      </c>
      <c r="S162" s="4">
        <f t="shared" si="85"/>
        <v>1</v>
      </c>
      <c r="U162" s="3">
        <f t="shared" si="72"/>
        <v>6.0766</v>
      </c>
      <c r="V162" s="1" t="str">
        <f t="shared" si="67"/>
        <v>A-0018</v>
      </c>
    </row>
    <row r="163" spans="1:22" x14ac:dyDescent="0.25">
      <c r="A163" s="2">
        <v>160</v>
      </c>
      <c r="B163" s="2">
        <v>3</v>
      </c>
      <c r="C163" s="8" t="s">
        <v>713</v>
      </c>
      <c r="D163" s="2" t="s">
        <v>25</v>
      </c>
      <c r="E163" s="2">
        <v>1</v>
      </c>
      <c r="G163" s="1" t="str">
        <f>IF(D163="","",VLOOKUP(D163,Table1[#All],2,FALSE))</f>
        <v>Nema 17 Bipolar Stepper 0.9deg(400 steps/rev) 1.68A 44Ncm(62.3oz.in) Motor, 5mm shaft</v>
      </c>
      <c r="H163" s="2">
        <f t="shared" si="82"/>
        <v>1</v>
      </c>
      <c r="I163" s="44">
        <f>IF(D163&lt;&gt;"",(VLOOKUP(D163,part_details,4,FALSE)+VLOOKUP(D163,part_details,5,FALSE)+VLOOKUP(D163,part_details,6,FALSE))*'Multi-level BOM'!E163,"")</f>
        <v>23.4895</v>
      </c>
      <c r="J163" s="4">
        <f t="shared" ref="J163:S163" si="86">IF($B163="",J162,
    IF(J$3=$B163,$E163,
       IF(J$3&lt;$B163,J162,
           1
)))</f>
        <v>1</v>
      </c>
      <c r="K163" s="4">
        <f t="shared" si="86"/>
        <v>1</v>
      </c>
      <c r="L163" s="4">
        <f t="shared" si="86"/>
        <v>1</v>
      </c>
      <c r="M163" s="4">
        <f t="shared" si="86"/>
        <v>1</v>
      </c>
      <c r="N163" s="4">
        <f t="shared" si="86"/>
        <v>1</v>
      </c>
      <c r="O163" s="4">
        <f t="shared" si="86"/>
        <v>1</v>
      </c>
      <c r="P163" s="4">
        <f t="shared" si="86"/>
        <v>1</v>
      </c>
      <c r="Q163" s="4">
        <f t="shared" si="86"/>
        <v>1</v>
      </c>
      <c r="R163" s="4">
        <f t="shared" si="86"/>
        <v>1</v>
      </c>
      <c r="S163" s="4">
        <f t="shared" si="86"/>
        <v>1</v>
      </c>
      <c r="U163" s="3">
        <f t="shared" si="72"/>
        <v>0</v>
      </c>
      <c r="V163" s="1" t="str">
        <f t="shared" si="67"/>
        <v/>
      </c>
    </row>
    <row r="164" spans="1:22" x14ac:dyDescent="0.25">
      <c r="A164" s="2">
        <v>161</v>
      </c>
      <c r="B164" s="2">
        <v>3</v>
      </c>
      <c r="C164" s="8" t="s">
        <v>886</v>
      </c>
      <c r="D164" s="2" t="s">
        <v>67</v>
      </c>
      <c r="E164" s="2">
        <v>4</v>
      </c>
      <c r="F164" s="2" t="s">
        <v>938</v>
      </c>
      <c r="G164" s="1" t="str">
        <f>IF(D164="","",VLOOKUP(D164,Table1[#All],2,FALSE))</f>
        <v xml:space="preserve">M4 x 10mm Alloy Steel Hex Bolt Socket Head Cap Screws </v>
      </c>
      <c r="H164" s="2">
        <f t="shared" si="82"/>
        <v>4</v>
      </c>
      <c r="I164" s="44">
        <f>IF(D164&lt;&gt;"",(VLOOKUP(D164,part_details,4,FALSE)+VLOOKUP(D164,part_details,5,FALSE)+VLOOKUP(D164,part_details,6,FALSE))*'Multi-level BOM'!E164,"")</f>
        <v>0.4</v>
      </c>
      <c r="J164" s="4">
        <f t="shared" ref="J164:S164" si="87">IF($B164="",J163,
    IF(J$3=$B164,$E164,
       IF(J$3&lt;$B164,J163,
           1
)))</f>
        <v>1</v>
      </c>
      <c r="K164" s="4">
        <f t="shared" si="87"/>
        <v>1</v>
      </c>
      <c r="L164" s="4">
        <f t="shared" si="87"/>
        <v>1</v>
      </c>
      <c r="M164" s="4">
        <f t="shared" si="87"/>
        <v>4</v>
      </c>
      <c r="N164" s="4">
        <f t="shared" si="87"/>
        <v>1</v>
      </c>
      <c r="O164" s="4">
        <f t="shared" si="87"/>
        <v>1</v>
      </c>
      <c r="P164" s="4">
        <f t="shared" si="87"/>
        <v>1</v>
      </c>
      <c r="Q164" s="4">
        <f t="shared" si="87"/>
        <v>1</v>
      </c>
      <c r="R164" s="4">
        <f t="shared" si="87"/>
        <v>1</v>
      </c>
      <c r="S164" s="4">
        <f t="shared" si="87"/>
        <v>1</v>
      </c>
      <c r="U164" s="3">
        <f t="shared" si="72"/>
        <v>0.4</v>
      </c>
      <c r="V164" s="1" t="str">
        <f t="shared" si="67"/>
        <v>A-0061</v>
      </c>
    </row>
    <row r="165" spans="1:22" x14ac:dyDescent="0.25">
      <c r="A165" s="2">
        <v>162</v>
      </c>
      <c r="B165" s="2">
        <v>3</v>
      </c>
      <c r="C165" s="8" t="s">
        <v>791</v>
      </c>
      <c r="D165" s="2" t="s">
        <v>47</v>
      </c>
      <c r="E165" s="2">
        <v>4</v>
      </c>
      <c r="F165" s="2" t="s">
        <v>938</v>
      </c>
      <c r="G165" s="1" t="str">
        <f>IF(D165="","",VLOOKUP(D165,Table1[#All],2,FALSE))</f>
        <v xml:space="preserve">M4x12mmx1 mm Stainless Steel Round Flat Washer </v>
      </c>
      <c r="H165" s="2">
        <f t="shared" si="82"/>
        <v>4</v>
      </c>
      <c r="I165" s="44">
        <f>IF(D165&lt;&gt;"",(VLOOKUP(D165,part_details,4,FALSE)+VLOOKUP(D165,part_details,5,FALSE)+VLOOKUP(D165,part_details,6,FALSE))*'Multi-level BOM'!E165,"")</f>
        <v>0.05</v>
      </c>
      <c r="J165" s="4">
        <f t="shared" ref="J165:S165" si="88">IF($B165="",J164,
    IF(J$3=$B165,$E165,
       IF(J$3&lt;$B165,J164,
           1
)))</f>
        <v>1</v>
      </c>
      <c r="K165" s="4">
        <f t="shared" si="88"/>
        <v>1</v>
      </c>
      <c r="L165" s="4">
        <f t="shared" si="88"/>
        <v>1</v>
      </c>
      <c r="M165" s="4">
        <f t="shared" si="88"/>
        <v>4</v>
      </c>
      <c r="N165" s="4">
        <f t="shared" si="88"/>
        <v>1</v>
      </c>
      <c r="O165" s="4">
        <f t="shared" si="88"/>
        <v>1</v>
      </c>
      <c r="P165" s="4">
        <f t="shared" si="88"/>
        <v>1</v>
      </c>
      <c r="Q165" s="4">
        <f t="shared" si="88"/>
        <v>1</v>
      </c>
      <c r="R165" s="4">
        <f t="shared" si="88"/>
        <v>1</v>
      </c>
      <c r="S165" s="4">
        <f t="shared" si="88"/>
        <v>1</v>
      </c>
      <c r="U165" s="3">
        <f t="shared" si="72"/>
        <v>0.05</v>
      </c>
      <c r="V165" s="1" t="str">
        <f t="shared" si="67"/>
        <v>A-0041</v>
      </c>
    </row>
    <row r="166" spans="1:22" x14ac:dyDescent="0.25">
      <c r="A166" s="2">
        <v>163</v>
      </c>
      <c r="B166" s="2">
        <v>3</v>
      </c>
      <c r="C166" s="8" t="s">
        <v>883</v>
      </c>
      <c r="D166" s="2" t="s">
        <v>26</v>
      </c>
      <c r="E166" s="2">
        <v>1</v>
      </c>
      <c r="F166" s="2" t="s">
        <v>938</v>
      </c>
      <c r="G166" s="1" t="str">
        <f>IF(D166="","",VLOOKUP(D166,Table1[#All],2,FALSE))</f>
        <v>Witbot 500mm 8mm T8 Lead Screw Set Lead Screw+ Pillow Bearing Block + Copper Nut + Coupler for 3D Printer</v>
      </c>
      <c r="H166" s="2">
        <f t="shared" si="82"/>
        <v>1</v>
      </c>
      <c r="I166" s="44">
        <f>IF(D166&lt;&gt;"",(VLOOKUP(D166,part_details,4,FALSE)+VLOOKUP(D166,part_details,5,FALSE)+VLOOKUP(D166,part_details,6,FALSE))*'Multi-level BOM'!E166,"")</f>
        <v>21.778200000000002</v>
      </c>
      <c r="J166" s="4">
        <f t="shared" ref="J166:S166" si="89">IF($B166="",J165,
    IF(J$3=$B166,$E166,
       IF(J$3&lt;$B166,J165,
           1
)))</f>
        <v>1</v>
      </c>
      <c r="K166" s="4">
        <f t="shared" si="89"/>
        <v>1</v>
      </c>
      <c r="L166" s="4">
        <f t="shared" si="89"/>
        <v>1</v>
      </c>
      <c r="M166" s="4">
        <f t="shared" si="89"/>
        <v>1</v>
      </c>
      <c r="N166" s="4">
        <f t="shared" si="89"/>
        <v>1</v>
      </c>
      <c r="O166" s="4">
        <f t="shared" si="89"/>
        <v>1</v>
      </c>
      <c r="P166" s="4">
        <f t="shared" si="89"/>
        <v>1</v>
      </c>
      <c r="Q166" s="4">
        <f t="shared" si="89"/>
        <v>1</v>
      </c>
      <c r="R166" s="4">
        <f t="shared" si="89"/>
        <v>1</v>
      </c>
      <c r="S166" s="4">
        <f t="shared" si="89"/>
        <v>1</v>
      </c>
      <c r="U166" s="3">
        <f t="shared" si="72"/>
        <v>21.778200000000002</v>
      </c>
      <c r="V166" s="1" t="str">
        <f t="shared" si="67"/>
        <v>A-0020</v>
      </c>
    </row>
    <row r="167" spans="1:22" x14ac:dyDescent="0.25">
      <c r="A167" s="2">
        <v>164</v>
      </c>
      <c r="B167" s="2">
        <v>3</v>
      </c>
      <c r="C167" s="8" t="s">
        <v>884</v>
      </c>
      <c r="D167" s="2" t="s">
        <v>66</v>
      </c>
      <c r="E167" s="2">
        <v>1</v>
      </c>
      <c r="F167" s="2" t="s">
        <v>938</v>
      </c>
      <c r="G167" s="1" t="str">
        <f>IF(D167="","",VLOOKUP(D167,Table1[#All],2,FALSE))</f>
        <v>Flexible Couplings 5mm to 8mm NEMA 17 Shaft Coupler</v>
      </c>
      <c r="H167" s="2">
        <f t="shared" si="82"/>
        <v>1</v>
      </c>
      <c r="I167" s="44">
        <f>IF(D167&lt;&gt;"",(VLOOKUP(D167,part_details,4,FALSE)+VLOOKUP(D167,part_details,5,FALSE)+VLOOKUP(D167,part_details,6,FALSE))*'Multi-level BOM'!E167,"")</f>
        <v>10.305499999999999</v>
      </c>
      <c r="J167" s="4">
        <f t="shared" ref="J167:S167" si="90">IF($B167="",J166,
    IF(J$3=$B167,$E167,
       IF(J$3&lt;$B167,J166,
           1
)))</f>
        <v>1</v>
      </c>
      <c r="K167" s="4">
        <f t="shared" si="90"/>
        <v>1</v>
      </c>
      <c r="L167" s="4">
        <f t="shared" si="90"/>
        <v>1</v>
      </c>
      <c r="M167" s="4">
        <f t="shared" si="90"/>
        <v>1</v>
      </c>
      <c r="N167" s="4">
        <f t="shared" si="90"/>
        <v>1</v>
      </c>
      <c r="O167" s="4">
        <f t="shared" si="90"/>
        <v>1</v>
      </c>
      <c r="P167" s="4">
        <f t="shared" si="90"/>
        <v>1</v>
      </c>
      <c r="Q167" s="4">
        <f t="shared" si="90"/>
        <v>1</v>
      </c>
      <c r="R167" s="4">
        <f t="shared" si="90"/>
        <v>1</v>
      </c>
      <c r="S167" s="4">
        <f t="shared" si="90"/>
        <v>1</v>
      </c>
      <c r="U167" s="3">
        <f t="shared" si="72"/>
        <v>10.305499999999999</v>
      </c>
      <c r="V167" s="1" t="str">
        <f t="shared" si="67"/>
        <v>A-0060</v>
      </c>
    </row>
    <row r="168" spans="1:22" x14ac:dyDescent="0.25">
      <c r="A168" s="2">
        <v>165</v>
      </c>
      <c r="B168" s="2">
        <v>3</v>
      </c>
      <c r="C168" s="8" t="s">
        <v>927</v>
      </c>
      <c r="D168" s="2" t="s">
        <v>29</v>
      </c>
      <c r="E168" s="2">
        <v>1</v>
      </c>
      <c r="F168" s="2" t="s">
        <v>938</v>
      </c>
      <c r="G168" s="1" t="str">
        <f>IF(D168="","",VLOOKUP(D168,Table1[#All],2,FALSE))</f>
        <v>T6061 Al Angle extrusion 3" x 3" x .25 thick, 3" long</v>
      </c>
      <c r="H168" s="2">
        <f t="shared" si="82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91">IF($B168="",J167,
    IF(J$3=$B168,$E168,
       IF(J$3&lt;$B168,J167,
           1
)))</f>
        <v>1</v>
      </c>
      <c r="K168" s="4">
        <f t="shared" si="91"/>
        <v>1</v>
      </c>
      <c r="L168" s="4">
        <f t="shared" si="91"/>
        <v>1</v>
      </c>
      <c r="M168" s="4">
        <f t="shared" si="91"/>
        <v>1</v>
      </c>
      <c r="N168" s="4">
        <f t="shared" si="91"/>
        <v>1</v>
      </c>
      <c r="O168" s="4">
        <f t="shared" si="91"/>
        <v>1</v>
      </c>
      <c r="P168" s="4">
        <f t="shared" si="91"/>
        <v>1</v>
      </c>
      <c r="Q168" s="4">
        <f t="shared" si="91"/>
        <v>1</v>
      </c>
      <c r="R168" s="4">
        <f t="shared" si="91"/>
        <v>1</v>
      </c>
      <c r="S168" s="4">
        <f t="shared" si="91"/>
        <v>1</v>
      </c>
      <c r="U168" s="3">
        <f t="shared" si="72"/>
        <v>4.7693750000000001</v>
      </c>
      <c r="V168" s="1" t="str">
        <f t="shared" si="67"/>
        <v>A-0023</v>
      </c>
    </row>
    <row r="169" spans="1:22" x14ac:dyDescent="0.25">
      <c r="A169" s="2">
        <v>166</v>
      </c>
      <c r="B169" s="2">
        <v>3</v>
      </c>
      <c r="C169" s="8" t="s">
        <v>720</v>
      </c>
      <c r="D169" s="2" t="s">
        <v>32</v>
      </c>
      <c r="E169" s="2">
        <v>3</v>
      </c>
      <c r="F169" s="2" t="s">
        <v>938</v>
      </c>
      <c r="G169" s="1" t="str">
        <f>IF(D169="","",VLOOKUP(D169,Table1[#All],2,FALSE))</f>
        <v>M5-0.8 x 16mm Button Head Socket Cap Screws</v>
      </c>
      <c r="H169" s="2">
        <f t="shared" si="82"/>
        <v>3</v>
      </c>
      <c r="I169" s="44">
        <f>IF(D169&lt;&gt;"",(VLOOKUP(D169,part_details,4,FALSE)+VLOOKUP(D169,part_details,5,FALSE)+VLOOKUP(D169,part_details,6,FALSE))*'Multi-level BOM'!E169,"")</f>
        <v>0.36</v>
      </c>
      <c r="J169" s="4">
        <f t="shared" ref="J169:S169" si="92">IF($B169="",J168,
    IF(J$3=$B169,$E169,
       IF(J$3&lt;$B169,J168,
           1
)))</f>
        <v>1</v>
      </c>
      <c r="K169" s="4">
        <f t="shared" si="92"/>
        <v>1</v>
      </c>
      <c r="L169" s="4">
        <f t="shared" si="92"/>
        <v>1</v>
      </c>
      <c r="M169" s="4">
        <f t="shared" si="92"/>
        <v>3</v>
      </c>
      <c r="N169" s="4">
        <f t="shared" si="92"/>
        <v>1</v>
      </c>
      <c r="O169" s="4">
        <f t="shared" si="92"/>
        <v>1</v>
      </c>
      <c r="P169" s="4">
        <f t="shared" si="92"/>
        <v>1</v>
      </c>
      <c r="Q169" s="4">
        <f t="shared" si="92"/>
        <v>1</v>
      </c>
      <c r="R169" s="4">
        <f t="shared" si="92"/>
        <v>1</v>
      </c>
      <c r="S169" s="4">
        <f t="shared" si="92"/>
        <v>1</v>
      </c>
      <c r="U169" s="3">
        <f t="shared" si="72"/>
        <v>0.36</v>
      </c>
      <c r="V169" s="1" t="str">
        <f t="shared" si="67"/>
        <v>A-0026</v>
      </c>
    </row>
    <row r="170" spans="1:22" x14ac:dyDescent="0.25">
      <c r="A170" s="2">
        <v>167</v>
      </c>
      <c r="B170" s="2">
        <v>3</v>
      </c>
      <c r="C170" s="8" t="s">
        <v>889</v>
      </c>
      <c r="D170" s="2" t="s">
        <v>68</v>
      </c>
      <c r="E170" s="2">
        <v>3</v>
      </c>
      <c r="F170" s="2" t="s">
        <v>938</v>
      </c>
      <c r="G170" s="1" t="str">
        <f>IF(D170="","",VLOOKUP(D170,Table1[#All],2,FALSE))</f>
        <v>M5x10mmx1mm Stainless Steel Metric Round Flat Washer</v>
      </c>
      <c r="H170" s="2">
        <f t="shared" si="82"/>
        <v>3</v>
      </c>
      <c r="I170" s="44">
        <f>IF(D170&lt;&gt;"",(VLOOKUP(D170,part_details,4,FALSE)+VLOOKUP(D170,part_details,5,FALSE)+VLOOKUP(D170,part_details,6,FALSE))*'Multi-level BOM'!E170,"")</f>
        <v>5.3100000000000001E-2</v>
      </c>
      <c r="J170" s="4">
        <f t="shared" ref="J170:S170" si="93">IF($B170="",J169,
    IF(J$3=$B170,$E170,
       IF(J$3&lt;$B170,J169,
           1
)))</f>
        <v>1</v>
      </c>
      <c r="K170" s="4">
        <f t="shared" si="93"/>
        <v>1</v>
      </c>
      <c r="L170" s="4">
        <f t="shared" si="93"/>
        <v>1</v>
      </c>
      <c r="M170" s="4">
        <f t="shared" si="93"/>
        <v>3</v>
      </c>
      <c r="N170" s="4">
        <f t="shared" si="93"/>
        <v>1</v>
      </c>
      <c r="O170" s="4">
        <f t="shared" si="93"/>
        <v>1</v>
      </c>
      <c r="P170" s="4">
        <f t="shared" si="93"/>
        <v>1</v>
      </c>
      <c r="Q170" s="4">
        <f t="shared" si="93"/>
        <v>1</v>
      </c>
      <c r="R170" s="4">
        <f t="shared" si="93"/>
        <v>1</v>
      </c>
      <c r="S170" s="4">
        <f t="shared" si="93"/>
        <v>1</v>
      </c>
      <c r="U170" s="3">
        <f t="shared" si="72"/>
        <v>5.3100000000000001E-2</v>
      </c>
      <c r="V170" s="1" t="str">
        <f t="shared" si="67"/>
        <v>A-0062</v>
      </c>
    </row>
    <row r="171" spans="1:22" x14ac:dyDescent="0.25">
      <c r="A171" s="2">
        <v>168</v>
      </c>
      <c r="B171" s="2">
        <v>3</v>
      </c>
      <c r="C171" s="8" t="s">
        <v>723</v>
      </c>
      <c r="D171" s="2" t="s">
        <v>33</v>
      </c>
      <c r="E171" s="2">
        <v>3</v>
      </c>
      <c r="F171" s="2" t="s">
        <v>938</v>
      </c>
      <c r="G171" s="1" t="str">
        <f>IF(D171="","",VLOOKUP(D171,Table1[#All],2,FALSE))</f>
        <v>Sliding T Slot Nuts 4040 Series M5 26 Pack T Nuts Carbon Steel</v>
      </c>
      <c r="H171" s="2">
        <f t="shared" si="82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94">IF($B171="",J170,
    IF(J$3=$B171,$E171,
       IF(J$3&lt;$B171,J170,
           1
)))</f>
        <v>1</v>
      </c>
      <c r="K171" s="4">
        <f t="shared" si="94"/>
        <v>1</v>
      </c>
      <c r="L171" s="4">
        <f t="shared" si="94"/>
        <v>1</v>
      </c>
      <c r="M171" s="4">
        <f t="shared" si="94"/>
        <v>3</v>
      </c>
      <c r="N171" s="4">
        <f t="shared" si="94"/>
        <v>1</v>
      </c>
      <c r="O171" s="4">
        <f t="shared" si="94"/>
        <v>1</v>
      </c>
      <c r="P171" s="4">
        <f t="shared" si="94"/>
        <v>1</v>
      </c>
      <c r="Q171" s="4">
        <f t="shared" si="94"/>
        <v>1</v>
      </c>
      <c r="R171" s="4">
        <f t="shared" si="94"/>
        <v>1</v>
      </c>
      <c r="S171" s="4">
        <f t="shared" si="94"/>
        <v>1</v>
      </c>
      <c r="U171" s="3">
        <f t="shared" si="72"/>
        <v>1.0174730769230771</v>
      </c>
      <c r="V171" s="1" t="str">
        <f t="shared" si="67"/>
        <v>A-0027</v>
      </c>
    </row>
    <row r="172" spans="1:22" x14ac:dyDescent="0.25">
      <c r="A172" s="2">
        <v>169</v>
      </c>
      <c r="B172" s="2">
        <v>3</v>
      </c>
      <c r="C172" s="8" t="s">
        <v>885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6" si="95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96">IF($B172="",J171,
    IF(J$3=$B172,$E172,
       IF(J$3&lt;$B172,J171,
           1
)))</f>
        <v>1</v>
      </c>
      <c r="K172" s="4">
        <f t="shared" si="96"/>
        <v>1</v>
      </c>
      <c r="L172" s="4">
        <f t="shared" si="96"/>
        <v>1</v>
      </c>
      <c r="M172" s="4">
        <f t="shared" si="96"/>
        <v>1</v>
      </c>
      <c r="N172" s="4">
        <f t="shared" si="96"/>
        <v>1</v>
      </c>
      <c r="O172" s="4">
        <f t="shared" si="96"/>
        <v>1</v>
      </c>
      <c r="P172" s="4">
        <f t="shared" si="96"/>
        <v>1</v>
      </c>
      <c r="Q172" s="4">
        <f t="shared" si="96"/>
        <v>1</v>
      </c>
      <c r="R172" s="4">
        <f t="shared" si="96"/>
        <v>1</v>
      </c>
      <c r="S172" s="4">
        <f t="shared" si="96"/>
        <v>1</v>
      </c>
      <c r="U172" s="3">
        <f t="shared" si="72"/>
        <v>0</v>
      </c>
      <c r="V172" s="1" t="str">
        <f t="shared" si="67"/>
        <v/>
      </c>
    </row>
    <row r="173" spans="1:22" x14ac:dyDescent="0.25">
      <c r="A173" s="2">
        <v>170</v>
      </c>
      <c r="B173" s="2">
        <v>3</v>
      </c>
      <c r="C173" s="8" t="s">
        <v>732</v>
      </c>
      <c r="D173" s="2" t="s">
        <v>31</v>
      </c>
      <c r="E173" s="2">
        <v>1</v>
      </c>
      <c r="F173" s="2" t="s">
        <v>938</v>
      </c>
      <c r="G173" s="1" t="str">
        <f>IF(D173="","",VLOOKUP(D173,Table1[#All],2,FALSE))</f>
        <v>T 6061 Al Angle extrusion 2" x 2" x .125" 6" aluminum (for side ball mount)</v>
      </c>
      <c r="H173" s="2">
        <f t="shared" si="95"/>
        <v>1</v>
      </c>
      <c r="I173" s="44">
        <f>IF(D173&lt;&gt;"",(VLOOKUP(D173,part_details,4,FALSE)+VLOOKUP(D173,part_details,5,FALSE)+VLOOKUP(D173,part_details,6,FALSE))*'Multi-level BOM'!E173,"")</f>
        <v>3.7794999999999996</v>
      </c>
      <c r="J173" s="4">
        <f t="shared" ref="J173:S173" si="97">IF($B173="",J172,
    IF(J$3=$B173,$E173,
       IF(J$3&lt;$B173,J172,
           1
)))</f>
        <v>1</v>
      </c>
      <c r="K173" s="4">
        <f t="shared" si="97"/>
        <v>1</v>
      </c>
      <c r="L173" s="4">
        <f t="shared" si="97"/>
        <v>1</v>
      </c>
      <c r="M173" s="4">
        <f t="shared" si="97"/>
        <v>1</v>
      </c>
      <c r="N173" s="4">
        <f t="shared" si="97"/>
        <v>1</v>
      </c>
      <c r="O173" s="4">
        <f t="shared" si="97"/>
        <v>1</v>
      </c>
      <c r="P173" s="4">
        <f t="shared" si="97"/>
        <v>1</v>
      </c>
      <c r="Q173" s="4">
        <f t="shared" si="97"/>
        <v>1</v>
      </c>
      <c r="R173" s="4">
        <f t="shared" si="97"/>
        <v>1</v>
      </c>
      <c r="S173" s="4">
        <f t="shared" si="97"/>
        <v>1</v>
      </c>
      <c r="U173" s="3">
        <f t="shared" si="72"/>
        <v>3.7794999999999996</v>
      </c>
      <c r="V173" s="1" t="str">
        <f t="shared" si="67"/>
        <v>A-0025</v>
      </c>
    </row>
    <row r="174" spans="1:22" x14ac:dyDescent="0.25">
      <c r="A174" s="2">
        <v>171</v>
      </c>
      <c r="B174" s="2">
        <v>3</v>
      </c>
      <c r="C174" s="8" t="s">
        <v>786</v>
      </c>
      <c r="D174" s="2" t="s">
        <v>42</v>
      </c>
      <c r="E174" s="2">
        <v>1</v>
      </c>
      <c r="F174" s="2" t="s">
        <v>938</v>
      </c>
      <c r="G174" s="1" t="str">
        <f>IF(D174="","",VLOOKUP(D174,Table1[#All],2,FALSE))</f>
        <v>DIN 319 Ball Knob, .63" diameter, M4 threaded hole</v>
      </c>
      <c r="H174" s="2">
        <f t="shared" si="95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98">IF($B174="",J173,
    IF(J$3=$B174,$E174,
       IF(J$3&lt;$B174,J173,
           1
)))</f>
        <v>1</v>
      </c>
      <c r="K174" s="4">
        <f t="shared" si="98"/>
        <v>1</v>
      </c>
      <c r="L174" s="4">
        <f t="shared" si="98"/>
        <v>1</v>
      </c>
      <c r="M174" s="4">
        <f t="shared" si="98"/>
        <v>1</v>
      </c>
      <c r="N174" s="4">
        <f t="shared" si="98"/>
        <v>1</v>
      </c>
      <c r="O174" s="4">
        <f t="shared" si="98"/>
        <v>1</v>
      </c>
      <c r="P174" s="4">
        <f t="shared" si="98"/>
        <v>1</v>
      </c>
      <c r="Q174" s="4">
        <f t="shared" si="98"/>
        <v>1</v>
      </c>
      <c r="R174" s="4">
        <f t="shared" si="98"/>
        <v>1</v>
      </c>
      <c r="S174" s="4">
        <f t="shared" si="98"/>
        <v>1</v>
      </c>
      <c r="U174" s="3">
        <f t="shared" si="72"/>
        <v>7.2021000000000006</v>
      </c>
      <c r="V174" s="1" t="str">
        <f t="shared" si="67"/>
        <v>A-0036</v>
      </c>
    </row>
    <row r="175" spans="1:22" x14ac:dyDescent="0.25">
      <c r="A175" s="2">
        <v>172</v>
      </c>
      <c r="B175" s="2">
        <v>3</v>
      </c>
      <c r="C175" s="30" t="s">
        <v>820</v>
      </c>
      <c r="E175" s="2">
        <v>1</v>
      </c>
      <c r="F175" s="2" t="s">
        <v>938</v>
      </c>
      <c r="G175" s="1" t="str">
        <f>IF(D175="","",VLOOKUP(D175,Table1[#All],2,FALSE))</f>
        <v/>
      </c>
      <c r="H175" s="2">
        <f t="shared" si="95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99">IF($B175="",J174,
    IF(J$3=$B175,$E175,
       IF(J$3&lt;$B175,J174,
           1
)))</f>
        <v>1</v>
      </c>
      <c r="K175" s="4">
        <f t="shared" si="99"/>
        <v>1</v>
      </c>
      <c r="L175" s="4">
        <f t="shared" si="99"/>
        <v>1</v>
      </c>
      <c r="M175" s="4">
        <f t="shared" si="99"/>
        <v>1</v>
      </c>
      <c r="N175" s="4">
        <f t="shared" si="99"/>
        <v>1</v>
      </c>
      <c r="O175" s="4">
        <f t="shared" si="99"/>
        <v>1</v>
      </c>
      <c r="P175" s="4">
        <f t="shared" si="99"/>
        <v>1</v>
      </c>
      <c r="Q175" s="4">
        <f t="shared" si="99"/>
        <v>1</v>
      </c>
      <c r="R175" s="4">
        <f t="shared" si="99"/>
        <v>1</v>
      </c>
      <c r="S175" s="4">
        <f t="shared" si="99"/>
        <v>1</v>
      </c>
      <c r="U175" s="3" t="str">
        <f t="shared" si="72"/>
        <v/>
      </c>
      <c r="V175" s="1">
        <f t="shared" si="67"/>
        <v>0</v>
      </c>
    </row>
    <row r="176" spans="1:22" x14ac:dyDescent="0.25">
      <c r="A176" s="2">
        <v>173</v>
      </c>
      <c r="B176" s="2">
        <v>3</v>
      </c>
      <c r="C176" s="30" t="s">
        <v>821</v>
      </c>
      <c r="D176" s="2" t="s">
        <v>46</v>
      </c>
      <c r="E176" s="2">
        <v>2</v>
      </c>
      <c r="F176" s="2" t="s">
        <v>938</v>
      </c>
      <c r="G176" s="1" t="str">
        <f>IF(D176="","",VLOOKUP(D176,Table1[#All],2,FALSE))</f>
        <v>M4 x 0.7mm 304 Stainless Steel Nylon Lock Nuts</v>
      </c>
      <c r="H176" s="2">
        <f t="shared" si="95"/>
        <v>2</v>
      </c>
      <c r="I176" s="44">
        <f>IF(D176&lt;&gt;"",(VLOOKUP(D176,part_details,4,FALSE)+VLOOKUP(D176,part_details,5,FALSE)+VLOOKUP(D176,part_details,6,FALSE))*'Multi-level BOM'!E176,"")</f>
        <v>0.12</v>
      </c>
      <c r="J176" s="4">
        <f t="shared" ref="J176:S176" si="100">IF($B176="",J175,
    IF(J$3=$B176,$E176,
       IF(J$3&lt;$B176,J175,
           1
)))</f>
        <v>1</v>
      </c>
      <c r="K176" s="4">
        <f t="shared" si="100"/>
        <v>1</v>
      </c>
      <c r="L176" s="4">
        <f t="shared" si="100"/>
        <v>1</v>
      </c>
      <c r="M176" s="4">
        <f t="shared" si="100"/>
        <v>2</v>
      </c>
      <c r="N176" s="4">
        <f t="shared" si="100"/>
        <v>1</v>
      </c>
      <c r="O176" s="4">
        <f t="shared" si="100"/>
        <v>1</v>
      </c>
      <c r="P176" s="4">
        <f t="shared" si="100"/>
        <v>1</v>
      </c>
      <c r="Q176" s="4">
        <f t="shared" si="100"/>
        <v>1</v>
      </c>
      <c r="R176" s="4">
        <f t="shared" si="100"/>
        <v>1</v>
      </c>
      <c r="S176" s="4">
        <f t="shared" si="100"/>
        <v>1</v>
      </c>
      <c r="U176" s="3">
        <f t="shared" si="72"/>
        <v>0.12</v>
      </c>
      <c r="V176" s="1" t="str">
        <f t="shared" si="67"/>
        <v>A-0040</v>
      </c>
    </row>
    <row r="177" spans="1:22" x14ac:dyDescent="0.25">
      <c r="A177" s="2">
        <v>174</v>
      </c>
      <c r="B177" s="2">
        <v>3</v>
      </c>
      <c r="C177" s="30" t="s">
        <v>791</v>
      </c>
      <c r="D177" s="2" t="s">
        <v>47</v>
      </c>
      <c r="E177" s="2">
        <v>6</v>
      </c>
      <c r="F177" s="2" t="s">
        <v>938</v>
      </c>
      <c r="G177" s="1" t="str">
        <f>IF(D177="","",VLOOKUP(D177,Table1[#All],2,FALSE))</f>
        <v xml:space="preserve">M4x12mmx1 mm Stainless Steel Round Flat Washer </v>
      </c>
      <c r="H177" s="2">
        <f>PRODUCT(J177:S177)</f>
        <v>6</v>
      </c>
      <c r="I177" s="44">
        <f>IF(D177&lt;&gt;"",(VLOOKUP(D177,part_details,4,FALSE)+VLOOKUP(D177,part_details,5,FALSE)+VLOOKUP(D177,part_details,6,FALSE))*'Multi-level BOM'!E177,"")</f>
        <v>7.5000000000000011E-2</v>
      </c>
      <c r="J177" s="4">
        <f t="shared" ref="J177:S177" si="101">IF($B177="",J176,
    IF(J$3=$B177,$E177,
       IF(J$3&lt;$B177,J176,
           1
)))</f>
        <v>1</v>
      </c>
      <c r="K177" s="4">
        <f t="shared" si="101"/>
        <v>1</v>
      </c>
      <c r="L177" s="4">
        <f t="shared" si="101"/>
        <v>1</v>
      </c>
      <c r="M177" s="4">
        <f t="shared" si="101"/>
        <v>6</v>
      </c>
      <c r="N177" s="4">
        <f t="shared" si="101"/>
        <v>1</v>
      </c>
      <c r="O177" s="4">
        <f t="shared" si="101"/>
        <v>1</v>
      </c>
      <c r="P177" s="4">
        <f t="shared" si="101"/>
        <v>1</v>
      </c>
      <c r="Q177" s="4">
        <f t="shared" si="101"/>
        <v>1</v>
      </c>
      <c r="R177" s="4">
        <f t="shared" si="101"/>
        <v>1</v>
      </c>
      <c r="S177" s="4">
        <f t="shared" si="101"/>
        <v>1</v>
      </c>
      <c r="U177" s="3">
        <f t="shared" si="72"/>
        <v>7.5000000000000011E-2</v>
      </c>
      <c r="V177" s="1" t="str">
        <f t="shared" si="67"/>
        <v>A-0041</v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102">IF($B178="",J177,
    IF(J$3=$B178,$E178,
       IF(J$3&lt;$B178,J177,
           1
)))</f>
        <v>1</v>
      </c>
      <c r="K178" s="4">
        <f t="shared" si="102"/>
        <v>1</v>
      </c>
      <c r="L178" s="4">
        <f t="shared" si="102"/>
        <v>1</v>
      </c>
      <c r="M178" s="4">
        <f t="shared" si="102"/>
        <v>6</v>
      </c>
      <c r="N178" s="4">
        <f t="shared" si="102"/>
        <v>1</v>
      </c>
      <c r="O178" s="4">
        <f t="shared" si="102"/>
        <v>1</v>
      </c>
      <c r="P178" s="4">
        <f t="shared" si="102"/>
        <v>1</v>
      </c>
      <c r="Q178" s="4">
        <f t="shared" si="102"/>
        <v>1</v>
      </c>
      <c r="R178" s="4">
        <f t="shared" si="102"/>
        <v>1</v>
      </c>
      <c r="S178" s="4">
        <f t="shared" si="102"/>
        <v>1</v>
      </c>
      <c r="U178" s="3">
        <f t="shared" si="72"/>
        <v>0</v>
      </c>
      <c r="V178" s="1" t="str">
        <f t="shared" si="67"/>
        <v/>
      </c>
    </row>
    <row r="179" spans="1:22" x14ac:dyDescent="0.25">
      <c r="A179" s="2">
        <v>176</v>
      </c>
      <c r="B179" s="2">
        <v>2</v>
      </c>
      <c r="C179" s="7" t="s">
        <v>733</v>
      </c>
      <c r="E179" s="2">
        <v>1</v>
      </c>
      <c r="G179" s="1" t="str">
        <f>IF(D179="","",VLOOKUP(D179,Table1[#All],2,FALSE))</f>
        <v/>
      </c>
      <c r="H179" s="2">
        <f>PRODUCT(J179:S179)</f>
        <v>1</v>
      </c>
      <c r="I179" s="45">
        <f>H179*SUM(I180:I197)</f>
        <v>114.35584807692308</v>
      </c>
      <c r="J179" s="4">
        <f t="shared" ref="J179:S179" si="103">IF($B179="",J178,
    IF(J$3=$B179,$E179,
       IF(J$3&lt;$B179,J178,
           1
)))</f>
        <v>1</v>
      </c>
      <c r="K179" s="4">
        <f t="shared" si="103"/>
        <v>1</v>
      </c>
      <c r="L179" s="4">
        <f t="shared" si="103"/>
        <v>1</v>
      </c>
      <c r="M179" s="4">
        <f t="shared" si="103"/>
        <v>1</v>
      </c>
      <c r="N179" s="4">
        <f t="shared" si="103"/>
        <v>1</v>
      </c>
      <c r="O179" s="4">
        <f t="shared" si="103"/>
        <v>1</v>
      </c>
      <c r="P179" s="4">
        <f t="shared" si="103"/>
        <v>1</v>
      </c>
      <c r="Q179" s="4">
        <f t="shared" si="103"/>
        <v>1</v>
      </c>
      <c r="R179" s="4">
        <f t="shared" si="103"/>
        <v>1</v>
      </c>
      <c r="S179" s="4">
        <f t="shared" si="103"/>
        <v>1</v>
      </c>
      <c r="U179" s="3">
        <f t="shared" si="72"/>
        <v>0</v>
      </c>
      <c r="V179" s="1" t="str">
        <f t="shared" si="67"/>
        <v/>
      </c>
    </row>
    <row r="180" spans="1:22" x14ac:dyDescent="0.25">
      <c r="A180" s="2">
        <v>177</v>
      </c>
      <c r="B180" s="2">
        <v>3</v>
      </c>
      <c r="C180" s="8" t="s">
        <v>707</v>
      </c>
      <c r="D180" s="2" t="s">
        <v>17</v>
      </c>
      <c r="E180" s="2">
        <v>1</v>
      </c>
      <c r="G180" s="1" t="str">
        <f>IF(D180="","",VLOOKUP(D180,Table1[#All],2,FALSE))</f>
        <v xml:space="preserve">
Machifit 500mm Length MGN15 Linear Rail Guide with MGN15H Linear Rail Block</v>
      </c>
      <c r="H180" s="2">
        <f>PRODUCT(J180:S180)</f>
        <v>1</v>
      </c>
      <c r="I180" s="44">
        <f>IF(D180&lt;&gt;"",(VLOOKUP(D180,part_details,4,FALSE)+VLOOKUP(D180,part_details,5,FALSE)+VLOOKUP(D180,part_details,6,FALSE))*'Multi-level BOM'!E180,"")</f>
        <v>33.81</v>
      </c>
      <c r="J180" s="4">
        <f t="shared" ref="J180:S180" si="104">IF($B180="",J179,
    IF(J$3=$B180,$E180,
       IF(J$3&lt;$B180,J179,
           1
)))</f>
        <v>1</v>
      </c>
      <c r="K180" s="4">
        <f t="shared" si="104"/>
        <v>1</v>
      </c>
      <c r="L180" s="4">
        <f t="shared" si="104"/>
        <v>1</v>
      </c>
      <c r="M180" s="4">
        <f t="shared" si="104"/>
        <v>1</v>
      </c>
      <c r="N180" s="4">
        <f t="shared" si="104"/>
        <v>1</v>
      </c>
      <c r="O180" s="4">
        <f t="shared" si="104"/>
        <v>1</v>
      </c>
      <c r="P180" s="4">
        <f t="shared" si="104"/>
        <v>1</v>
      </c>
      <c r="Q180" s="4">
        <f t="shared" si="104"/>
        <v>1</v>
      </c>
      <c r="R180" s="4">
        <f t="shared" si="104"/>
        <v>1</v>
      </c>
      <c r="S180" s="4">
        <f t="shared" si="104"/>
        <v>1</v>
      </c>
      <c r="U180" s="3">
        <f t="shared" si="72"/>
        <v>0</v>
      </c>
      <c r="V180" s="1" t="str">
        <f t="shared" si="67"/>
        <v/>
      </c>
    </row>
    <row r="181" spans="1:22" x14ac:dyDescent="0.25">
      <c r="A181" s="2">
        <v>178</v>
      </c>
      <c r="B181" s="2">
        <v>3</v>
      </c>
      <c r="C181" s="8" t="s">
        <v>690</v>
      </c>
      <c r="D181" s="2" t="s">
        <v>18</v>
      </c>
      <c r="E181" s="2">
        <v>13</v>
      </c>
      <c r="F181" s="2" t="s">
        <v>938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>PRODUCT(J181:S181)</f>
        <v>13</v>
      </c>
      <c r="I181" s="44">
        <f>IF(D181&lt;&gt;"",(VLOOKUP(D181,part_details,4,FALSE)+VLOOKUP(D181,part_details,5,FALSE)+VLOOKUP(D181,part_details,6,FALSE))*'Multi-level BOM'!E181,"")</f>
        <v>1.1895</v>
      </c>
      <c r="J181" s="4">
        <f t="shared" ref="J181:S181" si="105">IF($B181="",J180,
    IF(J$3=$B181,$E181,
       IF(J$3&lt;$B181,J180,
           1
)))</f>
        <v>1</v>
      </c>
      <c r="K181" s="4">
        <f t="shared" si="105"/>
        <v>1</v>
      </c>
      <c r="L181" s="4">
        <f t="shared" si="105"/>
        <v>1</v>
      </c>
      <c r="M181" s="4">
        <f t="shared" si="105"/>
        <v>13</v>
      </c>
      <c r="N181" s="4">
        <f t="shared" si="105"/>
        <v>1</v>
      </c>
      <c r="O181" s="4">
        <f t="shared" si="105"/>
        <v>1</v>
      </c>
      <c r="P181" s="4">
        <f t="shared" si="105"/>
        <v>1</v>
      </c>
      <c r="Q181" s="4">
        <f t="shared" si="105"/>
        <v>1</v>
      </c>
      <c r="R181" s="4">
        <f t="shared" si="105"/>
        <v>1</v>
      </c>
      <c r="S181" s="4">
        <f t="shared" si="105"/>
        <v>1</v>
      </c>
      <c r="U181" s="3">
        <f t="shared" si="72"/>
        <v>1.1895</v>
      </c>
      <c r="V181" s="1" t="str">
        <f t="shared" si="67"/>
        <v>A-0012</v>
      </c>
    </row>
    <row r="182" spans="1:22" x14ac:dyDescent="0.25">
      <c r="A182" s="2">
        <v>179</v>
      </c>
      <c r="B182" s="2">
        <v>3</v>
      </c>
      <c r="C182" s="8" t="s">
        <v>712</v>
      </c>
      <c r="D182" s="2" t="s">
        <v>24</v>
      </c>
      <c r="E182" s="2">
        <v>1</v>
      </c>
      <c r="F182" s="2" t="s">
        <v>938</v>
      </c>
      <c r="G182" s="1" t="str">
        <f>IF(D182="","",VLOOKUP(D182,Table1[#All],2,FALSE))</f>
        <v>.625 x .375 aluminum bar T6061, 24 in long</v>
      </c>
      <c r="H182" s="2">
        <f>PRODUCT(J182:S182)</f>
        <v>1</v>
      </c>
      <c r="I182" s="44">
        <f>IF(D182&lt;&gt;"",(VLOOKUP(D182,part_details,4,FALSE)+VLOOKUP(D182,part_details,5,FALSE)+VLOOKUP(D182,part_details,6,FALSE))*'Multi-level BOM'!E182,"")</f>
        <v>6.0766</v>
      </c>
      <c r="J182" s="4">
        <f t="shared" ref="J182:S182" si="106">IF($B182="",J181,
    IF(J$3=$B182,$E182,
       IF(J$3&lt;$B182,J181,
           1
)))</f>
        <v>1</v>
      </c>
      <c r="K182" s="4">
        <f t="shared" si="106"/>
        <v>1</v>
      </c>
      <c r="L182" s="4">
        <f t="shared" si="106"/>
        <v>1</v>
      </c>
      <c r="M182" s="4">
        <f t="shared" si="106"/>
        <v>1</v>
      </c>
      <c r="N182" s="4">
        <f t="shared" si="106"/>
        <v>1</v>
      </c>
      <c r="O182" s="4">
        <f t="shared" si="106"/>
        <v>1</v>
      </c>
      <c r="P182" s="4">
        <f t="shared" si="106"/>
        <v>1</v>
      </c>
      <c r="Q182" s="4">
        <f t="shared" si="106"/>
        <v>1</v>
      </c>
      <c r="R182" s="4">
        <f t="shared" si="106"/>
        <v>1</v>
      </c>
      <c r="S182" s="4">
        <f t="shared" si="106"/>
        <v>1</v>
      </c>
      <c r="U182" s="3">
        <f t="shared" si="72"/>
        <v>6.0766</v>
      </c>
      <c r="V182" s="1" t="str">
        <f t="shared" si="67"/>
        <v>A-0018</v>
      </c>
    </row>
    <row r="183" spans="1:22" x14ac:dyDescent="0.25">
      <c r="A183" s="2">
        <v>180</v>
      </c>
      <c r="B183" s="2">
        <v>3</v>
      </c>
      <c r="C183" s="8" t="s">
        <v>713</v>
      </c>
      <c r="D183" s="2" t="s">
        <v>25</v>
      </c>
      <c r="E183" s="2">
        <v>1</v>
      </c>
      <c r="F183" s="2" t="s">
        <v>938</v>
      </c>
      <c r="G183" s="1" t="str">
        <f>IF(D183="","",VLOOKUP(D183,Table1[#All],2,FALSE))</f>
        <v>Nema 17 Bipolar Stepper 0.9deg(400 steps/rev) 1.68A 44Ncm(62.3oz.in) Motor, 5mm shaft</v>
      </c>
      <c r="H183" s="2">
        <f>PRODUCT(J183:S183)</f>
        <v>1</v>
      </c>
      <c r="I183" s="44">
        <f>IF(D183&lt;&gt;"",(VLOOKUP(D183,part_details,4,FALSE)+VLOOKUP(D183,part_details,5,FALSE)+VLOOKUP(D183,part_details,6,FALSE))*'Multi-level BOM'!E183,"")</f>
        <v>23.4895</v>
      </c>
      <c r="J183" s="4">
        <f t="shared" ref="J183:S183" si="107">IF($B183="",J182,
    IF(J$3=$B183,$E183,
       IF(J$3&lt;$B183,J182,
           1
)))</f>
        <v>1</v>
      </c>
      <c r="K183" s="4">
        <f t="shared" si="107"/>
        <v>1</v>
      </c>
      <c r="L183" s="4">
        <f t="shared" si="107"/>
        <v>1</v>
      </c>
      <c r="M183" s="4">
        <f t="shared" si="107"/>
        <v>1</v>
      </c>
      <c r="N183" s="4">
        <f t="shared" si="107"/>
        <v>1</v>
      </c>
      <c r="O183" s="4">
        <f t="shared" si="107"/>
        <v>1</v>
      </c>
      <c r="P183" s="4">
        <f t="shared" si="107"/>
        <v>1</v>
      </c>
      <c r="Q183" s="4">
        <f t="shared" si="107"/>
        <v>1</v>
      </c>
      <c r="R183" s="4">
        <f t="shared" si="107"/>
        <v>1</v>
      </c>
      <c r="S183" s="4">
        <f t="shared" si="107"/>
        <v>1</v>
      </c>
      <c r="U183" s="3">
        <f t="shared" si="72"/>
        <v>23.4895</v>
      </c>
      <c r="V183" s="1" t="str">
        <f t="shared" si="67"/>
        <v>A-0019</v>
      </c>
    </row>
    <row r="184" spans="1:22" x14ac:dyDescent="0.25">
      <c r="A184" s="2">
        <v>181</v>
      </c>
      <c r="B184" s="2">
        <v>3</v>
      </c>
      <c r="C184" s="8" t="s">
        <v>886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ref="H184:H185" si="108">PRODUCT(J184:S184)</f>
        <v>4</v>
      </c>
      <c r="I184" s="44">
        <f>IF(D184&lt;&gt;"",(VLOOKUP(D184,part_details,4,FALSE)+VLOOKUP(D184,part_details,5,FALSE)+VLOOKUP(D184,part_details,6,FALSE))*'Multi-level BOM'!E184,"")</f>
        <v>0.4</v>
      </c>
      <c r="J184" s="4">
        <f t="shared" ref="J184:S184" si="109">IF($B184="",J183,
    IF(J$3=$B184,$E184,
       IF(J$3&lt;$B184,J183,
           1
)))</f>
        <v>1</v>
      </c>
      <c r="K184" s="4">
        <f t="shared" si="109"/>
        <v>1</v>
      </c>
      <c r="L184" s="4">
        <f t="shared" si="109"/>
        <v>1</v>
      </c>
      <c r="M184" s="4">
        <f t="shared" si="109"/>
        <v>4</v>
      </c>
      <c r="N184" s="4">
        <f t="shared" si="109"/>
        <v>1</v>
      </c>
      <c r="O184" s="4">
        <f t="shared" si="109"/>
        <v>1</v>
      </c>
      <c r="P184" s="4">
        <f t="shared" si="109"/>
        <v>1</v>
      </c>
      <c r="Q184" s="4">
        <f t="shared" si="109"/>
        <v>1</v>
      </c>
      <c r="R184" s="4">
        <f t="shared" si="109"/>
        <v>1</v>
      </c>
      <c r="S184" s="4">
        <f t="shared" si="109"/>
        <v>1</v>
      </c>
      <c r="U184" s="3">
        <f t="shared" si="72"/>
        <v>0</v>
      </c>
      <c r="V184" s="1" t="str">
        <f t="shared" si="67"/>
        <v/>
      </c>
    </row>
    <row r="185" spans="1:22" x14ac:dyDescent="0.25">
      <c r="A185" s="2">
        <v>182</v>
      </c>
      <c r="B185" s="2">
        <v>3</v>
      </c>
      <c r="C185" s="8" t="s">
        <v>791</v>
      </c>
      <c r="D185" s="2" t="s">
        <v>47</v>
      </c>
      <c r="E185" s="2">
        <v>4</v>
      </c>
      <c r="F185" s="2" t="s">
        <v>938</v>
      </c>
      <c r="G185" s="1" t="str">
        <f>IF(D185="","",VLOOKUP(D185,Table1[#All],2,FALSE))</f>
        <v xml:space="preserve">M4x12mmx1 mm Stainless Steel Round Flat Washer </v>
      </c>
      <c r="H185" s="2">
        <f t="shared" si="108"/>
        <v>4</v>
      </c>
      <c r="I185" s="44">
        <f>IF(D185&lt;&gt;"",(VLOOKUP(D185,part_details,4,FALSE)+VLOOKUP(D185,part_details,5,FALSE)+VLOOKUP(D185,part_details,6,FALSE))*'Multi-level BOM'!E185,"")</f>
        <v>0.05</v>
      </c>
      <c r="J185" s="4">
        <f t="shared" ref="J185:S185" si="110">IF($B185="",J184,
    IF(J$3=$B185,$E185,
       IF(J$3&lt;$B185,J184,
           1
)))</f>
        <v>1</v>
      </c>
      <c r="K185" s="4">
        <f t="shared" si="110"/>
        <v>1</v>
      </c>
      <c r="L185" s="4">
        <f t="shared" si="110"/>
        <v>1</v>
      </c>
      <c r="M185" s="4">
        <f t="shared" si="110"/>
        <v>4</v>
      </c>
      <c r="N185" s="4">
        <f t="shared" si="110"/>
        <v>1</v>
      </c>
      <c r="O185" s="4">
        <f t="shared" si="110"/>
        <v>1</v>
      </c>
      <c r="P185" s="4">
        <f t="shared" si="110"/>
        <v>1</v>
      </c>
      <c r="Q185" s="4">
        <f t="shared" si="110"/>
        <v>1</v>
      </c>
      <c r="R185" s="4">
        <f t="shared" si="110"/>
        <v>1</v>
      </c>
      <c r="S185" s="4">
        <f t="shared" si="110"/>
        <v>1</v>
      </c>
      <c r="U185" s="3">
        <f t="shared" si="72"/>
        <v>0.05</v>
      </c>
      <c r="V185" s="1" t="str">
        <f t="shared" si="67"/>
        <v>A-0041</v>
      </c>
    </row>
    <row r="186" spans="1:22" x14ac:dyDescent="0.25">
      <c r="A186" s="2">
        <v>183</v>
      </c>
      <c r="B186" s="2">
        <v>3</v>
      </c>
      <c r="C186" s="8" t="s">
        <v>729</v>
      </c>
      <c r="D186" s="2" t="s">
        <v>26</v>
      </c>
      <c r="E186" s="2">
        <v>1</v>
      </c>
      <c r="F186" s="2" t="s">
        <v>938</v>
      </c>
      <c r="G186" s="1" t="str">
        <f>IF(D186="","",VLOOKUP(D186,Table1[#All],2,FALSE))</f>
        <v>Witbot 500mm 8mm T8 Lead Screw Set Lead Screw+ Pillow Bearing Block + Copper Nut + Coupler for 3D Printer</v>
      </c>
      <c r="H186" s="2">
        <f>PRODUCT(J186:S186)</f>
        <v>1</v>
      </c>
      <c r="I186" s="44">
        <f>IF(D186&lt;&gt;"",(VLOOKUP(D186,part_details,4,FALSE)+VLOOKUP(D186,part_details,5,FALSE)+VLOOKUP(D186,part_details,6,FALSE))*'Multi-level BOM'!E186,"")</f>
        <v>21.778200000000002</v>
      </c>
      <c r="J186" s="4">
        <f t="shared" ref="J186:S186" si="111">IF($B186="",J185,
    IF(J$3=$B186,$E186,
       IF(J$3&lt;$B186,J185,
           1
)))</f>
        <v>1</v>
      </c>
      <c r="K186" s="4">
        <f t="shared" si="111"/>
        <v>1</v>
      </c>
      <c r="L186" s="4">
        <f t="shared" si="111"/>
        <v>1</v>
      </c>
      <c r="M186" s="4">
        <f t="shared" si="111"/>
        <v>1</v>
      </c>
      <c r="N186" s="4">
        <f t="shared" si="111"/>
        <v>1</v>
      </c>
      <c r="O186" s="4">
        <f t="shared" si="111"/>
        <v>1</v>
      </c>
      <c r="P186" s="4">
        <f t="shared" si="111"/>
        <v>1</v>
      </c>
      <c r="Q186" s="4">
        <f t="shared" si="111"/>
        <v>1</v>
      </c>
      <c r="R186" s="4">
        <f t="shared" si="111"/>
        <v>1</v>
      </c>
      <c r="S186" s="4">
        <f t="shared" si="111"/>
        <v>1</v>
      </c>
      <c r="U186" s="3">
        <f t="shared" si="72"/>
        <v>21.778200000000002</v>
      </c>
      <c r="V186" s="1" t="str">
        <f t="shared" si="67"/>
        <v>A-0020</v>
      </c>
    </row>
    <row r="187" spans="1:22" x14ac:dyDescent="0.25">
      <c r="A187" s="2">
        <v>184</v>
      </c>
      <c r="B187" s="2">
        <v>3</v>
      </c>
      <c r="C187" s="8" t="s">
        <v>884</v>
      </c>
      <c r="D187" s="2" t="s">
        <v>66</v>
      </c>
      <c r="E187" s="2">
        <v>1</v>
      </c>
      <c r="F187" s="2" t="s">
        <v>938</v>
      </c>
      <c r="G187" s="1" t="str">
        <f>IF(D187="","",VLOOKUP(D187,Table1[#All],2,FALSE))</f>
        <v>Flexible Couplings 5mm to 8mm NEMA 17 Shaft Coupler</v>
      </c>
      <c r="H187" s="2">
        <f t="shared" ref="H187" si="112">PRODUCT(J187:S187)</f>
        <v>1</v>
      </c>
      <c r="I187" s="44">
        <f>IF(D187&lt;&gt;"",(VLOOKUP(D187,part_details,4,FALSE)+VLOOKUP(D187,part_details,5,FALSE)+VLOOKUP(D187,part_details,6,FALSE))*'Multi-level BOM'!E187,"")</f>
        <v>10.305499999999999</v>
      </c>
      <c r="J187" s="4">
        <f t="shared" ref="J187:S187" si="113">IF($B187="",J186,
    IF(J$3=$B187,$E187,
       IF(J$3&lt;$B187,J186,
           1
)))</f>
        <v>1</v>
      </c>
      <c r="K187" s="4">
        <f t="shared" si="113"/>
        <v>1</v>
      </c>
      <c r="L187" s="4">
        <f t="shared" si="113"/>
        <v>1</v>
      </c>
      <c r="M187" s="4">
        <f t="shared" si="113"/>
        <v>1</v>
      </c>
      <c r="N187" s="4">
        <f t="shared" si="113"/>
        <v>1</v>
      </c>
      <c r="O187" s="4">
        <f t="shared" si="113"/>
        <v>1</v>
      </c>
      <c r="P187" s="4">
        <f t="shared" si="113"/>
        <v>1</v>
      </c>
      <c r="Q187" s="4">
        <f t="shared" si="113"/>
        <v>1</v>
      </c>
      <c r="R187" s="4">
        <f t="shared" si="113"/>
        <v>1</v>
      </c>
      <c r="S187" s="4">
        <f t="shared" si="113"/>
        <v>1</v>
      </c>
      <c r="U187" s="3">
        <f t="shared" si="72"/>
        <v>10.305499999999999</v>
      </c>
      <c r="V187" s="1" t="str">
        <f t="shared" si="67"/>
        <v>A-0060</v>
      </c>
    </row>
    <row r="188" spans="1:22" x14ac:dyDescent="0.25">
      <c r="A188" s="2">
        <v>185</v>
      </c>
      <c r="B188" s="2">
        <v>3</v>
      </c>
      <c r="C188" s="8" t="s">
        <v>719</v>
      </c>
      <c r="D188" s="2" t="s">
        <v>29</v>
      </c>
      <c r="E188" s="2">
        <v>1</v>
      </c>
      <c r="F188" s="2" t="s">
        <v>938</v>
      </c>
      <c r="G188" s="1" t="str">
        <f>IF(D188="","",VLOOKUP(D188,Table1[#All],2,FALSE))</f>
        <v>T6061 Al Angle extrusion 3" x 3" x .25 thick, 3" long</v>
      </c>
      <c r="H188" s="2">
        <f>PRODUCT(J188:S188)</f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114">IF($B188="",J187,
    IF(J$3=$B188,$E188,
       IF(J$3&lt;$B188,J187,
           1
)))</f>
        <v>1</v>
      </c>
      <c r="K188" s="4">
        <f t="shared" si="114"/>
        <v>1</v>
      </c>
      <c r="L188" s="4">
        <f t="shared" si="114"/>
        <v>1</v>
      </c>
      <c r="M188" s="4">
        <f t="shared" si="114"/>
        <v>1</v>
      </c>
      <c r="N188" s="4">
        <f t="shared" si="114"/>
        <v>1</v>
      </c>
      <c r="O188" s="4">
        <f t="shared" si="114"/>
        <v>1</v>
      </c>
      <c r="P188" s="4">
        <f t="shared" si="114"/>
        <v>1</v>
      </c>
      <c r="Q188" s="4">
        <f t="shared" si="114"/>
        <v>1</v>
      </c>
      <c r="R188" s="4">
        <f t="shared" si="114"/>
        <v>1</v>
      </c>
      <c r="S188" s="4">
        <f t="shared" si="114"/>
        <v>1</v>
      </c>
      <c r="U188" s="3">
        <f t="shared" si="72"/>
        <v>4.7693750000000001</v>
      </c>
      <c r="V188" s="1" t="str">
        <f t="shared" si="67"/>
        <v>A-0023</v>
      </c>
    </row>
    <row r="189" spans="1:22" x14ac:dyDescent="0.25">
      <c r="A189" s="2">
        <v>186</v>
      </c>
      <c r="B189" s="2">
        <v>3</v>
      </c>
      <c r="C189" s="8" t="s">
        <v>720</v>
      </c>
      <c r="D189" s="2" t="s">
        <v>32</v>
      </c>
      <c r="E189" s="2">
        <v>2</v>
      </c>
      <c r="F189" s="2" t="s">
        <v>938</v>
      </c>
      <c r="G189" s="1" t="str">
        <f>IF(D189="","",VLOOKUP(D189,Table1[#All],2,FALSE))</f>
        <v>M5-0.8 x 16mm Button Head Socket Cap Screws</v>
      </c>
      <c r="H189" s="2">
        <f>PRODUCT(J189:S189)</f>
        <v>2</v>
      </c>
      <c r="I189" s="44">
        <f>IF(D189&lt;&gt;"",(VLOOKUP(D189,part_details,4,FALSE)+VLOOKUP(D189,part_details,5,FALSE)+VLOOKUP(D189,part_details,6,FALSE))*'Multi-level BOM'!E189,"")</f>
        <v>0.24</v>
      </c>
      <c r="J189" s="4">
        <f t="shared" ref="J189:S189" si="115">IF($B189="",J188,
    IF(J$3=$B189,$E189,
       IF(J$3&lt;$B189,J188,
           1
)))</f>
        <v>1</v>
      </c>
      <c r="K189" s="4">
        <f t="shared" si="115"/>
        <v>1</v>
      </c>
      <c r="L189" s="4">
        <f t="shared" si="115"/>
        <v>1</v>
      </c>
      <c r="M189" s="4">
        <f t="shared" si="115"/>
        <v>2</v>
      </c>
      <c r="N189" s="4">
        <f t="shared" si="115"/>
        <v>1</v>
      </c>
      <c r="O189" s="4">
        <f t="shared" si="115"/>
        <v>1</v>
      </c>
      <c r="P189" s="4">
        <f t="shared" si="115"/>
        <v>1</v>
      </c>
      <c r="Q189" s="4">
        <f t="shared" si="115"/>
        <v>1</v>
      </c>
      <c r="R189" s="4">
        <f t="shared" si="115"/>
        <v>1</v>
      </c>
      <c r="S189" s="4">
        <f t="shared" si="115"/>
        <v>1</v>
      </c>
      <c r="U189" s="3">
        <f t="shared" si="72"/>
        <v>0.24</v>
      </c>
      <c r="V189" s="1" t="str">
        <f t="shared" si="67"/>
        <v>A-0026</v>
      </c>
    </row>
    <row r="190" spans="1:22" x14ac:dyDescent="0.25">
      <c r="A190" s="2">
        <v>187</v>
      </c>
      <c r="B190" s="2">
        <v>3</v>
      </c>
      <c r="C190" s="8" t="s">
        <v>889</v>
      </c>
      <c r="D190" s="2" t="s">
        <v>68</v>
      </c>
      <c r="E190" s="2">
        <v>3</v>
      </c>
      <c r="F190" s="2" t="s">
        <v>938</v>
      </c>
      <c r="G190" s="1" t="str">
        <f>IF(D190="","",VLOOKUP(D190,Table1[#All],2,FALSE))</f>
        <v>M5x10mmx1mm Stainless Steel Metric Round Flat Washer</v>
      </c>
      <c r="H190" s="2">
        <f>PRODUCT(J190:S190)</f>
        <v>3</v>
      </c>
      <c r="I190" s="44">
        <f>IF(D190&lt;&gt;"",(VLOOKUP(D190,part_details,4,FALSE)+VLOOKUP(D190,part_details,5,FALSE)+VLOOKUP(D190,part_details,6,FALSE))*'Multi-level BOM'!E190,"")</f>
        <v>5.3100000000000001E-2</v>
      </c>
      <c r="J190" s="4">
        <f t="shared" ref="J190:S190" si="116">IF($B190="",J189,
    IF(J$3=$B190,$E190,
       IF(J$3&lt;$B190,J189,
           1
)))</f>
        <v>1</v>
      </c>
      <c r="K190" s="4">
        <f t="shared" si="116"/>
        <v>1</v>
      </c>
      <c r="L190" s="4">
        <f t="shared" si="116"/>
        <v>1</v>
      </c>
      <c r="M190" s="4">
        <f t="shared" si="116"/>
        <v>3</v>
      </c>
      <c r="N190" s="4">
        <f t="shared" si="116"/>
        <v>1</v>
      </c>
      <c r="O190" s="4">
        <f t="shared" si="116"/>
        <v>1</v>
      </c>
      <c r="P190" s="4">
        <f t="shared" si="116"/>
        <v>1</v>
      </c>
      <c r="Q190" s="4">
        <f t="shared" si="116"/>
        <v>1</v>
      </c>
      <c r="R190" s="4">
        <f t="shared" si="116"/>
        <v>1</v>
      </c>
      <c r="S190" s="4">
        <f t="shared" si="116"/>
        <v>1</v>
      </c>
      <c r="U190" s="3">
        <f t="shared" si="72"/>
        <v>5.3100000000000001E-2</v>
      </c>
      <c r="V190" s="1" t="str">
        <f t="shared" si="67"/>
        <v>A-0062</v>
      </c>
    </row>
    <row r="191" spans="1:22" x14ac:dyDescent="0.25">
      <c r="A191" s="2">
        <v>188</v>
      </c>
      <c r="B191" s="2">
        <v>3</v>
      </c>
      <c r="C191" s="8" t="s">
        <v>723</v>
      </c>
      <c r="D191" s="2" t="s">
        <v>33</v>
      </c>
      <c r="E191" s="2">
        <v>3</v>
      </c>
      <c r="F191" s="2" t="s">
        <v>938</v>
      </c>
      <c r="G191" s="1" t="str">
        <f>IF(D191="","",VLOOKUP(D191,Table1[#All],2,FALSE))</f>
        <v>Sliding T Slot Nuts 4040 Series M5 26 Pack T Nuts Carbon Steel</v>
      </c>
      <c r="H191" s="2">
        <f>PRODUCT(J191:S191)</f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117">IF($B191="",J190,
    IF(J$3=$B191,$E191,
       IF(J$3&lt;$B191,J190,
           1
)))</f>
        <v>1</v>
      </c>
      <c r="K191" s="4">
        <f t="shared" si="117"/>
        <v>1</v>
      </c>
      <c r="L191" s="4">
        <f t="shared" si="117"/>
        <v>1</v>
      </c>
      <c r="M191" s="4">
        <f t="shared" si="117"/>
        <v>3</v>
      </c>
      <c r="N191" s="4">
        <f t="shared" si="117"/>
        <v>1</v>
      </c>
      <c r="O191" s="4">
        <f t="shared" si="117"/>
        <v>1</v>
      </c>
      <c r="P191" s="4">
        <f t="shared" si="117"/>
        <v>1</v>
      </c>
      <c r="Q191" s="4">
        <f t="shared" si="117"/>
        <v>1</v>
      </c>
      <c r="R191" s="4">
        <f t="shared" si="117"/>
        <v>1</v>
      </c>
      <c r="S191" s="4">
        <f t="shared" si="117"/>
        <v>1</v>
      </c>
      <c r="U191" s="3">
        <f t="shared" si="72"/>
        <v>1.0174730769230771</v>
      </c>
      <c r="V191" s="1" t="str">
        <f t="shared" si="67"/>
        <v>A-0027</v>
      </c>
    </row>
    <row r="192" spans="1:22" x14ac:dyDescent="0.25">
      <c r="A192" s="2">
        <v>189</v>
      </c>
      <c r="B192" s="2">
        <v>3</v>
      </c>
      <c r="C192" s="8" t="s">
        <v>885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ref="H192:H196" si="118">PRODUCT(J192:S192)</f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19">IF($B192="",J191,
    IF(J$3=$B192,$E192,
       IF(J$3&lt;$B192,J191,
           1
)))</f>
        <v>1</v>
      </c>
      <c r="K192" s="4">
        <f t="shared" si="119"/>
        <v>1</v>
      </c>
      <c r="L192" s="4">
        <f t="shared" si="119"/>
        <v>1</v>
      </c>
      <c r="M192" s="4">
        <f t="shared" si="119"/>
        <v>1</v>
      </c>
      <c r="N192" s="4">
        <f t="shared" si="119"/>
        <v>1</v>
      </c>
      <c r="O192" s="4">
        <f t="shared" si="119"/>
        <v>1</v>
      </c>
      <c r="P192" s="4">
        <f t="shared" si="119"/>
        <v>1</v>
      </c>
      <c r="Q192" s="4">
        <f t="shared" si="119"/>
        <v>1</v>
      </c>
      <c r="R192" s="4">
        <f t="shared" si="119"/>
        <v>1</v>
      </c>
      <c r="S192" s="4">
        <f t="shared" si="119"/>
        <v>1</v>
      </c>
      <c r="U192" s="3">
        <f t="shared" si="72"/>
        <v>0</v>
      </c>
      <c r="V192" s="1" t="str">
        <f t="shared" si="67"/>
        <v/>
      </c>
    </row>
    <row r="193" spans="1:22" x14ac:dyDescent="0.25">
      <c r="A193" s="2">
        <v>190</v>
      </c>
      <c r="B193" s="2">
        <v>3</v>
      </c>
      <c r="C193" s="8" t="s">
        <v>732</v>
      </c>
      <c r="D193" s="2" t="s">
        <v>31</v>
      </c>
      <c r="E193" s="2">
        <v>1</v>
      </c>
      <c r="F193" s="2" t="s">
        <v>938</v>
      </c>
      <c r="G193" s="1" t="str">
        <f>IF(D193="","",VLOOKUP(D193,Table1[#All],2,FALSE))</f>
        <v>T 6061 Al Angle extrusion 2" x 2" x .125" 6" aluminum (for side ball mount)</v>
      </c>
      <c r="H193" s="2">
        <f t="shared" si="118"/>
        <v>1</v>
      </c>
      <c r="I193" s="44">
        <f>IF(D193&lt;&gt;"",(VLOOKUP(D193,part_details,4,FALSE)+VLOOKUP(D193,part_details,5,FALSE)+VLOOKUP(D193,part_details,6,FALSE))*'Multi-level BOM'!E193,"")</f>
        <v>3.7794999999999996</v>
      </c>
      <c r="J193" s="4">
        <f t="shared" ref="J193:S193" si="120">IF($B193="",J192,
    IF(J$3=$B193,$E193,
       IF(J$3&lt;$B193,J192,
           1
)))</f>
        <v>1</v>
      </c>
      <c r="K193" s="4">
        <f t="shared" si="120"/>
        <v>1</v>
      </c>
      <c r="L193" s="4">
        <f t="shared" si="120"/>
        <v>1</v>
      </c>
      <c r="M193" s="4">
        <f t="shared" si="120"/>
        <v>1</v>
      </c>
      <c r="N193" s="4">
        <f t="shared" si="120"/>
        <v>1</v>
      </c>
      <c r="O193" s="4">
        <f t="shared" si="120"/>
        <v>1</v>
      </c>
      <c r="P193" s="4">
        <f t="shared" si="120"/>
        <v>1</v>
      </c>
      <c r="Q193" s="4">
        <f t="shared" si="120"/>
        <v>1</v>
      </c>
      <c r="R193" s="4">
        <f t="shared" si="120"/>
        <v>1</v>
      </c>
      <c r="S193" s="4">
        <f t="shared" si="120"/>
        <v>1</v>
      </c>
      <c r="U193" s="3">
        <f t="shared" si="72"/>
        <v>3.7794999999999996</v>
      </c>
      <c r="V193" s="1" t="str">
        <f t="shared" si="67"/>
        <v>A-0025</v>
      </c>
    </row>
    <row r="194" spans="1:22" x14ac:dyDescent="0.25">
      <c r="A194" s="2">
        <v>191</v>
      </c>
      <c r="B194" s="2">
        <v>3</v>
      </c>
      <c r="C194" s="8" t="s">
        <v>786</v>
      </c>
      <c r="D194" s="2" t="s">
        <v>42</v>
      </c>
      <c r="E194" s="2">
        <v>1</v>
      </c>
      <c r="F194" s="2" t="s">
        <v>938</v>
      </c>
      <c r="G194" s="1" t="str">
        <f>IF(D194="","",VLOOKUP(D194,Table1[#All],2,FALSE))</f>
        <v>DIN 319 Ball Knob, .63" diameter, M4 threaded hole</v>
      </c>
      <c r="H194" s="2">
        <f t="shared" si="118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21">IF($B194="",J193,
    IF(J$3=$B194,$E194,
       IF(J$3&lt;$B194,J193,
           1
)))</f>
        <v>1</v>
      </c>
      <c r="K194" s="4">
        <f t="shared" si="121"/>
        <v>1</v>
      </c>
      <c r="L194" s="4">
        <f t="shared" si="121"/>
        <v>1</v>
      </c>
      <c r="M194" s="4">
        <f t="shared" si="121"/>
        <v>1</v>
      </c>
      <c r="N194" s="4">
        <f t="shared" si="121"/>
        <v>1</v>
      </c>
      <c r="O194" s="4">
        <f t="shared" si="121"/>
        <v>1</v>
      </c>
      <c r="P194" s="4">
        <f t="shared" si="121"/>
        <v>1</v>
      </c>
      <c r="Q194" s="4">
        <f t="shared" si="121"/>
        <v>1</v>
      </c>
      <c r="R194" s="4">
        <f t="shared" si="121"/>
        <v>1</v>
      </c>
      <c r="S194" s="4">
        <f t="shared" si="121"/>
        <v>1</v>
      </c>
      <c r="U194" s="3">
        <f t="shared" si="72"/>
        <v>7.2021000000000006</v>
      </c>
      <c r="V194" s="1" t="str">
        <f t="shared" si="67"/>
        <v>A-0036</v>
      </c>
    </row>
    <row r="195" spans="1:22" x14ac:dyDescent="0.25">
      <c r="A195" s="2">
        <v>192</v>
      </c>
      <c r="B195" s="2">
        <v>3</v>
      </c>
      <c r="C195" s="30" t="s">
        <v>820</v>
      </c>
      <c r="E195" s="2">
        <v>1</v>
      </c>
      <c r="F195" s="2" t="s">
        <v>938</v>
      </c>
      <c r="G195" s="1" t="str">
        <f>IF(D195="","",VLOOKUP(D195,Table1[#All],2,FALSE))</f>
        <v/>
      </c>
      <c r="H195" s="2">
        <f t="shared" si="118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22">IF($B195="",J194,
    IF(J$3=$B195,$E195,
       IF(J$3&lt;$B195,J194,
           1
)))</f>
        <v>1</v>
      </c>
      <c r="K195" s="4">
        <f t="shared" si="122"/>
        <v>1</v>
      </c>
      <c r="L195" s="4">
        <f t="shared" si="122"/>
        <v>1</v>
      </c>
      <c r="M195" s="4">
        <f t="shared" si="122"/>
        <v>1</v>
      </c>
      <c r="N195" s="4">
        <f t="shared" si="122"/>
        <v>1</v>
      </c>
      <c r="O195" s="4">
        <f t="shared" si="122"/>
        <v>1</v>
      </c>
      <c r="P195" s="4">
        <f t="shared" si="122"/>
        <v>1</v>
      </c>
      <c r="Q195" s="4">
        <f t="shared" si="122"/>
        <v>1</v>
      </c>
      <c r="R195" s="4">
        <f t="shared" si="122"/>
        <v>1</v>
      </c>
      <c r="S195" s="4">
        <f t="shared" si="122"/>
        <v>1</v>
      </c>
      <c r="U195" s="3" t="str">
        <f t="shared" si="72"/>
        <v/>
      </c>
      <c r="V195" s="1">
        <f t="shared" si="67"/>
        <v>0</v>
      </c>
    </row>
    <row r="196" spans="1:22" x14ac:dyDescent="0.25">
      <c r="A196" s="2">
        <v>193</v>
      </c>
      <c r="B196" s="2">
        <v>3</v>
      </c>
      <c r="C196" s="30" t="s">
        <v>821</v>
      </c>
      <c r="D196" s="2" t="s">
        <v>46</v>
      </c>
      <c r="E196" s="2">
        <v>2</v>
      </c>
      <c r="F196" s="2" t="s">
        <v>938</v>
      </c>
      <c r="G196" s="1" t="str">
        <f>IF(D196="","",VLOOKUP(D196,Table1[#All],2,FALSE))</f>
        <v>M4 x 0.7mm 304 Stainless Steel Nylon Lock Nuts</v>
      </c>
      <c r="H196" s="2">
        <f t="shared" si="118"/>
        <v>2</v>
      </c>
      <c r="I196" s="44">
        <f>IF(D196&lt;&gt;"",(VLOOKUP(D196,part_details,4,FALSE)+VLOOKUP(D196,part_details,5,FALSE)+VLOOKUP(D196,part_details,6,FALSE))*'Multi-level BOM'!E196,"")</f>
        <v>0.12</v>
      </c>
      <c r="J196" s="4">
        <f t="shared" ref="J196:S196" si="123">IF($B196="",J195,
    IF(J$3=$B196,$E196,
       IF(J$3&lt;$B196,J195,
           1
)))</f>
        <v>1</v>
      </c>
      <c r="K196" s="4">
        <f t="shared" si="123"/>
        <v>1</v>
      </c>
      <c r="L196" s="4">
        <f t="shared" si="123"/>
        <v>1</v>
      </c>
      <c r="M196" s="4">
        <f t="shared" si="123"/>
        <v>2</v>
      </c>
      <c r="N196" s="4">
        <f t="shared" si="123"/>
        <v>1</v>
      </c>
      <c r="O196" s="4">
        <f t="shared" si="123"/>
        <v>1</v>
      </c>
      <c r="P196" s="4">
        <f t="shared" si="123"/>
        <v>1</v>
      </c>
      <c r="Q196" s="4">
        <f t="shared" si="123"/>
        <v>1</v>
      </c>
      <c r="R196" s="4">
        <f t="shared" si="123"/>
        <v>1</v>
      </c>
      <c r="S196" s="4">
        <f t="shared" si="123"/>
        <v>1</v>
      </c>
      <c r="U196" s="3">
        <f t="shared" si="72"/>
        <v>0.12</v>
      </c>
      <c r="V196" s="1" t="str">
        <f t="shared" si="67"/>
        <v>A-0040</v>
      </c>
    </row>
    <row r="197" spans="1:22" x14ac:dyDescent="0.25">
      <c r="A197" s="2">
        <v>194</v>
      </c>
      <c r="B197" s="2">
        <v>3</v>
      </c>
      <c r="C197" s="30" t="s">
        <v>791</v>
      </c>
      <c r="D197" s="2" t="s">
        <v>47</v>
      </c>
      <c r="E197" s="2">
        <v>6</v>
      </c>
      <c r="F197" s="2" t="s">
        <v>938</v>
      </c>
      <c r="G197" s="1" t="str">
        <f>IF(D197="","",VLOOKUP(D197,Table1[#All],2,FALSE))</f>
        <v xml:space="preserve">M4x12mmx1 mm Stainless Steel Round Flat Washer </v>
      </c>
      <c r="H197" s="2">
        <f>PRODUCT(J197:S197)</f>
        <v>6</v>
      </c>
      <c r="I197" s="44">
        <f>IF(D197&lt;&gt;"",(VLOOKUP(D197,part_details,4,FALSE)+VLOOKUP(D197,part_details,5,FALSE)+VLOOKUP(D197,part_details,6,FALSE))*'Multi-level BOM'!E197,"")</f>
        <v>7.5000000000000011E-2</v>
      </c>
      <c r="J197" s="4">
        <f t="shared" ref="J197:S201" si="124">IF($B197="",J196,
    IF(J$3=$B197,$E197,
       IF(J$3&lt;$B197,J196,
           1
)))</f>
        <v>1</v>
      </c>
      <c r="K197" s="4">
        <f t="shared" si="124"/>
        <v>1</v>
      </c>
      <c r="L197" s="4">
        <f t="shared" si="124"/>
        <v>1</v>
      </c>
      <c r="M197" s="4">
        <f t="shared" si="124"/>
        <v>6</v>
      </c>
      <c r="N197" s="4">
        <f t="shared" si="124"/>
        <v>1</v>
      </c>
      <c r="O197" s="4">
        <f t="shared" si="124"/>
        <v>1</v>
      </c>
      <c r="P197" s="4">
        <f t="shared" si="124"/>
        <v>1</v>
      </c>
      <c r="Q197" s="4">
        <f t="shared" si="124"/>
        <v>1</v>
      </c>
      <c r="R197" s="4">
        <f t="shared" si="124"/>
        <v>1</v>
      </c>
      <c r="S197" s="4">
        <f t="shared" si="124"/>
        <v>1</v>
      </c>
      <c r="U197" s="3">
        <f t="shared" si="72"/>
        <v>7.5000000000000011E-2</v>
      </c>
      <c r="V197" s="1" t="str">
        <f t="shared" si="67"/>
        <v>A-0041</v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24"/>
        <v>1</v>
      </c>
      <c r="K198" s="4">
        <f t="shared" si="124"/>
        <v>1</v>
      </c>
      <c r="L198" s="4">
        <f t="shared" si="124"/>
        <v>1</v>
      </c>
      <c r="M198" s="4">
        <f t="shared" si="124"/>
        <v>6</v>
      </c>
      <c r="N198" s="4">
        <f t="shared" si="124"/>
        <v>1</v>
      </c>
      <c r="O198" s="4">
        <f t="shared" si="124"/>
        <v>1</v>
      </c>
      <c r="P198" s="4">
        <f t="shared" si="124"/>
        <v>1</v>
      </c>
      <c r="Q198" s="4">
        <f t="shared" si="124"/>
        <v>1</v>
      </c>
      <c r="R198" s="4">
        <f t="shared" si="124"/>
        <v>1</v>
      </c>
      <c r="S198" s="4">
        <f t="shared" si="124"/>
        <v>1</v>
      </c>
      <c r="U198" s="3">
        <f t="shared" si="72"/>
        <v>0</v>
      </c>
      <c r="V198" s="1" t="str">
        <f t="shared" ref="V198:V261" si="125">IF(F198="x",D198,"")</f>
        <v/>
      </c>
    </row>
    <row r="199" spans="1:22" ht="15.75" x14ac:dyDescent="0.25">
      <c r="A199" s="2">
        <v>196</v>
      </c>
      <c r="B199" s="2">
        <v>1</v>
      </c>
      <c r="C199" s="7" t="s">
        <v>792</v>
      </c>
      <c r="E199" s="2">
        <v>1</v>
      </c>
      <c r="G199" s="1" t="str">
        <f>IF(D199="","",VLOOKUP(D199,Table1[#All],2,FALSE))</f>
        <v/>
      </c>
      <c r="H199" s="2">
        <f>PRODUCT(J199:S199)</f>
        <v>1</v>
      </c>
      <c r="I199" s="47">
        <f>H199*SUM(I200:I206)</f>
        <v>160.97409999999999</v>
      </c>
      <c r="J199" s="4">
        <f t="shared" si="124"/>
        <v>1</v>
      </c>
      <c r="K199" s="4">
        <f t="shared" si="124"/>
        <v>1</v>
      </c>
      <c r="L199" s="4">
        <f t="shared" si="124"/>
        <v>1</v>
      </c>
      <c r="M199" s="4">
        <f t="shared" si="124"/>
        <v>1</v>
      </c>
      <c r="N199" s="4">
        <f t="shared" si="124"/>
        <v>1</v>
      </c>
      <c r="O199" s="4">
        <f t="shared" si="124"/>
        <v>1</v>
      </c>
      <c r="P199" s="4">
        <f t="shared" si="124"/>
        <v>1</v>
      </c>
      <c r="Q199" s="4">
        <f t="shared" si="124"/>
        <v>1</v>
      </c>
      <c r="R199" s="4">
        <f t="shared" si="124"/>
        <v>1</v>
      </c>
      <c r="S199" s="4">
        <f t="shared" si="124"/>
        <v>1</v>
      </c>
      <c r="U199" s="3">
        <f t="shared" si="72"/>
        <v>0</v>
      </c>
      <c r="V199" s="1" t="str">
        <f t="shared" si="125"/>
        <v/>
      </c>
    </row>
    <row r="200" spans="1:22" x14ac:dyDescent="0.25">
      <c r="A200" s="2">
        <v>197</v>
      </c>
      <c r="B200" s="2">
        <v>2</v>
      </c>
      <c r="C200" s="7" t="s">
        <v>793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>PRODUCT(J200:S200)</f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24"/>
        <v>1</v>
      </c>
      <c r="K200" s="4">
        <f t="shared" si="124"/>
        <v>1</v>
      </c>
      <c r="L200" s="4">
        <f t="shared" si="124"/>
        <v>1</v>
      </c>
      <c r="M200" s="4">
        <f t="shared" si="124"/>
        <v>1</v>
      </c>
      <c r="N200" s="4">
        <f t="shared" si="124"/>
        <v>1</v>
      </c>
      <c r="O200" s="4">
        <f t="shared" si="124"/>
        <v>1</v>
      </c>
      <c r="P200" s="4">
        <f t="shared" si="124"/>
        <v>1</v>
      </c>
      <c r="Q200" s="4">
        <f t="shared" si="124"/>
        <v>1</v>
      </c>
      <c r="R200" s="4">
        <f t="shared" si="124"/>
        <v>1</v>
      </c>
      <c r="S200" s="4">
        <f t="shared" si="124"/>
        <v>1</v>
      </c>
      <c r="U200" s="3">
        <f t="shared" si="72"/>
        <v>0</v>
      </c>
      <c r="V200" s="1" t="str">
        <f t="shared" si="125"/>
        <v/>
      </c>
    </row>
    <row r="201" spans="1:22" x14ac:dyDescent="0.25">
      <c r="A201" s="2">
        <v>198</v>
      </c>
      <c r="B201" s="2">
        <v>2</v>
      </c>
      <c r="C201" s="7" t="s">
        <v>797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>PRODUCT(J201:S201)</f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24"/>
        <v>1</v>
      </c>
      <c r="K201" s="4">
        <f t="shared" si="124"/>
        <v>1</v>
      </c>
      <c r="L201" s="4">
        <f t="shared" si="124"/>
        <v>36</v>
      </c>
      <c r="M201" s="4">
        <f t="shared" si="124"/>
        <v>1</v>
      </c>
      <c r="N201" s="4">
        <f t="shared" si="124"/>
        <v>1</v>
      </c>
      <c r="O201" s="4">
        <f t="shared" si="124"/>
        <v>1</v>
      </c>
      <c r="P201" s="4">
        <f t="shared" si="124"/>
        <v>1</v>
      </c>
      <c r="Q201" s="4">
        <f t="shared" si="124"/>
        <v>1</v>
      </c>
      <c r="R201" s="4">
        <f t="shared" si="124"/>
        <v>1</v>
      </c>
      <c r="S201" s="4">
        <f t="shared" si="124"/>
        <v>1</v>
      </c>
      <c r="U201" s="3">
        <f t="shared" si="72"/>
        <v>0</v>
      </c>
      <c r="V201" s="1" t="str">
        <f t="shared" si="125"/>
        <v/>
      </c>
    </row>
    <row r="202" spans="1:22" x14ac:dyDescent="0.25">
      <c r="A202" s="2">
        <v>199</v>
      </c>
      <c r="B202" s="2">
        <v>2</v>
      </c>
      <c r="C202" s="7" t="s">
        <v>794</v>
      </c>
      <c r="E202" s="2">
        <v>1</v>
      </c>
      <c r="G202" s="1" t="str">
        <f>IF(D202="","",VLOOKUP(D202,Table1[#All],2,FALSE))</f>
        <v/>
      </c>
      <c r="H202" s="2">
        <f t="shared" ref="H202:H204" si="126">PRODUCT(J202:S202)</f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27">IF($B202="",J201,
    IF(J$3=$B202,$E202,
       IF(J$3&lt;$B202,J201,
           1
)))</f>
        <v>1</v>
      </c>
      <c r="K202" s="4">
        <f t="shared" si="127"/>
        <v>1</v>
      </c>
      <c r="L202" s="4">
        <f t="shared" si="127"/>
        <v>1</v>
      </c>
      <c r="M202" s="4">
        <f t="shared" si="127"/>
        <v>1</v>
      </c>
      <c r="N202" s="4">
        <f t="shared" si="127"/>
        <v>1</v>
      </c>
      <c r="O202" s="4">
        <f t="shared" si="127"/>
        <v>1</v>
      </c>
      <c r="P202" s="4">
        <f t="shared" si="127"/>
        <v>1</v>
      </c>
      <c r="Q202" s="4">
        <f t="shared" si="127"/>
        <v>1</v>
      </c>
      <c r="R202" s="4">
        <f t="shared" si="127"/>
        <v>1</v>
      </c>
      <c r="S202" s="4">
        <f t="shared" si="127"/>
        <v>1</v>
      </c>
      <c r="U202" s="3">
        <f t="shared" si="72"/>
        <v>0</v>
      </c>
      <c r="V202" s="1" t="str">
        <f t="shared" si="125"/>
        <v/>
      </c>
    </row>
    <row r="203" spans="1:22" x14ac:dyDescent="0.25">
      <c r="A203" s="2">
        <v>200</v>
      </c>
      <c r="B203" s="2">
        <v>2</v>
      </c>
      <c r="C203" s="7" t="s">
        <v>796</v>
      </c>
      <c r="E203" s="2">
        <v>3</v>
      </c>
      <c r="G203" s="1" t="str">
        <f>IF(D203="","",VLOOKUP(D203,Table1[#All],2,FALSE))</f>
        <v/>
      </c>
      <c r="H203" s="2">
        <f t="shared" si="126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28">IF($B203="",J202,
    IF(J$3=$B203,$E203,
       IF(J$3&lt;$B203,J202,
           1
)))</f>
        <v>1</v>
      </c>
      <c r="K203" s="4">
        <f t="shared" si="128"/>
        <v>1</v>
      </c>
      <c r="L203" s="4">
        <f t="shared" si="128"/>
        <v>3</v>
      </c>
      <c r="M203" s="4">
        <f t="shared" si="128"/>
        <v>1</v>
      </c>
      <c r="N203" s="4">
        <f t="shared" si="128"/>
        <v>1</v>
      </c>
      <c r="O203" s="4">
        <f t="shared" si="128"/>
        <v>1</v>
      </c>
      <c r="P203" s="4">
        <f t="shared" si="128"/>
        <v>1</v>
      </c>
      <c r="Q203" s="4">
        <f t="shared" si="128"/>
        <v>1</v>
      </c>
      <c r="R203" s="4">
        <f t="shared" si="128"/>
        <v>1</v>
      </c>
      <c r="S203" s="4">
        <f t="shared" si="128"/>
        <v>1</v>
      </c>
      <c r="U203" s="3">
        <f t="shared" si="72"/>
        <v>0</v>
      </c>
      <c r="V203" s="1" t="str">
        <f t="shared" si="125"/>
        <v/>
      </c>
    </row>
    <row r="204" spans="1:22" x14ac:dyDescent="0.25">
      <c r="A204" s="2">
        <v>201</v>
      </c>
      <c r="B204" s="2">
        <v>2</v>
      </c>
      <c r="C204" s="7" t="s">
        <v>795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26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29">IF($B204="",J203,
    IF(J$3=$B204,$E204,
       IF(J$3&lt;$B204,J203,
           1
)))</f>
        <v>1</v>
      </c>
      <c r="K204" s="4">
        <f t="shared" si="129"/>
        <v>1</v>
      </c>
      <c r="L204" s="4">
        <f t="shared" si="129"/>
        <v>1</v>
      </c>
      <c r="M204" s="4">
        <f t="shared" si="129"/>
        <v>1</v>
      </c>
      <c r="N204" s="4">
        <f t="shared" si="129"/>
        <v>1</v>
      </c>
      <c r="O204" s="4">
        <f t="shared" si="129"/>
        <v>1</v>
      </c>
      <c r="P204" s="4">
        <f t="shared" si="129"/>
        <v>1</v>
      </c>
      <c r="Q204" s="4">
        <f t="shared" si="129"/>
        <v>1</v>
      </c>
      <c r="R204" s="4">
        <f t="shared" si="129"/>
        <v>1</v>
      </c>
      <c r="S204" s="4">
        <f t="shared" si="129"/>
        <v>1</v>
      </c>
      <c r="U204" s="3">
        <f t="shared" si="72"/>
        <v>0</v>
      </c>
      <c r="V204" s="1" t="str">
        <f t="shared" si="125"/>
        <v/>
      </c>
    </row>
    <row r="205" spans="1:22" x14ac:dyDescent="0.25">
      <c r="A205" s="2">
        <v>202</v>
      </c>
      <c r="B205" s="2">
        <v>2</v>
      </c>
      <c r="C205" s="7" t="s">
        <v>856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ref="H205:H206" si="130">PRODUCT(J205:S205)</f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31">IF($B205="",J204,
    IF(J$3=$B205,$E205,
       IF(J$3&lt;$B205,J204,
           1
)))</f>
        <v>1</v>
      </c>
      <c r="K205" s="4">
        <f t="shared" si="131"/>
        <v>1</v>
      </c>
      <c r="L205" s="4">
        <f t="shared" si="131"/>
        <v>1</v>
      </c>
      <c r="M205" s="4">
        <f t="shared" si="131"/>
        <v>1</v>
      </c>
      <c r="N205" s="4">
        <f t="shared" si="131"/>
        <v>1</v>
      </c>
      <c r="O205" s="4">
        <f t="shared" si="131"/>
        <v>1</v>
      </c>
      <c r="P205" s="4">
        <f t="shared" si="131"/>
        <v>1</v>
      </c>
      <c r="Q205" s="4">
        <f t="shared" si="131"/>
        <v>1</v>
      </c>
      <c r="R205" s="4">
        <f t="shared" si="131"/>
        <v>1</v>
      </c>
      <c r="S205" s="4">
        <f t="shared" si="131"/>
        <v>1</v>
      </c>
      <c r="U205" s="3">
        <f t="shared" si="72"/>
        <v>0</v>
      </c>
      <c r="V205" s="1" t="str">
        <f t="shared" si="125"/>
        <v/>
      </c>
    </row>
    <row r="206" spans="1:22" x14ac:dyDescent="0.25">
      <c r="A206" s="2">
        <v>203</v>
      </c>
      <c r="B206" s="2">
        <v>2</v>
      </c>
      <c r="C206" s="7" t="s">
        <v>858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30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31"/>
        <v>1</v>
      </c>
      <c r="K206" s="4">
        <f t="shared" si="131"/>
        <v>1</v>
      </c>
      <c r="L206" s="4">
        <f t="shared" si="131"/>
        <v>1</v>
      </c>
      <c r="M206" s="4">
        <f t="shared" si="131"/>
        <v>1</v>
      </c>
      <c r="N206" s="4">
        <f t="shared" si="131"/>
        <v>1</v>
      </c>
      <c r="O206" s="4">
        <f t="shared" si="131"/>
        <v>1</v>
      </c>
      <c r="P206" s="4">
        <f t="shared" si="131"/>
        <v>1</v>
      </c>
      <c r="Q206" s="4">
        <f t="shared" si="131"/>
        <v>1</v>
      </c>
      <c r="R206" s="4">
        <f t="shared" si="131"/>
        <v>1</v>
      </c>
      <c r="S206" s="4">
        <f t="shared" si="131"/>
        <v>1</v>
      </c>
      <c r="U206" s="3">
        <f t="shared" si="72"/>
        <v>0</v>
      </c>
      <c r="V206" s="1" t="str">
        <f t="shared" si="125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32">IF($B207="",J206,
    IF(J$3=$B207,$E207,
       IF(J$3&lt;$B207,J206,
           1
)))</f>
        <v>1</v>
      </c>
      <c r="K207" s="4">
        <f t="shared" si="132"/>
        <v>1</v>
      </c>
      <c r="L207" s="4">
        <f t="shared" si="132"/>
        <v>1</v>
      </c>
      <c r="M207" s="4">
        <f t="shared" si="132"/>
        <v>1</v>
      </c>
      <c r="N207" s="4">
        <f t="shared" si="132"/>
        <v>1</v>
      </c>
      <c r="O207" s="4">
        <f t="shared" si="132"/>
        <v>1</v>
      </c>
      <c r="P207" s="4">
        <f t="shared" si="132"/>
        <v>1</v>
      </c>
      <c r="Q207" s="4">
        <f t="shared" si="132"/>
        <v>1</v>
      </c>
      <c r="R207" s="4">
        <f t="shared" si="132"/>
        <v>1</v>
      </c>
      <c r="S207" s="4">
        <f t="shared" si="132"/>
        <v>1</v>
      </c>
      <c r="U207" s="3">
        <f t="shared" ref="U207:U270" si="133">IF(F207="x",I207,0)</f>
        <v>0</v>
      </c>
      <c r="V207" s="1" t="str">
        <f t="shared" si="125"/>
        <v/>
      </c>
    </row>
    <row r="208" spans="1:22" x14ac:dyDescent="0.25">
      <c r="A208" s="2">
        <v>205</v>
      </c>
      <c r="B208" s="2">
        <v>1</v>
      </c>
      <c r="C208" s="7" t="s">
        <v>928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34">IF($B208="",J207,
    IF(J$3=$B208,$E208,
       IF(J$3&lt;$B208,J207,
           1
)))</f>
        <v>1</v>
      </c>
      <c r="K208" s="4">
        <f t="shared" si="134"/>
        <v>1</v>
      </c>
      <c r="L208" s="4">
        <f t="shared" si="134"/>
        <v>1</v>
      </c>
      <c r="M208" s="4">
        <f t="shared" si="134"/>
        <v>1</v>
      </c>
      <c r="N208" s="4">
        <f t="shared" si="134"/>
        <v>1</v>
      </c>
      <c r="O208" s="4">
        <f t="shared" si="134"/>
        <v>1</v>
      </c>
      <c r="P208" s="4">
        <f t="shared" si="134"/>
        <v>1</v>
      </c>
      <c r="Q208" s="4">
        <f t="shared" si="134"/>
        <v>1</v>
      </c>
      <c r="R208" s="4">
        <f t="shared" si="134"/>
        <v>1</v>
      </c>
      <c r="S208" s="4">
        <f t="shared" si="134"/>
        <v>1</v>
      </c>
      <c r="U208" s="3">
        <f t="shared" si="133"/>
        <v>0</v>
      </c>
      <c r="V208" s="1" t="str">
        <f t="shared" si="125"/>
        <v/>
      </c>
    </row>
    <row r="209" spans="1:22" x14ac:dyDescent="0.25">
      <c r="A209" s="2">
        <v>206</v>
      </c>
      <c r="B209" s="2">
        <v>2</v>
      </c>
      <c r="C209" s="7" t="s">
        <v>864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35">IF($B209="",J208,
    IF(J$3=$B209,$E209,
       IF(J$3&lt;$B209,J208,
           1
)))</f>
        <v>1</v>
      </c>
      <c r="K209" s="4">
        <f t="shared" si="135"/>
        <v>1</v>
      </c>
      <c r="L209" s="4">
        <f t="shared" si="135"/>
        <v>1</v>
      </c>
      <c r="M209" s="4">
        <f t="shared" si="135"/>
        <v>1</v>
      </c>
      <c r="N209" s="4">
        <f t="shared" si="135"/>
        <v>1</v>
      </c>
      <c r="O209" s="4">
        <f t="shared" si="135"/>
        <v>1</v>
      </c>
      <c r="P209" s="4">
        <f t="shared" si="135"/>
        <v>1</v>
      </c>
      <c r="Q209" s="4">
        <f t="shared" si="135"/>
        <v>1</v>
      </c>
      <c r="R209" s="4">
        <f t="shared" si="135"/>
        <v>1</v>
      </c>
      <c r="S209" s="4">
        <f t="shared" si="135"/>
        <v>1</v>
      </c>
      <c r="U209" s="3">
        <f t="shared" si="133"/>
        <v>0</v>
      </c>
      <c r="V209" s="1" t="str">
        <f t="shared" si="125"/>
        <v/>
      </c>
    </row>
    <row r="210" spans="1:22" x14ac:dyDescent="0.25">
      <c r="A210" s="2">
        <v>207</v>
      </c>
      <c r="B210" s="2">
        <v>2</v>
      </c>
      <c r="C210" s="7" t="s">
        <v>865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36">IF($B210="",J209,
    IF(J$3=$B210,$E210,
       IF(J$3&lt;$B210,J209,
           1
)))</f>
        <v>1</v>
      </c>
      <c r="K210" s="4">
        <f t="shared" si="136"/>
        <v>1</v>
      </c>
      <c r="L210" s="4">
        <f t="shared" si="136"/>
        <v>1</v>
      </c>
      <c r="M210" s="4">
        <f t="shared" si="136"/>
        <v>1</v>
      </c>
      <c r="N210" s="4">
        <f t="shared" si="136"/>
        <v>1</v>
      </c>
      <c r="O210" s="4">
        <f t="shared" si="136"/>
        <v>1</v>
      </c>
      <c r="P210" s="4">
        <f t="shared" si="136"/>
        <v>1</v>
      </c>
      <c r="Q210" s="4">
        <f t="shared" si="136"/>
        <v>1</v>
      </c>
      <c r="R210" s="4">
        <f t="shared" si="136"/>
        <v>1</v>
      </c>
      <c r="S210" s="4">
        <f t="shared" si="136"/>
        <v>1</v>
      </c>
      <c r="U210" s="3">
        <f t="shared" si="133"/>
        <v>0</v>
      </c>
      <c r="V210" s="1" t="str">
        <f t="shared" si="125"/>
        <v/>
      </c>
    </row>
    <row r="211" spans="1:22" x14ac:dyDescent="0.25">
      <c r="A211" s="2">
        <v>208</v>
      </c>
      <c r="B211" s="2">
        <v>2</v>
      </c>
      <c r="C211" s="7" t="s">
        <v>866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37">IF($B211="",J210,
    IF(J$3=$B211,$E211,
       IF(J$3&lt;$B211,J210,
           1
)))</f>
        <v>1</v>
      </c>
      <c r="K211" s="4">
        <f t="shared" si="137"/>
        <v>1</v>
      </c>
      <c r="L211" s="4">
        <f t="shared" si="137"/>
        <v>1</v>
      </c>
      <c r="M211" s="4">
        <f t="shared" si="137"/>
        <v>1</v>
      </c>
      <c r="N211" s="4">
        <f t="shared" si="137"/>
        <v>1</v>
      </c>
      <c r="O211" s="4">
        <f t="shared" si="137"/>
        <v>1</v>
      </c>
      <c r="P211" s="4">
        <f t="shared" si="137"/>
        <v>1</v>
      </c>
      <c r="Q211" s="4">
        <f t="shared" si="137"/>
        <v>1</v>
      </c>
      <c r="R211" s="4">
        <f t="shared" si="137"/>
        <v>1</v>
      </c>
      <c r="S211" s="4">
        <f t="shared" si="137"/>
        <v>1</v>
      </c>
      <c r="U211" s="3">
        <f t="shared" si="133"/>
        <v>0</v>
      </c>
      <c r="V211" s="1" t="str">
        <f t="shared" si="125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38">IF($B212="",J211,
    IF(J$3=$B212,$E212,
       IF(J$3&lt;$B212,J211,
           1
)))</f>
        <v>1</v>
      </c>
      <c r="K212" s="4">
        <f t="shared" si="138"/>
        <v>1</v>
      </c>
      <c r="L212" s="4">
        <f t="shared" si="138"/>
        <v>1</v>
      </c>
      <c r="M212" s="4">
        <f t="shared" si="138"/>
        <v>1</v>
      </c>
      <c r="N212" s="4">
        <f t="shared" si="138"/>
        <v>1</v>
      </c>
      <c r="O212" s="4">
        <f t="shared" si="138"/>
        <v>1</v>
      </c>
      <c r="P212" s="4">
        <f t="shared" si="138"/>
        <v>1</v>
      </c>
      <c r="Q212" s="4">
        <f t="shared" si="138"/>
        <v>1</v>
      </c>
      <c r="R212" s="4">
        <f t="shared" si="138"/>
        <v>1</v>
      </c>
      <c r="S212" s="4">
        <f t="shared" si="138"/>
        <v>1</v>
      </c>
      <c r="U212" s="3">
        <f t="shared" si="133"/>
        <v>0</v>
      </c>
      <c r="V212" s="1" t="str">
        <f t="shared" si="125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39">IF($B213="",J212,
    IF(J$3=$B213,$E213,
       IF(J$3&lt;$B213,J212,
           1
)))</f>
        <v>1</v>
      </c>
      <c r="K213" s="4">
        <f t="shared" si="139"/>
        <v>1</v>
      </c>
      <c r="L213" s="4">
        <f t="shared" si="139"/>
        <v>1</v>
      </c>
      <c r="M213" s="4">
        <f t="shared" si="139"/>
        <v>1</v>
      </c>
      <c r="N213" s="4">
        <f t="shared" si="139"/>
        <v>1</v>
      </c>
      <c r="O213" s="4">
        <f t="shared" si="139"/>
        <v>1</v>
      </c>
      <c r="P213" s="4">
        <f t="shared" si="139"/>
        <v>1</v>
      </c>
      <c r="Q213" s="4">
        <f t="shared" si="139"/>
        <v>1</v>
      </c>
      <c r="R213" s="4">
        <f t="shared" si="139"/>
        <v>1</v>
      </c>
      <c r="S213" s="4">
        <f t="shared" si="139"/>
        <v>1</v>
      </c>
      <c r="U213" s="3">
        <f t="shared" si="133"/>
        <v>0</v>
      </c>
      <c r="V213" s="1" t="str">
        <f t="shared" si="125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40">IF($B214="",J213,
    IF(J$3=$B214,$E214,
       IF(J$3&lt;$B214,J213,
           1
)))</f>
        <v>1</v>
      </c>
      <c r="K214" s="4">
        <f t="shared" si="140"/>
        <v>1</v>
      </c>
      <c r="L214" s="4">
        <f t="shared" si="140"/>
        <v>1</v>
      </c>
      <c r="M214" s="4">
        <f t="shared" si="140"/>
        <v>1</v>
      </c>
      <c r="N214" s="4">
        <f t="shared" si="140"/>
        <v>1</v>
      </c>
      <c r="O214" s="4">
        <f t="shared" si="140"/>
        <v>1</v>
      </c>
      <c r="P214" s="4">
        <f t="shared" si="140"/>
        <v>1</v>
      </c>
      <c r="Q214" s="4">
        <f t="shared" si="140"/>
        <v>1</v>
      </c>
      <c r="R214" s="4">
        <f t="shared" si="140"/>
        <v>1</v>
      </c>
      <c r="S214" s="4">
        <f t="shared" si="140"/>
        <v>1</v>
      </c>
      <c r="U214" s="3">
        <f t="shared" si="133"/>
        <v>0</v>
      </c>
      <c r="V214" s="1" t="str">
        <f t="shared" si="125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41">IF($B215="",J214,
    IF(J$3=$B215,$E215,
       IF(J$3&lt;$B215,J214,
           1
)))</f>
        <v>1</v>
      </c>
      <c r="K215" s="4">
        <f t="shared" si="141"/>
        <v>1</v>
      </c>
      <c r="L215" s="4">
        <f t="shared" si="141"/>
        <v>1</v>
      </c>
      <c r="M215" s="4">
        <f t="shared" si="141"/>
        <v>1</v>
      </c>
      <c r="N215" s="4">
        <f t="shared" si="141"/>
        <v>1</v>
      </c>
      <c r="O215" s="4">
        <f t="shared" si="141"/>
        <v>1</v>
      </c>
      <c r="P215" s="4">
        <f t="shared" si="141"/>
        <v>1</v>
      </c>
      <c r="Q215" s="4">
        <f t="shared" si="141"/>
        <v>1</v>
      </c>
      <c r="R215" s="4">
        <f t="shared" si="141"/>
        <v>1</v>
      </c>
      <c r="S215" s="4">
        <f t="shared" si="141"/>
        <v>1</v>
      </c>
      <c r="U215" s="3">
        <f t="shared" si="133"/>
        <v>0</v>
      </c>
      <c r="V215" s="1" t="str">
        <f t="shared" si="125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42">IF($B216="",J215,
    IF(J$3=$B216,$E216,
       IF(J$3&lt;$B216,J215,
           1
)))</f>
        <v>1</v>
      </c>
      <c r="K216" s="4">
        <f t="shared" si="142"/>
        <v>1</v>
      </c>
      <c r="L216" s="4">
        <f t="shared" si="142"/>
        <v>1</v>
      </c>
      <c r="M216" s="4">
        <f t="shared" si="142"/>
        <v>1</v>
      </c>
      <c r="N216" s="4">
        <f t="shared" si="142"/>
        <v>1</v>
      </c>
      <c r="O216" s="4">
        <f t="shared" si="142"/>
        <v>1</v>
      </c>
      <c r="P216" s="4">
        <f t="shared" si="142"/>
        <v>1</v>
      </c>
      <c r="Q216" s="4">
        <f t="shared" si="142"/>
        <v>1</v>
      </c>
      <c r="R216" s="4">
        <f t="shared" si="142"/>
        <v>1</v>
      </c>
      <c r="S216" s="4">
        <f t="shared" si="142"/>
        <v>1</v>
      </c>
      <c r="U216" s="3">
        <f t="shared" si="133"/>
        <v>0</v>
      </c>
      <c r="V216" s="1" t="str">
        <f t="shared" si="125"/>
        <v/>
      </c>
    </row>
    <row r="217" spans="1:22" x14ac:dyDescent="0.25">
      <c r="A217" s="2">
        <v>214</v>
      </c>
      <c r="B217" s="2">
        <v>1</v>
      </c>
      <c r="C217" s="7" t="s">
        <v>837</v>
      </c>
      <c r="E217" s="2">
        <v>1</v>
      </c>
      <c r="G217" s="1" t="str">
        <f>IF(D217="","",VLOOKUP(D217,Table1[#All],2,FALSE))</f>
        <v/>
      </c>
      <c r="H217" s="2">
        <f t="shared" ref="H217:H229" si="143">PRODUCT(J217:S217)</f>
        <v>1</v>
      </c>
      <c r="I217" s="45">
        <f>H217*SUM(I218:I226)</f>
        <v>93.125</v>
      </c>
      <c r="J217" s="4">
        <f t="shared" ref="J217:S217" si="144">IF($B217="",J216,
    IF(J$3=$B217,$E217,
       IF(J$3&lt;$B217,J216,
           1
)))</f>
        <v>1</v>
      </c>
      <c r="K217" s="4">
        <f t="shared" si="144"/>
        <v>1</v>
      </c>
      <c r="L217" s="4">
        <f t="shared" si="144"/>
        <v>1</v>
      </c>
      <c r="M217" s="4">
        <f t="shared" si="144"/>
        <v>1</v>
      </c>
      <c r="N217" s="4">
        <f t="shared" si="144"/>
        <v>1</v>
      </c>
      <c r="O217" s="4">
        <f t="shared" si="144"/>
        <v>1</v>
      </c>
      <c r="P217" s="4">
        <f t="shared" si="144"/>
        <v>1</v>
      </c>
      <c r="Q217" s="4">
        <f t="shared" si="144"/>
        <v>1</v>
      </c>
      <c r="R217" s="4">
        <f t="shared" si="144"/>
        <v>1</v>
      </c>
      <c r="S217" s="4">
        <f t="shared" si="144"/>
        <v>1</v>
      </c>
      <c r="U217" s="3">
        <f t="shared" si="133"/>
        <v>0</v>
      </c>
      <c r="V217" s="1" t="str">
        <f t="shared" si="125"/>
        <v/>
      </c>
    </row>
    <row r="218" spans="1:22" x14ac:dyDescent="0.25">
      <c r="A218" s="2">
        <v>215</v>
      </c>
      <c r="B218" s="2">
        <v>2</v>
      </c>
      <c r="C218" s="7" t="s">
        <v>825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4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45">IF($B218="",J217,
    IF(J$3=$B218,$E218,
       IF(J$3&lt;$B218,J217,
           1
)))</f>
        <v>1</v>
      </c>
      <c r="K218" s="4">
        <f t="shared" si="145"/>
        <v>1</v>
      </c>
      <c r="L218" s="4">
        <f t="shared" si="145"/>
        <v>2</v>
      </c>
      <c r="M218" s="4">
        <f t="shared" si="145"/>
        <v>1</v>
      </c>
      <c r="N218" s="4">
        <f t="shared" si="145"/>
        <v>1</v>
      </c>
      <c r="O218" s="4">
        <f t="shared" si="145"/>
        <v>1</v>
      </c>
      <c r="P218" s="4">
        <f t="shared" si="145"/>
        <v>1</v>
      </c>
      <c r="Q218" s="4">
        <f t="shared" si="145"/>
        <v>1</v>
      </c>
      <c r="R218" s="4">
        <f t="shared" si="145"/>
        <v>1</v>
      </c>
      <c r="S218" s="4">
        <f t="shared" si="145"/>
        <v>1</v>
      </c>
      <c r="U218" s="3">
        <f t="shared" si="133"/>
        <v>0</v>
      </c>
      <c r="V218" s="1" t="str">
        <f t="shared" si="125"/>
        <v/>
      </c>
    </row>
    <row r="219" spans="1:22" x14ac:dyDescent="0.25">
      <c r="A219" s="2">
        <v>216</v>
      </c>
      <c r="B219" s="2">
        <v>2</v>
      </c>
      <c r="C219" s="7" t="s">
        <v>826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4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46">IF($B219="",J218,
    IF(J$3=$B219,$E219,
       IF(J$3&lt;$B219,J218,
           1
)))</f>
        <v>1</v>
      </c>
      <c r="K219" s="4">
        <f t="shared" si="146"/>
        <v>1</v>
      </c>
      <c r="L219" s="4">
        <f t="shared" si="146"/>
        <v>1</v>
      </c>
      <c r="M219" s="4">
        <f t="shared" si="146"/>
        <v>1</v>
      </c>
      <c r="N219" s="4">
        <f t="shared" si="146"/>
        <v>1</v>
      </c>
      <c r="O219" s="4">
        <f t="shared" si="146"/>
        <v>1</v>
      </c>
      <c r="P219" s="4">
        <f t="shared" si="146"/>
        <v>1</v>
      </c>
      <c r="Q219" s="4">
        <f t="shared" si="146"/>
        <v>1</v>
      </c>
      <c r="R219" s="4">
        <f t="shared" si="146"/>
        <v>1</v>
      </c>
      <c r="S219" s="4">
        <f t="shared" si="146"/>
        <v>1</v>
      </c>
      <c r="U219" s="3">
        <f t="shared" si="133"/>
        <v>0</v>
      </c>
      <c r="V219" s="1" t="str">
        <f t="shared" si="125"/>
        <v/>
      </c>
    </row>
    <row r="220" spans="1:22" x14ac:dyDescent="0.25">
      <c r="A220" s="2">
        <v>217</v>
      </c>
      <c r="B220" s="2">
        <v>2</v>
      </c>
      <c r="C220" s="7" t="s">
        <v>827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4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47">IF($B220="",J219,
    IF(J$3=$B220,$E220,
       IF(J$3&lt;$B220,J219,
           1
)))</f>
        <v>1</v>
      </c>
      <c r="K220" s="4">
        <f t="shared" si="147"/>
        <v>1</v>
      </c>
      <c r="L220" s="4">
        <f t="shared" si="147"/>
        <v>1</v>
      </c>
      <c r="M220" s="4">
        <f t="shared" si="147"/>
        <v>1</v>
      </c>
      <c r="N220" s="4">
        <f t="shared" si="147"/>
        <v>1</v>
      </c>
      <c r="O220" s="4">
        <f t="shared" si="147"/>
        <v>1</v>
      </c>
      <c r="P220" s="4">
        <f t="shared" si="147"/>
        <v>1</v>
      </c>
      <c r="Q220" s="4">
        <f t="shared" si="147"/>
        <v>1</v>
      </c>
      <c r="R220" s="4">
        <f t="shared" si="147"/>
        <v>1</v>
      </c>
      <c r="S220" s="4">
        <f t="shared" si="147"/>
        <v>1</v>
      </c>
      <c r="U220" s="3">
        <f t="shared" si="133"/>
        <v>0</v>
      </c>
      <c r="V220" s="1" t="str">
        <f t="shared" si="125"/>
        <v/>
      </c>
    </row>
    <row r="221" spans="1:22" x14ac:dyDescent="0.25">
      <c r="A221" s="2">
        <v>218</v>
      </c>
      <c r="B221" s="2">
        <v>2</v>
      </c>
      <c r="C221" s="7" t="s">
        <v>828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4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48">IF($B221="",J220,
    IF(J$3=$B221,$E221,
       IF(J$3&lt;$B221,J220,
           1
)))</f>
        <v>1</v>
      </c>
      <c r="K221" s="4">
        <f t="shared" si="148"/>
        <v>1</v>
      </c>
      <c r="L221" s="4">
        <f t="shared" si="148"/>
        <v>1</v>
      </c>
      <c r="M221" s="4">
        <f t="shared" si="148"/>
        <v>1</v>
      </c>
      <c r="N221" s="4">
        <f t="shared" si="148"/>
        <v>1</v>
      </c>
      <c r="O221" s="4">
        <f t="shared" si="148"/>
        <v>1</v>
      </c>
      <c r="P221" s="4">
        <f t="shared" si="148"/>
        <v>1</v>
      </c>
      <c r="Q221" s="4">
        <f t="shared" si="148"/>
        <v>1</v>
      </c>
      <c r="R221" s="4">
        <f t="shared" si="148"/>
        <v>1</v>
      </c>
      <c r="S221" s="4">
        <f t="shared" si="148"/>
        <v>1</v>
      </c>
      <c r="U221" s="3">
        <f t="shared" si="133"/>
        <v>0</v>
      </c>
      <c r="V221" s="1" t="str">
        <f t="shared" si="125"/>
        <v/>
      </c>
    </row>
    <row r="222" spans="1:22" x14ac:dyDescent="0.25">
      <c r="A222" s="2">
        <v>219</v>
      </c>
      <c r="C222" s="34" t="s">
        <v>831</v>
      </c>
      <c r="G222" s="1" t="str">
        <f>IF(D222="","",VLOOKUP(D222,Table1[#All],2,FALSE))</f>
        <v/>
      </c>
      <c r="H222" s="2">
        <f t="shared" si="143"/>
        <v>1</v>
      </c>
      <c r="I222" s="45" t="str">
        <f>IF(D222&lt;&gt;"",VLOOKUP(D222,part_details,4,FALSE)*'Multi-level BOM'!E222,"")</f>
        <v/>
      </c>
      <c r="J222" s="4">
        <f t="shared" ref="J222:S222" si="149">IF($B222="",J221,
    IF(J$3=$B222,$E222,
       IF(J$3&lt;$B222,J221,
           1
)))</f>
        <v>1</v>
      </c>
      <c r="K222" s="4">
        <f t="shared" si="149"/>
        <v>1</v>
      </c>
      <c r="L222" s="4">
        <f t="shared" si="149"/>
        <v>1</v>
      </c>
      <c r="M222" s="4">
        <f t="shared" si="149"/>
        <v>1</v>
      </c>
      <c r="N222" s="4">
        <f t="shared" si="149"/>
        <v>1</v>
      </c>
      <c r="O222" s="4">
        <f t="shared" si="149"/>
        <v>1</v>
      </c>
      <c r="P222" s="4">
        <f t="shared" si="149"/>
        <v>1</v>
      </c>
      <c r="Q222" s="4">
        <f t="shared" si="149"/>
        <v>1</v>
      </c>
      <c r="R222" s="4">
        <f t="shared" si="149"/>
        <v>1</v>
      </c>
      <c r="S222" s="4">
        <f t="shared" si="149"/>
        <v>1</v>
      </c>
      <c r="U222" s="3">
        <f t="shared" si="133"/>
        <v>0</v>
      </c>
      <c r="V222" s="1" t="str">
        <f t="shared" si="125"/>
        <v/>
      </c>
    </row>
    <row r="223" spans="1:22" x14ac:dyDescent="0.25">
      <c r="A223" s="2">
        <v>220</v>
      </c>
      <c r="C223" s="34" t="s">
        <v>832</v>
      </c>
      <c r="H223" s="2">
        <f t="shared" si="143"/>
        <v>1</v>
      </c>
      <c r="I223" s="45" t="str">
        <f>IF(D223&lt;&gt;"",VLOOKUP(D223,part_details,4,FALSE)*'Multi-level BOM'!E223,"")</f>
        <v/>
      </c>
      <c r="J223" s="4">
        <f t="shared" ref="J223:S223" si="150">IF($B223="",J222,
    IF(J$3=$B223,$E223,
       IF(J$3&lt;$B223,J222,
           1
)))</f>
        <v>1</v>
      </c>
      <c r="K223" s="4">
        <f t="shared" si="150"/>
        <v>1</v>
      </c>
      <c r="L223" s="4">
        <f t="shared" si="150"/>
        <v>1</v>
      </c>
      <c r="M223" s="4">
        <f t="shared" si="150"/>
        <v>1</v>
      </c>
      <c r="N223" s="4">
        <f t="shared" si="150"/>
        <v>1</v>
      </c>
      <c r="O223" s="4">
        <f t="shared" si="150"/>
        <v>1</v>
      </c>
      <c r="P223" s="4">
        <f t="shared" si="150"/>
        <v>1</v>
      </c>
      <c r="Q223" s="4">
        <f t="shared" si="150"/>
        <v>1</v>
      </c>
      <c r="R223" s="4">
        <f t="shared" si="150"/>
        <v>1</v>
      </c>
      <c r="S223" s="4">
        <f t="shared" si="150"/>
        <v>1</v>
      </c>
      <c r="U223" s="3">
        <f t="shared" si="133"/>
        <v>0</v>
      </c>
      <c r="V223" s="1" t="str">
        <f t="shared" si="125"/>
        <v/>
      </c>
    </row>
    <row r="224" spans="1:22" x14ac:dyDescent="0.25">
      <c r="A224" s="2">
        <v>221</v>
      </c>
      <c r="C224" s="34" t="s">
        <v>833</v>
      </c>
      <c r="H224" s="2">
        <f t="shared" si="143"/>
        <v>1</v>
      </c>
      <c r="I224" s="45" t="str">
        <f>IF(D224&lt;&gt;"",VLOOKUP(D224,part_details,4,FALSE)*'Multi-level BOM'!E224,"")</f>
        <v/>
      </c>
      <c r="J224" s="4">
        <f t="shared" ref="J224:S224" si="151">IF($B224="",J223,
    IF(J$3=$B224,$E224,
       IF(J$3&lt;$B224,J223,
           1
)))</f>
        <v>1</v>
      </c>
      <c r="K224" s="4">
        <f t="shared" si="151"/>
        <v>1</v>
      </c>
      <c r="L224" s="4">
        <f t="shared" si="151"/>
        <v>1</v>
      </c>
      <c r="M224" s="4">
        <f t="shared" si="151"/>
        <v>1</v>
      </c>
      <c r="N224" s="4">
        <f t="shared" si="151"/>
        <v>1</v>
      </c>
      <c r="O224" s="4">
        <f t="shared" si="151"/>
        <v>1</v>
      </c>
      <c r="P224" s="4">
        <f t="shared" si="151"/>
        <v>1</v>
      </c>
      <c r="Q224" s="4">
        <f t="shared" si="151"/>
        <v>1</v>
      </c>
      <c r="R224" s="4">
        <f t="shared" si="151"/>
        <v>1</v>
      </c>
      <c r="S224" s="4">
        <f t="shared" si="151"/>
        <v>1</v>
      </c>
      <c r="U224" s="3">
        <f t="shared" si="133"/>
        <v>0</v>
      </c>
      <c r="V224" s="1" t="str">
        <f t="shared" si="125"/>
        <v/>
      </c>
    </row>
    <row r="225" spans="1:22" x14ac:dyDescent="0.25">
      <c r="A225" s="2">
        <v>222</v>
      </c>
      <c r="C225" s="34" t="s">
        <v>834</v>
      </c>
      <c r="E225" s="2">
        <v>4</v>
      </c>
      <c r="H225" s="2">
        <f t="shared" si="143"/>
        <v>1</v>
      </c>
      <c r="I225" s="45" t="str">
        <f>IF(D225&lt;&gt;"",VLOOKUP(D225,part_details,4,FALSE)*'Multi-level BOM'!E225,"")</f>
        <v/>
      </c>
      <c r="J225" s="4">
        <f t="shared" ref="J225:S225" si="152">IF($B225="",J224,
    IF(J$3=$B225,$E225,
       IF(J$3&lt;$B225,J224,
           1
)))</f>
        <v>1</v>
      </c>
      <c r="K225" s="4">
        <f t="shared" si="152"/>
        <v>1</v>
      </c>
      <c r="L225" s="4">
        <f t="shared" si="152"/>
        <v>1</v>
      </c>
      <c r="M225" s="4">
        <f t="shared" si="152"/>
        <v>1</v>
      </c>
      <c r="N225" s="4">
        <f t="shared" si="152"/>
        <v>1</v>
      </c>
      <c r="O225" s="4">
        <f t="shared" si="152"/>
        <v>1</v>
      </c>
      <c r="P225" s="4">
        <f t="shared" si="152"/>
        <v>1</v>
      </c>
      <c r="Q225" s="4">
        <f t="shared" si="152"/>
        <v>1</v>
      </c>
      <c r="R225" s="4">
        <f t="shared" si="152"/>
        <v>1</v>
      </c>
      <c r="S225" s="4">
        <f t="shared" si="152"/>
        <v>1</v>
      </c>
      <c r="U225" s="3">
        <f t="shared" si="133"/>
        <v>0</v>
      </c>
      <c r="V225" s="1" t="str">
        <f t="shared" si="125"/>
        <v/>
      </c>
    </row>
    <row r="226" spans="1:22" x14ac:dyDescent="0.25">
      <c r="A226" s="2">
        <v>223</v>
      </c>
      <c r="C226" s="34" t="s">
        <v>835</v>
      </c>
      <c r="H226" s="2">
        <f t="shared" si="143"/>
        <v>1</v>
      </c>
      <c r="I226" s="45" t="str">
        <f>IF(D226&lt;&gt;"",VLOOKUP(D226,part_details,4,FALSE)*'Multi-level BOM'!E226,"")</f>
        <v/>
      </c>
      <c r="J226" s="4">
        <f t="shared" ref="J226:S226" si="153">IF($B226="",J225,
    IF(J$3=$B226,$E226,
       IF(J$3&lt;$B226,J225,
           1
)))</f>
        <v>1</v>
      </c>
      <c r="K226" s="4">
        <f t="shared" si="153"/>
        <v>1</v>
      </c>
      <c r="L226" s="4">
        <f t="shared" si="153"/>
        <v>1</v>
      </c>
      <c r="M226" s="4">
        <f t="shared" si="153"/>
        <v>1</v>
      </c>
      <c r="N226" s="4">
        <f t="shared" si="153"/>
        <v>1</v>
      </c>
      <c r="O226" s="4">
        <f t="shared" si="153"/>
        <v>1</v>
      </c>
      <c r="P226" s="4">
        <f t="shared" si="153"/>
        <v>1</v>
      </c>
      <c r="Q226" s="4">
        <f t="shared" si="153"/>
        <v>1</v>
      </c>
      <c r="R226" s="4">
        <f t="shared" si="153"/>
        <v>1</v>
      </c>
      <c r="S226" s="4">
        <f t="shared" si="153"/>
        <v>1</v>
      </c>
      <c r="U226" s="3">
        <f t="shared" si="133"/>
        <v>0</v>
      </c>
      <c r="V226" s="1" t="str">
        <f t="shared" si="125"/>
        <v/>
      </c>
    </row>
    <row r="227" spans="1:22" x14ac:dyDescent="0.25">
      <c r="A227" s="2">
        <v>224</v>
      </c>
      <c r="C227" s="7"/>
      <c r="H227" s="2">
        <f t="shared" si="143"/>
        <v>1</v>
      </c>
      <c r="I227" s="45" t="str">
        <f>IF(D227&lt;&gt;"",VLOOKUP(D227,part_details,4,FALSE)*'Multi-level BOM'!E227,"")</f>
        <v/>
      </c>
      <c r="J227" s="4">
        <f t="shared" ref="J227:S227" si="154">IF($B227="",J226,
    IF(J$3=$B227,$E227,
       IF(J$3&lt;$B227,J226,
           1
)))</f>
        <v>1</v>
      </c>
      <c r="K227" s="4">
        <f t="shared" si="154"/>
        <v>1</v>
      </c>
      <c r="L227" s="4">
        <f t="shared" si="154"/>
        <v>1</v>
      </c>
      <c r="M227" s="4">
        <f t="shared" si="154"/>
        <v>1</v>
      </c>
      <c r="N227" s="4">
        <f t="shared" si="154"/>
        <v>1</v>
      </c>
      <c r="O227" s="4">
        <f t="shared" si="154"/>
        <v>1</v>
      </c>
      <c r="P227" s="4">
        <f t="shared" si="154"/>
        <v>1</v>
      </c>
      <c r="Q227" s="4">
        <f t="shared" si="154"/>
        <v>1</v>
      </c>
      <c r="R227" s="4">
        <f t="shared" si="154"/>
        <v>1</v>
      </c>
      <c r="S227" s="4">
        <f t="shared" si="154"/>
        <v>1</v>
      </c>
      <c r="U227" s="3">
        <f t="shared" si="133"/>
        <v>0</v>
      </c>
      <c r="V227" s="1" t="str">
        <f t="shared" si="125"/>
        <v/>
      </c>
    </row>
    <row r="228" spans="1:22" x14ac:dyDescent="0.25">
      <c r="A228" s="2">
        <v>225</v>
      </c>
      <c r="B228" s="2">
        <v>1</v>
      </c>
      <c r="C228" s="7" t="s">
        <v>836</v>
      </c>
      <c r="E228" s="2">
        <v>1</v>
      </c>
      <c r="G228" s="1" t="str">
        <f>IF(D228="","",VLOOKUP(D228,Table1[#All],2,FALSE))</f>
        <v/>
      </c>
      <c r="H228" s="2">
        <f t="shared" si="143"/>
        <v>1</v>
      </c>
      <c r="I228" s="45">
        <f>H228*SUM(I229:I236)</f>
        <v>194.54480000000004</v>
      </c>
      <c r="J228" s="4">
        <f t="shared" ref="J228:S228" si="155">IF($B228="",J227,
    IF(J$3=$B228,$E228,
       IF(J$3&lt;$B228,J227,
           1
)))</f>
        <v>1</v>
      </c>
      <c r="K228" s="4">
        <f t="shared" si="155"/>
        <v>1</v>
      </c>
      <c r="L228" s="4">
        <f t="shared" si="155"/>
        <v>1</v>
      </c>
      <c r="M228" s="4">
        <f t="shared" si="155"/>
        <v>1</v>
      </c>
      <c r="N228" s="4">
        <f t="shared" si="155"/>
        <v>1</v>
      </c>
      <c r="O228" s="4">
        <f t="shared" si="155"/>
        <v>1</v>
      </c>
      <c r="P228" s="4">
        <f t="shared" si="155"/>
        <v>1</v>
      </c>
      <c r="Q228" s="4">
        <f t="shared" si="155"/>
        <v>1</v>
      </c>
      <c r="R228" s="4">
        <f t="shared" si="155"/>
        <v>1</v>
      </c>
      <c r="S228" s="4">
        <f t="shared" si="155"/>
        <v>1</v>
      </c>
      <c r="U228" s="3">
        <f t="shared" si="133"/>
        <v>0</v>
      </c>
      <c r="V228" s="1" t="str">
        <f t="shared" si="125"/>
        <v/>
      </c>
    </row>
    <row r="229" spans="1:22" x14ac:dyDescent="0.25">
      <c r="A229" s="2">
        <v>226</v>
      </c>
      <c r="B229" s="2">
        <v>2</v>
      </c>
      <c r="C229" s="7" t="s">
        <v>840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4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56">IF($B229="",J228,
    IF(J$3=$B229,$E229,
       IF(J$3&lt;$B229,J228,
           1
)))</f>
        <v>1</v>
      </c>
      <c r="K229" s="4">
        <f t="shared" si="156"/>
        <v>1</v>
      </c>
      <c r="L229" s="4">
        <f t="shared" si="156"/>
        <v>8</v>
      </c>
      <c r="M229" s="4">
        <f t="shared" si="156"/>
        <v>1</v>
      </c>
      <c r="N229" s="4">
        <f t="shared" si="156"/>
        <v>1</v>
      </c>
      <c r="O229" s="4">
        <f t="shared" si="156"/>
        <v>1</v>
      </c>
      <c r="P229" s="4">
        <f t="shared" si="156"/>
        <v>1</v>
      </c>
      <c r="Q229" s="4">
        <f t="shared" si="156"/>
        <v>1</v>
      </c>
      <c r="R229" s="4">
        <f t="shared" si="156"/>
        <v>1</v>
      </c>
      <c r="S229" s="4">
        <f t="shared" si="156"/>
        <v>1</v>
      </c>
      <c r="U229" s="3">
        <f t="shared" si="133"/>
        <v>0</v>
      </c>
      <c r="V229" s="1" t="str">
        <f t="shared" si="125"/>
        <v/>
      </c>
    </row>
    <row r="230" spans="1:22" x14ac:dyDescent="0.25">
      <c r="A230" s="2">
        <v>227</v>
      </c>
      <c r="B230" s="2">
        <v>2</v>
      </c>
      <c r="C230" s="7" t="s">
        <v>842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 t="shared" ref="H230:H233" si="157"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58">IF($B230="",J229,
    IF(J$3=$B230,$E230,
       IF(J$3&lt;$B230,J229,
           1
)))</f>
        <v>1</v>
      </c>
      <c r="K230" s="4">
        <f t="shared" si="158"/>
        <v>1</v>
      </c>
      <c r="L230" s="4">
        <f>IF($B230="",L229,
    IF(L$3=$B230,$E230,
       IF(L$3&lt;$B230,L229,
           1
)))</f>
        <v>4</v>
      </c>
      <c r="M230" s="4">
        <f t="shared" si="158"/>
        <v>1</v>
      </c>
      <c r="N230" s="4">
        <f t="shared" si="158"/>
        <v>1</v>
      </c>
      <c r="O230" s="4">
        <f t="shared" si="158"/>
        <v>1</v>
      </c>
      <c r="P230" s="4">
        <f t="shared" si="158"/>
        <v>1</v>
      </c>
      <c r="Q230" s="4">
        <f t="shared" si="158"/>
        <v>1</v>
      </c>
      <c r="R230" s="4">
        <f t="shared" si="158"/>
        <v>1</v>
      </c>
      <c r="S230" s="4">
        <f t="shared" si="158"/>
        <v>1</v>
      </c>
      <c r="U230" s="3">
        <f t="shared" si="133"/>
        <v>0</v>
      </c>
      <c r="V230" s="1" t="str">
        <f t="shared" si="125"/>
        <v/>
      </c>
    </row>
    <row r="231" spans="1:22" x14ac:dyDescent="0.25">
      <c r="A231" s="2">
        <v>228</v>
      </c>
      <c r="B231" s="2">
        <v>2</v>
      </c>
      <c r="C231" s="7" t="s">
        <v>843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 t="shared" si="157"/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59">IF($B231="",J230,
    IF(J$3=$B231,$E231,
       IF(J$3&lt;$B231,J230,
           1
)))</f>
        <v>1</v>
      </c>
      <c r="K231" s="4">
        <f t="shared" si="159"/>
        <v>1</v>
      </c>
      <c r="L231" s="4">
        <f t="shared" si="159"/>
        <v>3</v>
      </c>
      <c r="M231" s="4">
        <f t="shared" si="159"/>
        <v>1</v>
      </c>
      <c r="N231" s="4">
        <f t="shared" si="159"/>
        <v>1</v>
      </c>
      <c r="O231" s="4">
        <f t="shared" si="159"/>
        <v>1</v>
      </c>
      <c r="P231" s="4">
        <f t="shared" si="159"/>
        <v>1</v>
      </c>
      <c r="Q231" s="4">
        <f t="shared" si="159"/>
        <v>1</v>
      </c>
      <c r="R231" s="4">
        <f t="shared" si="159"/>
        <v>1</v>
      </c>
      <c r="S231" s="4">
        <f t="shared" si="159"/>
        <v>1</v>
      </c>
      <c r="U231" s="3">
        <f t="shared" si="133"/>
        <v>0</v>
      </c>
      <c r="V231" s="1" t="str">
        <f t="shared" si="125"/>
        <v/>
      </c>
    </row>
    <row r="232" spans="1:22" x14ac:dyDescent="0.25">
      <c r="A232" s="2">
        <v>229</v>
      </c>
      <c r="B232" s="2">
        <v>2</v>
      </c>
      <c r="C232" s="34" t="s">
        <v>841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 t="shared" si="157"/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60">IF($B232="",J231,
    IF(J$3=$B232,$E232,
       IF(J$3&lt;$B232,J231,
           1
)))</f>
        <v>1</v>
      </c>
      <c r="K232" s="4">
        <f t="shared" si="160"/>
        <v>1</v>
      </c>
      <c r="L232" s="4">
        <f t="shared" si="160"/>
        <v>1</v>
      </c>
      <c r="M232" s="4">
        <f t="shared" si="160"/>
        <v>1</v>
      </c>
      <c r="N232" s="4">
        <f t="shared" si="160"/>
        <v>1</v>
      </c>
      <c r="O232" s="4">
        <f t="shared" si="160"/>
        <v>1</v>
      </c>
      <c r="P232" s="4">
        <f t="shared" si="160"/>
        <v>1</v>
      </c>
      <c r="Q232" s="4">
        <f t="shared" si="160"/>
        <v>1</v>
      </c>
      <c r="R232" s="4">
        <f t="shared" si="160"/>
        <v>1</v>
      </c>
      <c r="S232" s="4">
        <f t="shared" si="160"/>
        <v>1</v>
      </c>
      <c r="U232" s="3">
        <f t="shared" si="133"/>
        <v>0</v>
      </c>
      <c r="V232" s="1" t="str">
        <f t="shared" si="125"/>
        <v/>
      </c>
    </row>
    <row r="233" spans="1:22" x14ac:dyDescent="0.25">
      <c r="A233" s="2">
        <v>230</v>
      </c>
      <c r="B233" s="2">
        <v>2</v>
      </c>
      <c r="C233" s="7" t="s">
        <v>844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 t="shared" si="157"/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61">IF($B233="",J232,
    IF(J$3=$B233,$E233,
       IF(J$3&lt;$B233,J232,
           1
)))</f>
        <v>1</v>
      </c>
      <c r="K233" s="4">
        <f t="shared" si="161"/>
        <v>1</v>
      </c>
      <c r="L233" s="4">
        <f t="shared" si="161"/>
        <v>4</v>
      </c>
      <c r="M233" s="4">
        <f t="shared" si="161"/>
        <v>1</v>
      </c>
      <c r="N233" s="4">
        <f t="shared" si="161"/>
        <v>1</v>
      </c>
      <c r="O233" s="4">
        <f t="shared" si="161"/>
        <v>1</v>
      </c>
      <c r="P233" s="4">
        <f t="shared" si="161"/>
        <v>1</v>
      </c>
      <c r="Q233" s="4">
        <f t="shared" si="161"/>
        <v>1</v>
      </c>
      <c r="R233" s="4">
        <f t="shared" si="161"/>
        <v>1</v>
      </c>
      <c r="S233" s="4">
        <f t="shared" si="161"/>
        <v>1</v>
      </c>
      <c r="U233" s="3">
        <f t="shared" si="133"/>
        <v>0</v>
      </c>
      <c r="V233" s="1" t="str">
        <f t="shared" si="125"/>
        <v/>
      </c>
    </row>
    <row r="234" spans="1:22" x14ac:dyDescent="0.25">
      <c r="A234" s="2">
        <v>231</v>
      </c>
      <c r="B234" s="2">
        <v>2</v>
      </c>
      <c r="C234" s="28" t="s">
        <v>845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62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63">IF($B234="",J233,
    IF(J$3=$B234,$E234,
       IF(J$3&lt;$B234,J233,
           1
)))</f>
        <v>1</v>
      </c>
      <c r="K234" s="4">
        <f t="shared" si="163"/>
        <v>1</v>
      </c>
      <c r="L234" s="4">
        <f t="shared" si="163"/>
        <v>2</v>
      </c>
      <c r="M234" s="4">
        <f t="shared" si="163"/>
        <v>1</v>
      </c>
      <c r="N234" s="4">
        <f t="shared" si="163"/>
        <v>1</v>
      </c>
      <c r="O234" s="4">
        <f t="shared" si="163"/>
        <v>1</v>
      </c>
      <c r="P234" s="4">
        <f t="shared" si="163"/>
        <v>1</v>
      </c>
      <c r="Q234" s="4">
        <f t="shared" si="163"/>
        <v>1</v>
      </c>
      <c r="R234" s="4">
        <f t="shared" si="163"/>
        <v>1</v>
      </c>
      <c r="S234" s="4">
        <f t="shared" si="163"/>
        <v>1</v>
      </c>
      <c r="U234" s="3">
        <f t="shared" si="133"/>
        <v>0</v>
      </c>
      <c r="V234" s="1" t="str">
        <f t="shared" si="125"/>
        <v/>
      </c>
    </row>
    <row r="235" spans="1:22" x14ac:dyDescent="0.25">
      <c r="A235" s="2">
        <v>232</v>
      </c>
      <c r="B235" s="2">
        <v>2</v>
      </c>
      <c r="C235" s="28" t="s">
        <v>846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62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64">IF($B235="",J234,
    IF(J$3=$B235,$E235,
       IF(J$3&lt;$B235,J234,
           1
)))</f>
        <v>1</v>
      </c>
      <c r="K235" s="4">
        <f t="shared" si="164"/>
        <v>1</v>
      </c>
      <c r="L235" s="4">
        <f t="shared" si="164"/>
        <v>2</v>
      </c>
      <c r="M235" s="4">
        <f t="shared" si="164"/>
        <v>1</v>
      </c>
      <c r="N235" s="4">
        <f t="shared" si="164"/>
        <v>1</v>
      </c>
      <c r="O235" s="4">
        <f t="shared" si="164"/>
        <v>1</v>
      </c>
      <c r="P235" s="4">
        <f t="shared" si="164"/>
        <v>1</v>
      </c>
      <c r="Q235" s="4">
        <f t="shared" si="164"/>
        <v>1</v>
      </c>
      <c r="R235" s="4">
        <f t="shared" si="164"/>
        <v>1</v>
      </c>
      <c r="S235" s="4">
        <f t="shared" si="164"/>
        <v>1</v>
      </c>
      <c r="U235" s="3">
        <f t="shared" si="133"/>
        <v>0</v>
      </c>
      <c r="V235" s="1" t="str">
        <f t="shared" si="125"/>
        <v/>
      </c>
    </row>
    <row r="236" spans="1:22" x14ac:dyDescent="0.25">
      <c r="A236" s="2">
        <v>233</v>
      </c>
      <c r="B236" s="2">
        <v>2</v>
      </c>
      <c r="C236" s="28" t="s">
        <v>847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62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65">IF($B236="",J235,
    IF(J$3=$B236,$E236,
       IF(J$3&lt;$B236,J235,
           1
)))</f>
        <v>1</v>
      </c>
      <c r="K236" s="4">
        <f t="shared" si="165"/>
        <v>1</v>
      </c>
      <c r="L236" s="4">
        <f t="shared" si="165"/>
        <v>1</v>
      </c>
      <c r="M236" s="4">
        <f t="shared" si="165"/>
        <v>1</v>
      </c>
      <c r="N236" s="4">
        <f t="shared" si="165"/>
        <v>1</v>
      </c>
      <c r="O236" s="4">
        <f t="shared" si="165"/>
        <v>1</v>
      </c>
      <c r="P236" s="4">
        <f t="shared" si="165"/>
        <v>1</v>
      </c>
      <c r="Q236" s="4">
        <f t="shared" si="165"/>
        <v>1</v>
      </c>
      <c r="R236" s="4">
        <f t="shared" si="165"/>
        <v>1</v>
      </c>
      <c r="S236" s="4">
        <f t="shared" si="165"/>
        <v>1</v>
      </c>
      <c r="U236" s="3">
        <f t="shared" si="133"/>
        <v>0</v>
      </c>
      <c r="V236" s="1" t="str">
        <f t="shared" si="125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62"/>
        <v>1</v>
      </c>
      <c r="I237" s="45" t="str">
        <f>IF(D237&lt;&gt;"",VLOOKUP(D237,part_details,4,FALSE)*'Multi-level BOM'!E237,"")</f>
        <v/>
      </c>
      <c r="J237" s="4">
        <f t="shared" ref="J237:S237" si="166">IF($B237="",J236,
    IF(J$3=$B237,$E237,
       IF(J$3&lt;$B237,J236,
           1
)))</f>
        <v>1</v>
      </c>
      <c r="K237" s="4">
        <f t="shared" si="166"/>
        <v>1</v>
      </c>
      <c r="L237" s="4">
        <f t="shared" si="166"/>
        <v>1</v>
      </c>
      <c r="M237" s="4">
        <f t="shared" si="166"/>
        <v>1</v>
      </c>
      <c r="N237" s="4">
        <f t="shared" si="166"/>
        <v>1</v>
      </c>
      <c r="O237" s="4">
        <f t="shared" si="166"/>
        <v>1</v>
      </c>
      <c r="P237" s="4">
        <f t="shared" si="166"/>
        <v>1</v>
      </c>
      <c r="Q237" s="4">
        <f t="shared" si="166"/>
        <v>1</v>
      </c>
      <c r="R237" s="4">
        <f t="shared" si="166"/>
        <v>1</v>
      </c>
      <c r="S237" s="4">
        <f t="shared" si="166"/>
        <v>1</v>
      </c>
      <c r="U237" s="3">
        <f t="shared" si="133"/>
        <v>0</v>
      </c>
      <c r="V237" s="1" t="str">
        <f t="shared" si="125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62"/>
        <v>1</v>
      </c>
      <c r="I238" s="45">
        <f>H238*SUM(I239:I242)</f>
        <v>283.2303</v>
      </c>
      <c r="J238" s="4">
        <f t="shared" ref="J238:S238" si="167">IF($B238="",J237,
    IF(J$3=$B238,$E238,
       IF(J$3&lt;$B238,J237,
           1
)))</f>
        <v>1</v>
      </c>
      <c r="K238" s="4">
        <f t="shared" si="167"/>
        <v>1</v>
      </c>
      <c r="L238" s="4">
        <f t="shared" si="167"/>
        <v>1</v>
      </c>
      <c r="M238" s="4">
        <f t="shared" si="167"/>
        <v>1</v>
      </c>
      <c r="N238" s="4">
        <f t="shared" si="167"/>
        <v>1</v>
      </c>
      <c r="O238" s="4">
        <f t="shared" si="167"/>
        <v>1</v>
      </c>
      <c r="P238" s="4">
        <f t="shared" si="167"/>
        <v>1</v>
      </c>
      <c r="Q238" s="4">
        <f t="shared" si="167"/>
        <v>1</v>
      </c>
      <c r="R238" s="4">
        <f t="shared" si="167"/>
        <v>1</v>
      </c>
      <c r="S238" s="4">
        <f t="shared" si="167"/>
        <v>1</v>
      </c>
      <c r="U238" s="3">
        <f t="shared" si="133"/>
        <v>0</v>
      </c>
      <c r="V238" s="1" t="str">
        <f t="shared" si="125"/>
        <v/>
      </c>
    </row>
    <row r="239" spans="1:22" x14ac:dyDescent="0.25">
      <c r="A239" s="2">
        <v>236</v>
      </c>
      <c r="B239" s="2">
        <v>2</v>
      </c>
      <c r="C239" s="7" t="s">
        <v>876</v>
      </c>
      <c r="D239" s="2" t="s">
        <v>61</v>
      </c>
      <c r="E239" s="2">
        <v>1</v>
      </c>
      <c r="G239" s="1" t="str">
        <f>IF(D239="","",VLOOKUP(D239,Table1[#All],2,FALSE))</f>
        <v>Cloned Duet 2 Wifi V1.04 DuetWifi Advanced 32 Bit Electronics With 4.3" 5" 7" PanelDue Touch Screen Controller</v>
      </c>
      <c r="H239" s="2">
        <f t="shared" si="162"/>
        <v>1</v>
      </c>
      <c r="I239" s="45">
        <f>IF(D239&lt;&gt;"",(VLOOKUP(D239,part_details,4,FALSE)+VLOOKUP(D239,part_details,5,FALSE)+VLOOKUP(D239,part_details,6,FALSE))*'Multi-level BOM'!E239,"")</f>
        <v>162</v>
      </c>
      <c r="J239" s="4">
        <f t="shared" ref="J239:S239" si="168">IF($B239="",J238,
    IF(J$3=$B239,$E239,
       IF(J$3&lt;$B239,J238,
           1
)))</f>
        <v>1</v>
      </c>
      <c r="K239" s="4">
        <f t="shared" si="168"/>
        <v>1</v>
      </c>
      <c r="L239" s="4">
        <f t="shared" si="168"/>
        <v>1</v>
      </c>
      <c r="M239" s="4">
        <f t="shared" si="168"/>
        <v>1</v>
      </c>
      <c r="N239" s="4">
        <f t="shared" si="168"/>
        <v>1</v>
      </c>
      <c r="O239" s="4">
        <f t="shared" si="168"/>
        <v>1</v>
      </c>
      <c r="P239" s="4">
        <f t="shared" si="168"/>
        <v>1</v>
      </c>
      <c r="Q239" s="4">
        <f t="shared" si="168"/>
        <v>1</v>
      </c>
      <c r="R239" s="4">
        <f t="shared" si="168"/>
        <v>1</v>
      </c>
      <c r="S239" s="4">
        <f t="shared" si="168"/>
        <v>1</v>
      </c>
      <c r="U239" s="3">
        <f t="shared" si="133"/>
        <v>0</v>
      </c>
      <c r="V239" s="1" t="str">
        <f t="shared" si="125"/>
        <v/>
      </c>
    </row>
    <row r="240" spans="1:22" x14ac:dyDescent="0.25">
      <c r="A240" s="2">
        <v>237</v>
      </c>
      <c r="B240" s="2">
        <v>2</v>
      </c>
      <c r="C240" s="7" t="s">
        <v>872</v>
      </c>
      <c r="D240" s="2" t="s">
        <v>62</v>
      </c>
      <c r="E240" s="2">
        <v>1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69">IF($B240="",J239,
    IF(J$3=$B240,$E240,
       IF(J$3&lt;$B240,J239,
           1
)))</f>
        <v>1</v>
      </c>
      <c r="K240" s="4">
        <f t="shared" si="169"/>
        <v>1</v>
      </c>
      <c r="L240" s="4">
        <f t="shared" si="169"/>
        <v>1</v>
      </c>
      <c r="M240" s="4">
        <f t="shared" si="169"/>
        <v>1</v>
      </c>
      <c r="N240" s="4">
        <f t="shared" si="169"/>
        <v>1</v>
      </c>
      <c r="O240" s="4">
        <f t="shared" si="169"/>
        <v>1</v>
      </c>
      <c r="P240" s="4">
        <f t="shared" si="169"/>
        <v>1</v>
      </c>
      <c r="Q240" s="4">
        <f t="shared" si="169"/>
        <v>1</v>
      </c>
      <c r="R240" s="4">
        <f t="shared" si="169"/>
        <v>1</v>
      </c>
      <c r="S240" s="4">
        <f t="shared" si="169"/>
        <v>1</v>
      </c>
      <c r="U240" s="3">
        <f t="shared" si="133"/>
        <v>0</v>
      </c>
      <c r="V240" s="1" t="str">
        <f t="shared" si="125"/>
        <v/>
      </c>
    </row>
    <row r="241" spans="1:22" x14ac:dyDescent="0.25">
      <c r="A241" s="2">
        <v>238</v>
      </c>
      <c r="B241" s="2">
        <v>2</v>
      </c>
      <c r="C241" s="7" t="s">
        <v>877</v>
      </c>
      <c r="D241" s="2" t="s">
        <v>63</v>
      </c>
      <c r="E241" s="2">
        <v>1</v>
      </c>
      <c r="F241" s="2" t="s">
        <v>938</v>
      </c>
      <c r="G241" s="1" t="str">
        <f>IF(D241="","",VLOOKUP(D241,Table1[#All],2,FALSE))</f>
        <v>EAGWELL 24v 15a DC Universal Regulated Switching Power Supply 360w</v>
      </c>
      <c r="H241" s="2">
        <f t="shared" ref="H241:H304" si="170">PRODUCT(J241:S241)</f>
        <v>1</v>
      </c>
      <c r="I241" s="45">
        <f>IF(D241&lt;&gt;"",(VLOOKUP(D241,part_details,4,FALSE)+VLOOKUP(D241,part_details,5,FALSE)+VLOOKUP(D241,part_details,6,FALSE))*'Multi-level BOM'!E241,"")</f>
        <v>26.901199999999999</v>
      </c>
      <c r="J241" s="4">
        <f t="shared" ref="J241:S241" si="171">IF($B241="",J240,
    IF(J$3=$B241,$E241,
       IF(J$3&lt;$B241,J240,
           1
)))</f>
        <v>1</v>
      </c>
      <c r="K241" s="4">
        <f t="shared" si="171"/>
        <v>1</v>
      </c>
      <c r="L241" s="4">
        <f t="shared" si="171"/>
        <v>1</v>
      </c>
      <c r="M241" s="4">
        <f t="shared" si="171"/>
        <v>1</v>
      </c>
      <c r="N241" s="4">
        <f t="shared" si="171"/>
        <v>1</v>
      </c>
      <c r="O241" s="4">
        <f t="shared" si="171"/>
        <v>1</v>
      </c>
      <c r="P241" s="4">
        <f t="shared" si="171"/>
        <v>1</v>
      </c>
      <c r="Q241" s="4">
        <f t="shared" si="171"/>
        <v>1</v>
      </c>
      <c r="R241" s="4">
        <f t="shared" si="171"/>
        <v>1</v>
      </c>
      <c r="S241" s="4">
        <f t="shared" si="171"/>
        <v>1</v>
      </c>
      <c r="U241" s="3">
        <f t="shared" si="133"/>
        <v>26.901199999999999</v>
      </c>
      <c r="V241" s="1" t="str">
        <f t="shared" si="125"/>
        <v>A-0057</v>
      </c>
    </row>
    <row r="242" spans="1:22" x14ac:dyDescent="0.25">
      <c r="A242" s="2">
        <v>239</v>
      </c>
      <c r="B242" s="2">
        <v>2</v>
      </c>
      <c r="C242" s="7" t="s">
        <v>1003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70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72">IF($B242="",J241,
    IF(J$3=$B242,$E242,
       IF(J$3&lt;$B242,J241,
           1
)))</f>
        <v>1</v>
      </c>
      <c r="K242" s="4">
        <f t="shared" si="172"/>
        <v>1</v>
      </c>
      <c r="L242" s="4">
        <f t="shared" si="172"/>
        <v>1</v>
      </c>
      <c r="M242" s="4">
        <f t="shared" si="172"/>
        <v>1</v>
      </c>
      <c r="N242" s="4">
        <f t="shared" si="172"/>
        <v>1</v>
      </c>
      <c r="O242" s="4">
        <f t="shared" si="172"/>
        <v>1</v>
      </c>
      <c r="P242" s="4">
        <f t="shared" si="172"/>
        <v>1</v>
      </c>
      <c r="Q242" s="4">
        <f t="shared" si="172"/>
        <v>1</v>
      </c>
      <c r="R242" s="4">
        <f t="shared" si="172"/>
        <v>1</v>
      </c>
      <c r="S242" s="4">
        <f t="shared" si="172"/>
        <v>1</v>
      </c>
      <c r="U242" s="3">
        <f t="shared" si="133"/>
        <v>0</v>
      </c>
      <c r="V242" s="1" t="str">
        <f t="shared" si="125"/>
        <v/>
      </c>
    </row>
    <row r="243" spans="1:22" x14ac:dyDescent="0.25">
      <c r="A243" s="2">
        <v>240</v>
      </c>
      <c r="B243" s="2">
        <v>2</v>
      </c>
      <c r="C243" s="7" t="s">
        <v>1002</v>
      </c>
      <c r="D243" s="2" t="s">
        <v>78</v>
      </c>
      <c r="E243" s="2">
        <v>1</v>
      </c>
      <c r="G243" s="1" t="str">
        <f>IF(D243="","",VLOOKUP(D243,Table1[#All],2,FALSE))</f>
        <v>1.5mm Thermal Pad, 6W/m.k Thermal Conductivity</v>
      </c>
      <c r="H243" s="2">
        <f t="shared" si="170"/>
        <v>1</v>
      </c>
      <c r="I243" s="45">
        <f>IF(D243&lt;&gt;"",(VLOOKUP(D243,part_details,4,FALSE)+VLOOKUP(D243,part_details,5,FALSE)+VLOOKUP(D243,part_details,6,FALSE))*'Multi-level BOM'!E243,"")</f>
        <v>2.7222750000000002</v>
      </c>
      <c r="J243" s="4">
        <f t="shared" ref="J243:S243" si="173">IF($B243="",J242,
    IF(J$3=$B243,$E243,
       IF(J$3&lt;$B243,J242,
           1
)))</f>
        <v>1</v>
      </c>
      <c r="K243" s="4">
        <f t="shared" si="173"/>
        <v>1</v>
      </c>
      <c r="L243" s="4">
        <f t="shared" si="173"/>
        <v>1</v>
      </c>
      <c r="M243" s="4">
        <f t="shared" si="173"/>
        <v>1</v>
      </c>
      <c r="N243" s="4">
        <f t="shared" si="173"/>
        <v>1</v>
      </c>
      <c r="O243" s="4">
        <f t="shared" si="173"/>
        <v>1</v>
      </c>
      <c r="P243" s="4">
        <f t="shared" si="173"/>
        <v>1</v>
      </c>
      <c r="Q243" s="4">
        <f t="shared" si="173"/>
        <v>1</v>
      </c>
      <c r="R243" s="4">
        <f t="shared" si="173"/>
        <v>1</v>
      </c>
      <c r="S243" s="4">
        <f t="shared" si="173"/>
        <v>1</v>
      </c>
      <c r="U243" s="3">
        <f t="shared" ref="U243:U306" si="174">IF(F243="x",I243,0)</f>
        <v>0</v>
      </c>
      <c r="V243" s="1" t="str">
        <f t="shared" ref="V243:V306" si="175">IF(F243="x",D243,"")</f>
        <v/>
      </c>
    </row>
    <row r="244" spans="1:22" x14ac:dyDescent="0.25">
      <c r="A244" s="2">
        <v>241</v>
      </c>
      <c r="C244" s="7"/>
      <c r="G244" s="1" t="str">
        <f>IF(D244="","",VLOOKUP(D244,Table1[#All],2,FALSE))</f>
        <v/>
      </c>
      <c r="H244" s="2">
        <f t="shared" si="170"/>
        <v>1</v>
      </c>
      <c r="I244" s="45" t="str">
        <f>IF(D244&lt;&gt;"",(VLOOKUP(D244,part_details,4,FALSE)+VLOOKUP(D244,part_details,5,FALSE)+VLOOKUP(D244,part_details,6,FALSE))*'Multi-level BOM'!E244,"")</f>
        <v/>
      </c>
      <c r="J244" s="4">
        <f t="shared" ref="J244:S244" si="176">IF($B244="",J243,
    IF(J$3=$B244,$E244,
       IF(J$3&lt;$B244,J243,
           1
)))</f>
        <v>1</v>
      </c>
      <c r="K244" s="4">
        <f t="shared" si="176"/>
        <v>1</v>
      </c>
      <c r="L244" s="4">
        <f t="shared" si="176"/>
        <v>1</v>
      </c>
      <c r="M244" s="4">
        <f t="shared" si="176"/>
        <v>1</v>
      </c>
      <c r="N244" s="4">
        <f t="shared" si="176"/>
        <v>1</v>
      </c>
      <c r="O244" s="4">
        <f t="shared" si="176"/>
        <v>1</v>
      </c>
      <c r="P244" s="4">
        <f t="shared" si="176"/>
        <v>1</v>
      </c>
      <c r="Q244" s="4">
        <f t="shared" si="176"/>
        <v>1</v>
      </c>
      <c r="R244" s="4">
        <f t="shared" si="176"/>
        <v>1</v>
      </c>
      <c r="S244" s="4">
        <f t="shared" si="176"/>
        <v>1</v>
      </c>
      <c r="U244" s="3">
        <f t="shared" si="174"/>
        <v>0</v>
      </c>
      <c r="V244" s="1" t="str">
        <f t="shared" si="175"/>
        <v/>
      </c>
    </row>
    <row r="245" spans="1:22" x14ac:dyDescent="0.25">
      <c r="A245" s="2">
        <v>242</v>
      </c>
      <c r="C245" s="7"/>
      <c r="G245" s="1" t="str">
        <f>IF(D245="","",VLOOKUP(D245,Table1[#All],2,FALSE))</f>
        <v/>
      </c>
      <c r="H245" s="2">
        <f t="shared" si="170"/>
        <v>1</v>
      </c>
      <c r="I245" s="45" t="str">
        <f>IF(D245&lt;&gt;"",(VLOOKUP(D245,part_details,4,FALSE)+VLOOKUP(D245,part_details,5,FALSE)+VLOOKUP(D245,part_details,6,FALSE))*'Multi-level BOM'!E245,"")</f>
        <v/>
      </c>
      <c r="J245" s="4">
        <f t="shared" ref="J245:S245" si="177">IF($B245="",J244,
    IF(J$3=$B245,$E245,
       IF(J$3&lt;$B245,J244,
           1
)))</f>
        <v>1</v>
      </c>
      <c r="K245" s="4">
        <f t="shared" si="177"/>
        <v>1</v>
      </c>
      <c r="L245" s="4">
        <f t="shared" si="177"/>
        <v>1</v>
      </c>
      <c r="M245" s="4">
        <f t="shared" si="177"/>
        <v>1</v>
      </c>
      <c r="N245" s="4">
        <f t="shared" si="177"/>
        <v>1</v>
      </c>
      <c r="O245" s="4">
        <f t="shared" si="177"/>
        <v>1</v>
      </c>
      <c r="P245" s="4">
        <f t="shared" si="177"/>
        <v>1</v>
      </c>
      <c r="Q245" s="4">
        <f t="shared" si="177"/>
        <v>1</v>
      </c>
      <c r="R245" s="4">
        <f t="shared" si="177"/>
        <v>1</v>
      </c>
      <c r="S245" s="4">
        <f t="shared" si="177"/>
        <v>1</v>
      </c>
      <c r="U245" s="3">
        <f t="shared" si="174"/>
        <v>0</v>
      </c>
      <c r="V245" s="1" t="str">
        <f t="shared" si="175"/>
        <v/>
      </c>
    </row>
    <row r="246" spans="1:22" x14ac:dyDescent="0.25">
      <c r="A246" s="2">
        <v>243</v>
      </c>
      <c r="C246" s="7"/>
      <c r="G246" s="1" t="str">
        <f>IF(D246="","",VLOOKUP(D246,Table1[#All],2,FALSE))</f>
        <v/>
      </c>
      <c r="H246" s="2">
        <f t="shared" si="170"/>
        <v>1</v>
      </c>
      <c r="I246" s="45" t="str">
        <f>IF(D246&lt;&gt;"",(VLOOKUP(D246,part_details,4,FALSE)+VLOOKUP(D246,part_details,5,FALSE)+VLOOKUP(D246,part_details,6,FALSE))*'Multi-level BOM'!E246,"")</f>
        <v/>
      </c>
      <c r="J246" s="4">
        <f t="shared" ref="J246:S246" si="178">IF($B246="",J245,
    IF(J$3=$B246,$E246,
       IF(J$3&lt;$B246,J245,
           1
)))</f>
        <v>1</v>
      </c>
      <c r="K246" s="4">
        <f t="shared" si="178"/>
        <v>1</v>
      </c>
      <c r="L246" s="4">
        <f t="shared" si="178"/>
        <v>1</v>
      </c>
      <c r="M246" s="4">
        <f t="shared" si="178"/>
        <v>1</v>
      </c>
      <c r="N246" s="4">
        <f t="shared" si="178"/>
        <v>1</v>
      </c>
      <c r="O246" s="4">
        <f t="shared" si="178"/>
        <v>1</v>
      </c>
      <c r="P246" s="4">
        <f t="shared" si="178"/>
        <v>1</v>
      </c>
      <c r="Q246" s="4">
        <f t="shared" si="178"/>
        <v>1</v>
      </c>
      <c r="R246" s="4">
        <f t="shared" si="178"/>
        <v>1</v>
      </c>
      <c r="S246" s="4">
        <f t="shared" si="178"/>
        <v>1</v>
      </c>
      <c r="U246" s="3">
        <f t="shared" si="174"/>
        <v>0</v>
      </c>
      <c r="V246" s="1" t="str">
        <f t="shared" si="175"/>
        <v/>
      </c>
    </row>
    <row r="247" spans="1:22" x14ac:dyDescent="0.25">
      <c r="A247" s="2">
        <v>244</v>
      </c>
      <c r="C247" s="7"/>
      <c r="G247" s="1" t="str">
        <f>IF(D247="","",VLOOKUP(D247,Table1[#All],2,FALSE))</f>
        <v/>
      </c>
      <c r="H247" s="2">
        <f t="shared" si="170"/>
        <v>1</v>
      </c>
      <c r="I247" s="45" t="str">
        <f>IF(D247&lt;&gt;"",(VLOOKUP(D247,part_details,4,FALSE)+VLOOKUP(D247,part_details,5,FALSE)+VLOOKUP(D247,part_details,6,FALSE))*'Multi-level BOM'!E247,"")</f>
        <v/>
      </c>
      <c r="J247" s="4">
        <f t="shared" ref="J247:S247" si="179">IF($B247="",J246,
    IF(J$3=$B247,$E247,
       IF(J$3&lt;$B247,J246,
           1
)))</f>
        <v>1</v>
      </c>
      <c r="K247" s="4">
        <f t="shared" si="179"/>
        <v>1</v>
      </c>
      <c r="L247" s="4">
        <f t="shared" si="179"/>
        <v>1</v>
      </c>
      <c r="M247" s="4">
        <f t="shared" si="179"/>
        <v>1</v>
      </c>
      <c r="N247" s="4">
        <f t="shared" si="179"/>
        <v>1</v>
      </c>
      <c r="O247" s="4">
        <f t="shared" si="179"/>
        <v>1</v>
      </c>
      <c r="P247" s="4">
        <f t="shared" si="179"/>
        <v>1</v>
      </c>
      <c r="Q247" s="4">
        <f t="shared" si="179"/>
        <v>1</v>
      </c>
      <c r="R247" s="4">
        <f t="shared" si="179"/>
        <v>1</v>
      </c>
      <c r="S247" s="4">
        <f t="shared" si="179"/>
        <v>1</v>
      </c>
      <c r="U247" s="3">
        <f t="shared" si="174"/>
        <v>0</v>
      </c>
      <c r="V247" s="1" t="str">
        <f t="shared" si="175"/>
        <v/>
      </c>
    </row>
    <row r="248" spans="1:22" x14ac:dyDescent="0.25">
      <c r="A248" s="2">
        <v>245</v>
      </c>
      <c r="C248" s="7"/>
      <c r="G248" s="1" t="str">
        <f>IF(D248="","",VLOOKUP(D248,Table1[#All],2,FALSE))</f>
        <v/>
      </c>
      <c r="H248" s="2">
        <f t="shared" si="170"/>
        <v>1</v>
      </c>
      <c r="I248" s="45" t="str">
        <f>IF(D248&lt;&gt;"",(VLOOKUP(D248,part_details,4,FALSE)+VLOOKUP(D248,part_details,5,FALSE)+VLOOKUP(D248,part_details,6,FALSE))*'Multi-level BOM'!E248,"")</f>
        <v/>
      </c>
      <c r="J248" s="4">
        <f t="shared" ref="J248:S248" si="180">IF($B248="",J247,
    IF(J$3=$B248,$E248,
       IF(J$3&lt;$B248,J247,
           1
)))</f>
        <v>1</v>
      </c>
      <c r="K248" s="4">
        <f t="shared" si="180"/>
        <v>1</v>
      </c>
      <c r="L248" s="4">
        <f t="shared" si="180"/>
        <v>1</v>
      </c>
      <c r="M248" s="4">
        <f t="shared" si="180"/>
        <v>1</v>
      </c>
      <c r="N248" s="4">
        <f t="shared" si="180"/>
        <v>1</v>
      </c>
      <c r="O248" s="4">
        <f t="shared" si="180"/>
        <v>1</v>
      </c>
      <c r="P248" s="4">
        <f t="shared" si="180"/>
        <v>1</v>
      </c>
      <c r="Q248" s="4">
        <f t="shared" si="180"/>
        <v>1</v>
      </c>
      <c r="R248" s="4">
        <f t="shared" si="180"/>
        <v>1</v>
      </c>
      <c r="S248" s="4">
        <f t="shared" si="180"/>
        <v>1</v>
      </c>
      <c r="U248" s="3">
        <f t="shared" si="174"/>
        <v>0</v>
      </c>
      <c r="V248" s="1" t="str">
        <f t="shared" si="175"/>
        <v/>
      </c>
    </row>
    <row r="249" spans="1:22" x14ac:dyDescent="0.25">
      <c r="A249" s="2">
        <v>246</v>
      </c>
      <c r="C249" s="7"/>
      <c r="G249" s="1" t="str">
        <f>IF(D249="","",VLOOKUP(D249,Table1[#All],2,FALSE))</f>
        <v/>
      </c>
      <c r="H249" s="2">
        <f t="shared" si="170"/>
        <v>1</v>
      </c>
      <c r="I249" s="45" t="str">
        <f>IF(D249&lt;&gt;"",(VLOOKUP(D249,part_details,4,FALSE)+VLOOKUP(D249,part_details,5,FALSE)+VLOOKUP(D249,part_details,6,FALSE))*'Multi-level BOM'!E249,"")</f>
        <v/>
      </c>
      <c r="J249" s="4">
        <f t="shared" ref="J249:S249" si="181">IF($B249="",J248,
    IF(J$3=$B249,$E249,
       IF(J$3&lt;$B249,J248,
           1
)))</f>
        <v>1</v>
      </c>
      <c r="K249" s="4">
        <f t="shared" si="181"/>
        <v>1</v>
      </c>
      <c r="L249" s="4">
        <f t="shared" si="181"/>
        <v>1</v>
      </c>
      <c r="M249" s="4">
        <f t="shared" si="181"/>
        <v>1</v>
      </c>
      <c r="N249" s="4">
        <f t="shared" si="181"/>
        <v>1</v>
      </c>
      <c r="O249" s="4">
        <f t="shared" si="181"/>
        <v>1</v>
      </c>
      <c r="P249" s="4">
        <f t="shared" si="181"/>
        <v>1</v>
      </c>
      <c r="Q249" s="4">
        <f t="shared" si="181"/>
        <v>1</v>
      </c>
      <c r="R249" s="4">
        <f t="shared" si="181"/>
        <v>1</v>
      </c>
      <c r="S249" s="4">
        <f t="shared" si="181"/>
        <v>1</v>
      </c>
      <c r="U249" s="3">
        <f t="shared" si="174"/>
        <v>0</v>
      </c>
      <c r="V249" s="1" t="str">
        <f t="shared" si="175"/>
        <v/>
      </c>
    </row>
    <row r="250" spans="1:22" x14ac:dyDescent="0.25">
      <c r="A250" s="2">
        <v>247</v>
      </c>
      <c r="C250" s="7"/>
      <c r="G250" s="1" t="str">
        <f>IF(D250="","",VLOOKUP(D250,Table1[#All],2,FALSE))</f>
        <v/>
      </c>
      <c r="H250" s="2">
        <f t="shared" si="170"/>
        <v>1</v>
      </c>
      <c r="I250" s="45" t="str">
        <f>IF(D250&lt;&gt;"",(VLOOKUP(D250,part_details,4,FALSE)+VLOOKUP(D250,part_details,5,FALSE)+VLOOKUP(D250,part_details,6,FALSE))*'Multi-level BOM'!E250,"")</f>
        <v/>
      </c>
      <c r="J250" s="4">
        <f t="shared" ref="J250:S250" si="182">IF($B250="",J249,
    IF(J$3=$B250,$E250,
       IF(J$3&lt;$B250,J249,
           1
)))</f>
        <v>1</v>
      </c>
      <c r="K250" s="4">
        <f t="shared" si="182"/>
        <v>1</v>
      </c>
      <c r="L250" s="4">
        <f t="shared" si="182"/>
        <v>1</v>
      </c>
      <c r="M250" s="4">
        <f t="shared" si="182"/>
        <v>1</v>
      </c>
      <c r="N250" s="4">
        <f t="shared" si="182"/>
        <v>1</v>
      </c>
      <c r="O250" s="4">
        <f t="shared" si="182"/>
        <v>1</v>
      </c>
      <c r="P250" s="4">
        <f t="shared" si="182"/>
        <v>1</v>
      </c>
      <c r="Q250" s="4">
        <f t="shared" si="182"/>
        <v>1</v>
      </c>
      <c r="R250" s="4">
        <f t="shared" si="182"/>
        <v>1</v>
      </c>
      <c r="S250" s="4">
        <f t="shared" si="182"/>
        <v>1</v>
      </c>
      <c r="U250" s="3">
        <f t="shared" si="174"/>
        <v>0</v>
      </c>
      <c r="V250" s="1" t="str">
        <f t="shared" si="175"/>
        <v/>
      </c>
    </row>
    <row r="251" spans="1:22" x14ac:dyDescent="0.25">
      <c r="A251" s="2">
        <v>248</v>
      </c>
      <c r="C251" s="7"/>
      <c r="G251" s="1" t="str">
        <f>IF(D251="","",VLOOKUP(D251,Table1[#All],2,FALSE))</f>
        <v/>
      </c>
      <c r="H251" s="2">
        <f t="shared" si="170"/>
        <v>1</v>
      </c>
      <c r="I251" s="45" t="str">
        <f>IF(D251&lt;&gt;"",(VLOOKUP(D251,part_details,4,FALSE)+VLOOKUP(D251,part_details,5,FALSE)+VLOOKUP(D251,part_details,6,FALSE))*'Multi-level BOM'!E251,"")</f>
        <v/>
      </c>
      <c r="J251" s="4">
        <f t="shared" ref="J251:S251" si="183">IF($B251="",J250,
    IF(J$3=$B251,$E251,
       IF(J$3&lt;$B251,J250,
           1
)))</f>
        <v>1</v>
      </c>
      <c r="K251" s="4">
        <f t="shared" si="183"/>
        <v>1</v>
      </c>
      <c r="L251" s="4">
        <f t="shared" si="183"/>
        <v>1</v>
      </c>
      <c r="M251" s="4">
        <f t="shared" si="183"/>
        <v>1</v>
      </c>
      <c r="N251" s="4">
        <f t="shared" si="183"/>
        <v>1</v>
      </c>
      <c r="O251" s="4">
        <f t="shared" si="183"/>
        <v>1</v>
      </c>
      <c r="P251" s="4">
        <f t="shared" si="183"/>
        <v>1</v>
      </c>
      <c r="Q251" s="4">
        <f t="shared" si="183"/>
        <v>1</v>
      </c>
      <c r="R251" s="4">
        <f t="shared" si="183"/>
        <v>1</v>
      </c>
      <c r="S251" s="4">
        <f t="shared" si="183"/>
        <v>1</v>
      </c>
      <c r="U251" s="3">
        <f t="shared" si="174"/>
        <v>0</v>
      </c>
      <c r="V251" s="1" t="str">
        <f t="shared" si="175"/>
        <v/>
      </c>
    </row>
    <row r="252" spans="1:22" x14ac:dyDescent="0.25">
      <c r="A252" s="2">
        <v>249</v>
      </c>
      <c r="C252" s="7"/>
      <c r="G252" s="1" t="str">
        <f>IF(D252="","",VLOOKUP(D252,Table1[#All],2,FALSE))</f>
        <v/>
      </c>
      <c r="H252" s="2">
        <f t="shared" si="170"/>
        <v>1</v>
      </c>
      <c r="I252" s="45" t="str">
        <f>IF(D252&lt;&gt;"",(VLOOKUP(D252,part_details,4,FALSE)+VLOOKUP(D252,part_details,5,FALSE)+VLOOKUP(D252,part_details,6,FALSE))*'Multi-level BOM'!E252,"")</f>
        <v/>
      </c>
      <c r="J252" s="4">
        <f t="shared" ref="J252:S252" si="184">IF($B252="",J251,
    IF(J$3=$B252,$E252,
       IF(J$3&lt;$B252,J251,
           1
)))</f>
        <v>1</v>
      </c>
      <c r="K252" s="4">
        <f t="shared" si="184"/>
        <v>1</v>
      </c>
      <c r="L252" s="4">
        <f t="shared" si="184"/>
        <v>1</v>
      </c>
      <c r="M252" s="4">
        <f t="shared" si="184"/>
        <v>1</v>
      </c>
      <c r="N252" s="4">
        <f t="shared" si="184"/>
        <v>1</v>
      </c>
      <c r="O252" s="4">
        <f t="shared" si="184"/>
        <v>1</v>
      </c>
      <c r="P252" s="4">
        <f t="shared" si="184"/>
        <v>1</v>
      </c>
      <c r="Q252" s="4">
        <f t="shared" si="184"/>
        <v>1</v>
      </c>
      <c r="R252" s="4">
        <f t="shared" si="184"/>
        <v>1</v>
      </c>
      <c r="S252" s="4">
        <f t="shared" si="184"/>
        <v>1</v>
      </c>
      <c r="U252" s="3">
        <f t="shared" si="174"/>
        <v>0</v>
      </c>
      <c r="V252" s="1" t="str">
        <f t="shared" si="175"/>
        <v/>
      </c>
    </row>
    <row r="253" spans="1:22" x14ac:dyDescent="0.25">
      <c r="A253" s="2">
        <v>250</v>
      </c>
      <c r="C253" s="7"/>
      <c r="G253" s="1" t="str">
        <f>IF(D253="","",VLOOKUP(D253,Table1[#All],2,FALSE))</f>
        <v/>
      </c>
      <c r="H253" s="2">
        <f t="shared" si="170"/>
        <v>1</v>
      </c>
      <c r="I253" s="45" t="str">
        <f>IF(D253&lt;&gt;"",(VLOOKUP(D253,part_details,4,FALSE)+VLOOKUP(D253,part_details,5,FALSE)+VLOOKUP(D253,part_details,6,FALSE))*'Multi-level BOM'!E253,"")</f>
        <v/>
      </c>
      <c r="J253" s="4">
        <f t="shared" ref="J253:S253" si="185">IF($B253="",J252,
    IF(J$3=$B253,$E253,
       IF(J$3&lt;$B253,J252,
           1
)))</f>
        <v>1</v>
      </c>
      <c r="K253" s="4">
        <f t="shared" si="185"/>
        <v>1</v>
      </c>
      <c r="L253" s="4">
        <f t="shared" si="185"/>
        <v>1</v>
      </c>
      <c r="M253" s="4">
        <f t="shared" si="185"/>
        <v>1</v>
      </c>
      <c r="N253" s="4">
        <f t="shared" si="185"/>
        <v>1</v>
      </c>
      <c r="O253" s="4">
        <f t="shared" si="185"/>
        <v>1</v>
      </c>
      <c r="P253" s="4">
        <f t="shared" si="185"/>
        <v>1</v>
      </c>
      <c r="Q253" s="4">
        <f t="shared" si="185"/>
        <v>1</v>
      </c>
      <c r="R253" s="4">
        <f t="shared" si="185"/>
        <v>1</v>
      </c>
      <c r="S253" s="4">
        <f t="shared" si="185"/>
        <v>1</v>
      </c>
      <c r="U253" s="3">
        <f t="shared" si="174"/>
        <v>0</v>
      </c>
      <c r="V253" s="1" t="str">
        <f t="shared" si="175"/>
        <v/>
      </c>
    </row>
    <row r="254" spans="1:22" x14ac:dyDescent="0.25">
      <c r="A254" s="2">
        <v>251</v>
      </c>
      <c r="C254" s="7"/>
      <c r="G254" s="1" t="str">
        <f>IF(D254="","",VLOOKUP(D254,Table1[#All],2,FALSE))</f>
        <v/>
      </c>
      <c r="H254" s="2">
        <f t="shared" si="170"/>
        <v>1</v>
      </c>
      <c r="I254" s="45" t="str">
        <f>IF(D254&lt;&gt;"",(VLOOKUP(D254,part_details,4,FALSE)+VLOOKUP(D254,part_details,5,FALSE)+VLOOKUP(D254,part_details,6,FALSE))*'Multi-level BOM'!E254,"")</f>
        <v/>
      </c>
      <c r="J254" s="4">
        <f t="shared" ref="J254:S254" si="186">IF($B254="",J253,
    IF(J$3=$B254,$E254,
       IF(J$3&lt;$B254,J253,
           1
)))</f>
        <v>1</v>
      </c>
      <c r="K254" s="4">
        <f t="shared" si="186"/>
        <v>1</v>
      </c>
      <c r="L254" s="4">
        <f t="shared" si="186"/>
        <v>1</v>
      </c>
      <c r="M254" s="4">
        <f t="shared" si="186"/>
        <v>1</v>
      </c>
      <c r="N254" s="4">
        <f t="shared" si="186"/>
        <v>1</v>
      </c>
      <c r="O254" s="4">
        <f t="shared" si="186"/>
        <v>1</v>
      </c>
      <c r="P254" s="4">
        <f t="shared" si="186"/>
        <v>1</v>
      </c>
      <c r="Q254" s="4">
        <f t="shared" si="186"/>
        <v>1</v>
      </c>
      <c r="R254" s="4">
        <f t="shared" si="186"/>
        <v>1</v>
      </c>
      <c r="S254" s="4">
        <f t="shared" si="186"/>
        <v>1</v>
      </c>
      <c r="U254" s="3">
        <f t="shared" si="174"/>
        <v>0</v>
      </c>
      <c r="V254" s="1" t="str">
        <f t="shared" si="175"/>
        <v/>
      </c>
    </row>
    <row r="255" spans="1:22" x14ac:dyDescent="0.25">
      <c r="A255" s="2">
        <v>252</v>
      </c>
      <c r="C255" s="7"/>
      <c r="G255" s="1" t="str">
        <f>IF(D255="","",VLOOKUP(D255,Table1[#All],2,FALSE))</f>
        <v/>
      </c>
      <c r="H255" s="2">
        <f t="shared" si="170"/>
        <v>1</v>
      </c>
      <c r="I255" s="45" t="str">
        <f>IF(D255&lt;&gt;"",(VLOOKUP(D255,part_details,4,FALSE)+VLOOKUP(D255,part_details,5,FALSE)+VLOOKUP(D255,part_details,6,FALSE))*'Multi-level BOM'!E255,"")</f>
        <v/>
      </c>
      <c r="J255" s="4">
        <f t="shared" ref="J255:S255" si="187">IF($B255="",J254,
    IF(J$3=$B255,$E255,
       IF(J$3&lt;$B255,J254,
           1
)))</f>
        <v>1</v>
      </c>
      <c r="K255" s="4">
        <f t="shared" si="187"/>
        <v>1</v>
      </c>
      <c r="L255" s="4">
        <f t="shared" si="187"/>
        <v>1</v>
      </c>
      <c r="M255" s="4">
        <f t="shared" si="187"/>
        <v>1</v>
      </c>
      <c r="N255" s="4">
        <f t="shared" si="187"/>
        <v>1</v>
      </c>
      <c r="O255" s="4">
        <f t="shared" si="187"/>
        <v>1</v>
      </c>
      <c r="P255" s="4">
        <f t="shared" si="187"/>
        <v>1</v>
      </c>
      <c r="Q255" s="4">
        <f t="shared" si="187"/>
        <v>1</v>
      </c>
      <c r="R255" s="4">
        <f t="shared" si="187"/>
        <v>1</v>
      </c>
      <c r="S255" s="4">
        <f t="shared" si="187"/>
        <v>1</v>
      </c>
      <c r="U255" s="3">
        <f t="shared" si="174"/>
        <v>0</v>
      </c>
      <c r="V255" s="1" t="str">
        <f t="shared" si="175"/>
        <v/>
      </c>
    </row>
    <row r="256" spans="1:22" x14ac:dyDescent="0.25">
      <c r="A256" s="2">
        <v>253</v>
      </c>
      <c r="C256" s="7"/>
      <c r="G256" s="1" t="str">
        <f>IF(D256="","",VLOOKUP(D256,Table1[#All],2,FALSE))</f>
        <v/>
      </c>
      <c r="H256" s="2">
        <f t="shared" si="170"/>
        <v>1</v>
      </c>
      <c r="I256" s="45" t="str">
        <f>IF(D256&lt;&gt;"",(VLOOKUP(D256,part_details,4,FALSE)+VLOOKUP(D256,part_details,5,FALSE)+VLOOKUP(D256,part_details,6,FALSE))*'Multi-level BOM'!E256,"")</f>
        <v/>
      </c>
      <c r="J256" s="4">
        <f t="shared" ref="J256:S256" si="188">IF($B256="",J255,
    IF(J$3=$B256,$E256,
       IF(J$3&lt;$B256,J255,
           1
)))</f>
        <v>1</v>
      </c>
      <c r="K256" s="4">
        <f t="shared" si="188"/>
        <v>1</v>
      </c>
      <c r="L256" s="4">
        <f t="shared" si="188"/>
        <v>1</v>
      </c>
      <c r="M256" s="4">
        <f t="shared" si="188"/>
        <v>1</v>
      </c>
      <c r="N256" s="4">
        <f t="shared" si="188"/>
        <v>1</v>
      </c>
      <c r="O256" s="4">
        <f t="shared" si="188"/>
        <v>1</v>
      </c>
      <c r="P256" s="4">
        <f t="shared" si="188"/>
        <v>1</v>
      </c>
      <c r="Q256" s="4">
        <f t="shared" si="188"/>
        <v>1</v>
      </c>
      <c r="R256" s="4">
        <f t="shared" si="188"/>
        <v>1</v>
      </c>
      <c r="S256" s="4">
        <f t="shared" si="188"/>
        <v>1</v>
      </c>
      <c r="U256" s="3">
        <f t="shared" si="174"/>
        <v>0</v>
      </c>
      <c r="V256" s="1" t="str">
        <f t="shared" si="175"/>
        <v/>
      </c>
    </row>
    <row r="257" spans="1:22" x14ac:dyDescent="0.25">
      <c r="A257" s="2">
        <v>254</v>
      </c>
      <c r="C257" s="7"/>
      <c r="G257" s="1" t="str">
        <f>IF(D257="","",VLOOKUP(D257,Table1[#All],2,FALSE))</f>
        <v/>
      </c>
      <c r="H257" s="2">
        <f t="shared" si="170"/>
        <v>1</v>
      </c>
      <c r="I257" s="45" t="str">
        <f>IF(D257&lt;&gt;"",(VLOOKUP(D257,part_details,4,FALSE)+VLOOKUP(D257,part_details,5,FALSE)+VLOOKUP(D257,part_details,6,FALSE))*'Multi-level BOM'!E257,"")</f>
        <v/>
      </c>
      <c r="J257" s="4">
        <f t="shared" ref="J257:S257" si="189">IF($B257="",J256,
    IF(J$3=$B257,$E257,
       IF(J$3&lt;$B257,J256,
           1
)))</f>
        <v>1</v>
      </c>
      <c r="K257" s="4">
        <f t="shared" si="189"/>
        <v>1</v>
      </c>
      <c r="L257" s="4">
        <f t="shared" si="189"/>
        <v>1</v>
      </c>
      <c r="M257" s="4">
        <f t="shared" si="189"/>
        <v>1</v>
      </c>
      <c r="N257" s="4">
        <f t="shared" si="189"/>
        <v>1</v>
      </c>
      <c r="O257" s="4">
        <f t="shared" si="189"/>
        <v>1</v>
      </c>
      <c r="P257" s="4">
        <f t="shared" si="189"/>
        <v>1</v>
      </c>
      <c r="Q257" s="4">
        <f t="shared" si="189"/>
        <v>1</v>
      </c>
      <c r="R257" s="4">
        <f t="shared" si="189"/>
        <v>1</v>
      </c>
      <c r="S257" s="4">
        <f t="shared" si="189"/>
        <v>1</v>
      </c>
      <c r="U257" s="3">
        <f t="shared" si="174"/>
        <v>0</v>
      </c>
      <c r="V257" s="1" t="str">
        <f t="shared" si="175"/>
        <v/>
      </c>
    </row>
    <row r="258" spans="1:22" x14ac:dyDescent="0.25">
      <c r="A258" s="2">
        <v>255</v>
      </c>
      <c r="C258" s="7"/>
      <c r="G258" s="1" t="str">
        <f>IF(D258="","",VLOOKUP(D258,Table1[#All],2,FALSE))</f>
        <v/>
      </c>
      <c r="H258" s="2">
        <f t="shared" si="170"/>
        <v>1</v>
      </c>
      <c r="I258" s="45" t="str">
        <f>IF(D258&lt;&gt;"",(VLOOKUP(D258,part_details,4,FALSE)+VLOOKUP(D258,part_details,5,FALSE)+VLOOKUP(D258,part_details,6,FALSE))*'Multi-level BOM'!E258,"")</f>
        <v/>
      </c>
      <c r="J258" s="4">
        <f t="shared" ref="J258:S258" si="190">IF($B258="",J257,
    IF(J$3=$B258,$E258,
       IF(J$3&lt;$B258,J257,
           1
)))</f>
        <v>1</v>
      </c>
      <c r="K258" s="4">
        <f t="shared" si="190"/>
        <v>1</v>
      </c>
      <c r="L258" s="4">
        <f t="shared" si="190"/>
        <v>1</v>
      </c>
      <c r="M258" s="4">
        <f t="shared" si="190"/>
        <v>1</v>
      </c>
      <c r="N258" s="4">
        <f t="shared" si="190"/>
        <v>1</v>
      </c>
      <c r="O258" s="4">
        <f t="shared" si="190"/>
        <v>1</v>
      </c>
      <c r="P258" s="4">
        <f t="shared" si="190"/>
        <v>1</v>
      </c>
      <c r="Q258" s="4">
        <f t="shared" si="190"/>
        <v>1</v>
      </c>
      <c r="R258" s="4">
        <f t="shared" si="190"/>
        <v>1</v>
      </c>
      <c r="S258" s="4">
        <f t="shared" si="190"/>
        <v>1</v>
      </c>
      <c r="U258" s="3">
        <f t="shared" si="174"/>
        <v>0</v>
      </c>
      <c r="V258" s="1" t="str">
        <f t="shared" si="175"/>
        <v/>
      </c>
    </row>
    <row r="259" spans="1:22" x14ac:dyDescent="0.25">
      <c r="A259" s="2">
        <v>256</v>
      </c>
      <c r="C259" s="7"/>
      <c r="G259" s="1" t="str">
        <f>IF(D259="","",VLOOKUP(D259,Table1[#All],2,FALSE))</f>
        <v/>
      </c>
      <c r="H259" s="2">
        <f t="shared" si="170"/>
        <v>1</v>
      </c>
      <c r="I259" s="45" t="str">
        <f>IF(D259&lt;&gt;"",(VLOOKUP(D259,part_details,4,FALSE)+VLOOKUP(D259,part_details,5,FALSE)+VLOOKUP(D259,part_details,6,FALSE))*'Multi-level BOM'!E259,"")</f>
        <v/>
      </c>
      <c r="J259" s="4">
        <f t="shared" ref="J259:S259" si="191">IF($B259="",J258,
    IF(J$3=$B259,$E259,
       IF(J$3&lt;$B259,J258,
           1
)))</f>
        <v>1</v>
      </c>
      <c r="K259" s="4">
        <f t="shared" si="191"/>
        <v>1</v>
      </c>
      <c r="L259" s="4">
        <f t="shared" si="191"/>
        <v>1</v>
      </c>
      <c r="M259" s="4">
        <f t="shared" si="191"/>
        <v>1</v>
      </c>
      <c r="N259" s="4">
        <f t="shared" si="191"/>
        <v>1</v>
      </c>
      <c r="O259" s="4">
        <f t="shared" si="191"/>
        <v>1</v>
      </c>
      <c r="P259" s="4">
        <f t="shared" si="191"/>
        <v>1</v>
      </c>
      <c r="Q259" s="4">
        <f t="shared" si="191"/>
        <v>1</v>
      </c>
      <c r="R259" s="4">
        <f t="shared" si="191"/>
        <v>1</v>
      </c>
      <c r="S259" s="4">
        <f t="shared" si="191"/>
        <v>1</v>
      </c>
      <c r="U259" s="3">
        <f t="shared" si="174"/>
        <v>0</v>
      </c>
      <c r="V259" s="1" t="str">
        <f t="shared" si="175"/>
        <v/>
      </c>
    </row>
    <row r="260" spans="1:22" x14ac:dyDescent="0.25">
      <c r="A260" s="2">
        <v>257</v>
      </c>
      <c r="C260" s="7"/>
      <c r="G260" s="1" t="str">
        <f>IF(D260="","",VLOOKUP(D260,Table1[#All],2,FALSE))</f>
        <v/>
      </c>
      <c r="H260" s="2">
        <f t="shared" si="170"/>
        <v>1</v>
      </c>
      <c r="I260" s="45" t="str">
        <f>IF(D260&lt;&gt;"",(VLOOKUP(D260,part_details,4,FALSE)+VLOOKUP(D260,part_details,5,FALSE)+VLOOKUP(D260,part_details,6,FALSE))*'Multi-level BOM'!E260,"")</f>
        <v/>
      </c>
      <c r="J260" s="4">
        <f t="shared" ref="J260:S260" si="192">IF($B260="",J259,
    IF(J$3=$B260,$E260,
       IF(J$3&lt;$B260,J259,
           1
)))</f>
        <v>1</v>
      </c>
      <c r="K260" s="4">
        <f t="shared" si="192"/>
        <v>1</v>
      </c>
      <c r="L260" s="4">
        <f t="shared" si="192"/>
        <v>1</v>
      </c>
      <c r="M260" s="4">
        <f t="shared" si="192"/>
        <v>1</v>
      </c>
      <c r="N260" s="4">
        <f t="shared" si="192"/>
        <v>1</v>
      </c>
      <c r="O260" s="4">
        <f t="shared" si="192"/>
        <v>1</v>
      </c>
      <c r="P260" s="4">
        <f t="shared" si="192"/>
        <v>1</v>
      </c>
      <c r="Q260" s="4">
        <f t="shared" si="192"/>
        <v>1</v>
      </c>
      <c r="R260" s="4">
        <f t="shared" si="192"/>
        <v>1</v>
      </c>
      <c r="S260" s="4">
        <f t="shared" si="192"/>
        <v>1</v>
      </c>
      <c r="U260" s="3">
        <f t="shared" si="174"/>
        <v>0</v>
      </c>
      <c r="V260" s="1" t="str">
        <f t="shared" si="175"/>
        <v/>
      </c>
    </row>
    <row r="261" spans="1:22" x14ac:dyDescent="0.25">
      <c r="A261" s="2">
        <v>258</v>
      </c>
      <c r="C261" s="7"/>
      <c r="G261" s="1" t="str">
        <f>IF(D261="","",VLOOKUP(D261,Table1[#All],2,FALSE))</f>
        <v/>
      </c>
      <c r="H261" s="2">
        <f t="shared" si="170"/>
        <v>1</v>
      </c>
      <c r="I261" s="45" t="str">
        <f>IF(D261&lt;&gt;"",(VLOOKUP(D261,part_details,4,FALSE)+VLOOKUP(D261,part_details,5,FALSE)+VLOOKUP(D261,part_details,6,FALSE))*'Multi-level BOM'!E261,"")</f>
        <v/>
      </c>
      <c r="J261" s="4">
        <f t="shared" ref="J261:S261" si="193">IF($B261="",J260,
    IF(J$3=$B261,$E261,
       IF(J$3&lt;$B261,J260,
           1
)))</f>
        <v>1</v>
      </c>
      <c r="K261" s="4">
        <f t="shared" si="193"/>
        <v>1</v>
      </c>
      <c r="L261" s="4">
        <f t="shared" si="193"/>
        <v>1</v>
      </c>
      <c r="M261" s="4">
        <f t="shared" si="193"/>
        <v>1</v>
      </c>
      <c r="N261" s="4">
        <f t="shared" si="193"/>
        <v>1</v>
      </c>
      <c r="O261" s="4">
        <f t="shared" si="193"/>
        <v>1</v>
      </c>
      <c r="P261" s="4">
        <f t="shared" si="193"/>
        <v>1</v>
      </c>
      <c r="Q261" s="4">
        <f t="shared" si="193"/>
        <v>1</v>
      </c>
      <c r="R261" s="4">
        <f t="shared" si="193"/>
        <v>1</v>
      </c>
      <c r="S261" s="4">
        <f t="shared" si="193"/>
        <v>1</v>
      </c>
      <c r="U261" s="3">
        <f t="shared" si="174"/>
        <v>0</v>
      </c>
      <c r="V261" s="1" t="str">
        <f t="shared" si="175"/>
        <v/>
      </c>
    </row>
    <row r="262" spans="1:22" x14ac:dyDescent="0.25">
      <c r="A262" s="2">
        <v>259</v>
      </c>
      <c r="C262" s="7"/>
      <c r="G262" s="1" t="str">
        <f>IF(D262="","",VLOOKUP(D262,Table1[#All],2,FALSE))</f>
        <v/>
      </c>
      <c r="H262" s="2">
        <f t="shared" si="170"/>
        <v>1</v>
      </c>
      <c r="I262" s="45" t="str">
        <f>IF(D262&lt;&gt;"",(VLOOKUP(D262,part_details,4,FALSE)+VLOOKUP(D262,part_details,5,FALSE)+VLOOKUP(D262,part_details,6,FALSE))*'Multi-level BOM'!E262,"")</f>
        <v/>
      </c>
      <c r="J262" s="4">
        <f t="shared" ref="J262:S262" si="194">IF($B262="",J261,
    IF(J$3=$B262,$E262,
       IF(J$3&lt;$B262,J261,
           1
)))</f>
        <v>1</v>
      </c>
      <c r="K262" s="4">
        <f t="shared" si="194"/>
        <v>1</v>
      </c>
      <c r="L262" s="4">
        <f t="shared" si="194"/>
        <v>1</v>
      </c>
      <c r="M262" s="4">
        <f t="shared" si="194"/>
        <v>1</v>
      </c>
      <c r="N262" s="4">
        <f t="shared" si="194"/>
        <v>1</v>
      </c>
      <c r="O262" s="4">
        <f t="shared" si="194"/>
        <v>1</v>
      </c>
      <c r="P262" s="4">
        <f t="shared" si="194"/>
        <v>1</v>
      </c>
      <c r="Q262" s="4">
        <f t="shared" si="194"/>
        <v>1</v>
      </c>
      <c r="R262" s="4">
        <f t="shared" si="194"/>
        <v>1</v>
      </c>
      <c r="S262" s="4">
        <f t="shared" si="194"/>
        <v>1</v>
      </c>
      <c r="U262" s="3">
        <f t="shared" si="174"/>
        <v>0</v>
      </c>
      <c r="V262" s="1" t="str">
        <f t="shared" si="175"/>
        <v/>
      </c>
    </row>
    <row r="263" spans="1:22" x14ac:dyDescent="0.25">
      <c r="A263" s="2">
        <v>260</v>
      </c>
      <c r="C263" s="7"/>
      <c r="G263" s="1" t="str">
        <f>IF(D263="","",VLOOKUP(D263,Table1[#All],2,FALSE))</f>
        <v/>
      </c>
      <c r="H263" s="2">
        <f t="shared" si="170"/>
        <v>1</v>
      </c>
      <c r="I263" s="45" t="str">
        <f>IF(D263&lt;&gt;"",(VLOOKUP(D263,part_details,4,FALSE)+VLOOKUP(D263,part_details,5,FALSE)+VLOOKUP(D263,part_details,6,FALSE))*'Multi-level BOM'!E263,"")</f>
        <v/>
      </c>
      <c r="J263" s="4">
        <f t="shared" ref="J263:S263" si="195">IF($B263="",J262,
    IF(J$3=$B263,$E263,
       IF(J$3&lt;$B263,J262,
           1
)))</f>
        <v>1</v>
      </c>
      <c r="K263" s="4">
        <f t="shared" si="195"/>
        <v>1</v>
      </c>
      <c r="L263" s="4">
        <f t="shared" si="195"/>
        <v>1</v>
      </c>
      <c r="M263" s="4">
        <f t="shared" si="195"/>
        <v>1</v>
      </c>
      <c r="N263" s="4">
        <f t="shared" si="195"/>
        <v>1</v>
      </c>
      <c r="O263" s="4">
        <f t="shared" si="195"/>
        <v>1</v>
      </c>
      <c r="P263" s="4">
        <f t="shared" si="195"/>
        <v>1</v>
      </c>
      <c r="Q263" s="4">
        <f t="shared" si="195"/>
        <v>1</v>
      </c>
      <c r="R263" s="4">
        <f t="shared" si="195"/>
        <v>1</v>
      </c>
      <c r="S263" s="4">
        <f t="shared" si="195"/>
        <v>1</v>
      </c>
      <c r="U263" s="3">
        <f t="shared" si="174"/>
        <v>0</v>
      </c>
      <c r="V263" s="1" t="str">
        <f t="shared" si="175"/>
        <v/>
      </c>
    </row>
    <row r="264" spans="1:22" x14ac:dyDescent="0.25">
      <c r="A264" s="2">
        <v>261</v>
      </c>
      <c r="C264" s="7"/>
      <c r="G264" s="1" t="str">
        <f>IF(D264="","",VLOOKUP(D264,Table1[#All],2,FALSE))</f>
        <v/>
      </c>
      <c r="H264" s="2">
        <f t="shared" si="170"/>
        <v>1</v>
      </c>
      <c r="I264" s="45" t="str">
        <f>IF(D264&lt;&gt;"",(VLOOKUP(D264,part_details,4,FALSE)+VLOOKUP(D264,part_details,5,FALSE)+VLOOKUP(D264,part_details,6,FALSE))*'Multi-level BOM'!E264,"")</f>
        <v/>
      </c>
      <c r="J264" s="4">
        <f t="shared" ref="J264:S264" si="196">IF($B264="",J263,
    IF(J$3=$B264,$E264,
       IF(J$3&lt;$B264,J263,
           1
)))</f>
        <v>1</v>
      </c>
      <c r="K264" s="4">
        <f t="shared" si="196"/>
        <v>1</v>
      </c>
      <c r="L264" s="4">
        <f t="shared" si="196"/>
        <v>1</v>
      </c>
      <c r="M264" s="4">
        <f t="shared" si="196"/>
        <v>1</v>
      </c>
      <c r="N264" s="4">
        <f t="shared" si="196"/>
        <v>1</v>
      </c>
      <c r="O264" s="4">
        <f t="shared" si="196"/>
        <v>1</v>
      </c>
      <c r="P264" s="4">
        <f t="shared" si="196"/>
        <v>1</v>
      </c>
      <c r="Q264" s="4">
        <f t="shared" si="196"/>
        <v>1</v>
      </c>
      <c r="R264" s="4">
        <f t="shared" si="196"/>
        <v>1</v>
      </c>
      <c r="S264" s="4">
        <f t="shared" si="196"/>
        <v>1</v>
      </c>
      <c r="U264" s="3">
        <f t="shared" si="174"/>
        <v>0</v>
      </c>
      <c r="V264" s="1" t="str">
        <f t="shared" si="175"/>
        <v/>
      </c>
    </row>
    <row r="265" spans="1:22" x14ac:dyDescent="0.25">
      <c r="A265" s="2">
        <v>262</v>
      </c>
      <c r="C265" s="7"/>
      <c r="G265" s="1" t="str">
        <f>IF(D265="","",VLOOKUP(D265,Table1[#All],2,FALSE))</f>
        <v/>
      </c>
      <c r="H265" s="2">
        <f t="shared" si="170"/>
        <v>1</v>
      </c>
      <c r="I265" s="45" t="str">
        <f>IF(D265&lt;&gt;"",(VLOOKUP(D265,part_details,4,FALSE)+VLOOKUP(D265,part_details,5,FALSE)+VLOOKUP(D265,part_details,6,FALSE))*'Multi-level BOM'!E265,"")</f>
        <v/>
      </c>
      <c r="J265" s="4">
        <f t="shared" ref="J265:S265" si="197">IF($B265="",J264,
    IF(J$3=$B265,$E265,
       IF(J$3&lt;$B265,J264,
           1
)))</f>
        <v>1</v>
      </c>
      <c r="K265" s="4">
        <f t="shared" si="197"/>
        <v>1</v>
      </c>
      <c r="L265" s="4">
        <f t="shared" si="197"/>
        <v>1</v>
      </c>
      <c r="M265" s="4">
        <f t="shared" si="197"/>
        <v>1</v>
      </c>
      <c r="N265" s="4">
        <f t="shared" si="197"/>
        <v>1</v>
      </c>
      <c r="O265" s="4">
        <f t="shared" si="197"/>
        <v>1</v>
      </c>
      <c r="P265" s="4">
        <f t="shared" si="197"/>
        <v>1</v>
      </c>
      <c r="Q265" s="4">
        <f t="shared" si="197"/>
        <v>1</v>
      </c>
      <c r="R265" s="4">
        <f t="shared" si="197"/>
        <v>1</v>
      </c>
      <c r="S265" s="4">
        <f t="shared" si="197"/>
        <v>1</v>
      </c>
      <c r="U265" s="3">
        <f t="shared" si="174"/>
        <v>0</v>
      </c>
      <c r="V265" s="1" t="str">
        <f t="shared" si="175"/>
        <v/>
      </c>
    </row>
    <row r="266" spans="1:22" x14ac:dyDescent="0.25">
      <c r="A266" s="2">
        <v>263</v>
      </c>
      <c r="C266" s="7"/>
      <c r="G266" s="1" t="str">
        <f>IF(D266="","",VLOOKUP(D266,Table1[#All],2,FALSE))</f>
        <v/>
      </c>
      <c r="H266" s="2">
        <f t="shared" si="170"/>
        <v>1</v>
      </c>
      <c r="I266" s="45" t="str">
        <f>IF(D266&lt;&gt;"",(VLOOKUP(D266,part_details,4,FALSE)+VLOOKUP(D266,part_details,5,FALSE)+VLOOKUP(D266,part_details,6,FALSE))*'Multi-level BOM'!E266,"")</f>
        <v/>
      </c>
      <c r="J266" s="4">
        <f t="shared" ref="J266:S266" si="198">IF($B266="",J265,
    IF(J$3=$B266,$E266,
       IF(J$3&lt;$B266,J265,
           1
)))</f>
        <v>1</v>
      </c>
      <c r="K266" s="4">
        <f t="shared" si="198"/>
        <v>1</v>
      </c>
      <c r="L266" s="4">
        <f t="shared" si="198"/>
        <v>1</v>
      </c>
      <c r="M266" s="4">
        <f t="shared" si="198"/>
        <v>1</v>
      </c>
      <c r="N266" s="4">
        <f t="shared" si="198"/>
        <v>1</v>
      </c>
      <c r="O266" s="4">
        <f t="shared" si="198"/>
        <v>1</v>
      </c>
      <c r="P266" s="4">
        <f t="shared" si="198"/>
        <v>1</v>
      </c>
      <c r="Q266" s="4">
        <f t="shared" si="198"/>
        <v>1</v>
      </c>
      <c r="R266" s="4">
        <f t="shared" si="198"/>
        <v>1</v>
      </c>
      <c r="S266" s="4">
        <f t="shared" si="198"/>
        <v>1</v>
      </c>
      <c r="U266" s="3">
        <f t="shared" si="174"/>
        <v>0</v>
      </c>
      <c r="V266" s="1" t="str">
        <f t="shared" si="175"/>
        <v/>
      </c>
    </row>
    <row r="267" spans="1:22" x14ac:dyDescent="0.25">
      <c r="A267" s="2">
        <v>264</v>
      </c>
      <c r="C267" s="7"/>
      <c r="G267" s="1" t="str">
        <f>IF(D267="","",VLOOKUP(D267,Table1[#All],2,FALSE))</f>
        <v/>
      </c>
      <c r="H267" s="2">
        <f t="shared" si="170"/>
        <v>1</v>
      </c>
      <c r="I267" s="45" t="str">
        <f>IF(D267&lt;&gt;"",(VLOOKUP(D267,part_details,4,FALSE)+VLOOKUP(D267,part_details,5,FALSE)+VLOOKUP(D267,part_details,6,FALSE))*'Multi-level BOM'!E267,"")</f>
        <v/>
      </c>
      <c r="J267" s="4">
        <f t="shared" ref="J267:S267" si="199">IF($B267="",J266,
    IF(J$3=$B267,$E267,
       IF(J$3&lt;$B267,J266,
           1
)))</f>
        <v>1</v>
      </c>
      <c r="K267" s="4">
        <f t="shared" si="199"/>
        <v>1</v>
      </c>
      <c r="L267" s="4">
        <f t="shared" si="199"/>
        <v>1</v>
      </c>
      <c r="M267" s="4">
        <f t="shared" si="199"/>
        <v>1</v>
      </c>
      <c r="N267" s="4">
        <f t="shared" si="199"/>
        <v>1</v>
      </c>
      <c r="O267" s="4">
        <f t="shared" si="199"/>
        <v>1</v>
      </c>
      <c r="P267" s="4">
        <f t="shared" si="199"/>
        <v>1</v>
      </c>
      <c r="Q267" s="4">
        <f t="shared" si="199"/>
        <v>1</v>
      </c>
      <c r="R267" s="4">
        <f t="shared" si="199"/>
        <v>1</v>
      </c>
      <c r="S267" s="4">
        <f t="shared" si="199"/>
        <v>1</v>
      </c>
      <c r="U267" s="3">
        <f t="shared" si="174"/>
        <v>0</v>
      </c>
      <c r="V267" s="1" t="str">
        <f t="shared" si="175"/>
        <v/>
      </c>
    </row>
    <row r="268" spans="1:22" x14ac:dyDescent="0.25">
      <c r="A268" s="2">
        <v>265</v>
      </c>
      <c r="C268" s="7"/>
      <c r="G268" s="1" t="str">
        <f>IF(D268="","",VLOOKUP(D268,Table1[#All],2,FALSE))</f>
        <v/>
      </c>
      <c r="H268" s="2">
        <f t="shared" si="170"/>
        <v>1</v>
      </c>
      <c r="I268" s="45" t="str">
        <f>IF(D268&lt;&gt;"",(VLOOKUP(D268,part_details,4,FALSE)+VLOOKUP(D268,part_details,5,FALSE)+VLOOKUP(D268,part_details,6,FALSE))*'Multi-level BOM'!E268,"")</f>
        <v/>
      </c>
      <c r="J268" s="4">
        <f t="shared" ref="J268:S268" si="200">IF($B268="",J267,
    IF(J$3=$B268,$E268,
       IF(J$3&lt;$B268,J267,
           1
)))</f>
        <v>1</v>
      </c>
      <c r="K268" s="4">
        <f t="shared" si="200"/>
        <v>1</v>
      </c>
      <c r="L268" s="4">
        <f t="shared" si="200"/>
        <v>1</v>
      </c>
      <c r="M268" s="4">
        <f t="shared" si="200"/>
        <v>1</v>
      </c>
      <c r="N268" s="4">
        <f t="shared" si="200"/>
        <v>1</v>
      </c>
      <c r="O268" s="4">
        <f t="shared" si="200"/>
        <v>1</v>
      </c>
      <c r="P268" s="4">
        <f t="shared" si="200"/>
        <v>1</v>
      </c>
      <c r="Q268" s="4">
        <f t="shared" si="200"/>
        <v>1</v>
      </c>
      <c r="R268" s="4">
        <f t="shared" si="200"/>
        <v>1</v>
      </c>
      <c r="S268" s="4">
        <f t="shared" si="200"/>
        <v>1</v>
      </c>
      <c r="U268" s="3">
        <f t="shared" si="174"/>
        <v>0</v>
      </c>
      <c r="V268" s="1" t="str">
        <f t="shared" si="175"/>
        <v/>
      </c>
    </row>
    <row r="269" spans="1:22" x14ac:dyDescent="0.25">
      <c r="A269" s="2">
        <v>266</v>
      </c>
      <c r="C269" s="7"/>
      <c r="G269" s="1" t="str">
        <f>IF(D269="","",VLOOKUP(D269,Table1[#All],2,FALSE))</f>
        <v/>
      </c>
      <c r="H269" s="2">
        <f t="shared" si="170"/>
        <v>1</v>
      </c>
      <c r="I269" s="45" t="str">
        <f>IF(D269&lt;&gt;"",(VLOOKUP(D269,part_details,4,FALSE)+VLOOKUP(D269,part_details,5,FALSE)+VLOOKUP(D269,part_details,6,FALSE))*'Multi-level BOM'!E269,"")</f>
        <v/>
      </c>
      <c r="J269" s="4">
        <f t="shared" ref="J269:S269" si="201">IF($B269="",J268,
    IF(J$3=$B269,$E269,
       IF(J$3&lt;$B269,J268,
           1
)))</f>
        <v>1</v>
      </c>
      <c r="K269" s="4">
        <f t="shared" si="201"/>
        <v>1</v>
      </c>
      <c r="L269" s="4">
        <f t="shared" si="201"/>
        <v>1</v>
      </c>
      <c r="M269" s="4">
        <f t="shared" si="201"/>
        <v>1</v>
      </c>
      <c r="N269" s="4">
        <f t="shared" si="201"/>
        <v>1</v>
      </c>
      <c r="O269" s="4">
        <f t="shared" si="201"/>
        <v>1</v>
      </c>
      <c r="P269" s="4">
        <f t="shared" si="201"/>
        <v>1</v>
      </c>
      <c r="Q269" s="4">
        <f t="shared" si="201"/>
        <v>1</v>
      </c>
      <c r="R269" s="4">
        <f t="shared" si="201"/>
        <v>1</v>
      </c>
      <c r="S269" s="4">
        <f t="shared" si="201"/>
        <v>1</v>
      </c>
      <c r="U269" s="3">
        <f t="shared" si="174"/>
        <v>0</v>
      </c>
      <c r="V269" s="1" t="str">
        <f t="shared" si="175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70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202">IF($B270="",J269,
    IF(J$3=$B270,$E270,
       IF(J$3&lt;$B270,J269,
           1
)))</f>
        <v>1</v>
      </c>
      <c r="K270" s="4">
        <f t="shared" si="202"/>
        <v>1</v>
      </c>
      <c r="L270" s="4">
        <f t="shared" si="202"/>
        <v>1</v>
      </c>
      <c r="M270" s="4">
        <f t="shared" si="202"/>
        <v>1</v>
      </c>
      <c r="N270" s="4">
        <f t="shared" si="202"/>
        <v>1</v>
      </c>
      <c r="O270" s="4">
        <f t="shared" si="202"/>
        <v>1</v>
      </c>
      <c r="P270" s="4">
        <f t="shared" si="202"/>
        <v>1</v>
      </c>
      <c r="Q270" s="4">
        <f t="shared" si="202"/>
        <v>1</v>
      </c>
      <c r="R270" s="4">
        <f t="shared" si="202"/>
        <v>1</v>
      </c>
      <c r="S270" s="4">
        <f t="shared" si="202"/>
        <v>1</v>
      </c>
      <c r="U270" s="3">
        <f t="shared" si="174"/>
        <v>0</v>
      </c>
      <c r="V270" s="1" t="str">
        <f t="shared" si="175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70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203">IF($B271="",J270,
    IF(J$3=$B271,$E271,
       IF(J$3&lt;$B271,J270,
           1
)))</f>
        <v>1</v>
      </c>
      <c r="K271" s="4">
        <f t="shared" si="203"/>
        <v>1</v>
      </c>
      <c r="L271" s="4">
        <f t="shared" si="203"/>
        <v>1</v>
      </c>
      <c r="M271" s="4">
        <f t="shared" si="203"/>
        <v>1</v>
      </c>
      <c r="N271" s="4">
        <f t="shared" si="203"/>
        <v>1</v>
      </c>
      <c r="O271" s="4">
        <f t="shared" si="203"/>
        <v>1</v>
      </c>
      <c r="P271" s="4">
        <f t="shared" si="203"/>
        <v>1</v>
      </c>
      <c r="Q271" s="4">
        <f t="shared" si="203"/>
        <v>1</v>
      </c>
      <c r="R271" s="4">
        <f t="shared" si="203"/>
        <v>1</v>
      </c>
      <c r="S271" s="4">
        <f t="shared" si="203"/>
        <v>1</v>
      </c>
      <c r="U271" s="3">
        <f t="shared" si="174"/>
        <v>0</v>
      </c>
      <c r="V271" s="1" t="str">
        <f t="shared" si="175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70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204">IF($B272="",J271,
    IF(J$3=$B272,$E272,
       IF(J$3&lt;$B272,J271,
           1
)))</f>
        <v>1</v>
      </c>
      <c r="K272" s="4">
        <f t="shared" si="204"/>
        <v>1</v>
      </c>
      <c r="L272" s="4">
        <f t="shared" si="204"/>
        <v>1</v>
      </c>
      <c r="M272" s="4">
        <f t="shared" si="204"/>
        <v>1</v>
      </c>
      <c r="N272" s="4">
        <f t="shared" si="204"/>
        <v>1</v>
      </c>
      <c r="O272" s="4">
        <f t="shared" si="204"/>
        <v>1</v>
      </c>
      <c r="P272" s="4">
        <f t="shared" si="204"/>
        <v>1</v>
      </c>
      <c r="Q272" s="4">
        <f t="shared" si="204"/>
        <v>1</v>
      </c>
      <c r="R272" s="4">
        <f t="shared" si="204"/>
        <v>1</v>
      </c>
      <c r="S272" s="4">
        <f t="shared" si="204"/>
        <v>1</v>
      </c>
      <c r="U272" s="3">
        <f t="shared" si="174"/>
        <v>0</v>
      </c>
      <c r="V272" s="1" t="str">
        <f t="shared" si="175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70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205">IF($B273="",J272,
    IF(J$3=$B273,$E273,
       IF(J$3&lt;$B273,J272,
           1
)))</f>
        <v>1</v>
      </c>
      <c r="K273" s="4">
        <f t="shared" si="205"/>
        <v>1</v>
      </c>
      <c r="L273" s="4">
        <f t="shared" si="205"/>
        <v>1</v>
      </c>
      <c r="M273" s="4">
        <f t="shared" si="205"/>
        <v>1</v>
      </c>
      <c r="N273" s="4">
        <f t="shared" si="205"/>
        <v>1</v>
      </c>
      <c r="O273" s="4">
        <f t="shared" si="205"/>
        <v>1</v>
      </c>
      <c r="P273" s="4">
        <f t="shared" si="205"/>
        <v>1</v>
      </c>
      <c r="Q273" s="4">
        <f t="shared" si="205"/>
        <v>1</v>
      </c>
      <c r="R273" s="4">
        <f t="shared" si="205"/>
        <v>1</v>
      </c>
      <c r="S273" s="4">
        <f t="shared" si="205"/>
        <v>1</v>
      </c>
      <c r="U273" s="3">
        <f t="shared" si="174"/>
        <v>0</v>
      </c>
      <c r="V273" s="1" t="str">
        <f t="shared" si="175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70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206">IF($B274="",J273,
    IF(J$3=$B274,$E274,
       IF(J$3&lt;$B274,J273,
           1
)))</f>
        <v>1</v>
      </c>
      <c r="K274" s="4">
        <f t="shared" si="206"/>
        <v>1</v>
      </c>
      <c r="L274" s="4">
        <f t="shared" si="206"/>
        <v>1</v>
      </c>
      <c r="M274" s="4">
        <f t="shared" si="206"/>
        <v>1</v>
      </c>
      <c r="N274" s="4">
        <f t="shared" si="206"/>
        <v>1</v>
      </c>
      <c r="O274" s="4">
        <f t="shared" si="206"/>
        <v>1</v>
      </c>
      <c r="P274" s="4">
        <f t="shared" si="206"/>
        <v>1</v>
      </c>
      <c r="Q274" s="4">
        <f t="shared" si="206"/>
        <v>1</v>
      </c>
      <c r="R274" s="4">
        <f t="shared" si="206"/>
        <v>1</v>
      </c>
      <c r="S274" s="4">
        <f t="shared" si="206"/>
        <v>1</v>
      </c>
      <c r="U274" s="3">
        <f t="shared" si="174"/>
        <v>0</v>
      </c>
      <c r="V274" s="1" t="str">
        <f t="shared" si="175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70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207">IF($B275="",J274,
    IF(J$3=$B275,$E275,
       IF(J$3&lt;$B275,J274,
           1
)))</f>
        <v>1</v>
      </c>
      <c r="K275" s="4">
        <f t="shared" si="207"/>
        <v>1</v>
      </c>
      <c r="L275" s="4">
        <f t="shared" si="207"/>
        <v>1</v>
      </c>
      <c r="M275" s="4">
        <f t="shared" si="207"/>
        <v>1</v>
      </c>
      <c r="N275" s="4">
        <f t="shared" si="207"/>
        <v>1</v>
      </c>
      <c r="O275" s="4">
        <f t="shared" si="207"/>
        <v>1</v>
      </c>
      <c r="P275" s="4">
        <f t="shared" si="207"/>
        <v>1</v>
      </c>
      <c r="Q275" s="4">
        <f t="shared" si="207"/>
        <v>1</v>
      </c>
      <c r="R275" s="4">
        <f t="shared" si="207"/>
        <v>1</v>
      </c>
      <c r="S275" s="4">
        <f t="shared" si="207"/>
        <v>1</v>
      </c>
      <c r="U275" s="3">
        <f t="shared" si="174"/>
        <v>0</v>
      </c>
      <c r="V275" s="1" t="str">
        <f t="shared" si="175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70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208">IF($B276="",J275,
    IF(J$3=$B276,$E276,
       IF(J$3&lt;$B276,J275,
           1
)))</f>
        <v>1</v>
      </c>
      <c r="K276" s="4">
        <f t="shared" si="208"/>
        <v>1</v>
      </c>
      <c r="L276" s="4">
        <f t="shared" si="208"/>
        <v>1</v>
      </c>
      <c r="M276" s="4">
        <f t="shared" si="208"/>
        <v>1</v>
      </c>
      <c r="N276" s="4">
        <f t="shared" si="208"/>
        <v>1</v>
      </c>
      <c r="O276" s="4">
        <f t="shared" si="208"/>
        <v>1</v>
      </c>
      <c r="P276" s="4">
        <f t="shared" si="208"/>
        <v>1</v>
      </c>
      <c r="Q276" s="4">
        <f t="shared" si="208"/>
        <v>1</v>
      </c>
      <c r="R276" s="4">
        <f t="shared" si="208"/>
        <v>1</v>
      </c>
      <c r="S276" s="4">
        <f t="shared" si="208"/>
        <v>1</v>
      </c>
      <c r="U276" s="3">
        <f t="shared" si="174"/>
        <v>0</v>
      </c>
      <c r="V276" s="1" t="str">
        <f t="shared" si="175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70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209">IF($B277="",J276,
    IF(J$3=$B277,$E277,
       IF(J$3&lt;$B277,J276,
           1
)))</f>
        <v>1</v>
      </c>
      <c r="K277" s="4">
        <f t="shared" si="209"/>
        <v>1</v>
      </c>
      <c r="L277" s="4">
        <f t="shared" si="209"/>
        <v>1</v>
      </c>
      <c r="M277" s="4">
        <f t="shared" si="209"/>
        <v>1</v>
      </c>
      <c r="N277" s="4">
        <f t="shared" si="209"/>
        <v>1</v>
      </c>
      <c r="O277" s="4">
        <f t="shared" si="209"/>
        <v>1</v>
      </c>
      <c r="P277" s="4">
        <f t="shared" si="209"/>
        <v>1</v>
      </c>
      <c r="Q277" s="4">
        <f t="shared" si="209"/>
        <v>1</v>
      </c>
      <c r="R277" s="4">
        <f t="shared" si="209"/>
        <v>1</v>
      </c>
      <c r="S277" s="4">
        <f t="shared" si="209"/>
        <v>1</v>
      </c>
      <c r="U277" s="3">
        <f t="shared" si="174"/>
        <v>0</v>
      </c>
      <c r="V277" s="1" t="str">
        <f t="shared" si="175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70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210">IF($B278="",J277,
    IF(J$3=$B278,$E278,
       IF(J$3&lt;$B278,J277,
           1
)))</f>
        <v>1</v>
      </c>
      <c r="K278" s="4">
        <f t="shared" si="210"/>
        <v>1</v>
      </c>
      <c r="L278" s="4">
        <f t="shared" si="210"/>
        <v>1</v>
      </c>
      <c r="M278" s="4">
        <f t="shared" si="210"/>
        <v>1</v>
      </c>
      <c r="N278" s="4">
        <f t="shared" si="210"/>
        <v>1</v>
      </c>
      <c r="O278" s="4">
        <f t="shared" si="210"/>
        <v>1</v>
      </c>
      <c r="P278" s="4">
        <f t="shared" si="210"/>
        <v>1</v>
      </c>
      <c r="Q278" s="4">
        <f t="shared" si="210"/>
        <v>1</v>
      </c>
      <c r="R278" s="4">
        <f t="shared" si="210"/>
        <v>1</v>
      </c>
      <c r="S278" s="4">
        <f t="shared" si="210"/>
        <v>1</v>
      </c>
      <c r="U278" s="3">
        <f t="shared" si="174"/>
        <v>0</v>
      </c>
      <c r="V278" s="1" t="str">
        <f t="shared" si="175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70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211">IF($B279="",J278,
    IF(J$3=$B279,$E279,
       IF(J$3&lt;$B279,J278,
           1
)))</f>
        <v>1</v>
      </c>
      <c r="K279" s="4">
        <f t="shared" si="211"/>
        <v>1</v>
      </c>
      <c r="L279" s="4">
        <f t="shared" si="211"/>
        <v>1</v>
      </c>
      <c r="M279" s="4">
        <f t="shared" si="211"/>
        <v>1</v>
      </c>
      <c r="N279" s="4">
        <f t="shared" si="211"/>
        <v>1</v>
      </c>
      <c r="O279" s="4">
        <f t="shared" si="211"/>
        <v>1</v>
      </c>
      <c r="P279" s="4">
        <f t="shared" si="211"/>
        <v>1</v>
      </c>
      <c r="Q279" s="4">
        <f t="shared" si="211"/>
        <v>1</v>
      </c>
      <c r="R279" s="4">
        <f t="shared" si="211"/>
        <v>1</v>
      </c>
      <c r="S279" s="4">
        <f t="shared" si="211"/>
        <v>1</v>
      </c>
      <c r="U279" s="3">
        <f t="shared" si="174"/>
        <v>0</v>
      </c>
      <c r="V279" s="1" t="str">
        <f t="shared" si="175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70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212">IF($B280="",J279,
    IF(J$3=$B280,$E280,
       IF(J$3&lt;$B280,J279,
           1
)))</f>
        <v>1</v>
      </c>
      <c r="K280" s="4">
        <f t="shared" si="212"/>
        <v>1</v>
      </c>
      <c r="L280" s="4">
        <f t="shared" si="212"/>
        <v>1</v>
      </c>
      <c r="M280" s="4">
        <f t="shared" si="212"/>
        <v>1</v>
      </c>
      <c r="N280" s="4">
        <f t="shared" si="212"/>
        <v>1</v>
      </c>
      <c r="O280" s="4">
        <f t="shared" si="212"/>
        <v>1</v>
      </c>
      <c r="P280" s="4">
        <f t="shared" si="212"/>
        <v>1</v>
      </c>
      <c r="Q280" s="4">
        <f t="shared" si="212"/>
        <v>1</v>
      </c>
      <c r="R280" s="4">
        <f t="shared" si="212"/>
        <v>1</v>
      </c>
      <c r="S280" s="4">
        <f t="shared" si="212"/>
        <v>1</v>
      </c>
      <c r="U280" s="3">
        <f t="shared" si="174"/>
        <v>0</v>
      </c>
      <c r="V280" s="1" t="str">
        <f t="shared" si="175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70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213">IF($B281="",J280,
    IF(J$3=$B281,$E281,
       IF(J$3&lt;$B281,J280,
           1
)))</f>
        <v>1</v>
      </c>
      <c r="K281" s="4">
        <f t="shared" si="213"/>
        <v>1</v>
      </c>
      <c r="L281" s="4">
        <f t="shared" si="213"/>
        <v>1</v>
      </c>
      <c r="M281" s="4">
        <f t="shared" si="213"/>
        <v>1</v>
      </c>
      <c r="N281" s="4">
        <f t="shared" si="213"/>
        <v>1</v>
      </c>
      <c r="O281" s="4">
        <f t="shared" si="213"/>
        <v>1</v>
      </c>
      <c r="P281" s="4">
        <f t="shared" si="213"/>
        <v>1</v>
      </c>
      <c r="Q281" s="4">
        <f t="shared" si="213"/>
        <v>1</v>
      </c>
      <c r="R281" s="4">
        <f t="shared" si="213"/>
        <v>1</v>
      </c>
      <c r="S281" s="4">
        <f t="shared" si="213"/>
        <v>1</v>
      </c>
      <c r="U281" s="3">
        <f t="shared" si="174"/>
        <v>0</v>
      </c>
      <c r="V281" s="1" t="str">
        <f t="shared" si="175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70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214">IF($B282="",J281,
    IF(J$3=$B282,$E282,
       IF(J$3&lt;$B282,J281,
           1
)))</f>
        <v>1</v>
      </c>
      <c r="K282" s="4">
        <f t="shared" si="214"/>
        <v>1</v>
      </c>
      <c r="L282" s="4">
        <f t="shared" si="214"/>
        <v>1</v>
      </c>
      <c r="M282" s="4">
        <f t="shared" si="214"/>
        <v>1</v>
      </c>
      <c r="N282" s="4">
        <f t="shared" si="214"/>
        <v>1</v>
      </c>
      <c r="O282" s="4">
        <f t="shared" si="214"/>
        <v>1</v>
      </c>
      <c r="P282" s="4">
        <f t="shared" si="214"/>
        <v>1</v>
      </c>
      <c r="Q282" s="4">
        <f t="shared" si="214"/>
        <v>1</v>
      </c>
      <c r="R282" s="4">
        <f t="shared" si="214"/>
        <v>1</v>
      </c>
      <c r="S282" s="4">
        <f t="shared" si="214"/>
        <v>1</v>
      </c>
      <c r="U282" s="3">
        <f t="shared" si="174"/>
        <v>0</v>
      </c>
      <c r="V282" s="1" t="str">
        <f t="shared" si="175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70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215">IF($B283="",J282,
    IF(J$3=$B283,$E283,
       IF(J$3&lt;$B283,J282,
           1
)))</f>
        <v>1</v>
      </c>
      <c r="K283" s="4">
        <f t="shared" si="215"/>
        <v>1</v>
      </c>
      <c r="L283" s="4">
        <f t="shared" si="215"/>
        <v>1</v>
      </c>
      <c r="M283" s="4">
        <f t="shared" si="215"/>
        <v>1</v>
      </c>
      <c r="N283" s="4">
        <f t="shared" si="215"/>
        <v>1</v>
      </c>
      <c r="O283" s="4">
        <f t="shared" si="215"/>
        <v>1</v>
      </c>
      <c r="P283" s="4">
        <f t="shared" si="215"/>
        <v>1</v>
      </c>
      <c r="Q283" s="4">
        <f t="shared" si="215"/>
        <v>1</v>
      </c>
      <c r="R283" s="4">
        <f t="shared" si="215"/>
        <v>1</v>
      </c>
      <c r="S283" s="4">
        <f t="shared" si="215"/>
        <v>1</v>
      </c>
      <c r="U283" s="3">
        <f t="shared" si="174"/>
        <v>0</v>
      </c>
      <c r="V283" s="1" t="str">
        <f t="shared" si="175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70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216">IF($B284="",J283,
    IF(J$3=$B284,$E284,
       IF(J$3&lt;$B284,J283,
           1
)))</f>
        <v>1</v>
      </c>
      <c r="K284" s="4">
        <f t="shared" si="216"/>
        <v>1</v>
      </c>
      <c r="L284" s="4">
        <f t="shared" si="216"/>
        <v>1</v>
      </c>
      <c r="M284" s="4">
        <f t="shared" si="216"/>
        <v>1</v>
      </c>
      <c r="N284" s="4">
        <f t="shared" si="216"/>
        <v>1</v>
      </c>
      <c r="O284" s="4">
        <f t="shared" si="216"/>
        <v>1</v>
      </c>
      <c r="P284" s="4">
        <f t="shared" si="216"/>
        <v>1</v>
      </c>
      <c r="Q284" s="4">
        <f t="shared" si="216"/>
        <v>1</v>
      </c>
      <c r="R284" s="4">
        <f t="shared" si="216"/>
        <v>1</v>
      </c>
      <c r="S284" s="4">
        <f t="shared" si="216"/>
        <v>1</v>
      </c>
      <c r="U284" s="3">
        <f t="shared" si="174"/>
        <v>0</v>
      </c>
      <c r="V284" s="1" t="str">
        <f t="shared" si="175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70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217">IF($B285="",J284,
    IF(J$3=$B285,$E285,
       IF(J$3&lt;$B285,J284,
           1
)))</f>
        <v>1</v>
      </c>
      <c r="K285" s="4">
        <f t="shared" si="217"/>
        <v>1</v>
      </c>
      <c r="L285" s="4">
        <f t="shared" si="217"/>
        <v>1</v>
      </c>
      <c r="M285" s="4">
        <f t="shared" si="217"/>
        <v>1</v>
      </c>
      <c r="N285" s="4">
        <f t="shared" si="217"/>
        <v>1</v>
      </c>
      <c r="O285" s="4">
        <f t="shared" si="217"/>
        <v>1</v>
      </c>
      <c r="P285" s="4">
        <f t="shared" si="217"/>
        <v>1</v>
      </c>
      <c r="Q285" s="4">
        <f t="shared" si="217"/>
        <v>1</v>
      </c>
      <c r="R285" s="4">
        <f t="shared" si="217"/>
        <v>1</v>
      </c>
      <c r="S285" s="4">
        <f t="shared" si="217"/>
        <v>1</v>
      </c>
      <c r="U285" s="3">
        <f t="shared" si="174"/>
        <v>0</v>
      </c>
      <c r="V285" s="1" t="str">
        <f t="shared" si="175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70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218">IF($B286="",J285,
    IF(J$3=$B286,$E286,
       IF(J$3&lt;$B286,J285,
           1
)))</f>
        <v>1</v>
      </c>
      <c r="K286" s="4">
        <f t="shared" si="218"/>
        <v>1</v>
      </c>
      <c r="L286" s="4">
        <f t="shared" si="218"/>
        <v>1</v>
      </c>
      <c r="M286" s="4">
        <f t="shared" si="218"/>
        <v>1</v>
      </c>
      <c r="N286" s="4">
        <f t="shared" si="218"/>
        <v>1</v>
      </c>
      <c r="O286" s="4">
        <f t="shared" si="218"/>
        <v>1</v>
      </c>
      <c r="P286" s="4">
        <f t="shared" si="218"/>
        <v>1</v>
      </c>
      <c r="Q286" s="4">
        <f t="shared" si="218"/>
        <v>1</v>
      </c>
      <c r="R286" s="4">
        <f t="shared" si="218"/>
        <v>1</v>
      </c>
      <c r="S286" s="4">
        <f t="shared" si="218"/>
        <v>1</v>
      </c>
      <c r="U286" s="3">
        <f t="shared" si="174"/>
        <v>0</v>
      </c>
      <c r="V286" s="1" t="str">
        <f t="shared" si="175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70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219">IF($B287="",J286,
    IF(J$3=$B287,$E287,
       IF(J$3&lt;$B287,J286,
           1
)))</f>
        <v>1</v>
      </c>
      <c r="K287" s="4">
        <f t="shared" si="219"/>
        <v>1</v>
      </c>
      <c r="L287" s="4">
        <f t="shared" si="219"/>
        <v>1</v>
      </c>
      <c r="M287" s="4">
        <f t="shared" si="219"/>
        <v>1</v>
      </c>
      <c r="N287" s="4">
        <f t="shared" si="219"/>
        <v>1</v>
      </c>
      <c r="O287" s="4">
        <f t="shared" si="219"/>
        <v>1</v>
      </c>
      <c r="P287" s="4">
        <f t="shared" si="219"/>
        <v>1</v>
      </c>
      <c r="Q287" s="4">
        <f t="shared" si="219"/>
        <v>1</v>
      </c>
      <c r="R287" s="4">
        <f t="shared" si="219"/>
        <v>1</v>
      </c>
      <c r="S287" s="4">
        <f t="shared" si="219"/>
        <v>1</v>
      </c>
      <c r="U287" s="3">
        <f t="shared" si="174"/>
        <v>0</v>
      </c>
      <c r="V287" s="1" t="str">
        <f t="shared" si="175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70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220">IF($B288="",J287,
    IF(J$3=$B288,$E288,
       IF(J$3&lt;$B288,J287,
           1
)))</f>
        <v>1</v>
      </c>
      <c r="K288" s="4">
        <f t="shared" si="220"/>
        <v>1</v>
      </c>
      <c r="L288" s="4">
        <f t="shared" si="220"/>
        <v>1</v>
      </c>
      <c r="M288" s="4">
        <f t="shared" si="220"/>
        <v>1</v>
      </c>
      <c r="N288" s="4">
        <f t="shared" si="220"/>
        <v>1</v>
      </c>
      <c r="O288" s="4">
        <f t="shared" si="220"/>
        <v>1</v>
      </c>
      <c r="P288" s="4">
        <f t="shared" si="220"/>
        <v>1</v>
      </c>
      <c r="Q288" s="4">
        <f t="shared" si="220"/>
        <v>1</v>
      </c>
      <c r="R288" s="4">
        <f t="shared" si="220"/>
        <v>1</v>
      </c>
      <c r="S288" s="4">
        <f t="shared" si="220"/>
        <v>1</v>
      </c>
      <c r="U288" s="3">
        <f t="shared" si="174"/>
        <v>0</v>
      </c>
      <c r="V288" s="1" t="str">
        <f t="shared" si="175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70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21">IF($B289="",J288,
    IF(J$3=$B289,$E289,
       IF(J$3&lt;$B289,J288,
           1
)))</f>
        <v>1</v>
      </c>
      <c r="K289" s="4">
        <f t="shared" si="221"/>
        <v>1</v>
      </c>
      <c r="L289" s="4">
        <f t="shared" si="221"/>
        <v>1</v>
      </c>
      <c r="M289" s="4">
        <f t="shared" si="221"/>
        <v>1</v>
      </c>
      <c r="N289" s="4">
        <f t="shared" si="221"/>
        <v>1</v>
      </c>
      <c r="O289" s="4">
        <f t="shared" si="221"/>
        <v>1</v>
      </c>
      <c r="P289" s="4">
        <f t="shared" si="221"/>
        <v>1</v>
      </c>
      <c r="Q289" s="4">
        <f t="shared" si="221"/>
        <v>1</v>
      </c>
      <c r="R289" s="4">
        <f t="shared" si="221"/>
        <v>1</v>
      </c>
      <c r="S289" s="4">
        <f t="shared" si="221"/>
        <v>1</v>
      </c>
      <c r="U289" s="3">
        <f t="shared" si="174"/>
        <v>0</v>
      </c>
      <c r="V289" s="1" t="str">
        <f t="shared" si="175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70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22">IF($B290="",J289,
    IF(J$3=$B290,$E290,
       IF(J$3&lt;$B290,J289,
           1
)))</f>
        <v>1</v>
      </c>
      <c r="K290" s="4">
        <f t="shared" si="222"/>
        <v>1</v>
      </c>
      <c r="L290" s="4">
        <f t="shared" si="222"/>
        <v>1</v>
      </c>
      <c r="M290" s="4">
        <f t="shared" si="222"/>
        <v>1</v>
      </c>
      <c r="N290" s="4">
        <f t="shared" si="222"/>
        <v>1</v>
      </c>
      <c r="O290" s="4">
        <f t="shared" si="222"/>
        <v>1</v>
      </c>
      <c r="P290" s="4">
        <f t="shared" si="222"/>
        <v>1</v>
      </c>
      <c r="Q290" s="4">
        <f t="shared" si="222"/>
        <v>1</v>
      </c>
      <c r="R290" s="4">
        <f t="shared" si="222"/>
        <v>1</v>
      </c>
      <c r="S290" s="4">
        <f t="shared" si="222"/>
        <v>1</v>
      </c>
      <c r="U290" s="3">
        <f t="shared" si="174"/>
        <v>0</v>
      </c>
      <c r="V290" s="1" t="str">
        <f t="shared" si="175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70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23">IF($B291="",J290,
    IF(J$3=$B291,$E291,
       IF(J$3&lt;$B291,J290,
           1
)))</f>
        <v>1</v>
      </c>
      <c r="K291" s="4">
        <f t="shared" si="223"/>
        <v>1</v>
      </c>
      <c r="L291" s="4">
        <f t="shared" si="223"/>
        <v>1</v>
      </c>
      <c r="M291" s="4">
        <f t="shared" si="223"/>
        <v>1</v>
      </c>
      <c r="N291" s="4">
        <f t="shared" si="223"/>
        <v>1</v>
      </c>
      <c r="O291" s="4">
        <f t="shared" si="223"/>
        <v>1</v>
      </c>
      <c r="P291" s="4">
        <f t="shared" si="223"/>
        <v>1</v>
      </c>
      <c r="Q291" s="4">
        <f t="shared" si="223"/>
        <v>1</v>
      </c>
      <c r="R291" s="4">
        <f t="shared" si="223"/>
        <v>1</v>
      </c>
      <c r="S291" s="4">
        <f t="shared" si="223"/>
        <v>1</v>
      </c>
      <c r="U291" s="3">
        <f t="shared" si="174"/>
        <v>0</v>
      </c>
      <c r="V291" s="1" t="str">
        <f t="shared" si="175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70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24">IF($B292="",J291,
    IF(J$3=$B292,$E292,
       IF(J$3&lt;$B292,J291,
           1
)))</f>
        <v>1</v>
      </c>
      <c r="K292" s="4">
        <f t="shared" si="224"/>
        <v>1</v>
      </c>
      <c r="L292" s="4">
        <f t="shared" si="224"/>
        <v>1</v>
      </c>
      <c r="M292" s="4">
        <f t="shared" si="224"/>
        <v>1</v>
      </c>
      <c r="N292" s="4">
        <f t="shared" si="224"/>
        <v>1</v>
      </c>
      <c r="O292" s="4">
        <f t="shared" si="224"/>
        <v>1</v>
      </c>
      <c r="P292" s="4">
        <f t="shared" si="224"/>
        <v>1</v>
      </c>
      <c r="Q292" s="4">
        <f t="shared" si="224"/>
        <v>1</v>
      </c>
      <c r="R292" s="4">
        <f t="shared" si="224"/>
        <v>1</v>
      </c>
      <c r="S292" s="4">
        <f t="shared" si="224"/>
        <v>1</v>
      </c>
      <c r="U292" s="3">
        <f t="shared" si="174"/>
        <v>0</v>
      </c>
      <c r="V292" s="1" t="str">
        <f t="shared" si="175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70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25">IF($B293="",J292,
    IF(J$3=$B293,$E293,
       IF(J$3&lt;$B293,J292,
           1
)))</f>
        <v>1</v>
      </c>
      <c r="K293" s="4">
        <f t="shared" si="225"/>
        <v>1</v>
      </c>
      <c r="L293" s="4">
        <f t="shared" si="225"/>
        <v>1</v>
      </c>
      <c r="M293" s="4">
        <f t="shared" si="225"/>
        <v>1</v>
      </c>
      <c r="N293" s="4">
        <f t="shared" si="225"/>
        <v>1</v>
      </c>
      <c r="O293" s="4">
        <f t="shared" si="225"/>
        <v>1</v>
      </c>
      <c r="P293" s="4">
        <f t="shared" si="225"/>
        <v>1</v>
      </c>
      <c r="Q293" s="4">
        <f t="shared" si="225"/>
        <v>1</v>
      </c>
      <c r="R293" s="4">
        <f t="shared" si="225"/>
        <v>1</v>
      </c>
      <c r="S293" s="4">
        <f t="shared" si="225"/>
        <v>1</v>
      </c>
      <c r="U293" s="3">
        <f t="shared" si="174"/>
        <v>0</v>
      </c>
      <c r="V293" s="1" t="str">
        <f t="shared" si="175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70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26">IF($B294="",J293,
    IF(J$3=$B294,$E294,
       IF(J$3&lt;$B294,J293,
           1
)))</f>
        <v>1</v>
      </c>
      <c r="K294" s="4">
        <f t="shared" si="226"/>
        <v>1</v>
      </c>
      <c r="L294" s="4">
        <f t="shared" si="226"/>
        <v>1</v>
      </c>
      <c r="M294" s="4">
        <f t="shared" si="226"/>
        <v>1</v>
      </c>
      <c r="N294" s="4">
        <f t="shared" si="226"/>
        <v>1</v>
      </c>
      <c r="O294" s="4">
        <f t="shared" si="226"/>
        <v>1</v>
      </c>
      <c r="P294" s="4">
        <f t="shared" si="226"/>
        <v>1</v>
      </c>
      <c r="Q294" s="4">
        <f t="shared" si="226"/>
        <v>1</v>
      </c>
      <c r="R294" s="4">
        <f t="shared" si="226"/>
        <v>1</v>
      </c>
      <c r="S294" s="4">
        <f t="shared" si="226"/>
        <v>1</v>
      </c>
      <c r="U294" s="3">
        <f t="shared" si="174"/>
        <v>0</v>
      </c>
      <c r="V294" s="1" t="str">
        <f t="shared" si="175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70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27">IF($B295="",J294,
    IF(J$3=$B295,$E295,
       IF(J$3&lt;$B295,J294,
           1
)))</f>
        <v>1</v>
      </c>
      <c r="K295" s="4">
        <f t="shared" si="227"/>
        <v>1</v>
      </c>
      <c r="L295" s="4">
        <f t="shared" si="227"/>
        <v>1</v>
      </c>
      <c r="M295" s="4">
        <f t="shared" si="227"/>
        <v>1</v>
      </c>
      <c r="N295" s="4">
        <f t="shared" si="227"/>
        <v>1</v>
      </c>
      <c r="O295" s="4">
        <f t="shared" si="227"/>
        <v>1</v>
      </c>
      <c r="P295" s="4">
        <f t="shared" si="227"/>
        <v>1</v>
      </c>
      <c r="Q295" s="4">
        <f t="shared" si="227"/>
        <v>1</v>
      </c>
      <c r="R295" s="4">
        <f t="shared" si="227"/>
        <v>1</v>
      </c>
      <c r="S295" s="4">
        <f t="shared" si="227"/>
        <v>1</v>
      </c>
      <c r="U295" s="3">
        <f t="shared" si="174"/>
        <v>0</v>
      </c>
      <c r="V295" s="1" t="str">
        <f t="shared" si="175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70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28">IF($B296="",J295,
    IF(J$3=$B296,$E296,
       IF(J$3&lt;$B296,J295,
           1
)))</f>
        <v>1</v>
      </c>
      <c r="K296" s="4">
        <f t="shared" si="228"/>
        <v>1</v>
      </c>
      <c r="L296" s="4">
        <f t="shared" si="228"/>
        <v>1</v>
      </c>
      <c r="M296" s="4">
        <f t="shared" si="228"/>
        <v>1</v>
      </c>
      <c r="N296" s="4">
        <f t="shared" si="228"/>
        <v>1</v>
      </c>
      <c r="O296" s="4">
        <f t="shared" si="228"/>
        <v>1</v>
      </c>
      <c r="P296" s="4">
        <f t="shared" si="228"/>
        <v>1</v>
      </c>
      <c r="Q296" s="4">
        <f t="shared" si="228"/>
        <v>1</v>
      </c>
      <c r="R296" s="4">
        <f t="shared" si="228"/>
        <v>1</v>
      </c>
      <c r="S296" s="4">
        <f t="shared" si="228"/>
        <v>1</v>
      </c>
      <c r="U296" s="3">
        <f t="shared" si="174"/>
        <v>0</v>
      </c>
      <c r="V296" s="1" t="str">
        <f t="shared" si="175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70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29">IF($B297="",J296,
    IF(J$3=$B297,$E297,
       IF(J$3&lt;$B297,J296,
           1
)))</f>
        <v>1</v>
      </c>
      <c r="K297" s="4">
        <f t="shared" si="229"/>
        <v>1</v>
      </c>
      <c r="L297" s="4">
        <f t="shared" si="229"/>
        <v>1</v>
      </c>
      <c r="M297" s="4">
        <f t="shared" si="229"/>
        <v>1</v>
      </c>
      <c r="N297" s="4">
        <f t="shared" si="229"/>
        <v>1</v>
      </c>
      <c r="O297" s="4">
        <f t="shared" si="229"/>
        <v>1</v>
      </c>
      <c r="P297" s="4">
        <f t="shared" si="229"/>
        <v>1</v>
      </c>
      <c r="Q297" s="4">
        <f t="shared" si="229"/>
        <v>1</v>
      </c>
      <c r="R297" s="4">
        <f t="shared" si="229"/>
        <v>1</v>
      </c>
      <c r="S297" s="4">
        <f t="shared" si="229"/>
        <v>1</v>
      </c>
      <c r="U297" s="3">
        <f t="shared" si="174"/>
        <v>0</v>
      </c>
      <c r="V297" s="1" t="str">
        <f t="shared" si="175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70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30">IF($B298="",J297,
    IF(J$3=$B298,$E298,
       IF(J$3&lt;$B298,J297,
           1
)))</f>
        <v>1</v>
      </c>
      <c r="K298" s="4">
        <f t="shared" si="230"/>
        <v>1</v>
      </c>
      <c r="L298" s="4">
        <f t="shared" si="230"/>
        <v>1</v>
      </c>
      <c r="M298" s="4">
        <f t="shared" si="230"/>
        <v>1</v>
      </c>
      <c r="N298" s="4">
        <f t="shared" si="230"/>
        <v>1</v>
      </c>
      <c r="O298" s="4">
        <f t="shared" si="230"/>
        <v>1</v>
      </c>
      <c r="P298" s="4">
        <f t="shared" si="230"/>
        <v>1</v>
      </c>
      <c r="Q298" s="4">
        <f t="shared" si="230"/>
        <v>1</v>
      </c>
      <c r="R298" s="4">
        <f t="shared" si="230"/>
        <v>1</v>
      </c>
      <c r="S298" s="4">
        <f t="shared" si="230"/>
        <v>1</v>
      </c>
      <c r="U298" s="3">
        <f t="shared" si="174"/>
        <v>0</v>
      </c>
      <c r="V298" s="1" t="str">
        <f t="shared" si="175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70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31">IF($B299="",J298,
    IF(J$3=$B299,$E299,
       IF(J$3&lt;$B299,J298,
           1
)))</f>
        <v>1</v>
      </c>
      <c r="K299" s="4">
        <f t="shared" si="231"/>
        <v>1</v>
      </c>
      <c r="L299" s="4">
        <f t="shared" si="231"/>
        <v>1</v>
      </c>
      <c r="M299" s="4">
        <f t="shared" si="231"/>
        <v>1</v>
      </c>
      <c r="N299" s="4">
        <f t="shared" si="231"/>
        <v>1</v>
      </c>
      <c r="O299" s="4">
        <f t="shared" si="231"/>
        <v>1</v>
      </c>
      <c r="P299" s="4">
        <f t="shared" si="231"/>
        <v>1</v>
      </c>
      <c r="Q299" s="4">
        <f t="shared" si="231"/>
        <v>1</v>
      </c>
      <c r="R299" s="4">
        <f t="shared" si="231"/>
        <v>1</v>
      </c>
      <c r="S299" s="4">
        <f t="shared" si="231"/>
        <v>1</v>
      </c>
      <c r="U299" s="3">
        <f t="shared" si="174"/>
        <v>0</v>
      </c>
      <c r="V299" s="1" t="str">
        <f t="shared" si="175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70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32">IF($B300="",J299,
    IF(J$3=$B300,$E300,
       IF(J$3&lt;$B300,J299,
           1
)))</f>
        <v>1</v>
      </c>
      <c r="K300" s="4">
        <f t="shared" si="232"/>
        <v>1</v>
      </c>
      <c r="L300" s="4">
        <f t="shared" si="232"/>
        <v>1</v>
      </c>
      <c r="M300" s="4">
        <f t="shared" si="232"/>
        <v>1</v>
      </c>
      <c r="N300" s="4">
        <f t="shared" si="232"/>
        <v>1</v>
      </c>
      <c r="O300" s="4">
        <f t="shared" si="232"/>
        <v>1</v>
      </c>
      <c r="P300" s="4">
        <f t="shared" si="232"/>
        <v>1</v>
      </c>
      <c r="Q300" s="4">
        <f t="shared" si="232"/>
        <v>1</v>
      </c>
      <c r="R300" s="4">
        <f t="shared" si="232"/>
        <v>1</v>
      </c>
      <c r="S300" s="4">
        <f t="shared" si="232"/>
        <v>1</v>
      </c>
      <c r="U300" s="3">
        <f t="shared" si="174"/>
        <v>0</v>
      </c>
      <c r="V300" s="1" t="str">
        <f t="shared" si="175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70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33">IF($B301="",J300,
    IF(J$3=$B301,$E301,
       IF(J$3&lt;$B301,J300,
           1
)))</f>
        <v>1</v>
      </c>
      <c r="K301" s="4">
        <f t="shared" si="233"/>
        <v>1</v>
      </c>
      <c r="L301" s="4">
        <f t="shared" si="233"/>
        <v>1</v>
      </c>
      <c r="M301" s="4">
        <f t="shared" si="233"/>
        <v>1</v>
      </c>
      <c r="N301" s="4">
        <f t="shared" si="233"/>
        <v>1</v>
      </c>
      <c r="O301" s="4">
        <f t="shared" si="233"/>
        <v>1</v>
      </c>
      <c r="P301" s="4">
        <f t="shared" si="233"/>
        <v>1</v>
      </c>
      <c r="Q301" s="4">
        <f t="shared" si="233"/>
        <v>1</v>
      </c>
      <c r="R301" s="4">
        <f t="shared" si="233"/>
        <v>1</v>
      </c>
      <c r="S301" s="4">
        <f t="shared" si="233"/>
        <v>1</v>
      </c>
      <c r="U301" s="3">
        <f t="shared" si="174"/>
        <v>0</v>
      </c>
      <c r="V301" s="1" t="str">
        <f t="shared" si="175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70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34">IF($B302="",J301,
    IF(J$3=$B302,$E302,
       IF(J$3&lt;$B302,J301,
           1
)))</f>
        <v>1</v>
      </c>
      <c r="K302" s="4">
        <f t="shared" si="234"/>
        <v>1</v>
      </c>
      <c r="L302" s="4">
        <f t="shared" si="234"/>
        <v>1</v>
      </c>
      <c r="M302" s="4">
        <f t="shared" si="234"/>
        <v>1</v>
      </c>
      <c r="N302" s="4">
        <f t="shared" si="234"/>
        <v>1</v>
      </c>
      <c r="O302" s="4">
        <f t="shared" si="234"/>
        <v>1</v>
      </c>
      <c r="P302" s="4">
        <f t="shared" si="234"/>
        <v>1</v>
      </c>
      <c r="Q302" s="4">
        <f t="shared" si="234"/>
        <v>1</v>
      </c>
      <c r="R302" s="4">
        <f t="shared" si="234"/>
        <v>1</v>
      </c>
      <c r="S302" s="4">
        <f t="shared" si="234"/>
        <v>1</v>
      </c>
      <c r="U302" s="3">
        <f t="shared" si="174"/>
        <v>0</v>
      </c>
      <c r="V302" s="1" t="str">
        <f t="shared" si="175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70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35">IF($B303="",J302,
    IF(J$3=$B303,$E303,
       IF(J$3&lt;$B303,J302,
           1
)))</f>
        <v>1</v>
      </c>
      <c r="K303" s="4">
        <f t="shared" si="235"/>
        <v>1</v>
      </c>
      <c r="L303" s="4">
        <f t="shared" si="235"/>
        <v>1</v>
      </c>
      <c r="M303" s="4">
        <f t="shared" si="235"/>
        <v>1</v>
      </c>
      <c r="N303" s="4">
        <f t="shared" si="235"/>
        <v>1</v>
      </c>
      <c r="O303" s="4">
        <f t="shared" si="235"/>
        <v>1</v>
      </c>
      <c r="P303" s="4">
        <f t="shared" si="235"/>
        <v>1</v>
      </c>
      <c r="Q303" s="4">
        <f t="shared" si="235"/>
        <v>1</v>
      </c>
      <c r="R303" s="4">
        <f t="shared" si="235"/>
        <v>1</v>
      </c>
      <c r="S303" s="4">
        <f t="shared" si="235"/>
        <v>1</v>
      </c>
      <c r="U303" s="3">
        <f t="shared" si="174"/>
        <v>0</v>
      </c>
      <c r="V303" s="1" t="str">
        <f t="shared" si="175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70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36">IF($B304="",J303,
    IF(J$3=$B304,$E304,
       IF(J$3&lt;$B304,J303,
           1
)))</f>
        <v>1</v>
      </c>
      <c r="K304" s="4">
        <f t="shared" si="236"/>
        <v>1</v>
      </c>
      <c r="L304" s="4">
        <f t="shared" si="236"/>
        <v>1</v>
      </c>
      <c r="M304" s="4">
        <f t="shared" si="236"/>
        <v>1</v>
      </c>
      <c r="N304" s="4">
        <f t="shared" si="236"/>
        <v>1</v>
      </c>
      <c r="O304" s="4">
        <f t="shared" si="236"/>
        <v>1</v>
      </c>
      <c r="P304" s="4">
        <f t="shared" si="236"/>
        <v>1</v>
      </c>
      <c r="Q304" s="4">
        <f t="shared" si="236"/>
        <v>1</v>
      </c>
      <c r="R304" s="4">
        <f t="shared" si="236"/>
        <v>1</v>
      </c>
      <c r="S304" s="4">
        <f t="shared" si="236"/>
        <v>1</v>
      </c>
      <c r="U304" s="3">
        <f t="shared" si="174"/>
        <v>0</v>
      </c>
      <c r="V304" s="1" t="str">
        <f t="shared" si="175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37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38">IF($B305="",J304,
    IF(J$3=$B305,$E305,
       IF(J$3&lt;$B305,J304,
           1
)))</f>
        <v>1</v>
      </c>
      <c r="K305" s="4">
        <f t="shared" si="238"/>
        <v>1</v>
      </c>
      <c r="L305" s="4">
        <f t="shared" si="238"/>
        <v>1</v>
      </c>
      <c r="M305" s="4">
        <f t="shared" si="238"/>
        <v>1</v>
      </c>
      <c r="N305" s="4">
        <f t="shared" si="238"/>
        <v>1</v>
      </c>
      <c r="O305" s="4">
        <f t="shared" si="238"/>
        <v>1</v>
      </c>
      <c r="P305" s="4">
        <f t="shared" si="238"/>
        <v>1</v>
      </c>
      <c r="Q305" s="4">
        <f t="shared" si="238"/>
        <v>1</v>
      </c>
      <c r="R305" s="4">
        <f t="shared" si="238"/>
        <v>1</v>
      </c>
      <c r="S305" s="4">
        <f t="shared" si="238"/>
        <v>1</v>
      </c>
      <c r="U305" s="3">
        <f t="shared" si="174"/>
        <v>0</v>
      </c>
      <c r="V305" s="1" t="str">
        <f t="shared" si="175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37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39">IF($B306="",J305,
    IF(J$3=$B306,$E306,
       IF(J$3&lt;$B306,J305,
           1
)))</f>
        <v>1</v>
      </c>
      <c r="K306" s="4">
        <f t="shared" si="239"/>
        <v>1</v>
      </c>
      <c r="L306" s="4">
        <f t="shared" si="239"/>
        <v>1</v>
      </c>
      <c r="M306" s="4">
        <f t="shared" si="239"/>
        <v>1</v>
      </c>
      <c r="N306" s="4">
        <f t="shared" si="239"/>
        <v>1</v>
      </c>
      <c r="O306" s="4">
        <f t="shared" si="239"/>
        <v>1</v>
      </c>
      <c r="P306" s="4">
        <f t="shared" si="239"/>
        <v>1</v>
      </c>
      <c r="Q306" s="4">
        <f t="shared" si="239"/>
        <v>1</v>
      </c>
      <c r="R306" s="4">
        <f t="shared" si="239"/>
        <v>1</v>
      </c>
      <c r="S306" s="4">
        <f t="shared" si="239"/>
        <v>1</v>
      </c>
      <c r="U306" s="3">
        <f t="shared" si="174"/>
        <v>0</v>
      </c>
      <c r="V306" s="1" t="str">
        <f t="shared" si="175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37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40">IF($B307="",J306,
    IF(J$3=$B307,$E307,
       IF(J$3&lt;$B307,J306,
           1
)))</f>
        <v>1</v>
      </c>
      <c r="K307" s="4">
        <f t="shared" si="240"/>
        <v>1</v>
      </c>
      <c r="L307" s="4">
        <f t="shared" si="240"/>
        <v>1</v>
      </c>
      <c r="M307" s="4">
        <f t="shared" si="240"/>
        <v>1</v>
      </c>
      <c r="N307" s="4">
        <f t="shared" si="240"/>
        <v>1</v>
      </c>
      <c r="O307" s="4">
        <f t="shared" si="240"/>
        <v>1</v>
      </c>
      <c r="P307" s="4">
        <f t="shared" si="240"/>
        <v>1</v>
      </c>
      <c r="Q307" s="4">
        <f t="shared" si="240"/>
        <v>1</v>
      </c>
      <c r="R307" s="4">
        <f t="shared" si="240"/>
        <v>1</v>
      </c>
      <c r="S307" s="4">
        <f t="shared" si="240"/>
        <v>1</v>
      </c>
      <c r="U307" s="3">
        <f t="shared" ref="U307:U370" si="241">IF(F307="x",I307,0)</f>
        <v>0</v>
      </c>
      <c r="V307" s="1" t="str">
        <f t="shared" ref="V307:V370" si="242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37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43">IF($B308="",J307,
    IF(J$3=$B308,$E308,
       IF(J$3&lt;$B308,J307,
           1
)))</f>
        <v>1</v>
      </c>
      <c r="K308" s="4">
        <f t="shared" si="243"/>
        <v>1</v>
      </c>
      <c r="L308" s="4">
        <f t="shared" si="243"/>
        <v>1</v>
      </c>
      <c r="M308" s="4">
        <f t="shared" si="243"/>
        <v>1</v>
      </c>
      <c r="N308" s="4">
        <f t="shared" si="243"/>
        <v>1</v>
      </c>
      <c r="O308" s="4">
        <f t="shared" si="243"/>
        <v>1</v>
      </c>
      <c r="P308" s="4">
        <f t="shared" si="243"/>
        <v>1</v>
      </c>
      <c r="Q308" s="4">
        <f t="shared" si="243"/>
        <v>1</v>
      </c>
      <c r="R308" s="4">
        <f t="shared" si="243"/>
        <v>1</v>
      </c>
      <c r="S308" s="4">
        <f t="shared" si="243"/>
        <v>1</v>
      </c>
      <c r="U308" s="3">
        <f t="shared" si="241"/>
        <v>0</v>
      </c>
      <c r="V308" s="1" t="str">
        <f t="shared" si="242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37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44">IF($B309="",J308,
    IF(J$3=$B309,$E309,
       IF(J$3&lt;$B309,J308,
           1
)))</f>
        <v>1</v>
      </c>
      <c r="K309" s="4">
        <f t="shared" si="244"/>
        <v>1</v>
      </c>
      <c r="L309" s="4">
        <f t="shared" si="244"/>
        <v>1</v>
      </c>
      <c r="M309" s="4">
        <f t="shared" si="244"/>
        <v>1</v>
      </c>
      <c r="N309" s="4">
        <f t="shared" si="244"/>
        <v>1</v>
      </c>
      <c r="O309" s="4">
        <f t="shared" si="244"/>
        <v>1</v>
      </c>
      <c r="P309" s="4">
        <f t="shared" si="244"/>
        <v>1</v>
      </c>
      <c r="Q309" s="4">
        <f t="shared" si="244"/>
        <v>1</v>
      </c>
      <c r="R309" s="4">
        <f t="shared" si="244"/>
        <v>1</v>
      </c>
      <c r="S309" s="4">
        <f t="shared" si="244"/>
        <v>1</v>
      </c>
      <c r="U309" s="3">
        <f t="shared" si="241"/>
        <v>0</v>
      </c>
      <c r="V309" s="1" t="str">
        <f t="shared" si="242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37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45">IF($B310="",J309,
    IF(J$3=$B310,$E310,
       IF(J$3&lt;$B310,J309,
           1
)))</f>
        <v>1</v>
      </c>
      <c r="K310" s="4">
        <f t="shared" si="245"/>
        <v>1</v>
      </c>
      <c r="L310" s="4">
        <f t="shared" si="245"/>
        <v>1</v>
      </c>
      <c r="M310" s="4">
        <f t="shared" si="245"/>
        <v>1</v>
      </c>
      <c r="N310" s="4">
        <f t="shared" si="245"/>
        <v>1</v>
      </c>
      <c r="O310" s="4">
        <f t="shared" si="245"/>
        <v>1</v>
      </c>
      <c r="P310" s="4">
        <f t="shared" si="245"/>
        <v>1</v>
      </c>
      <c r="Q310" s="4">
        <f t="shared" si="245"/>
        <v>1</v>
      </c>
      <c r="R310" s="4">
        <f t="shared" si="245"/>
        <v>1</v>
      </c>
      <c r="S310" s="4">
        <f t="shared" si="245"/>
        <v>1</v>
      </c>
      <c r="U310" s="3">
        <f t="shared" si="241"/>
        <v>0</v>
      </c>
      <c r="V310" s="1" t="str">
        <f t="shared" si="242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37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46">IF($B311="",J310,
    IF(J$3=$B311,$E311,
       IF(J$3&lt;$B311,J310,
           1
)))</f>
        <v>1</v>
      </c>
      <c r="K311" s="4">
        <f t="shared" si="246"/>
        <v>1</v>
      </c>
      <c r="L311" s="4">
        <f t="shared" si="246"/>
        <v>1</v>
      </c>
      <c r="M311" s="4">
        <f t="shared" si="246"/>
        <v>1</v>
      </c>
      <c r="N311" s="4">
        <f t="shared" si="246"/>
        <v>1</v>
      </c>
      <c r="O311" s="4">
        <f t="shared" si="246"/>
        <v>1</v>
      </c>
      <c r="P311" s="4">
        <f t="shared" si="246"/>
        <v>1</v>
      </c>
      <c r="Q311" s="4">
        <f t="shared" si="246"/>
        <v>1</v>
      </c>
      <c r="R311" s="4">
        <f t="shared" si="246"/>
        <v>1</v>
      </c>
      <c r="S311" s="4">
        <f t="shared" si="246"/>
        <v>1</v>
      </c>
      <c r="U311" s="3">
        <f t="shared" si="241"/>
        <v>0</v>
      </c>
      <c r="V311" s="1" t="str">
        <f t="shared" si="242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37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47">IF($B312="",J311,
    IF(J$3=$B312,$E312,
       IF(J$3&lt;$B312,J311,
           1
)))</f>
        <v>1</v>
      </c>
      <c r="K312" s="4">
        <f t="shared" si="247"/>
        <v>1</v>
      </c>
      <c r="L312" s="4">
        <f t="shared" si="247"/>
        <v>1</v>
      </c>
      <c r="M312" s="4">
        <f t="shared" si="247"/>
        <v>1</v>
      </c>
      <c r="N312" s="4">
        <f t="shared" si="247"/>
        <v>1</v>
      </c>
      <c r="O312" s="4">
        <f t="shared" si="247"/>
        <v>1</v>
      </c>
      <c r="P312" s="4">
        <f t="shared" si="247"/>
        <v>1</v>
      </c>
      <c r="Q312" s="4">
        <f t="shared" si="247"/>
        <v>1</v>
      </c>
      <c r="R312" s="4">
        <f t="shared" si="247"/>
        <v>1</v>
      </c>
      <c r="S312" s="4">
        <f t="shared" si="247"/>
        <v>1</v>
      </c>
      <c r="U312" s="3">
        <f t="shared" si="241"/>
        <v>0</v>
      </c>
      <c r="V312" s="1" t="str">
        <f t="shared" si="242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37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48">IF($B313="",J312,
    IF(J$3=$B313,$E313,
       IF(J$3&lt;$B313,J312,
           1
)))</f>
        <v>1</v>
      </c>
      <c r="K313" s="4">
        <f t="shared" si="248"/>
        <v>1</v>
      </c>
      <c r="L313" s="4">
        <f t="shared" si="248"/>
        <v>1</v>
      </c>
      <c r="M313" s="4">
        <f t="shared" si="248"/>
        <v>1</v>
      </c>
      <c r="N313" s="4">
        <f t="shared" si="248"/>
        <v>1</v>
      </c>
      <c r="O313" s="4">
        <f t="shared" si="248"/>
        <v>1</v>
      </c>
      <c r="P313" s="4">
        <f t="shared" si="248"/>
        <v>1</v>
      </c>
      <c r="Q313" s="4">
        <f t="shared" si="248"/>
        <v>1</v>
      </c>
      <c r="R313" s="4">
        <f t="shared" si="248"/>
        <v>1</v>
      </c>
      <c r="S313" s="4">
        <f t="shared" si="248"/>
        <v>1</v>
      </c>
      <c r="U313" s="3">
        <f t="shared" si="241"/>
        <v>0</v>
      </c>
      <c r="V313" s="1" t="str">
        <f t="shared" si="242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37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49">IF($B314="",J313,
    IF(J$3=$B314,$E314,
       IF(J$3&lt;$B314,J313,
           1
)))</f>
        <v>1</v>
      </c>
      <c r="K314" s="4">
        <f t="shared" si="249"/>
        <v>1</v>
      </c>
      <c r="L314" s="4">
        <f t="shared" si="249"/>
        <v>1</v>
      </c>
      <c r="M314" s="4">
        <f t="shared" si="249"/>
        <v>1</v>
      </c>
      <c r="N314" s="4">
        <f t="shared" si="249"/>
        <v>1</v>
      </c>
      <c r="O314" s="4">
        <f t="shared" si="249"/>
        <v>1</v>
      </c>
      <c r="P314" s="4">
        <f t="shared" si="249"/>
        <v>1</v>
      </c>
      <c r="Q314" s="4">
        <f t="shared" si="249"/>
        <v>1</v>
      </c>
      <c r="R314" s="4">
        <f t="shared" si="249"/>
        <v>1</v>
      </c>
      <c r="S314" s="4">
        <f t="shared" si="249"/>
        <v>1</v>
      </c>
      <c r="U314" s="3">
        <f t="shared" si="241"/>
        <v>0</v>
      </c>
      <c r="V314" s="1" t="str">
        <f t="shared" si="242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37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50">IF($B315="",J314,
    IF(J$3=$B315,$E315,
       IF(J$3&lt;$B315,J314,
           1
)))</f>
        <v>1</v>
      </c>
      <c r="K315" s="4">
        <f t="shared" si="250"/>
        <v>1</v>
      </c>
      <c r="L315" s="4">
        <f t="shared" si="250"/>
        <v>1</v>
      </c>
      <c r="M315" s="4">
        <f t="shared" si="250"/>
        <v>1</v>
      </c>
      <c r="N315" s="4">
        <f t="shared" si="250"/>
        <v>1</v>
      </c>
      <c r="O315" s="4">
        <f t="shared" si="250"/>
        <v>1</v>
      </c>
      <c r="P315" s="4">
        <f t="shared" si="250"/>
        <v>1</v>
      </c>
      <c r="Q315" s="4">
        <f t="shared" si="250"/>
        <v>1</v>
      </c>
      <c r="R315" s="4">
        <f t="shared" si="250"/>
        <v>1</v>
      </c>
      <c r="S315" s="4">
        <f t="shared" si="250"/>
        <v>1</v>
      </c>
      <c r="U315" s="3">
        <f t="shared" si="241"/>
        <v>0</v>
      </c>
      <c r="V315" s="1" t="str">
        <f t="shared" si="242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37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51">IF($B316="",J315,
    IF(J$3=$B316,$E316,
       IF(J$3&lt;$B316,J315,
           1
)))</f>
        <v>1</v>
      </c>
      <c r="K316" s="4">
        <f t="shared" si="251"/>
        <v>1</v>
      </c>
      <c r="L316" s="4">
        <f t="shared" si="251"/>
        <v>1</v>
      </c>
      <c r="M316" s="4">
        <f t="shared" si="251"/>
        <v>1</v>
      </c>
      <c r="N316" s="4">
        <f t="shared" si="251"/>
        <v>1</v>
      </c>
      <c r="O316" s="4">
        <f t="shared" si="251"/>
        <v>1</v>
      </c>
      <c r="P316" s="4">
        <f t="shared" si="251"/>
        <v>1</v>
      </c>
      <c r="Q316" s="4">
        <f t="shared" si="251"/>
        <v>1</v>
      </c>
      <c r="R316" s="4">
        <f t="shared" si="251"/>
        <v>1</v>
      </c>
      <c r="S316" s="4">
        <f t="shared" si="251"/>
        <v>1</v>
      </c>
      <c r="U316" s="3">
        <f t="shared" si="241"/>
        <v>0</v>
      </c>
      <c r="V316" s="1" t="str">
        <f t="shared" si="242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37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52">IF($B317="",J316,
    IF(J$3=$B317,$E317,
       IF(J$3&lt;$B317,J316,
           1
)))</f>
        <v>1</v>
      </c>
      <c r="K317" s="4">
        <f t="shared" si="252"/>
        <v>1</v>
      </c>
      <c r="L317" s="4">
        <f t="shared" si="252"/>
        <v>1</v>
      </c>
      <c r="M317" s="4">
        <f t="shared" si="252"/>
        <v>1</v>
      </c>
      <c r="N317" s="4">
        <f t="shared" si="252"/>
        <v>1</v>
      </c>
      <c r="O317" s="4">
        <f t="shared" si="252"/>
        <v>1</v>
      </c>
      <c r="P317" s="4">
        <f t="shared" si="252"/>
        <v>1</v>
      </c>
      <c r="Q317" s="4">
        <f t="shared" si="252"/>
        <v>1</v>
      </c>
      <c r="R317" s="4">
        <f t="shared" si="252"/>
        <v>1</v>
      </c>
      <c r="S317" s="4">
        <f t="shared" si="252"/>
        <v>1</v>
      </c>
      <c r="U317" s="3">
        <f t="shared" si="241"/>
        <v>0</v>
      </c>
      <c r="V317" s="1" t="str">
        <f t="shared" si="242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37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53">IF($B318="",J317,
    IF(J$3=$B318,$E318,
       IF(J$3&lt;$B318,J317,
           1
)))</f>
        <v>1</v>
      </c>
      <c r="K318" s="4">
        <f t="shared" si="253"/>
        <v>1</v>
      </c>
      <c r="L318" s="4">
        <f t="shared" si="253"/>
        <v>1</v>
      </c>
      <c r="M318" s="4">
        <f t="shared" si="253"/>
        <v>1</v>
      </c>
      <c r="N318" s="4">
        <f t="shared" si="253"/>
        <v>1</v>
      </c>
      <c r="O318" s="4">
        <f t="shared" si="253"/>
        <v>1</v>
      </c>
      <c r="P318" s="4">
        <f t="shared" si="253"/>
        <v>1</v>
      </c>
      <c r="Q318" s="4">
        <f t="shared" si="253"/>
        <v>1</v>
      </c>
      <c r="R318" s="4">
        <f t="shared" si="253"/>
        <v>1</v>
      </c>
      <c r="S318" s="4">
        <f t="shared" si="253"/>
        <v>1</v>
      </c>
      <c r="U318" s="3">
        <f t="shared" si="241"/>
        <v>0</v>
      </c>
      <c r="V318" s="1" t="str">
        <f t="shared" si="242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37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54">IF($B319="",J318,
    IF(J$3=$B319,$E319,
       IF(J$3&lt;$B319,J318,
           1
)))</f>
        <v>1</v>
      </c>
      <c r="K319" s="4">
        <f t="shared" si="254"/>
        <v>1</v>
      </c>
      <c r="L319" s="4">
        <f t="shared" si="254"/>
        <v>1</v>
      </c>
      <c r="M319" s="4">
        <f t="shared" si="254"/>
        <v>1</v>
      </c>
      <c r="N319" s="4">
        <f t="shared" si="254"/>
        <v>1</v>
      </c>
      <c r="O319" s="4">
        <f t="shared" si="254"/>
        <v>1</v>
      </c>
      <c r="P319" s="4">
        <f t="shared" si="254"/>
        <v>1</v>
      </c>
      <c r="Q319" s="4">
        <f t="shared" si="254"/>
        <v>1</v>
      </c>
      <c r="R319" s="4">
        <f t="shared" si="254"/>
        <v>1</v>
      </c>
      <c r="S319" s="4">
        <f t="shared" si="254"/>
        <v>1</v>
      </c>
      <c r="U319" s="3">
        <f t="shared" si="241"/>
        <v>0</v>
      </c>
      <c r="V319" s="1" t="str">
        <f t="shared" si="242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37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55">IF($B320="",J319,
    IF(J$3=$B320,$E320,
       IF(J$3&lt;$B320,J319,
           1
)))</f>
        <v>1</v>
      </c>
      <c r="K320" s="4">
        <f t="shared" si="255"/>
        <v>1</v>
      </c>
      <c r="L320" s="4">
        <f t="shared" si="255"/>
        <v>1</v>
      </c>
      <c r="M320" s="4">
        <f t="shared" si="255"/>
        <v>1</v>
      </c>
      <c r="N320" s="4">
        <f t="shared" si="255"/>
        <v>1</v>
      </c>
      <c r="O320" s="4">
        <f t="shared" si="255"/>
        <v>1</v>
      </c>
      <c r="P320" s="4">
        <f t="shared" si="255"/>
        <v>1</v>
      </c>
      <c r="Q320" s="4">
        <f t="shared" si="255"/>
        <v>1</v>
      </c>
      <c r="R320" s="4">
        <f t="shared" si="255"/>
        <v>1</v>
      </c>
      <c r="S320" s="4">
        <f t="shared" si="255"/>
        <v>1</v>
      </c>
      <c r="U320" s="3">
        <f t="shared" si="241"/>
        <v>0</v>
      </c>
      <c r="V320" s="1" t="str">
        <f t="shared" si="242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37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56">IF($B321="",J320,
    IF(J$3=$B321,$E321,
       IF(J$3&lt;$B321,J320,
           1
)))</f>
        <v>1</v>
      </c>
      <c r="K321" s="4">
        <f t="shared" si="256"/>
        <v>1</v>
      </c>
      <c r="L321" s="4">
        <f t="shared" si="256"/>
        <v>1</v>
      </c>
      <c r="M321" s="4">
        <f t="shared" si="256"/>
        <v>1</v>
      </c>
      <c r="N321" s="4">
        <f t="shared" si="256"/>
        <v>1</v>
      </c>
      <c r="O321" s="4">
        <f t="shared" si="256"/>
        <v>1</v>
      </c>
      <c r="P321" s="4">
        <f t="shared" si="256"/>
        <v>1</v>
      </c>
      <c r="Q321" s="4">
        <f t="shared" si="256"/>
        <v>1</v>
      </c>
      <c r="R321" s="4">
        <f t="shared" si="256"/>
        <v>1</v>
      </c>
      <c r="S321" s="4">
        <f t="shared" si="256"/>
        <v>1</v>
      </c>
      <c r="U321" s="3">
        <f t="shared" si="241"/>
        <v>0</v>
      </c>
      <c r="V321" s="1" t="str">
        <f t="shared" si="242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37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57">IF($B322="",J321,
    IF(J$3=$B322,$E322,
       IF(J$3&lt;$B322,J321,
           1
)))</f>
        <v>1</v>
      </c>
      <c r="K322" s="4">
        <f t="shared" si="257"/>
        <v>1</v>
      </c>
      <c r="L322" s="4">
        <f t="shared" si="257"/>
        <v>1</v>
      </c>
      <c r="M322" s="4">
        <f t="shared" si="257"/>
        <v>1</v>
      </c>
      <c r="N322" s="4">
        <f t="shared" si="257"/>
        <v>1</v>
      </c>
      <c r="O322" s="4">
        <f t="shared" si="257"/>
        <v>1</v>
      </c>
      <c r="P322" s="4">
        <f t="shared" si="257"/>
        <v>1</v>
      </c>
      <c r="Q322" s="4">
        <f t="shared" si="257"/>
        <v>1</v>
      </c>
      <c r="R322" s="4">
        <f t="shared" si="257"/>
        <v>1</v>
      </c>
      <c r="S322" s="4">
        <f t="shared" si="257"/>
        <v>1</v>
      </c>
      <c r="U322" s="3">
        <f t="shared" si="241"/>
        <v>0</v>
      </c>
      <c r="V322" s="1" t="str">
        <f t="shared" si="242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37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58">IF($B323="",J322,
    IF(J$3=$B323,$E323,
       IF(J$3&lt;$B323,J322,
           1
)))</f>
        <v>1</v>
      </c>
      <c r="K323" s="4">
        <f t="shared" si="258"/>
        <v>1</v>
      </c>
      <c r="L323" s="4">
        <f t="shared" si="258"/>
        <v>1</v>
      </c>
      <c r="M323" s="4">
        <f t="shared" si="258"/>
        <v>1</v>
      </c>
      <c r="N323" s="4">
        <f t="shared" si="258"/>
        <v>1</v>
      </c>
      <c r="O323" s="4">
        <f t="shared" si="258"/>
        <v>1</v>
      </c>
      <c r="P323" s="4">
        <f t="shared" si="258"/>
        <v>1</v>
      </c>
      <c r="Q323" s="4">
        <f t="shared" si="258"/>
        <v>1</v>
      </c>
      <c r="R323" s="4">
        <f t="shared" si="258"/>
        <v>1</v>
      </c>
      <c r="S323" s="4">
        <f t="shared" si="258"/>
        <v>1</v>
      </c>
      <c r="U323" s="3">
        <f t="shared" si="241"/>
        <v>0</v>
      </c>
      <c r="V323" s="1" t="str">
        <f t="shared" si="242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37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59">IF($B324="",J323,
    IF(J$3=$B324,$E324,
       IF(J$3&lt;$B324,J323,
           1
)))</f>
        <v>1</v>
      </c>
      <c r="K324" s="4">
        <f t="shared" si="259"/>
        <v>1</v>
      </c>
      <c r="L324" s="4">
        <f t="shared" si="259"/>
        <v>1</v>
      </c>
      <c r="M324" s="4">
        <f t="shared" si="259"/>
        <v>1</v>
      </c>
      <c r="N324" s="4">
        <f t="shared" si="259"/>
        <v>1</v>
      </c>
      <c r="O324" s="4">
        <f t="shared" si="259"/>
        <v>1</v>
      </c>
      <c r="P324" s="4">
        <f t="shared" si="259"/>
        <v>1</v>
      </c>
      <c r="Q324" s="4">
        <f t="shared" si="259"/>
        <v>1</v>
      </c>
      <c r="R324" s="4">
        <f t="shared" si="259"/>
        <v>1</v>
      </c>
      <c r="S324" s="4">
        <f t="shared" si="259"/>
        <v>1</v>
      </c>
      <c r="U324" s="3">
        <f t="shared" si="241"/>
        <v>0</v>
      </c>
      <c r="V324" s="1" t="str">
        <f t="shared" si="242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37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60">IF($B325="",J324,
    IF(J$3=$B325,$E325,
       IF(J$3&lt;$B325,J324,
           1
)))</f>
        <v>1</v>
      </c>
      <c r="K325" s="4">
        <f t="shared" si="260"/>
        <v>1</v>
      </c>
      <c r="L325" s="4">
        <f t="shared" si="260"/>
        <v>1</v>
      </c>
      <c r="M325" s="4">
        <f t="shared" si="260"/>
        <v>1</v>
      </c>
      <c r="N325" s="4">
        <f t="shared" si="260"/>
        <v>1</v>
      </c>
      <c r="O325" s="4">
        <f t="shared" si="260"/>
        <v>1</v>
      </c>
      <c r="P325" s="4">
        <f t="shared" si="260"/>
        <v>1</v>
      </c>
      <c r="Q325" s="4">
        <f t="shared" si="260"/>
        <v>1</v>
      </c>
      <c r="R325" s="4">
        <f t="shared" si="260"/>
        <v>1</v>
      </c>
      <c r="S325" s="4">
        <f t="shared" si="260"/>
        <v>1</v>
      </c>
      <c r="U325" s="3">
        <f t="shared" si="241"/>
        <v>0</v>
      </c>
      <c r="V325" s="1" t="str">
        <f t="shared" si="242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37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61">IF($B326="",J325,
    IF(J$3=$B326,$E326,
       IF(J$3&lt;$B326,J325,
           1
)))</f>
        <v>1</v>
      </c>
      <c r="K326" s="4">
        <f t="shared" si="261"/>
        <v>1</v>
      </c>
      <c r="L326" s="4">
        <f t="shared" si="261"/>
        <v>1</v>
      </c>
      <c r="M326" s="4">
        <f t="shared" si="261"/>
        <v>1</v>
      </c>
      <c r="N326" s="4">
        <f t="shared" si="261"/>
        <v>1</v>
      </c>
      <c r="O326" s="4">
        <f t="shared" si="261"/>
        <v>1</v>
      </c>
      <c r="P326" s="4">
        <f t="shared" si="261"/>
        <v>1</v>
      </c>
      <c r="Q326" s="4">
        <f t="shared" si="261"/>
        <v>1</v>
      </c>
      <c r="R326" s="4">
        <f t="shared" si="261"/>
        <v>1</v>
      </c>
      <c r="S326" s="4">
        <f t="shared" si="261"/>
        <v>1</v>
      </c>
      <c r="U326" s="3">
        <f t="shared" si="241"/>
        <v>0</v>
      </c>
      <c r="V326" s="1" t="str">
        <f t="shared" si="242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37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62">IF($B327="",J326,
    IF(J$3=$B327,$E327,
       IF(J$3&lt;$B327,J326,
           1
)))</f>
        <v>1</v>
      </c>
      <c r="K327" s="4">
        <f t="shared" si="262"/>
        <v>1</v>
      </c>
      <c r="L327" s="4">
        <f t="shared" si="262"/>
        <v>1</v>
      </c>
      <c r="M327" s="4">
        <f t="shared" si="262"/>
        <v>1</v>
      </c>
      <c r="N327" s="4">
        <f t="shared" si="262"/>
        <v>1</v>
      </c>
      <c r="O327" s="4">
        <f t="shared" si="262"/>
        <v>1</v>
      </c>
      <c r="P327" s="4">
        <f t="shared" si="262"/>
        <v>1</v>
      </c>
      <c r="Q327" s="4">
        <f t="shared" si="262"/>
        <v>1</v>
      </c>
      <c r="R327" s="4">
        <f t="shared" si="262"/>
        <v>1</v>
      </c>
      <c r="S327" s="4">
        <f t="shared" si="262"/>
        <v>1</v>
      </c>
      <c r="U327" s="3">
        <f t="shared" si="241"/>
        <v>0</v>
      </c>
      <c r="V327" s="1" t="str">
        <f t="shared" si="242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37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63">IF($B328="",J327,
    IF(J$3=$B328,$E328,
       IF(J$3&lt;$B328,J327,
           1
)))</f>
        <v>1</v>
      </c>
      <c r="K328" s="4">
        <f t="shared" si="263"/>
        <v>1</v>
      </c>
      <c r="L328" s="4">
        <f t="shared" si="263"/>
        <v>1</v>
      </c>
      <c r="M328" s="4">
        <f t="shared" si="263"/>
        <v>1</v>
      </c>
      <c r="N328" s="4">
        <f t="shared" si="263"/>
        <v>1</v>
      </c>
      <c r="O328" s="4">
        <f t="shared" si="263"/>
        <v>1</v>
      </c>
      <c r="P328" s="4">
        <f t="shared" si="263"/>
        <v>1</v>
      </c>
      <c r="Q328" s="4">
        <f t="shared" si="263"/>
        <v>1</v>
      </c>
      <c r="R328" s="4">
        <f t="shared" si="263"/>
        <v>1</v>
      </c>
      <c r="S328" s="4">
        <f t="shared" si="263"/>
        <v>1</v>
      </c>
      <c r="U328" s="3">
        <f t="shared" si="241"/>
        <v>0</v>
      </c>
      <c r="V328" s="1" t="str">
        <f t="shared" si="242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37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64">IF($B329="",J328,
    IF(J$3=$B329,$E329,
       IF(J$3&lt;$B329,J328,
           1
)))</f>
        <v>1</v>
      </c>
      <c r="K329" s="4">
        <f t="shared" si="264"/>
        <v>1</v>
      </c>
      <c r="L329" s="4">
        <f t="shared" si="264"/>
        <v>1</v>
      </c>
      <c r="M329" s="4">
        <f t="shared" si="264"/>
        <v>1</v>
      </c>
      <c r="N329" s="4">
        <f t="shared" si="264"/>
        <v>1</v>
      </c>
      <c r="O329" s="4">
        <f t="shared" si="264"/>
        <v>1</v>
      </c>
      <c r="P329" s="4">
        <f t="shared" si="264"/>
        <v>1</v>
      </c>
      <c r="Q329" s="4">
        <f t="shared" si="264"/>
        <v>1</v>
      </c>
      <c r="R329" s="4">
        <f t="shared" si="264"/>
        <v>1</v>
      </c>
      <c r="S329" s="4">
        <f t="shared" si="264"/>
        <v>1</v>
      </c>
      <c r="U329" s="3">
        <f t="shared" si="241"/>
        <v>0</v>
      </c>
      <c r="V329" s="1" t="str">
        <f t="shared" si="242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37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65">IF($B330="",J329,
    IF(J$3=$B330,$E330,
       IF(J$3&lt;$B330,J329,
           1
)))</f>
        <v>1</v>
      </c>
      <c r="K330" s="4">
        <f t="shared" si="265"/>
        <v>1</v>
      </c>
      <c r="L330" s="4">
        <f t="shared" si="265"/>
        <v>1</v>
      </c>
      <c r="M330" s="4">
        <f t="shared" si="265"/>
        <v>1</v>
      </c>
      <c r="N330" s="4">
        <f t="shared" si="265"/>
        <v>1</v>
      </c>
      <c r="O330" s="4">
        <f t="shared" si="265"/>
        <v>1</v>
      </c>
      <c r="P330" s="4">
        <f t="shared" si="265"/>
        <v>1</v>
      </c>
      <c r="Q330" s="4">
        <f t="shared" si="265"/>
        <v>1</v>
      </c>
      <c r="R330" s="4">
        <f t="shared" si="265"/>
        <v>1</v>
      </c>
      <c r="S330" s="4">
        <f t="shared" si="265"/>
        <v>1</v>
      </c>
      <c r="U330" s="3">
        <f t="shared" si="241"/>
        <v>0</v>
      </c>
      <c r="V330" s="1" t="str">
        <f t="shared" si="242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37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66">IF($B331="",J330,
    IF(J$3=$B331,$E331,
       IF(J$3&lt;$B331,J330,
           1
)))</f>
        <v>1</v>
      </c>
      <c r="K331" s="4">
        <f t="shared" si="266"/>
        <v>1</v>
      </c>
      <c r="L331" s="4">
        <f t="shared" si="266"/>
        <v>1</v>
      </c>
      <c r="M331" s="4">
        <f t="shared" si="266"/>
        <v>1</v>
      </c>
      <c r="N331" s="4">
        <f t="shared" si="266"/>
        <v>1</v>
      </c>
      <c r="O331" s="4">
        <f t="shared" si="266"/>
        <v>1</v>
      </c>
      <c r="P331" s="4">
        <f t="shared" si="266"/>
        <v>1</v>
      </c>
      <c r="Q331" s="4">
        <f t="shared" si="266"/>
        <v>1</v>
      </c>
      <c r="R331" s="4">
        <f t="shared" si="266"/>
        <v>1</v>
      </c>
      <c r="S331" s="4">
        <f t="shared" si="266"/>
        <v>1</v>
      </c>
      <c r="U331" s="3">
        <f t="shared" si="241"/>
        <v>0</v>
      </c>
      <c r="V331" s="1" t="str">
        <f t="shared" si="242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37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67">IF($B332="",J331,
    IF(J$3=$B332,$E332,
       IF(J$3&lt;$B332,J331,
           1
)))</f>
        <v>1</v>
      </c>
      <c r="K332" s="4">
        <f t="shared" si="267"/>
        <v>1</v>
      </c>
      <c r="L332" s="4">
        <f t="shared" si="267"/>
        <v>1</v>
      </c>
      <c r="M332" s="4">
        <f t="shared" si="267"/>
        <v>1</v>
      </c>
      <c r="N332" s="4">
        <f t="shared" si="267"/>
        <v>1</v>
      </c>
      <c r="O332" s="4">
        <f t="shared" si="267"/>
        <v>1</v>
      </c>
      <c r="P332" s="4">
        <f t="shared" si="267"/>
        <v>1</v>
      </c>
      <c r="Q332" s="4">
        <f t="shared" si="267"/>
        <v>1</v>
      </c>
      <c r="R332" s="4">
        <f t="shared" si="267"/>
        <v>1</v>
      </c>
      <c r="S332" s="4">
        <f t="shared" si="267"/>
        <v>1</v>
      </c>
      <c r="U332" s="3">
        <f t="shared" si="241"/>
        <v>0</v>
      </c>
      <c r="V332" s="1" t="str">
        <f t="shared" si="242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37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68">IF($B333="",J332,
    IF(J$3=$B333,$E333,
       IF(J$3&lt;$B333,J332,
           1
)))</f>
        <v>1</v>
      </c>
      <c r="K333" s="4">
        <f t="shared" si="268"/>
        <v>1</v>
      </c>
      <c r="L333" s="4">
        <f t="shared" si="268"/>
        <v>1</v>
      </c>
      <c r="M333" s="4">
        <f t="shared" si="268"/>
        <v>1</v>
      </c>
      <c r="N333" s="4">
        <f t="shared" si="268"/>
        <v>1</v>
      </c>
      <c r="O333" s="4">
        <f t="shared" si="268"/>
        <v>1</v>
      </c>
      <c r="P333" s="4">
        <f t="shared" si="268"/>
        <v>1</v>
      </c>
      <c r="Q333" s="4">
        <f t="shared" si="268"/>
        <v>1</v>
      </c>
      <c r="R333" s="4">
        <f t="shared" si="268"/>
        <v>1</v>
      </c>
      <c r="S333" s="4">
        <f t="shared" si="268"/>
        <v>1</v>
      </c>
      <c r="U333" s="3">
        <f t="shared" si="241"/>
        <v>0</v>
      </c>
      <c r="V333" s="1" t="str">
        <f t="shared" si="242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37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69">IF($B334="",J333,
    IF(J$3=$B334,$E334,
       IF(J$3&lt;$B334,J333,
           1
)))</f>
        <v>1</v>
      </c>
      <c r="K334" s="4">
        <f t="shared" si="269"/>
        <v>1</v>
      </c>
      <c r="L334" s="4">
        <f t="shared" si="269"/>
        <v>1</v>
      </c>
      <c r="M334" s="4">
        <f t="shared" si="269"/>
        <v>1</v>
      </c>
      <c r="N334" s="4">
        <f t="shared" si="269"/>
        <v>1</v>
      </c>
      <c r="O334" s="4">
        <f t="shared" si="269"/>
        <v>1</v>
      </c>
      <c r="P334" s="4">
        <f t="shared" si="269"/>
        <v>1</v>
      </c>
      <c r="Q334" s="4">
        <f t="shared" si="269"/>
        <v>1</v>
      </c>
      <c r="R334" s="4">
        <f t="shared" si="269"/>
        <v>1</v>
      </c>
      <c r="S334" s="4">
        <f t="shared" si="269"/>
        <v>1</v>
      </c>
      <c r="U334" s="3">
        <f t="shared" si="241"/>
        <v>0</v>
      </c>
      <c r="V334" s="1" t="str">
        <f t="shared" si="242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37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70">IF($B335="",J334,
    IF(J$3=$B335,$E335,
       IF(J$3&lt;$B335,J334,
           1
)))</f>
        <v>1</v>
      </c>
      <c r="K335" s="4">
        <f t="shared" si="270"/>
        <v>1</v>
      </c>
      <c r="L335" s="4">
        <f t="shared" si="270"/>
        <v>1</v>
      </c>
      <c r="M335" s="4">
        <f t="shared" si="270"/>
        <v>1</v>
      </c>
      <c r="N335" s="4">
        <f t="shared" si="270"/>
        <v>1</v>
      </c>
      <c r="O335" s="4">
        <f t="shared" si="270"/>
        <v>1</v>
      </c>
      <c r="P335" s="4">
        <f t="shared" si="270"/>
        <v>1</v>
      </c>
      <c r="Q335" s="4">
        <f t="shared" si="270"/>
        <v>1</v>
      </c>
      <c r="R335" s="4">
        <f t="shared" si="270"/>
        <v>1</v>
      </c>
      <c r="S335" s="4">
        <f t="shared" si="270"/>
        <v>1</v>
      </c>
      <c r="U335" s="3">
        <f t="shared" si="241"/>
        <v>0</v>
      </c>
      <c r="V335" s="1" t="str">
        <f t="shared" si="242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37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71">IF($B336="",J335,
    IF(J$3=$B336,$E336,
       IF(J$3&lt;$B336,J335,
           1
)))</f>
        <v>1</v>
      </c>
      <c r="K336" s="4">
        <f t="shared" si="271"/>
        <v>1</v>
      </c>
      <c r="L336" s="4">
        <f t="shared" si="271"/>
        <v>1</v>
      </c>
      <c r="M336" s="4">
        <f t="shared" si="271"/>
        <v>1</v>
      </c>
      <c r="N336" s="4">
        <f t="shared" si="271"/>
        <v>1</v>
      </c>
      <c r="O336" s="4">
        <f t="shared" si="271"/>
        <v>1</v>
      </c>
      <c r="P336" s="4">
        <f t="shared" si="271"/>
        <v>1</v>
      </c>
      <c r="Q336" s="4">
        <f t="shared" si="271"/>
        <v>1</v>
      </c>
      <c r="R336" s="4">
        <f t="shared" si="271"/>
        <v>1</v>
      </c>
      <c r="S336" s="4">
        <f t="shared" si="271"/>
        <v>1</v>
      </c>
      <c r="U336" s="3">
        <f t="shared" si="241"/>
        <v>0</v>
      </c>
      <c r="V336" s="1" t="str">
        <f t="shared" si="242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37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72">IF($B337="",J336,
    IF(J$3=$B337,$E337,
       IF(J$3&lt;$B337,J336,
           1
)))</f>
        <v>1</v>
      </c>
      <c r="K337" s="4">
        <f t="shared" si="272"/>
        <v>1</v>
      </c>
      <c r="L337" s="4">
        <f t="shared" si="272"/>
        <v>1</v>
      </c>
      <c r="M337" s="4">
        <f t="shared" si="272"/>
        <v>1</v>
      </c>
      <c r="N337" s="4">
        <f t="shared" si="272"/>
        <v>1</v>
      </c>
      <c r="O337" s="4">
        <f t="shared" si="272"/>
        <v>1</v>
      </c>
      <c r="P337" s="4">
        <f t="shared" si="272"/>
        <v>1</v>
      </c>
      <c r="Q337" s="4">
        <f t="shared" si="272"/>
        <v>1</v>
      </c>
      <c r="R337" s="4">
        <f t="shared" si="272"/>
        <v>1</v>
      </c>
      <c r="S337" s="4">
        <f t="shared" si="272"/>
        <v>1</v>
      </c>
      <c r="U337" s="3">
        <f t="shared" si="241"/>
        <v>0</v>
      </c>
      <c r="V337" s="1" t="str">
        <f t="shared" si="242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37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73">IF($B338="",J337,
    IF(J$3=$B338,$E338,
       IF(J$3&lt;$B338,J337,
           1
)))</f>
        <v>1</v>
      </c>
      <c r="K338" s="4">
        <f t="shared" si="273"/>
        <v>1</v>
      </c>
      <c r="L338" s="4">
        <f t="shared" si="273"/>
        <v>1</v>
      </c>
      <c r="M338" s="4">
        <f t="shared" si="273"/>
        <v>1</v>
      </c>
      <c r="N338" s="4">
        <f t="shared" si="273"/>
        <v>1</v>
      </c>
      <c r="O338" s="4">
        <f t="shared" si="273"/>
        <v>1</v>
      </c>
      <c r="P338" s="4">
        <f t="shared" si="273"/>
        <v>1</v>
      </c>
      <c r="Q338" s="4">
        <f t="shared" si="273"/>
        <v>1</v>
      </c>
      <c r="R338" s="4">
        <f t="shared" si="273"/>
        <v>1</v>
      </c>
      <c r="S338" s="4">
        <f t="shared" si="273"/>
        <v>1</v>
      </c>
      <c r="U338" s="3">
        <f t="shared" si="241"/>
        <v>0</v>
      </c>
      <c r="V338" s="1" t="str">
        <f t="shared" si="242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37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74">IF($B339="",J338,
    IF(J$3=$B339,$E339,
       IF(J$3&lt;$B339,J338,
           1
)))</f>
        <v>1</v>
      </c>
      <c r="K339" s="4">
        <f t="shared" si="274"/>
        <v>1</v>
      </c>
      <c r="L339" s="4">
        <f t="shared" si="274"/>
        <v>1</v>
      </c>
      <c r="M339" s="4">
        <f t="shared" si="274"/>
        <v>1</v>
      </c>
      <c r="N339" s="4">
        <f t="shared" si="274"/>
        <v>1</v>
      </c>
      <c r="O339" s="4">
        <f t="shared" si="274"/>
        <v>1</v>
      </c>
      <c r="P339" s="4">
        <f t="shared" si="274"/>
        <v>1</v>
      </c>
      <c r="Q339" s="4">
        <f t="shared" si="274"/>
        <v>1</v>
      </c>
      <c r="R339" s="4">
        <f t="shared" si="274"/>
        <v>1</v>
      </c>
      <c r="S339" s="4">
        <f t="shared" si="274"/>
        <v>1</v>
      </c>
      <c r="U339" s="3">
        <f t="shared" si="241"/>
        <v>0</v>
      </c>
      <c r="V339" s="1" t="str">
        <f t="shared" si="242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37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75">IF($B340="",J339,
    IF(J$3=$B340,$E340,
       IF(J$3&lt;$B340,J339,
           1
)))</f>
        <v>1</v>
      </c>
      <c r="K340" s="4">
        <f t="shared" si="275"/>
        <v>1</v>
      </c>
      <c r="L340" s="4">
        <f t="shared" si="275"/>
        <v>1</v>
      </c>
      <c r="M340" s="4">
        <f t="shared" si="275"/>
        <v>1</v>
      </c>
      <c r="N340" s="4">
        <f t="shared" si="275"/>
        <v>1</v>
      </c>
      <c r="O340" s="4">
        <f t="shared" si="275"/>
        <v>1</v>
      </c>
      <c r="P340" s="4">
        <f t="shared" si="275"/>
        <v>1</v>
      </c>
      <c r="Q340" s="4">
        <f t="shared" si="275"/>
        <v>1</v>
      </c>
      <c r="R340" s="4">
        <f t="shared" si="275"/>
        <v>1</v>
      </c>
      <c r="S340" s="4">
        <f t="shared" si="275"/>
        <v>1</v>
      </c>
      <c r="U340" s="3">
        <f t="shared" si="241"/>
        <v>0</v>
      </c>
      <c r="V340" s="1" t="str">
        <f t="shared" si="242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37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76">IF($B341="",J340,
    IF(J$3=$B341,$E341,
       IF(J$3&lt;$B341,J340,
           1
)))</f>
        <v>1</v>
      </c>
      <c r="K341" s="4">
        <f t="shared" si="276"/>
        <v>1</v>
      </c>
      <c r="L341" s="4">
        <f t="shared" si="276"/>
        <v>1</v>
      </c>
      <c r="M341" s="4">
        <f t="shared" si="276"/>
        <v>1</v>
      </c>
      <c r="N341" s="4">
        <f t="shared" si="276"/>
        <v>1</v>
      </c>
      <c r="O341" s="4">
        <f t="shared" si="276"/>
        <v>1</v>
      </c>
      <c r="P341" s="4">
        <f t="shared" si="276"/>
        <v>1</v>
      </c>
      <c r="Q341" s="4">
        <f t="shared" si="276"/>
        <v>1</v>
      </c>
      <c r="R341" s="4">
        <f t="shared" si="276"/>
        <v>1</v>
      </c>
      <c r="S341" s="4">
        <f t="shared" si="276"/>
        <v>1</v>
      </c>
      <c r="U341" s="3">
        <f t="shared" si="241"/>
        <v>0</v>
      </c>
      <c r="V341" s="1" t="str">
        <f t="shared" si="242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37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77">IF($B342="",J341,
    IF(J$3=$B342,$E342,
       IF(J$3&lt;$B342,J341,
           1
)))</f>
        <v>1</v>
      </c>
      <c r="K342" s="4">
        <f t="shared" si="277"/>
        <v>1</v>
      </c>
      <c r="L342" s="4">
        <f t="shared" si="277"/>
        <v>1</v>
      </c>
      <c r="M342" s="4">
        <f t="shared" si="277"/>
        <v>1</v>
      </c>
      <c r="N342" s="4">
        <f t="shared" si="277"/>
        <v>1</v>
      </c>
      <c r="O342" s="4">
        <f t="shared" si="277"/>
        <v>1</v>
      </c>
      <c r="P342" s="4">
        <f t="shared" si="277"/>
        <v>1</v>
      </c>
      <c r="Q342" s="4">
        <f t="shared" si="277"/>
        <v>1</v>
      </c>
      <c r="R342" s="4">
        <f t="shared" si="277"/>
        <v>1</v>
      </c>
      <c r="S342" s="4">
        <f t="shared" si="277"/>
        <v>1</v>
      </c>
      <c r="U342" s="3">
        <f t="shared" si="241"/>
        <v>0</v>
      </c>
      <c r="V342" s="1" t="str">
        <f t="shared" si="242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37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78">IF($B343="",J342,
    IF(J$3=$B343,$E343,
       IF(J$3&lt;$B343,J342,
           1
)))</f>
        <v>1</v>
      </c>
      <c r="K343" s="4">
        <f t="shared" si="278"/>
        <v>1</v>
      </c>
      <c r="L343" s="4">
        <f t="shared" si="278"/>
        <v>1</v>
      </c>
      <c r="M343" s="4">
        <f t="shared" si="278"/>
        <v>1</v>
      </c>
      <c r="N343" s="4">
        <f t="shared" si="278"/>
        <v>1</v>
      </c>
      <c r="O343" s="4">
        <f t="shared" si="278"/>
        <v>1</v>
      </c>
      <c r="P343" s="4">
        <f t="shared" si="278"/>
        <v>1</v>
      </c>
      <c r="Q343" s="4">
        <f t="shared" si="278"/>
        <v>1</v>
      </c>
      <c r="R343" s="4">
        <f t="shared" si="278"/>
        <v>1</v>
      </c>
      <c r="S343" s="4">
        <f t="shared" si="278"/>
        <v>1</v>
      </c>
      <c r="U343" s="3">
        <f t="shared" si="241"/>
        <v>0</v>
      </c>
      <c r="V343" s="1" t="str">
        <f t="shared" si="242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37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79">IF($B344="",J343,
    IF(J$3=$B344,$E344,
       IF(J$3&lt;$B344,J343,
           1
)))</f>
        <v>1</v>
      </c>
      <c r="K344" s="4">
        <f t="shared" si="279"/>
        <v>1</v>
      </c>
      <c r="L344" s="4">
        <f t="shared" si="279"/>
        <v>1</v>
      </c>
      <c r="M344" s="4">
        <f t="shared" si="279"/>
        <v>1</v>
      </c>
      <c r="N344" s="4">
        <f t="shared" si="279"/>
        <v>1</v>
      </c>
      <c r="O344" s="4">
        <f t="shared" si="279"/>
        <v>1</v>
      </c>
      <c r="P344" s="4">
        <f t="shared" si="279"/>
        <v>1</v>
      </c>
      <c r="Q344" s="4">
        <f t="shared" si="279"/>
        <v>1</v>
      </c>
      <c r="R344" s="4">
        <f t="shared" si="279"/>
        <v>1</v>
      </c>
      <c r="S344" s="4">
        <f t="shared" si="279"/>
        <v>1</v>
      </c>
      <c r="U344" s="3">
        <f t="shared" si="241"/>
        <v>0</v>
      </c>
      <c r="V344" s="1" t="str">
        <f t="shared" si="242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37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80">IF($B345="",J344,
    IF(J$3=$B345,$E345,
       IF(J$3&lt;$B345,J344,
           1
)))</f>
        <v>1</v>
      </c>
      <c r="K345" s="4">
        <f t="shared" si="280"/>
        <v>1</v>
      </c>
      <c r="L345" s="4">
        <f t="shared" si="280"/>
        <v>1</v>
      </c>
      <c r="M345" s="4">
        <f t="shared" si="280"/>
        <v>1</v>
      </c>
      <c r="N345" s="4">
        <f t="shared" si="280"/>
        <v>1</v>
      </c>
      <c r="O345" s="4">
        <f t="shared" si="280"/>
        <v>1</v>
      </c>
      <c r="P345" s="4">
        <f t="shared" si="280"/>
        <v>1</v>
      </c>
      <c r="Q345" s="4">
        <f t="shared" si="280"/>
        <v>1</v>
      </c>
      <c r="R345" s="4">
        <f t="shared" si="280"/>
        <v>1</v>
      </c>
      <c r="S345" s="4">
        <f t="shared" si="280"/>
        <v>1</v>
      </c>
      <c r="U345" s="3">
        <f t="shared" si="241"/>
        <v>0</v>
      </c>
      <c r="V345" s="1" t="str">
        <f t="shared" si="242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37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81">IF($B346="",J345,
    IF(J$3=$B346,$E346,
       IF(J$3&lt;$B346,J345,
           1
)))</f>
        <v>1</v>
      </c>
      <c r="K346" s="4">
        <f t="shared" si="281"/>
        <v>1</v>
      </c>
      <c r="L346" s="4">
        <f t="shared" si="281"/>
        <v>1</v>
      </c>
      <c r="M346" s="4">
        <f t="shared" si="281"/>
        <v>1</v>
      </c>
      <c r="N346" s="4">
        <f t="shared" si="281"/>
        <v>1</v>
      </c>
      <c r="O346" s="4">
        <f t="shared" si="281"/>
        <v>1</v>
      </c>
      <c r="P346" s="4">
        <f t="shared" si="281"/>
        <v>1</v>
      </c>
      <c r="Q346" s="4">
        <f t="shared" si="281"/>
        <v>1</v>
      </c>
      <c r="R346" s="4">
        <f t="shared" si="281"/>
        <v>1</v>
      </c>
      <c r="S346" s="4">
        <f t="shared" si="281"/>
        <v>1</v>
      </c>
      <c r="U346" s="3">
        <f t="shared" si="241"/>
        <v>0</v>
      </c>
      <c r="V346" s="1" t="str">
        <f t="shared" si="242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37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82">IF($B347="",J346,
    IF(J$3=$B347,$E347,
       IF(J$3&lt;$B347,J346,
           1
)))</f>
        <v>1</v>
      </c>
      <c r="K347" s="4">
        <f t="shared" si="282"/>
        <v>1</v>
      </c>
      <c r="L347" s="4">
        <f t="shared" si="282"/>
        <v>1</v>
      </c>
      <c r="M347" s="4">
        <f t="shared" si="282"/>
        <v>1</v>
      </c>
      <c r="N347" s="4">
        <f t="shared" si="282"/>
        <v>1</v>
      </c>
      <c r="O347" s="4">
        <f t="shared" si="282"/>
        <v>1</v>
      </c>
      <c r="P347" s="4">
        <f t="shared" si="282"/>
        <v>1</v>
      </c>
      <c r="Q347" s="4">
        <f t="shared" si="282"/>
        <v>1</v>
      </c>
      <c r="R347" s="4">
        <f t="shared" si="282"/>
        <v>1</v>
      </c>
      <c r="S347" s="4">
        <f t="shared" si="282"/>
        <v>1</v>
      </c>
      <c r="U347" s="3">
        <f t="shared" si="241"/>
        <v>0</v>
      </c>
      <c r="V347" s="1" t="str">
        <f t="shared" si="242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37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83">IF($B348="",J347,
    IF(J$3=$B348,$E348,
       IF(J$3&lt;$B348,J347,
           1
)))</f>
        <v>1</v>
      </c>
      <c r="K348" s="4">
        <f t="shared" si="283"/>
        <v>1</v>
      </c>
      <c r="L348" s="4">
        <f t="shared" si="283"/>
        <v>1</v>
      </c>
      <c r="M348" s="4">
        <f t="shared" si="283"/>
        <v>1</v>
      </c>
      <c r="N348" s="4">
        <f t="shared" si="283"/>
        <v>1</v>
      </c>
      <c r="O348" s="4">
        <f t="shared" si="283"/>
        <v>1</v>
      </c>
      <c r="P348" s="4">
        <f t="shared" si="283"/>
        <v>1</v>
      </c>
      <c r="Q348" s="4">
        <f t="shared" si="283"/>
        <v>1</v>
      </c>
      <c r="R348" s="4">
        <f t="shared" si="283"/>
        <v>1</v>
      </c>
      <c r="S348" s="4">
        <f t="shared" si="283"/>
        <v>1</v>
      </c>
      <c r="U348" s="3">
        <f t="shared" si="241"/>
        <v>0</v>
      </c>
      <c r="V348" s="1" t="str">
        <f t="shared" si="242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37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84">IF($B349="",J348,
    IF(J$3=$B349,$E349,
       IF(J$3&lt;$B349,J348,
           1
)))</f>
        <v>1</v>
      </c>
      <c r="K349" s="4">
        <f t="shared" si="284"/>
        <v>1</v>
      </c>
      <c r="L349" s="4">
        <f t="shared" si="284"/>
        <v>1</v>
      </c>
      <c r="M349" s="4">
        <f t="shared" si="284"/>
        <v>1</v>
      </c>
      <c r="N349" s="4">
        <f t="shared" si="284"/>
        <v>1</v>
      </c>
      <c r="O349" s="4">
        <f t="shared" si="284"/>
        <v>1</v>
      </c>
      <c r="P349" s="4">
        <f t="shared" si="284"/>
        <v>1</v>
      </c>
      <c r="Q349" s="4">
        <f t="shared" si="284"/>
        <v>1</v>
      </c>
      <c r="R349" s="4">
        <f t="shared" si="284"/>
        <v>1</v>
      </c>
      <c r="S349" s="4">
        <f t="shared" si="284"/>
        <v>1</v>
      </c>
      <c r="U349" s="3">
        <f t="shared" si="241"/>
        <v>0</v>
      </c>
      <c r="V349" s="1" t="str">
        <f t="shared" si="242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37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85">IF($B350="",J349,
    IF(J$3=$B350,$E350,
       IF(J$3&lt;$B350,J349,
           1
)))</f>
        <v>1</v>
      </c>
      <c r="K350" s="4">
        <f t="shared" si="285"/>
        <v>1</v>
      </c>
      <c r="L350" s="4">
        <f t="shared" si="285"/>
        <v>1</v>
      </c>
      <c r="M350" s="4">
        <f t="shared" si="285"/>
        <v>1</v>
      </c>
      <c r="N350" s="4">
        <f t="shared" si="285"/>
        <v>1</v>
      </c>
      <c r="O350" s="4">
        <f t="shared" si="285"/>
        <v>1</v>
      </c>
      <c r="P350" s="4">
        <f t="shared" si="285"/>
        <v>1</v>
      </c>
      <c r="Q350" s="4">
        <f t="shared" si="285"/>
        <v>1</v>
      </c>
      <c r="R350" s="4">
        <f t="shared" si="285"/>
        <v>1</v>
      </c>
      <c r="S350" s="4">
        <f t="shared" si="285"/>
        <v>1</v>
      </c>
      <c r="U350" s="3">
        <f t="shared" si="241"/>
        <v>0</v>
      </c>
      <c r="V350" s="1" t="str">
        <f t="shared" si="242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37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86">IF($B351="",J350,
    IF(J$3=$B351,$E351,
       IF(J$3&lt;$B351,J350,
           1
)))</f>
        <v>1</v>
      </c>
      <c r="K351" s="4">
        <f t="shared" si="286"/>
        <v>1</v>
      </c>
      <c r="L351" s="4">
        <f t="shared" si="286"/>
        <v>1</v>
      </c>
      <c r="M351" s="4">
        <f t="shared" si="286"/>
        <v>1</v>
      </c>
      <c r="N351" s="4">
        <f t="shared" si="286"/>
        <v>1</v>
      </c>
      <c r="O351" s="4">
        <f t="shared" si="286"/>
        <v>1</v>
      </c>
      <c r="P351" s="4">
        <f t="shared" si="286"/>
        <v>1</v>
      </c>
      <c r="Q351" s="4">
        <f t="shared" si="286"/>
        <v>1</v>
      </c>
      <c r="R351" s="4">
        <f t="shared" si="286"/>
        <v>1</v>
      </c>
      <c r="S351" s="4">
        <f t="shared" si="286"/>
        <v>1</v>
      </c>
      <c r="U351" s="3">
        <f t="shared" si="241"/>
        <v>0</v>
      </c>
      <c r="V351" s="1" t="str">
        <f t="shared" si="242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37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87">IF($B352="",J351,
    IF(J$3=$B352,$E352,
       IF(J$3&lt;$B352,J351,
           1
)))</f>
        <v>1</v>
      </c>
      <c r="K352" s="4">
        <f t="shared" si="287"/>
        <v>1</v>
      </c>
      <c r="L352" s="4">
        <f t="shared" si="287"/>
        <v>1</v>
      </c>
      <c r="M352" s="4">
        <f t="shared" si="287"/>
        <v>1</v>
      </c>
      <c r="N352" s="4">
        <f t="shared" si="287"/>
        <v>1</v>
      </c>
      <c r="O352" s="4">
        <f t="shared" si="287"/>
        <v>1</v>
      </c>
      <c r="P352" s="4">
        <f t="shared" si="287"/>
        <v>1</v>
      </c>
      <c r="Q352" s="4">
        <f t="shared" si="287"/>
        <v>1</v>
      </c>
      <c r="R352" s="4">
        <f t="shared" si="287"/>
        <v>1</v>
      </c>
      <c r="S352" s="4">
        <f t="shared" si="287"/>
        <v>1</v>
      </c>
      <c r="U352" s="3">
        <f t="shared" si="241"/>
        <v>0</v>
      </c>
      <c r="V352" s="1" t="str">
        <f t="shared" si="242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37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88">IF($B353="",J352,
    IF(J$3=$B353,$E353,
       IF(J$3&lt;$B353,J352,
           1
)))</f>
        <v>1</v>
      </c>
      <c r="K353" s="4">
        <f t="shared" si="288"/>
        <v>1</v>
      </c>
      <c r="L353" s="4">
        <f t="shared" si="288"/>
        <v>1</v>
      </c>
      <c r="M353" s="4">
        <f t="shared" si="288"/>
        <v>1</v>
      </c>
      <c r="N353" s="4">
        <f t="shared" si="288"/>
        <v>1</v>
      </c>
      <c r="O353" s="4">
        <f t="shared" si="288"/>
        <v>1</v>
      </c>
      <c r="P353" s="4">
        <f t="shared" si="288"/>
        <v>1</v>
      </c>
      <c r="Q353" s="4">
        <f t="shared" si="288"/>
        <v>1</v>
      </c>
      <c r="R353" s="4">
        <f t="shared" si="288"/>
        <v>1</v>
      </c>
      <c r="S353" s="4">
        <f t="shared" si="288"/>
        <v>1</v>
      </c>
      <c r="U353" s="3">
        <f t="shared" si="241"/>
        <v>0</v>
      </c>
      <c r="V353" s="1" t="str">
        <f t="shared" si="242"/>
        <v/>
      </c>
    </row>
    <row r="354" spans="1:22" x14ac:dyDescent="0.25">
      <c r="A354" s="2">
        <v>351</v>
      </c>
      <c r="C354" s="7"/>
      <c r="H354" s="2">
        <f t="shared" si="237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89">IF($B354="",J353,
    IF(J$3=$B354,$E354,
       IF(J$3&lt;$B354,J353,
           1
)))</f>
        <v>1</v>
      </c>
      <c r="K354" s="4">
        <f t="shared" si="289"/>
        <v>1</v>
      </c>
      <c r="L354" s="4">
        <f t="shared" si="289"/>
        <v>1</v>
      </c>
      <c r="M354" s="4">
        <f t="shared" si="289"/>
        <v>1</v>
      </c>
      <c r="N354" s="4">
        <f t="shared" si="289"/>
        <v>1</v>
      </c>
      <c r="O354" s="4">
        <f t="shared" si="289"/>
        <v>1</v>
      </c>
      <c r="P354" s="4">
        <f t="shared" si="289"/>
        <v>1</v>
      </c>
      <c r="Q354" s="4">
        <f t="shared" si="289"/>
        <v>1</v>
      </c>
      <c r="R354" s="4">
        <f t="shared" si="289"/>
        <v>1</v>
      </c>
      <c r="S354" s="4">
        <f t="shared" si="289"/>
        <v>1</v>
      </c>
      <c r="U354" s="3">
        <f t="shared" si="241"/>
        <v>0</v>
      </c>
      <c r="V354" s="1" t="str">
        <f t="shared" si="242"/>
        <v/>
      </c>
    </row>
    <row r="355" spans="1:22" x14ac:dyDescent="0.25">
      <c r="A355" s="2">
        <v>352</v>
      </c>
      <c r="C355" s="7"/>
      <c r="H355" s="2">
        <f t="shared" si="237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90">IF($B355="",J354,
    IF(J$3=$B355,$E355,
       IF(J$3&lt;$B355,J354,
           1
)))</f>
        <v>1</v>
      </c>
      <c r="K355" s="4">
        <f t="shared" si="290"/>
        <v>1</v>
      </c>
      <c r="L355" s="4">
        <f t="shared" si="290"/>
        <v>1</v>
      </c>
      <c r="M355" s="4">
        <f t="shared" si="290"/>
        <v>1</v>
      </c>
      <c r="N355" s="4">
        <f t="shared" si="290"/>
        <v>1</v>
      </c>
      <c r="O355" s="4">
        <f t="shared" si="290"/>
        <v>1</v>
      </c>
      <c r="P355" s="4">
        <f t="shared" si="290"/>
        <v>1</v>
      </c>
      <c r="Q355" s="4">
        <f t="shared" si="290"/>
        <v>1</v>
      </c>
      <c r="R355" s="4">
        <f t="shared" si="290"/>
        <v>1</v>
      </c>
      <c r="S355" s="4">
        <f t="shared" si="290"/>
        <v>1</v>
      </c>
      <c r="U355" s="3">
        <f t="shared" si="241"/>
        <v>0</v>
      </c>
      <c r="V355" s="1" t="str">
        <f t="shared" si="242"/>
        <v/>
      </c>
    </row>
    <row r="356" spans="1:22" x14ac:dyDescent="0.25">
      <c r="A356" s="2">
        <v>353</v>
      </c>
      <c r="C356" s="7"/>
      <c r="H356" s="2">
        <f t="shared" si="237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91">IF($B356="",J355,
    IF(J$3=$B356,$E356,
       IF(J$3&lt;$B356,J355,
           1
)))</f>
        <v>1</v>
      </c>
      <c r="K356" s="4">
        <f t="shared" si="291"/>
        <v>1</v>
      </c>
      <c r="L356" s="4">
        <f t="shared" si="291"/>
        <v>1</v>
      </c>
      <c r="M356" s="4">
        <f t="shared" si="291"/>
        <v>1</v>
      </c>
      <c r="N356" s="4">
        <f t="shared" si="291"/>
        <v>1</v>
      </c>
      <c r="O356" s="4">
        <f t="shared" si="291"/>
        <v>1</v>
      </c>
      <c r="P356" s="4">
        <f t="shared" si="291"/>
        <v>1</v>
      </c>
      <c r="Q356" s="4">
        <f t="shared" si="291"/>
        <v>1</v>
      </c>
      <c r="R356" s="4">
        <f t="shared" si="291"/>
        <v>1</v>
      </c>
      <c r="S356" s="4">
        <f t="shared" si="291"/>
        <v>1</v>
      </c>
      <c r="U356" s="3">
        <f t="shared" si="241"/>
        <v>0</v>
      </c>
      <c r="V356" s="1" t="str">
        <f t="shared" si="242"/>
        <v/>
      </c>
    </row>
    <row r="357" spans="1:22" x14ac:dyDescent="0.25">
      <c r="A357" s="2">
        <v>354</v>
      </c>
      <c r="C357" s="7"/>
      <c r="H357" s="2">
        <f t="shared" si="237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92">IF($B357="",J356,
    IF(J$3=$B357,$E357,
       IF(J$3&lt;$B357,J356,
           1
)))</f>
        <v>1</v>
      </c>
      <c r="K357" s="4">
        <f t="shared" si="292"/>
        <v>1</v>
      </c>
      <c r="L357" s="4">
        <f t="shared" si="292"/>
        <v>1</v>
      </c>
      <c r="M357" s="4">
        <f t="shared" si="292"/>
        <v>1</v>
      </c>
      <c r="N357" s="4">
        <f t="shared" si="292"/>
        <v>1</v>
      </c>
      <c r="O357" s="4">
        <f t="shared" si="292"/>
        <v>1</v>
      </c>
      <c r="P357" s="4">
        <f t="shared" si="292"/>
        <v>1</v>
      </c>
      <c r="Q357" s="4">
        <f t="shared" si="292"/>
        <v>1</v>
      </c>
      <c r="R357" s="4">
        <f t="shared" si="292"/>
        <v>1</v>
      </c>
      <c r="S357" s="4">
        <f t="shared" si="292"/>
        <v>1</v>
      </c>
      <c r="U357" s="3">
        <f t="shared" si="241"/>
        <v>0</v>
      </c>
      <c r="V357" s="1" t="str">
        <f t="shared" si="242"/>
        <v/>
      </c>
    </row>
    <row r="358" spans="1:22" x14ac:dyDescent="0.25">
      <c r="A358" s="2">
        <v>355</v>
      </c>
      <c r="C358" s="7"/>
      <c r="H358" s="2">
        <f t="shared" si="237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93">IF($B358="",J357,
    IF(J$3=$B358,$E358,
       IF(J$3&lt;$B358,J357,
           1
)))</f>
        <v>1</v>
      </c>
      <c r="K358" s="4">
        <f t="shared" si="293"/>
        <v>1</v>
      </c>
      <c r="L358" s="4">
        <f t="shared" si="293"/>
        <v>1</v>
      </c>
      <c r="M358" s="4">
        <f t="shared" si="293"/>
        <v>1</v>
      </c>
      <c r="N358" s="4">
        <f t="shared" si="293"/>
        <v>1</v>
      </c>
      <c r="O358" s="4">
        <f t="shared" si="293"/>
        <v>1</v>
      </c>
      <c r="P358" s="4">
        <f t="shared" si="293"/>
        <v>1</v>
      </c>
      <c r="Q358" s="4">
        <f t="shared" si="293"/>
        <v>1</v>
      </c>
      <c r="R358" s="4">
        <f t="shared" si="293"/>
        <v>1</v>
      </c>
      <c r="S358" s="4">
        <f t="shared" si="293"/>
        <v>1</v>
      </c>
      <c r="U358" s="3">
        <f t="shared" si="241"/>
        <v>0</v>
      </c>
      <c r="V358" s="1" t="str">
        <f t="shared" si="242"/>
        <v/>
      </c>
    </row>
    <row r="359" spans="1:22" x14ac:dyDescent="0.25">
      <c r="A359" s="2">
        <v>356</v>
      </c>
      <c r="C359" s="7"/>
      <c r="H359" s="2">
        <f t="shared" si="237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94">IF($B359="",J358,
    IF(J$3=$B359,$E359,
       IF(J$3&lt;$B359,J358,
           1
)))</f>
        <v>1</v>
      </c>
      <c r="K359" s="4">
        <f t="shared" si="294"/>
        <v>1</v>
      </c>
      <c r="L359" s="4">
        <f t="shared" si="294"/>
        <v>1</v>
      </c>
      <c r="M359" s="4">
        <f t="shared" si="294"/>
        <v>1</v>
      </c>
      <c r="N359" s="4">
        <f t="shared" si="294"/>
        <v>1</v>
      </c>
      <c r="O359" s="4">
        <f t="shared" si="294"/>
        <v>1</v>
      </c>
      <c r="P359" s="4">
        <f t="shared" si="294"/>
        <v>1</v>
      </c>
      <c r="Q359" s="4">
        <f t="shared" si="294"/>
        <v>1</v>
      </c>
      <c r="R359" s="4">
        <f t="shared" si="294"/>
        <v>1</v>
      </c>
      <c r="S359" s="4">
        <f t="shared" si="294"/>
        <v>1</v>
      </c>
      <c r="U359" s="3">
        <f t="shared" si="241"/>
        <v>0</v>
      </c>
      <c r="V359" s="1" t="str">
        <f t="shared" si="242"/>
        <v/>
      </c>
    </row>
    <row r="360" spans="1:22" x14ac:dyDescent="0.25">
      <c r="A360" s="2">
        <v>357</v>
      </c>
      <c r="C360" s="7"/>
      <c r="H360" s="2">
        <f t="shared" si="237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95">IF($B360="",J359,
    IF(J$3=$B360,$E360,
       IF(J$3&lt;$B360,J359,
           1
)))</f>
        <v>1</v>
      </c>
      <c r="K360" s="4">
        <f t="shared" si="295"/>
        <v>1</v>
      </c>
      <c r="L360" s="4">
        <f t="shared" si="295"/>
        <v>1</v>
      </c>
      <c r="M360" s="4">
        <f t="shared" si="295"/>
        <v>1</v>
      </c>
      <c r="N360" s="4">
        <f t="shared" si="295"/>
        <v>1</v>
      </c>
      <c r="O360" s="4">
        <f t="shared" si="295"/>
        <v>1</v>
      </c>
      <c r="P360" s="4">
        <f t="shared" si="295"/>
        <v>1</v>
      </c>
      <c r="Q360" s="4">
        <f t="shared" si="295"/>
        <v>1</v>
      </c>
      <c r="R360" s="4">
        <f t="shared" si="295"/>
        <v>1</v>
      </c>
      <c r="S360" s="4">
        <f t="shared" si="295"/>
        <v>1</v>
      </c>
      <c r="U360" s="3">
        <f t="shared" si="241"/>
        <v>0</v>
      </c>
      <c r="V360" s="1" t="str">
        <f t="shared" si="242"/>
        <v/>
      </c>
    </row>
    <row r="361" spans="1:22" x14ac:dyDescent="0.25">
      <c r="A361" s="2">
        <v>358</v>
      </c>
      <c r="C361" s="7"/>
      <c r="H361" s="2">
        <f t="shared" si="237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96">IF($B361="",J360,
    IF(J$3=$B361,$E361,
       IF(J$3&lt;$B361,J360,
           1
)))</f>
        <v>1</v>
      </c>
      <c r="K361" s="4">
        <f t="shared" si="296"/>
        <v>1</v>
      </c>
      <c r="L361" s="4">
        <f t="shared" si="296"/>
        <v>1</v>
      </c>
      <c r="M361" s="4">
        <f t="shared" si="296"/>
        <v>1</v>
      </c>
      <c r="N361" s="4">
        <f t="shared" si="296"/>
        <v>1</v>
      </c>
      <c r="O361" s="4">
        <f t="shared" si="296"/>
        <v>1</v>
      </c>
      <c r="P361" s="4">
        <f t="shared" si="296"/>
        <v>1</v>
      </c>
      <c r="Q361" s="4">
        <f t="shared" si="296"/>
        <v>1</v>
      </c>
      <c r="R361" s="4">
        <f t="shared" si="296"/>
        <v>1</v>
      </c>
      <c r="S361" s="4">
        <f t="shared" si="296"/>
        <v>1</v>
      </c>
      <c r="U361" s="3">
        <f t="shared" si="241"/>
        <v>0</v>
      </c>
      <c r="V361" s="1" t="str">
        <f t="shared" si="242"/>
        <v/>
      </c>
    </row>
    <row r="362" spans="1:22" x14ac:dyDescent="0.25">
      <c r="A362" s="2">
        <v>359</v>
      </c>
      <c r="C362" s="7"/>
      <c r="H362" s="2">
        <f t="shared" si="237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97">IF($B362="",J361,
    IF(J$3=$B362,$E362,
       IF(J$3&lt;$B362,J361,
           1
)))</f>
        <v>1</v>
      </c>
      <c r="K362" s="4">
        <f t="shared" si="297"/>
        <v>1</v>
      </c>
      <c r="L362" s="4">
        <f t="shared" si="297"/>
        <v>1</v>
      </c>
      <c r="M362" s="4">
        <f t="shared" si="297"/>
        <v>1</v>
      </c>
      <c r="N362" s="4">
        <f t="shared" si="297"/>
        <v>1</v>
      </c>
      <c r="O362" s="4">
        <f t="shared" si="297"/>
        <v>1</v>
      </c>
      <c r="P362" s="4">
        <f t="shared" si="297"/>
        <v>1</v>
      </c>
      <c r="Q362" s="4">
        <f t="shared" si="297"/>
        <v>1</v>
      </c>
      <c r="R362" s="4">
        <f t="shared" si="297"/>
        <v>1</v>
      </c>
      <c r="S362" s="4">
        <f t="shared" si="297"/>
        <v>1</v>
      </c>
      <c r="U362" s="3">
        <f t="shared" si="241"/>
        <v>0</v>
      </c>
      <c r="V362" s="1" t="str">
        <f t="shared" si="242"/>
        <v/>
      </c>
    </row>
    <row r="363" spans="1:22" x14ac:dyDescent="0.25">
      <c r="A363" s="2">
        <v>360</v>
      </c>
      <c r="C363" s="7"/>
      <c r="H363" s="2">
        <f t="shared" si="237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98">IF($B363="",J362,
    IF(J$3=$B363,$E363,
       IF(J$3&lt;$B363,J362,
           1
)))</f>
        <v>1</v>
      </c>
      <c r="K363" s="4">
        <f t="shared" si="298"/>
        <v>1</v>
      </c>
      <c r="L363" s="4">
        <f t="shared" si="298"/>
        <v>1</v>
      </c>
      <c r="M363" s="4">
        <f t="shared" si="298"/>
        <v>1</v>
      </c>
      <c r="N363" s="4">
        <f t="shared" si="298"/>
        <v>1</v>
      </c>
      <c r="O363" s="4">
        <f t="shared" si="298"/>
        <v>1</v>
      </c>
      <c r="P363" s="4">
        <f t="shared" si="298"/>
        <v>1</v>
      </c>
      <c r="Q363" s="4">
        <f t="shared" si="298"/>
        <v>1</v>
      </c>
      <c r="R363" s="4">
        <f t="shared" si="298"/>
        <v>1</v>
      </c>
      <c r="S363" s="4">
        <f t="shared" si="298"/>
        <v>1</v>
      </c>
      <c r="U363" s="3">
        <f t="shared" si="241"/>
        <v>0</v>
      </c>
      <c r="V363" s="1" t="str">
        <f t="shared" si="242"/>
        <v/>
      </c>
    </row>
    <row r="364" spans="1:22" x14ac:dyDescent="0.25">
      <c r="A364" s="2">
        <v>361</v>
      </c>
      <c r="C364" s="7"/>
      <c r="H364" s="2">
        <f t="shared" si="237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99">IF($B364="",J363,
    IF(J$3=$B364,$E364,
       IF(J$3&lt;$B364,J363,
           1
)))</f>
        <v>1</v>
      </c>
      <c r="K364" s="4">
        <f t="shared" si="299"/>
        <v>1</v>
      </c>
      <c r="L364" s="4">
        <f t="shared" si="299"/>
        <v>1</v>
      </c>
      <c r="M364" s="4">
        <f t="shared" si="299"/>
        <v>1</v>
      </c>
      <c r="N364" s="4">
        <f t="shared" si="299"/>
        <v>1</v>
      </c>
      <c r="O364" s="4">
        <f t="shared" si="299"/>
        <v>1</v>
      </c>
      <c r="P364" s="4">
        <f t="shared" si="299"/>
        <v>1</v>
      </c>
      <c r="Q364" s="4">
        <f t="shared" si="299"/>
        <v>1</v>
      </c>
      <c r="R364" s="4">
        <f t="shared" si="299"/>
        <v>1</v>
      </c>
      <c r="S364" s="4">
        <f t="shared" si="299"/>
        <v>1</v>
      </c>
      <c r="U364" s="3">
        <f t="shared" si="241"/>
        <v>0</v>
      </c>
      <c r="V364" s="1" t="str">
        <f t="shared" si="242"/>
        <v/>
      </c>
    </row>
    <row r="365" spans="1:22" x14ac:dyDescent="0.25">
      <c r="A365" s="2">
        <v>362</v>
      </c>
      <c r="C365" s="7"/>
      <c r="H365" s="2">
        <f t="shared" si="237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300">IF($B365="",J364,
    IF(J$3=$B365,$E365,
       IF(J$3&lt;$B365,J364,
           1
)))</f>
        <v>1</v>
      </c>
      <c r="K365" s="4">
        <f t="shared" si="300"/>
        <v>1</v>
      </c>
      <c r="L365" s="4">
        <f t="shared" si="300"/>
        <v>1</v>
      </c>
      <c r="M365" s="4">
        <f t="shared" si="300"/>
        <v>1</v>
      </c>
      <c r="N365" s="4">
        <f t="shared" si="300"/>
        <v>1</v>
      </c>
      <c r="O365" s="4">
        <f t="shared" si="300"/>
        <v>1</v>
      </c>
      <c r="P365" s="4">
        <f t="shared" si="300"/>
        <v>1</v>
      </c>
      <c r="Q365" s="4">
        <f t="shared" si="300"/>
        <v>1</v>
      </c>
      <c r="R365" s="4">
        <f t="shared" si="300"/>
        <v>1</v>
      </c>
      <c r="S365" s="4">
        <f t="shared" si="300"/>
        <v>1</v>
      </c>
      <c r="U365" s="3">
        <f t="shared" si="241"/>
        <v>0</v>
      </c>
      <c r="V365" s="1" t="str">
        <f t="shared" si="242"/>
        <v/>
      </c>
    </row>
    <row r="366" spans="1:22" x14ac:dyDescent="0.25">
      <c r="A366" s="2">
        <v>363</v>
      </c>
      <c r="C366" s="7"/>
      <c r="H366" s="2">
        <f t="shared" si="237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301">IF($B366="",J365,
    IF(J$3=$B366,$E366,
       IF(J$3&lt;$B366,J365,
           1
)))</f>
        <v>1</v>
      </c>
      <c r="K366" s="4">
        <f t="shared" si="301"/>
        <v>1</v>
      </c>
      <c r="L366" s="4">
        <f t="shared" si="301"/>
        <v>1</v>
      </c>
      <c r="M366" s="4">
        <f t="shared" si="301"/>
        <v>1</v>
      </c>
      <c r="N366" s="4">
        <f t="shared" si="301"/>
        <v>1</v>
      </c>
      <c r="O366" s="4">
        <f t="shared" si="301"/>
        <v>1</v>
      </c>
      <c r="P366" s="4">
        <f t="shared" si="301"/>
        <v>1</v>
      </c>
      <c r="Q366" s="4">
        <f t="shared" si="301"/>
        <v>1</v>
      </c>
      <c r="R366" s="4">
        <f t="shared" si="301"/>
        <v>1</v>
      </c>
      <c r="S366" s="4">
        <f t="shared" si="301"/>
        <v>1</v>
      </c>
      <c r="U366" s="3">
        <f t="shared" si="241"/>
        <v>0</v>
      </c>
      <c r="V366" s="1" t="str">
        <f t="shared" si="242"/>
        <v/>
      </c>
    </row>
    <row r="367" spans="1:22" x14ac:dyDescent="0.25">
      <c r="A367" s="2">
        <v>364</v>
      </c>
      <c r="C367" s="7"/>
      <c r="H367" s="2">
        <f t="shared" si="237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302">IF($B367="",J366,
    IF(J$3=$B367,$E367,
       IF(J$3&lt;$B367,J366,
           1
)))</f>
        <v>1</v>
      </c>
      <c r="K367" s="4">
        <f t="shared" si="302"/>
        <v>1</v>
      </c>
      <c r="L367" s="4">
        <f t="shared" si="302"/>
        <v>1</v>
      </c>
      <c r="M367" s="4">
        <f t="shared" si="302"/>
        <v>1</v>
      </c>
      <c r="N367" s="4">
        <f t="shared" si="302"/>
        <v>1</v>
      </c>
      <c r="O367" s="4">
        <f t="shared" si="302"/>
        <v>1</v>
      </c>
      <c r="P367" s="4">
        <f t="shared" si="302"/>
        <v>1</v>
      </c>
      <c r="Q367" s="4">
        <f t="shared" si="302"/>
        <v>1</v>
      </c>
      <c r="R367" s="4">
        <f t="shared" si="302"/>
        <v>1</v>
      </c>
      <c r="S367" s="4">
        <f t="shared" si="302"/>
        <v>1</v>
      </c>
      <c r="U367" s="3">
        <f t="shared" si="241"/>
        <v>0</v>
      </c>
      <c r="V367" s="1" t="str">
        <f t="shared" si="242"/>
        <v/>
      </c>
    </row>
    <row r="368" spans="1:22" x14ac:dyDescent="0.25">
      <c r="A368" s="2">
        <v>365</v>
      </c>
      <c r="C368" s="7"/>
      <c r="H368" s="2">
        <f t="shared" si="237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303">IF($B368="",J367,
    IF(J$3=$B368,$E368,
       IF(J$3&lt;$B368,J367,
           1
)))</f>
        <v>1</v>
      </c>
      <c r="K368" s="4">
        <f t="shared" si="303"/>
        <v>1</v>
      </c>
      <c r="L368" s="4">
        <f t="shared" si="303"/>
        <v>1</v>
      </c>
      <c r="M368" s="4">
        <f t="shared" si="303"/>
        <v>1</v>
      </c>
      <c r="N368" s="4">
        <f t="shared" si="303"/>
        <v>1</v>
      </c>
      <c r="O368" s="4">
        <f t="shared" si="303"/>
        <v>1</v>
      </c>
      <c r="P368" s="4">
        <f t="shared" si="303"/>
        <v>1</v>
      </c>
      <c r="Q368" s="4">
        <f t="shared" si="303"/>
        <v>1</v>
      </c>
      <c r="R368" s="4">
        <f t="shared" si="303"/>
        <v>1</v>
      </c>
      <c r="S368" s="4">
        <f t="shared" si="303"/>
        <v>1</v>
      </c>
      <c r="U368" s="3">
        <f t="shared" si="241"/>
        <v>0</v>
      </c>
      <c r="V368" s="1" t="str">
        <f t="shared" si="242"/>
        <v/>
      </c>
    </row>
    <row r="369" spans="1:22" x14ac:dyDescent="0.25">
      <c r="A369" s="2">
        <v>366</v>
      </c>
      <c r="C369" s="7"/>
      <c r="H369" s="2">
        <f t="shared" ref="H369:H377" si="304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305">IF($B369="",J368,
    IF(J$3=$B369,$E369,
       IF(J$3&lt;$B369,J368,
           1
)))</f>
        <v>1</v>
      </c>
      <c r="K369" s="4">
        <f t="shared" si="305"/>
        <v>1</v>
      </c>
      <c r="L369" s="4">
        <f t="shared" si="305"/>
        <v>1</v>
      </c>
      <c r="M369" s="4">
        <f t="shared" si="305"/>
        <v>1</v>
      </c>
      <c r="N369" s="4">
        <f t="shared" si="305"/>
        <v>1</v>
      </c>
      <c r="O369" s="4">
        <f t="shared" si="305"/>
        <v>1</v>
      </c>
      <c r="P369" s="4">
        <f t="shared" si="305"/>
        <v>1</v>
      </c>
      <c r="Q369" s="4">
        <f t="shared" si="305"/>
        <v>1</v>
      </c>
      <c r="R369" s="4">
        <f t="shared" si="305"/>
        <v>1</v>
      </c>
      <c r="S369" s="4">
        <f t="shared" si="305"/>
        <v>1</v>
      </c>
      <c r="U369" s="3">
        <f t="shared" si="241"/>
        <v>0</v>
      </c>
      <c r="V369" s="1" t="str">
        <f t="shared" si="242"/>
        <v/>
      </c>
    </row>
    <row r="370" spans="1:22" x14ac:dyDescent="0.25">
      <c r="A370" s="2">
        <v>367</v>
      </c>
      <c r="C370" s="7"/>
      <c r="H370" s="2">
        <f t="shared" si="304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306">IF($B370="",J369,
    IF(J$3=$B370,$E370,
       IF(J$3&lt;$B370,J369,
           1
)))</f>
        <v>1</v>
      </c>
      <c r="K370" s="4">
        <f t="shared" si="306"/>
        <v>1</v>
      </c>
      <c r="L370" s="4">
        <f t="shared" si="306"/>
        <v>1</v>
      </c>
      <c r="M370" s="4">
        <f t="shared" si="306"/>
        <v>1</v>
      </c>
      <c r="N370" s="4">
        <f t="shared" si="306"/>
        <v>1</v>
      </c>
      <c r="O370" s="4">
        <f t="shared" si="306"/>
        <v>1</v>
      </c>
      <c r="P370" s="4">
        <f t="shared" si="306"/>
        <v>1</v>
      </c>
      <c r="Q370" s="4">
        <f t="shared" si="306"/>
        <v>1</v>
      </c>
      <c r="R370" s="4">
        <f t="shared" si="306"/>
        <v>1</v>
      </c>
      <c r="S370" s="4">
        <f t="shared" si="306"/>
        <v>1</v>
      </c>
      <c r="U370" s="3">
        <f t="shared" si="241"/>
        <v>0</v>
      </c>
      <c r="V370" s="1" t="str">
        <f t="shared" si="242"/>
        <v/>
      </c>
    </row>
    <row r="371" spans="1:22" x14ac:dyDescent="0.25">
      <c r="A371" s="2">
        <v>368</v>
      </c>
      <c r="C371" s="7"/>
      <c r="H371" s="2">
        <f t="shared" si="304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307">IF($B371="",J370,
    IF(J$3=$B371,$E371,
       IF(J$3&lt;$B371,J370,
           1
)))</f>
        <v>1</v>
      </c>
      <c r="K371" s="4">
        <f t="shared" si="307"/>
        <v>1</v>
      </c>
      <c r="L371" s="4">
        <f t="shared" si="307"/>
        <v>1</v>
      </c>
      <c r="M371" s="4">
        <f t="shared" si="307"/>
        <v>1</v>
      </c>
      <c r="N371" s="4">
        <f t="shared" si="307"/>
        <v>1</v>
      </c>
      <c r="O371" s="4">
        <f t="shared" si="307"/>
        <v>1</v>
      </c>
      <c r="P371" s="4">
        <f t="shared" si="307"/>
        <v>1</v>
      </c>
      <c r="Q371" s="4">
        <f t="shared" si="307"/>
        <v>1</v>
      </c>
      <c r="R371" s="4">
        <f t="shared" si="307"/>
        <v>1</v>
      </c>
      <c r="S371" s="4">
        <f t="shared" si="307"/>
        <v>1</v>
      </c>
      <c r="U371" s="3">
        <f t="shared" ref="U371:U377" si="308">IF(F371="x",I371,0)</f>
        <v>0</v>
      </c>
      <c r="V371" s="1" t="str">
        <f t="shared" ref="V371:V377" si="309">IF(F371="x",D371,"")</f>
        <v/>
      </c>
    </row>
    <row r="372" spans="1:22" x14ac:dyDescent="0.25">
      <c r="A372" s="2">
        <v>369</v>
      </c>
      <c r="C372" s="7"/>
      <c r="H372" s="2">
        <f t="shared" si="304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310">IF($B372="",J371,
    IF(J$3=$B372,$E372,
       IF(J$3&lt;$B372,J371,
           1
)))</f>
        <v>1</v>
      </c>
      <c r="K372" s="4">
        <f t="shared" si="310"/>
        <v>1</v>
      </c>
      <c r="L372" s="4">
        <f t="shared" si="310"/>
        <v>1</v>
      </c>
      <c r="M372" s="4">
        <f t="shared" si="310"/>
        <v>1</v>
      </c>
      <c r="N372" s="4">
        <f t="shared" si="310"/>
        <v>1</v>
      </c>
      <c r="O372" s="4">
        <f t="shared" si="310"/>
        <v>1</v>
      </c>
      <c r="P372" s="4">
        <f t="shared" si="310"/>
        <v>1</v>
      </c>
      <c r="Q372" s="4">
        <f t="shared" si="310"/>
        <v>1</v>
      </c>
      <c r="R372" s="4">
        <f t="shared" si="310"/>
        <v>1</v>
      </c>
      <c r="S372" s="4">
        <f t="shared" si="310"/>
        <v>1</v>
      </c>
      <c r="U372" s="3">
        <f t="shared" si="308"/>
        <v>0</v>
      </c>
      <c r="V372" s="1" t="str">
        <f t="shared" si="309"/>
        <v/>
      </c>
    </row>
    <row r="373" spans="1:22" x14ac:dyDescent="0.25">
      <c r="A373" s="2">
        <v>370</v>
      </c>
      <c r="C373" s="7"/>
      <c r="H373" s="2">
        <f t="shared" si="304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311">IF($B373="",J372,
    IF(J$3=$B373,$E373,
       IF(J$3&lt;$B373,J372,
           1
)))</f>
        <v>1</v>
      </c>
      <c r="K373" s="4">
        <f t="shared" si="311"/>
        <v>1</v>
      </c>
      <c r="L373" s="4">
        <f t="shared" si="311"/>
        <v>1</v>
      </c>
      <c r="M373" s="4">
        <f t="shared" si="311"/>
        <v>1</v>
      </c>
      <c r="N373" s="4">
        <f t="shared" si="311"/>
        <v>1</v>
      </c>
      <c r="O373" s="4">
        <f t="shared" si="311"/>
        <v>1</v>
      </c>
      <c r="P373" s="4">
        <f t="shared" si="311"/>
        <v>1</v>
      </c>
      <c r="Q373" s="4">
        <f t="shared" si="311"/>
        <v>1</v>
      </c>
      <c r="R373" s="4">
        <f t="shared" si="311"/>
        <v>1</v>
      </c>
      <c r="S373" s="4">
        <f t="shared" si="311"/>
        <v>1</v>
      </c>
      <c r="U373" s="3">
        <f t="shared" si="308"/>
        <v>0</v>
      </c>
      <c r="V373" s="1" t="str">
        <f t="shared" si="309"/>
        <v/>
      </c>
    </row>
    <row r="374" spans="1:22" x14ac:dyDescent="0.25">
      <c r="A374" s="2">
        <v>371</v>
      </c>
      <c r="C374" s="7"/>
      <c r="H374" s="2">
        <f t="shared" si="304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312">IF($B374="",J373,
    IF(J$3=$B374,$E374,
       IF(J$3&lt;$B374,J373,
           1
)))</f>
        <v>1</v>
      </c>
      <c r="K374" s="4">
        <f t="shared" si="312"/>
        <v>1</v>
      </c>
      <c r="L374" s="4">
        <f t="shared" si="312"/>
        <v>1</v>
      </c>
      <c r="M374" s="4">
        <f t="shared" si="312"/>
        <v>1</v>
      </c>
      <c r="N374" s="4">
        <f t="shared" si="312"/>
        <v>1</v>
      </c>
      <c r="O374" s="4">
        <f t="shared" si="312"/>
        <v>1</v>
      </c>
      <c r="P374" s="4">
        <f t="shared" si="312"/>
        <v>1</v>
      </c>
      <c r="Q374" s="4">
        <f t="shared" si="312"/>
        <v>1</v>
      </c>
      <c r="R374" s="4">
        <f t="shared" si="312"/>
        <v>1</v>
      </c>
      <c r="S374" s="4">
        <f t="shared" si="312"/>
        <v>1</v>
      </c>
      <c r="U374" s="3">
        <f t="shared" si="308"/>
        <v>0</v>
      </c>
      <c r="V374" s="1" t="str">
        <f t="shared" si="309"/>
        <v/>
      </c>
    </row>
    <row r="375" spans="1:22" x14ac:dyDescent="0.25">
      <c r="C375" s="7"/>
      <c r="H375" s="2">
        <f t="shared" si="304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313">IF($B375="",J374,
    IF(J$3=$B375,$E375,
       IF(J$3&lt;$B375,J374,
           1
)))</f>
        <v>1</v>
      </c>
      <c r="K375" s="4">
        <f t="shared" si="313"/>
        <v>1</v>
      </c>
      <c r="L375" s="4">
        <f t="shared" si="313"/>
        <v>1</v>
      </c>
      <c r="M375" s="4">
        <f t="shared" si="313"/>
        <v>1</v>
      </c>
      <c r="N375" s="4">
        <f t="shared" si="313"/>
        <v>1</v>
      </c>
      <c r="O375" s="4">
        <f t="shared" si="313"/>
        <v>1</v>
      </c>
      <c r="P375" s="4">
        <f t="shared" si="313"/>
        <v>1</v>
      </c>
      <c r="Q375" s="4">
        <f t="shared" si="313"/>
        <v>1</v>
      </c>
      <c r="R375" s="4">
        <f t="shared" si="313"/>
        <v>1</v>
      </c>
      <c r="S375" s="4">
        <f t="shared" si="313"/>
        <v>1</v>
      </c>
      <c r="U375" s="3">
        <f t="shared" si="308"/>
        <v>0</v>
      </c>
      <c r="V375" s="1" t="str">
        <f t="shared" si="309"/>
        <v/>
      </c>
    </row>
    <row r="376" spans="1:22" x14ac:dyDescent="0.25">
      <c r="C376" s="7"/>
      <c r="H376" s="2">
        <f t="shared" si="304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314">IF($B376="",J375,
    IF(J$3=$B376,$E376,
       IF(J$3&lt;$B376,J375,
           1
)))</f>
        <v>1</v>
      </c>
      <c r="K376" s="4">
        <f t="shared" si="314"/>
        <v>1</v>
      </c>
      <c r="L376" s="4">
        <f t="shared" si="314"/>
        <v>1</v>
      </c>
      <c r="M376" s="4">
        <f t="shared" si="314"/>
        <v>1</v>
      </c>
      <c r="N376" s="4">
        <f t="shared" si="314"/>
        <v>1</v>
      </c>
      <c r="O376" s="4">
        <f t="shared" si="314"/>
        <v>1</v>
      </c>
      <c r="P376" s="4">
        <f t="shared" si="314"/>
        <v>1</v>
      </c>
      <c r="Q376" s="4">
        <f t="shared" si="314"/>
        <v>1</v>
      </c>
      <c r="R376" s="4">
        <f t="shared" si="314"/>
        <v>1</v>
      </c>
      <c r="S376" s="4">
        <f t="shared" si="314"/>
        <v>1</v>
      </c>
      <c r="U376" s="3">
        <f t="shared" si="308"/>
        <v>0</v>
      </c>
      <c r="V376" s="1" t="str">
        <f t="shared" si="309"/>
        <v/>
      </c>
    </row>
    <row r="377" spans="1:22" x14ac:dyDescent="0.25">
      <c r="C377" s="7"/>
      <c r="H377" s="2">
        <f t="shared" si="304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315">IF($B377="",J376,
    IF(J$3=$B377,$E377,
       IF(J$3&lt;$B377,J376,
           1
)))</f>
        <v>1</v>
      </c>
      <c r="K377" s="4">
        <f t="shared" si="315"/>
        <v>1</v>
      </c>
      <c r="L377" s="4">
        <f t="shared" si="315"/>
        <v>1</v>
      </c>
      <c r="M377" s="4">
        <f t="shared" si="315"/>
        <v>1</v>
      </c>
      <c r="N377" s="4">
        <f t="shared" si="315"/>
        <v>1</v>
      </c>
      <c r="O377" s="4">
        <f t="shared" si="315"/>
        <v>1</v>
      </c>
      <c r="P377" s="4">
        <f t="shared" si="315"/>
        <v>1</v>
      </c>
      <c r="Q377" s="4">
        <f t="shared" si="315"/>
        <v>1</v>
      </c>
      <c r="R377" s="4">
        <f t="shared" si="315"/>
        <v>1</v>
      </c>
      <c r="S377" s="4">
        <f t="shared" si="315"/>
        <v>1</v>
      </c>
      <c r="U377" s="3">
        <f t="shared" si="308"/>
        <v>0</v>
      </c>
      <c r="V377" s="1" t="str">
        <f t="shared" si="309"/>
        <v/>
      </c>
    </row>
    <row r="378" spans="1:22" x14ac:dyDescent="0.25">
      <c r="C378" s="7"/>
      <c r="U378" s="3">
        <f t="shared" ref="U335:U398" si="316">IF(F378="x",I378,0)</f>
        <v>0</v>
      </c>
      <c r="V378" s="1" t="str">
        <f t="shared" ref="V326:V389" si="317">IF(F378="x",D378,"")</f>
        <v/>
      </c>
    </row>
    <row r="379" spans="1:22" x14ac:dyDescent="0.25">
      <c r="C379" s="7"/>
      <c r="U379" s="3">
        <f t="shared" si="316"/>
        <v>0</v>
      </c>
      <c r="V379" s="1" t="str">
        <f t="shared" si="317"/>
        <v/>
      </c>
    </row>
    <row r="380" spans="1:22" x14ac:dyDescent="0.25">
      <c r="C380" s="7"/>
      <c r="U380" s="3">
        <f t="shared" si="316"/>
        <v>0</v>
      </c>
      <c r="V380" s="1" t="str">
        <f t="shared" si="317"/>
        <v/>
      </c>
    </row>
    <row r="381" spans="1:22" x14ac:dyDescent="0.25">
      <c r="C381" s="7"/>
      <c r="U381" s="3">
        <f t="shared" si="316"/>
        <v>0</v>
      </c>
      <c r="V381" s="1" t="str">
        <f t="shared" si="317"/>
        <v/>
      </c>
    </row>
    <row r="382" spans="1:22" x14ac:dyDescent="0.25">
      <c r="C382" s="7"/>
      <c r="U382" s="3">
        <f t="shared" si="316"/>
        <v>0</v>
      </c>
      <c r="V382" s="1" t="str">
        <f t="shared" si="317"/>
        <v/>
      </c>
    </row>
    <row r="383" spans="1:22" x14ac:dyDescent="0.25">
      <c r="C383" s="7"/>
      <c r="U383" s="3">
        <f t="shared" si="316"/>
        <v>0</v>
      </c>
      <c r="V383" s="1" t="str">
        <f t="shared" si="317"/>
        <v/>
      </c>
    </row>
    <row r="384" spans="1:22" x14ac:dyDescent="0.25">
      <c r="C384" s="7"/>
      <c r="U384" s="3">
        <f t="shared" si="316"/>
        <v>0</v>
      </c>
      <c r="V384" s="1" t="str">
        <f t="shared" si="317"/>
        <v/>
      </c>
    </row>
    <row r="385" spans="3:22" x14ac:dyDescent="0.25">
      <c r="C385" s="7"/>
      <c r="U385" s="3">
        <f t="shared" si="316"/>
        <v>0</v>
      </c>
      <c r="V385" s="1" t="str">
        <f t="shared" si="317"/>
        <v/>
      </c>
    </row>
    <row r="386" spans="3:22" x14ac:dyDescent="0.25">
      <c r="C386" s="7"/>
      <c r="U386" s="3">
        <f t="shared" si="316"/>
        <v>0</v>
      </c>
      <c r="V386" s="1" t="str">
        <f t="shared" si="317"/>
        <v/>
      </c>
    </row>
    <row r="387" spans="3:22" x14ac:dyDescent="0.25">
      <c r="C387" s="7"/>
      <c r="U387" s="3">
        <f t="shared" si="316"/>
        <v>0</v>
      </c>
      <c r="V387" s="1" t="str">
        <f t="shared" si="317"/>
        <v/>
      </c>
    </row>
    <row r="388" spans="3:22" x14ac:dyDescent="0.25">
      <c r="C388" s="7"/>
      <c r="U388" s="3">
        <f t="shared" si="316"/>
        <v>0</v>
      </c>
      <c r="V388" s="1" t="str">
        <f t="shared" si="317"/>
        <v/>
      </c>
    </row>
    <row r="389" spans="3:22" x14ac:dyDescent="0.25">
      <c r="C389" s="7"/>
      <c r="U389" s="3">
        <f t="shared" si="316"/>
        <v>0</v>
      </c>
      <c r="V389" s="1" t="str">
        <f t="shared" si="317"/>
        <v/>
      </c>
    </row>
    <row r="390" spans="3:22" x14ac:dyDescent="0.25">
      <c r="C390" s="7"/>
      <c r="U390" s="3">
        <f t="shared" si="316"/>
        <v>0</v>
      </c>
      <c r="V390" s="1" t="str">
        <f t="shared" ref="V390:V454" si="318">IF(F390="x",D390,"")</f>
        <v/>
      </c>
    </row>
    <row r="391" spans="3:22" x14ac:dyDescent="0.25">
      <c r="C391" s="7"/>
      <c r="U391" s="3">
        <f t="shared" si="316"/>
        <v>0</v>
      </c>
      <c r="V391" s="1" t="str">
        <f t="shared" si="318"/>
        <v/>
      </c>
    </row>
    <row r="392" spans="3:22" x14ac:dyDescent="0.25">
      <c r="C392" s="7"/>
      <c r="U392" s="3">
        <f t="shared" si="316"/>
        <v>0</v>
      </c>
      <c r="V392" s="1" t="str">
        <f t="shared" si="318"/>
        <v/>
      </c>
    </row>
    <row r="393" spans="3:22" x14ac:dyDescent="0.25">
      <c r="C393" s="7"/>
      <c r="U393" s="3">
        <f t="shared" si="316"/>
        <v>0</v>
      </c>
      <c r="V393" s="1" t="str">
        <f t="shared" si="318"/>
        <v/>
      </c>
    </row>
    <row r="394" spans="3:22" x14ac:dyDescent="0.25">
      <c r="C394" s="7"/>
      <c r="U394" s="3">
        <f t="shared" si="316"/>
        <v>0</v>
      </c>
      <c r="V394" s="1" t="str">
        <f t="shared" si="318"/>
        <v/>
      </c>
    </row>
    <row r="395" spans="3:22" x14ac:dyDescent="0.25">
      <c r="C395" s="7"/>
      <c r="U395" s="3">
        <f t="shared" si="316"/>
        <v>0</v>
      </c>
      <c r="V395" s="1" t="str">
        <f t="shared" si="318"/>
        <v/>
      </c>
    </row>
    <row r="396" spans="3:22" x14ac:dyDescent="0.25">
      <c r="C396" s="7"/>
      <c r="U396" s="3">
        <f t="shared" si="316"/>
        <v>0</v>
      </c>
      <c r="V396" s="1" t="str">
        <f t="shared" si="318"/>
        <v/>
      </c>
    </row>
    <row r="397" spans="3:22" x14ac:dyDescent="0.25">
      <c r="C397" s="7"/>
      <c r="U397" s="3">
        <f t="shared" si="316"/>
        <v>0</v>
      </c>
      <c r="V397" s="1" t="str">
        <f t="shared" si="318"/>
        <v/>
      </c>
    </row>
    <row r="398" spans="3:22" x14ac:dyDescent="0.25">
      <c r="C398" s="7"/>
      <c r="U398" s="3">
        <f t="shared" si="316"/>
        <v>0</v>
      </c>
      <c r="V398" s="1" t="str">
        <f t="shared" si="318"/>
        <v/>
      </c>
    </row>
    <row r="399" spans="3:22" x14ac:dyDescent="0.25">
      <c r="C399" s="7"/>
      <c r="U399" s="3">
        <f t="shared" ref="U399:U449" si="319">IF(F399="x",I399,0)</f>
        <v>0</v>
      </c>
      <c r="V399" s="1" t="str">
        <f t="shared" si="318"/>
        <v/>
      </c>
    </row>
    <row r="400" spans="3:22" x14ac:dyDescent="0.25">
      <c r="C400" s="7"/>
      <c r="U400" s="3">
        <f t="shared" si="319"/>
        <v>0</v>
      </c>
      <c r="V400" s="1" t="str">
        <f t="shared" si="318"/>
        <v/>
      </c>
    </row>
    <row r="401" spans="3:22" x14ac:dyDescent="0.25">
      <c r="C401" s="7"/>
      <c r="U401" s="3">
        <f t="shared" si="319"/>
        <v>0</v>
      </c>
      <c r="V401" s="1" t="str">
        <f t="shared" si="318"/>
        <v/>
      </c>
    </row>
    <row r="402" spans="3:22" x14ac:dyDescent="0.25">
      <c r="C402" s="7"/>
      <c r="U402" s="3">
        <f t="shared" si="319"/>
        <v>0</v>
      </c>
      <c r="V402" s="1" t="str">
        <f t="shared" si="318"/>
        <v/>
      </c>
    </row>
    <row r="403" spans="3:22" x14ac:dyDescent="0.25">
      <c r="C403" s="7"/>
      <c r="U403" s="3">
        <f t="shared" si="319"/>
        <v>0</v>
      </c>
      <c r="V403" s="1" t="str">
        <f t="shared" si="318"/>
        <v/>
      </c>
    </row>
    <row r="404" spans="3:22" x14ac:dyDescent="0.25">
      <c r="C404" s="7"/>
      <c r="U404" s="3">
        <f t="shared" si="319"/>
        <v>0</v>
      </c>
      <c r="V404" s="1" t="str">
        <f t="shared" si="318"/>
        <v/>
      </c>
    </row>
    <row r="405" spans="3:22" x14ac:dyDescent="0.25">
      <c r="C405" s="7"/>
      <c r="U405" s="3">
        <f t="shared" si="319"/>
        <v>0</v>
      </c>
      <c r="V405" s="1" t="str">
        <f t="shared" si="318"/>
        <v/>
      </c>
    </row>
    <row r="406" spans="3:22" x14ac:dyDescent="0.25">
      <c r="C406" s="7"/>
      <c r="U406" s="3">
        <f t="shared" si="319"/>
        <v>0</v>
      </c>
      <c r="V406" s="1" t="str">
        <f t="shared" si="318"/>
        <v/>
      </c>
    </row>
    <row r="407" spans="3:22" x14ac:dyDescent="0.25">
      <c r="C407" s="7"/>
      <c r="U407" s="3">
        <f t="shared" si="319"/>
        <v>0</v>
      </c>
      <c r="V407" s="1" t="str">
        <f t="shared" si="318"/>
        <v/>
      </c>
    </row>
    <row r="408" spans="3:22" x14ac:dyDescent="0.25">
      <c r="C408" s="7"/>
      <c r="U408" s="3">
        <f t="shared" si="319"/>
        <v>0</v>
      </c>
      <c r="V408" s="1" t="str">
        <f t="shared" si="318"/>
        <v/>
      </c>
    </row>
    <row r="409" spans="3:22" x14ac:dyDescent="0.25">
      <c r="C409" s="7"/>
      <c r="U409" s="3">
        <f t="shared" si="319"/>
        <v>0</v>
      </c>
      <c r="V409" s="1" t="str">
        <f t="shared" si="318"/>
        <v/>
      </c>
    </row>
    <row r="410" spans="3:22" x14ac:dyDescent="0.25">
      <c r="C410" s="7"/>
      <c r="U410" s="3">
        <f t="shared" si="319"/>
        <v>0</v>
      </c>
      <c r="V410" s="1" t="str">
        <f t="shared" si="318"/>
        <v/>
      </c>
    </row>
    <row r="411" spans="3:22" x14ac:dyDescent="0.25">
      <c r="C411" s="7"/>
      <c r="U411" s="3">
        <f t="shared" si="319"/>
        <v>0</v>
      </c>
      <c r="V411" s="1" t="str">
        <f t="shared" si="318"/>
        <v/>
      </c>
    </row>
    <row r="412" spans="3:22" x14ac:dyDescent="0.25">
      <c r="C412" s="7"/>
      <c r="U412" s="3">
        <f t="shared" si="319"/>
        <v>0</v>
      </c>
      <c r="V412" s="1" t="str">
        <f t="shared" si="318"/>
        <v/>
      </c>
    </row>
    <row r="413" spans="3:22" x14ac:dyDescent="0.25">
      <c r="C413" s="7"/>
      <c r="U413" s="3">
        <f t="shared" si="319"/>
        <v>0</v>
      </c>
      <c r="V413" s="1" t="str">
        <f t="shared" si="318"/>
        <v/>
      </c>
    </row>
    <row r="414" spans="3:22" x14ac:dyDescent="0.25">
      <c r="C414" s="7"/>
      <c r="U414" s="3">
        <f t="shared" si="319"/>
        <v>0</v>
      </c>
      <c r="V414" s="1" t="str">
        <f t="shared" si="318"/>
        <v/>
      </c>
    </row>
    <row r="415" spans="3:22" x14ac:dyDescent="0.25">
      <c r="C415" s="7"/>
      <c r="U415" s="3">
        <f t="shared" si="319"/>
        <v>0</v>
      </c>
      <c r="V415" s="1" t="str">
        <f t="shared" si="318"/>
        <v/>
      </c>
    </row>
    <row r="416" spans="3:22" x14ac:dyDescent="0.25">
      <c r="C416" s="7"/>
      <c r="U416" s="3">
        <f t="shared" si="319"/>
        <v>0</v>
      </c>
      <c r="V416" s="1" t="str">
        <f t="shared" si="318"/>
        <v/>
      </c>
    </row>
    <row r="417" spans="3:22" x14ac:dyDescent="0.25">
      <c r="C417" s="7"/>
      <c r="U417" s="3">
        <f t="shared" si="319"/>
        <v>0</v>
      </c>
      <c r="V417" s="1" t="str">
        <f t="shared" si="318"/>
        <v/>
      </c>
    </row>
    <row r="418" spans="3:22" x14ac:dyDescent="0.25">
      <c r="C418" s="7"/>
      <c r="U418" s="3">
        <f t="shared" si="319"/>
        <v>0</v>
      </c>
      <c r="V418" s="1" t="str">
        <f t="shared" si="318"/>
        <v/>
      </c>
    </row>
    <row r="419" spans="3:22" x14ac:dyDescent="0.25">
      <c r="C419" s="7"/>
      <c r="U419" s="3">
        <f t="shared" si="319"/>
        <v>0</v>
      </c>
      <c r="V419" s="1" t="str">
        <f t="shared" si="318"/>
        <v/>
      </c>
    </row>
    <row r="420" spans="3:22" x14ac:dyDescent="0.25">
      <c r="C420" s="7"/>
      <c r="U420" s="3">
        <f t="shared" si="319"/>
        <v>0</v>
      </c>
      <c r="V420" s="1" t="str">
        <f t="shared" si="318"/>
        <v/>
      </c>
    </row>
    <row r="421" spans="3:22" x14ac:dyDescent="0.25">
      <c r="C421" s="7"/>
      <c r="U421" s="3">
        <f t="shared" si="319"/>
        <v>0</v>
      </c>
      <c r="V421" s="1" t="str">
        <f t="shared" si="318"/>
        <v/>
      </c>
    </row>
    <row r="422" spans="3:22" x14ac:dyDescent="0.25">
      <c r="C422" s="7"/>
      <c r="U422" s="3">
        <f t="shared" si="319"/>
        <v>0</v>
      </c>
      <c r="V422" s="1" t="str">
        <f t="shared" si="318"/>
        <v/>
      </c>
    </row>
    <row r="423" spans="3:22" x14ac:dyDescent="0.25">
      <c r="C423" s="7"/>
      <c r="U423" s="3">
        <f t="shared" si="319"/>
        <v>0</v>
      </c>
      <c r="V423" s="1" t="str">
        <f t="shared" si="318"/>
        <v/>
      </c>
    </row>
    <row r="424" spans="3:22" x14ac:dyDescent="0.25">
      <c r="C424" s="7"/>
      <c r="U424" s="3">
        <f t="shared" si="319"/>
        <v>0</v>
      </c>
      <c r="V424" s="1" t="str">
        <f t="shared" si="318"/>
        <v/>
      </c>
    </row>
    <row r="425" spans="3:22" x14ac:dyDescent="0.25">
      <c r="C425" s="7"/>
      <c r="U425" s="3">
        <f t="shared" si="319"/>
        <v>0</v>
      </c>
      <c r="V425" s="1" t="str">
        <f t="shared" si="318"/>
        <v/>
      </c>
    </row>
    <row r="426" spans="3:22" x14ac:dyDescent="0.25">
      <c r="C426" s="7"/>
      <c r="U426" s="3">
        <f t="shared" si="319"/>
        <v>0</v>
      </c>
      <c r="V426" s="1" t="str">
        <f t="shared" si="318"/>
        <v/>
      </c>
    </row>
    <row r="427" spans="3:22" x14ac:dyDescent="0.25">
      <c r="C427" s="7"/>
      <c r="U427" s="3">
        <f t="shared" si="319"/>
        <v>0</v>
      </c>
      <c r="V427" s="1" t="str">
        <f t="shared" si="318"/>
        <v/>
      </c>
    </row>
    <row r="428" spans="3:22" x14ac:dyDescent="0.25">
      <c r="C428" s="7"/>
      <c r="U428" s="3">
        <f t="shared" si="319"/>
        <v>0</v>
      </c>
      <c r="V428" s="1" t="str">
        <f t="shared" si="318"/>
        <v/>
      </c>
    </row>
    <row r="429" spans="3:22" x14ac:dyDescent="0.25">
      <c r="C429" s="7"/>
      <c r="U429" s="3">
        <f t="shared" si="319"/>
        <v>0</v>
      </c>
      <c r="V429" s="1" t="str">
        <f t="shared" si="318"/>
        <v/>
      </c>
    </row>
    <row r="430" spans="3:22" x14ac:dyDescent="0.25">
      <c r="C430" s="7"/>
      <c r="U430" s="3">
        <f t="shared" si="319"/>
        <v>0</v>
      </c>
      <c r="V430" s="1" t="str">
        <f t="shared" si="318"/>
        <v/>
      </c>
    </row>
    <row r="431" spans="3:22" x14ac:dyDescent="0.25">
      <c r="C431" s="7"/>
      <c r="U431" s="3">
        <f t="shared" si="319"/>
        <v>0</v>
      </c>
      <c r="V431" s="1" t="str">
        <f t="shared" si="318"/>
        <v/>
      </c>
    </row>
    <row r="432" spans="3:22" x14ac:dyDescent="0.25">
      <c r="C432" s="7"/>
      <c r="U432" s="3">
        <f t="shared" si="319"/>
        <v>0</v>
      </c>
      <c r="V432" s="1" t="str">
        <f t="shared" si="318"/>
        <v/>
      </c>
    </row>
    <row r="433" spans="3:22" x14ac:dyDescent="0.25">
      <c r="C433" s="7"/>
      <c r="U433" s="3">
        <f t="shared" si="319"/>
        <v>0</v>
      </c>
      <c r="V433" s="1" t="str">
        <f t="shared" si="318"/>
        <v/>
      </c>
    </row>
    <row r="434" spans="3:22" x14ac:dyDescent="0.25">
      <c r="C434" s="7"/>
      <c r="U434" s="3">
        <f t="shared" si="319"/>
        <v>0</v>
      </c>
      <c r="V434" s="1" t="str">
        <f t="shared" si="318"/>
        <v/>
      </c>
    </row>
    <row r="435" spans="3:22" x14ac:dyDescent="0.25">
      <c r="C435" s="7"/>
      <c r="U435" s="3">
        <f t="shared" si="319"/>
        <v>0</v>
      </c>
      <c r="V435" s="1" t="str">
        <f t="shared" si="318"/>
        <v/>
      </c>
    </row>
    <row r="436" spans="3:22" x14ac:dyDescent="0.25">
      <c r="C436" s="7"/>
      <c r="U436" s="3">
        <f t="shared" si="319"/>
        <v>0</v>
      </c>
      <c r="V436" s="1" t="str">
        <f t="shared" si="318"/>
        <v/>
      </c>
    </row>
    <row r="437" spans="3:22" x14ac:dyDescent="0.25">
      <c r="C437" s="7"/>
      <c r="U437" s="3">
        <f t="shared" si="319"/>
        <v>0</v>
      </c>
      <c r="V437" s="1" t="str">
        <f t="shared" si="318"/>
        <v/>
      </c>
    </row>
    <row r="438" spans="3:22" x14ac:dyDescent="0.25">
      <c r="C438" s="7"/>
      <c r="U438" s="3">
        <f t="shared" si="319"/>
        <v>0</v>
      </c>
      <c r="V438" s="1" t="str">
        <f t="shared" si="318"/>
        <v/>
      </c>
    </row>
    <row r="439" spans="3:22" x14ac:dyDescent="0.25">
      <c r="C439" s="7"/>
      <c r="U439" s="3">
        <f t="shared" si="319"/>
        <v>0</v>
      </c>
      <c r="V439" s="1" t="str">
        <f t="shared" si="318"/>
        <v/>
      </c>
    </row>
    <row r="440" spans="3:22" x14ac:dyDescent="0.25">
      <c r="C440" s="7"/>
      <c r="U440" s="3">
        <f t="shared" si="319"/>
        <v>0</v>
      </c>
      <c r="V440" s="1" t="str">
        <f t="shared" si="318"/>
        <v/>
      </c>
    </row>
    <row r="441" spans="3:22" x14ac:dyDescent="0.25">
      <c r="C441" s="7"/>
      <c r="U441" s="3">
        <f t="shared" si="319"/>
        <v>0</v>
      </c>
      <c r="V441" s="1" t="str">
        <f t="shared" si="318"/>
        <v/>
      </c>
    </row>
    <row r="442" spans="3:22" x14ac:dyDescent="0.25">
      <c r="C442" s="7"/>
      <c r="U442" s="3">
        <f t="shared" si="319"/>
        <v>0</v>
      </c>
      <c r="V442" s="1" t="str">
        <f t="shared" si="318"/>
        <v/>
      </c>
    </row>
    <row r="443" spans="3:22" x14ac:dyDescent="0.25">
      <c r="C443" s="7"/>
      <c r="U443" s="3">
        <f t="shared" si="319"/>
        <v>0</v>
      </c>
      <c r="V443" s="1" t="str">
        <f t="shared" si="318"/>
        <v/>
      </c>
    </row>
    <row r="444" spans="3:22" x14ac:dyDescent="0.25">
      <c r="C444" s="7"/>
      <c r="U444" s="3">
        <f t="shared" si="319"/>
        <v>0</v>
      </c>
      <c r="V444" s="1" t="str">
        <f t="shared" si="318"/>
        <v/>
      </c>
    </row>
    <row r="445" spans="3:22" x14ac:dyDescent="0.25">
      <c r="C445" s="7"/>
      <c r="U445" s="3">
        <f t="shared" si="319"/>
        <v>0</v>
      </c>
      <c r="V445" s="1" t="str">
        <f t="shared" si="318"/>
        <v/>
      </c>
    </row>
    <row r="446" spans="3:22" x14ac:dyDescent="0.25">
      <c r="C446" s="7"/>
      <c r="U446" s="3">
        <f t="shared" si="319"/>
        <v>0</v>
      </c>
      <c r="V446" s="1" t="str">
        <f t="shared" si="318"/>
        <v/>
      </c>
    </row>
    <row r="447" spans="3:22" x14ac:dyDescent="0.25">
      <c r="C447" s="7"/>
      <c r="U447" s="3">
        <f t="shared" si="319"/>
        <v>0</v>
      </c>
      <c r="V447" s="1" t="str">
        <f t="shared" si="318"/>
        <v/>
      </c>
    </row>
    <row r="448" spans="3:22" x14ac:dyDescent="0.25">
      <c r="U448" s="3">
        <f t="shared" si="319"/>
        <v>0</v>
      </c>
      <c r="V448" s="1" t="str">
        <f t="shared" si="318"/>
        <v/>
      </c>
    </row>
    <row r="449" spans="8:22" x14ac:dyDescent="0.25">
      <c r="U449" s="3">
        <f t="shared" si="319"/>
        <v>0</v>
      </c>
      <c r="V449" s="1" t="str">
        <f t="shared" si="318"/>
        <v/>
      </c>
    </row>
    <row r="450" spans="8:22" x14ac:dyDescent="0.25">
      <c r="V450" s="1" t="str">
        <f t="shared" si="318"/>
        <v/>
      </c>
    </row>
    <row r="451" spans="8:22" x14ac:dyDescent="0.25">
      <c r="V451" s="1" t="str">
        <f t="shared" si="318"/>
        <v/>
      </c>
    </row>
    <row r="452" spans="8:22" x14ac:dyDescent="0.25">
      <c r="V452" s="1" t="str">
        <f t="shared" si="318"/>
        <v/>
      </c>
    </row>
    <row r="453" spans="8:22" x14ac:dyDescent="0.25">
      <c r="V453" s="1" t="str">
        <f t="shared" si="318"/>
        <v/>
      </c>
    </row>
    <row r="454" spans="8:22" x14ac:dyDescent="0.25">
      <c r="V454" s="1" t="str">
        <f t="shared" si="318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238:C447 C198:C205 C207:C227 C45:C49 C140:C152 C173 C193 C65:C75 C91:C96 C131:C132 C98:C105 C134:C138">
    <cfRule type="expression" dxfId="161" priority="177">
      <formula>IF(B5=3,TRUE,FALSE)</formula>
    </cfRule>
    <cfRule type="expression" dxfId="160" priority="178">
      <formula>IF(B5=2,TRUE,FALSE)</formula>
    </cfRule>
    <cfRule type="expression" dxfId="159" priority="179">
      <formula>IF(B5=1,TRUE,FALSE)</formula>
    </cfRule>
  </conditionalFormatting>
  <conditionalFormatting sqref="C139">
    <cfRule type="expression" dxfId="158" priority="171">
      <formula>IF(B139=3,TRUE,FALSE)</formula>
    </cfRule>
    <cfRule type="expression" dxfId="157" priority="172">
      <formula>IF(B139=2,TRUE,FALSE)</formula>
    </cfRule>
    <cfRule type="expression" dxfId="156" priority="173">
      <formula>IF(B139=1,TRUE,FALSE)</formula>
    </cfRule>
  </conditionalFormatting>
  <conditionalFormatting sqref="C159:C160 C162:C163 C168:C169 C178 C171">
    <cfRule type="expression" dxfId="155" priority="168">
      <formula>IF(B159=3,TRUE,FALSE)</formula>
    </cfRule>
    <cfRule type="expression" dxfId="154" priority="169">
      <formula>IF(B159=2,TRUE,FALSE)</formula>
    </cfRule>
    <cfRule type="expression" dxfId="153" priority="170">
      <formula>IF(B159=1,TRUE,FALSE)</formula>
    </cfRule>
  </conditionalFormatting>
  <conditionalFormatting sqref="C161">
    <cfRule type="expression" dxfId="152" priority="165">
      <formula>IF(B161=3,TRUE,FALSE)</formula>
    </cfRule>
    <cfRule type="expression" dxfId="151" priority="166">
      <formula>IF(B161=2,TRUE,FALSE)</formula>
    </cfRule>
    <cfRule type="expression" dxfId="150" priority="167">
      <formula>IF(B161=1,TRUE,FALSE)</formula>
    </cfRule>
  </conditionalFormatting>
  <conditionalFormatting sqref="C179:C180 C182:C183 C188:C189 C191">
    <cfRule type="expression" dxfId="149" priority="159">
      <formula>IF(B179=3,TRUE,FALSE)</formula>
    </cfRule>
    <cfRule type="expression" dxfId="148" priority="160">
      <formula>IF(B179=2,TRUE,FALSE)</formula>
    </cfRule>
    <cfRule type="expression" dxfId="147" priority="161">
      <formula>IF(B179=1,TRUE,FALSE)</formula>
    </cfRule>
  </conditionalFormatting>
  <conditionalFormatting sqref="C181">
    <cfRule type="expression" dxfId="146" priority="156">
      <formula>IF(B181=3,TRUE,FALSE)</formula>
    </cfRule>
    <cfRule type="expression" dxfId="145" priority="157">
      <formula>IF(B181=2,TRUE,FALSE)</formula>
    </cfRule>
    <cfRule type="expression" dxfId="144" priority="158">
      <formula>IF(B181=1,TRUE,FALSE)</formula>
    </cfRule>
  </conditionalFormatting>
  <conditionalFormatting sqref="C186">
    <cfRule type="expression" dxfId="143" priority="153">
      <formula>IF(B186=3,TRUE,FALSE)</formula>
    </cfRule>
    <cfRule type="expression" dxfId="142" priority="154">
      <formula>IF(B186=2,TRUE,FALSE)</formula>
    </cfRule>
    <cfRule type="expression" dxfId="141" priority="155">
      <formula>IF(B186=1,TRUE,FALSE)</formula>
    </cfRule>
  </conditionalFormatting>
  <conditionalFormatting sqref="C15">
    <cfRule type="expression" dxfId="140" priority="150">
      <formula>IF(B15=3,TRUE,FALSE)</formula>
    </cfRule>
    <cfRule type="expression" dxfId="139" priority="151">
      <formula>IF(B15=2,TRUE,FALSE)</formula>
    </cfRule>
    <cfRule type="expression" dxfId="138" priority="152">
      <formula>IF(B15=1,TRUE,FALSE)</formula>
    </cfRule>
  </conditionalFormatting>
  <conditionalFormatting sqref="C23">
    <cfRule type="expression" dxfId="137" priority="147">
      <formula>IF(B23=3,TRUE,FALSE)</formula>
    </cfRule>
    <cfRule type="expression" dxfId="136" priority="148">
      <formula>IF(B23=2,TRUE,FALSE)</formula>
    </cfRule>
    <cfRule type="expression" dxfId="135" priority="149">
      <formula>IF(B23=1,TRUE,FALSE)</formula>
    </cfRule>
  </conditionalFormatting>
  <conditionalFormatting sqref="C50">
    <cfRule type="expression" dxfId="134" priority="144">
      <formula>IF(B50=3,TRUE,FALSE)</formula>
    </cfRule>
    <cfRule type="expression" dxfId="133" priority="145">
      <formula>IF(B50=2,TRUE,FALSE)</formula>
    </cfRule>
    <cfRule type="expression" dxfId="132" priority="146">
      <formula>IF(B50=1,TRUE,FALSE)</formula>
    </cfRule>
  </conditionalFormatting>
  <conditionalFormatting sqref="C51">
    <cfRule type="expression" dxfId="131" priority="141">
      <formula>IF(B51=3,TRUE,FALSE)</formula>
    </cfRule>
    <cfRule type="expression" dxfId="130" priority="142">
      <formula>IF(B51=2,TRUE,FALSE)</formula>
    </cfRule>
    <cfRule type="expression" dxfId="129" priority="143">
      <formula>IF(B51=1,TRUE,FALSE)</formula>
    </cfRule>
  </conditionalFormatting>
  <conditionalFormatting sqref="C58">
    <cfRule type="expression" dxfId="128" priority="138">
      <formula>IF(B58=3,TRUE,FALSE)</formula>
    </cfRule>
    <cfRule type="expression" dxfId="127" priority="139">
      <formula>IF(B58=2,TRUE,FALSE)</formula>
    </cfRule>
    <cfRule type="expression" dxfId="126" priority="140">
      <formula>IF(B58=1,TRUE,FALSE)</formula>
    </cfRule>
  </conditionalFormatting>
  <conditionalFormatting sqref="C59">
    <cfRule type="expression" dxfId="125" priority="135">
      <formula>IF(B59=3,TRUE,FALSE)</formula>
    </cfRule>
    <cfRule type="expression" dxfId="124" priority="136">
      <formula>IF(B59=2,TRUE,FALSE)</formula>
    </cfRule>
    <cfRule type="expression" dxfId="123" priority="137">
      <formula>IF(B59=1,TRUE,FALSE)</formula>
    </cfRule>
  </conditionalFormatting>
  <conditionalFormatting sqref="C76">
    <cfRule type="expression" dxfId="122" priority="132">
      <formula>IF(B76=3,TRUE,FALSE)</formula>
    </cfRule>
    <cfRule type="expression" dxfId="121" priority="133">
      <formula>IF(B76=2,TRUE,FALSE)</formula>
    </cfRule>
    <cfRule type="expression" dxfId="120" priority="134">
      <formula>IF(B76=1,TRUE,FALSE)</formula>
    </cfRule>
  </conditionalFormatting>
  <conditionalFormatting sqref="C84">
    <cfRule type="expression" dxfId="119" priority="129">
      <formula>IF(B84=3,TRUE,FALSE)</formula>
    </cfRule>
    <cfRule type="expression" dxfId="118" priority="130">
      <formula>IF(B84=2,TRUE,FALSE)</formula>
    </cfRule>
    <cfRule type="expression" dxfId="117" priority="131">
      <formula>IF(B84=1,TRUE,FALSE)</formula>
    </cfRule>
  </conditionalFormatting>
  <conditionalFormatting sqref="C64">
    <cfRule type="expression" dxfId="116" priority="126">
      <formula>IF(B64=3,TRUE,FALSE)</formula>
    </cfRule>
    <cfRule type="expression" dxfId="115" priority="127">
      <formula>IF(B64=2,TRUE,FALSE)</formula>
    </cfRule>
    <cfRule type="expression" dxfId="114" priority="128">
      <formula>IF(B64=1,TRUE,FALSE)</formula>
    </cfRule>
  </conditionalFormatting>
  <conditionalFormatting sqref="C90">
    <cfRule type="expression" dxfId="113" priority="120">
      <formula>IF(B90=3,TRUE,FALSE)</formula>
    </cfRule>
    <cfRule type="expression" dxfId="112" priority="121">
      <formula>IF(B90=2,TRUE,FALSE)</formula>
    </cfRule>
    <cfRule type="expression" dxfId="111" priority="122">
      <formula>IF(B90=1,TRUE,FALSE)</formula>
    </cfRule>
  </conditionalFormatting>
  <conditionalFormatting sqref="C153:C157">
    <cfRule type="expression" dxfId="110" priority="117">
      <formula>IF(B153=3,TRUE,FALSE)</formula>
    </cfRule>
    <cfRule type="expression" dxfId="109" priority="118">
      <formula>IF(B153=2,TRUE,FALSE)</formula>
    </cfRule>
    <cfRule type="expression" dxfId="108" priority="119">
      <formula>IF(B153=1,TRUE,FALSE)</formula>
    </cfRule>
  </conditionalFormatting>
  <conditionalFormatting sqref="C174 C177">
    <cfRule type="expression" dxfId="107" priority="114">
      <formula>IF(B174=3,TRUE,FALSE)</formula>
    </cfRule>
    <cfRule type="expression" dxfId="106" priority="115">
      <formula>IF(B174=2,TRUE,FALSE)</formula>
    </cfRule>
    <cfRule type="expression" dxfId="105" priority="116">
      <formula>IF(B174=1,TRUE,FALSE)</formula>
    </cfRule>
  </conditionalFormatting>
  <conditionalFormatting sqref="C197">
    <cfRule type="expression" dxfId="104" priority="111">
      <formula>IF(B197=3,TRUE,FALSE)</formula>
    </cfRule>
    <cfRule type="expression" dxfId="103" priority="112">
      <formula>IF(B197=2,TRUE,FALSE)</formula>
    </cfRule>
    <cfRule type="expression" dxfId="102" priority="113">
      <formula>IF(B197=1,TRUE,FALSE)</formula>
    </cfRule>
  </conditionalFormatting>
  <conditionalFormatting sqref="C194">
    <cfRule type="expression" dxfId="101" priority="108">
      <formula>IF(B194=3,TRUE,FALSE)</formula>
    </cfRule>
    <cfRule type="expression" dxfId="100" priority="109">
      <formula>IF(B194=2,TRUE,FALSE)</formula>
    </cfRule>
    <cfRule type="expression" dxfId="99" priority="110">
      <formula>IF(B194=1,TRUE,FALSE)</formula>
    </cfRule>
  </conditionalFormatting>
  <conditionalFormatting sqref="C175:C176">
    <cfRule type="expression" dxfId="98" priority="102">
      <formula>IF(B175=3,TRUE,FALSE)</formula>
    </cfRule>
    <cfRule type="expression" dxfId="97" priority="103">
      <formula>IF(B175=2,TRUE,FALSE)</formula>
    </cfRule>
    <cfRule type="expression" dxfId="96" priority="104">
      <formula>IF(B175=1,TRUE,FALSE)</formula>
    </cfRule>
  </conditionalFormatting>
  <conditionalFormatting sqref="C195:C196">
    <cfRule type="expression" dxfId="95" priority="99">
      <formula>IF(B195=3,TRUE,FALSE)</formula>
    </cfRule>
    <cfRule type="expression" dxfId="94" priority="100">
      <formula>IF(B195=2,TRUE,FALSE)</formula>
    </cfRule>
    <cfRule type="expression" dxfId="93" priority="101">
      <formula>IF(B195=1,TRUE,FALSE)</formula>
    </cfRule>
  </conditionalFormatting>
  <conditionalFormatting sqref="C228:C237">
    <cfRule type="expression" dxfId="92" priority="93">
      <formula>IF(B228=3,TRUE,FALSE)</formula>
    </cfRule>
    <cfRule type="expression" dxfId="91" priority="94">
      <formula>IF(B228=2,TRUE,FALSE)</formula>
    </cfRule>
    <cfRule type="expression" dxfId="90" priority="95">
      <formula>IF(B228=1,TRUE,FALSE)</formula>
    </cfRule>
  </conditionalFormatting>
  <conditionalFormatting sqref="C206">
    <cfRule type="expression" dxfId="89" priority="90">
      <formula>IF(B206=3,TRUE,FALSE)</formula>
    </cfRule>
    <cfRule type="expression" dxfId="88" priority="91">
      <formula>IF(B206=2,TRUE,FALSE)</formula>
    </cfRule>
    <cfRule type="expression" dxfId="87" priority="92">
      <formula>IF(B206=1,TRUE,FALSE)</formula>
    </cfRule>
  </conditionalFormatting>
  <conditionalFormatting sqref="C170">
    <cfRule type="expression" dxfId="86" priority="84">
      <formula>IF(B170=3,TRUE,FALSE)</formula>
    </cfRule>
    <cfRule type="expression" dxfId="85" priority="85">
      <formula>IF(B170=2,TRUE,FALSE)</formula>
    </cfRule>
    <cfRule type="expression" dxfId="84" priority="86">
      <formula>IF(B170=1,TRUE,FALSE)</formula>
    </cfRule>
  </conditionalFormatting>
  <conditionalFormatting sqref="C164:C165">
    <cfRule type="expression" dxfId="83" priority="78">
      <formula>IF(B164=3,TRUE,FALSE)</formula>
    </cfRule>
    <cfRule type="expression" dxfId="82" priority="79">
      <formula>IF(B164=2,TRUE,FALSE)</formula>
    </cfRule>
    <cfRule type="expression" dxfId="81" priority="80">
      <formula>IF(B164=1,TRUE,FALSE)</formula>
    </cfRule>
  </conditionalFormatting>
  <conditionalFormatting sqref="C166">
    <cfRule type="expression" dxfId="80" priority="72">
      <formula>IF(B166=3,TRUE,FALSE)</formula>
    </cfRule>
    <cfRule type="expression" dxfId="79" priority="73">
      <formula>IF(B166=2,TRUE,FALSE)</formula>
    </cfRule>
    <cfRule type="expression" dxfId="78" priority="74">
      <formula>IF(B166=1,TRUE,FALSE)</formula>
    </cfRule>
  </conditionalFormatting>
  <conditionalFormatting sqref="C184:C185">
    <cfRule type="expression" dxfId="77" priority="75">
      <formula>IF(B184=3,TRUE,FALSE)</formula>
    </cfRule>
    <cfRule type="expression" dxfId="76" priority="76">
      <formula>IF(B184=2,TRUE,FALSE)</formula>
    </cfRule>
    <cfRule type="expression" dxfId="75" priority="77">
      <formula>IF(B184=1,TRUE,FALSE)</formula>
    </cfRule>
  </conditionalFormatting>
  <conditionalFormatting sqref="C167">
    <cfRule type="expression" dxfId="74" priority="69">
      <formula>IF(B167=3,TRUE,FALSE)</formula>
    </cfRule>
    <cfRule type="expression" dxfId="73" priority="70">
      <formula>IF(B167=2,TRUE,FALSE)</formula>
    </cfRule>
    <cfRule type="expression" dxfId="72" priority="71">
      <formula>IF(B167=1,TRUE,FALSE)</formula>
    </cfRule>
  </conditionalFormatting>
  <conditionalFormatting sqref="C187">
    <cfRule type="expression" dxfId="71" priority="66">
      <formula>IF(B187=3,TRUE,FALSE)</formula>
    </cfRule>
    <cfRule type="expression" dxfId="70" priority="67">
      <formula>IF(B187=2,TRUE,FALSE)</formula>
    </cfRule>
    <cfRule type="expression" dxfId="69" priority="68">
      <formula>IF(B187=1,TRUE,FALSE)</formula>
    </cfRule>
  </conditionalFormatting>
  <conditionalFormatting sqref="C190">
    <cfRule type="expression" dxfId="68" priority="63">
      <formula>IF(B190=3,TRUE,FALSE)</formula>
    </cfRule>
    <cfRule type="expression" dxfId="67" priority="64">
      <formula>IF(B190=2,TRUE,FALSE)</formula>
    </cfRule>
    <cfRule type="expression" dxfId="66" priority="65">
      <formula>IF(B190=1,TRUE,FALSE)</formula>
    </cfRule>
  </conditionalFormatting>
  <conditionalFormatting sqref="C172">
    <cfRule type="expression" dxfId="65" priority="60">
      <formula>IF(B172=3,TRUE,FALSE)</formula>
    </cfRule>
    <cfRule type="expression" dxfId="64" priority="61">
      <formula>IF(B172=2,TRUE,FALSE)</formula>
    </cfRule>
    <cfRule type="expression" dxfId="63" priority="62">
      <formula>IF(B172=1,TRUE,FALSE)</formula>
    </cfRule>
  </conditionalFormatting>
  <conditionalFormatting sqref="C192">
    <cfRule type="expression" dxfId="62" priority="57">
      <formula>IF(B192=3,TRUE,FALSE)</formula>
    </cfRule>
    <cfRule type="expression" dxfId="61" priority="58">
      <formula>IF(B192=2,TRUE,FALSE)</formula>
    </cfRule>
    <cfRule type="expression" dxfId="60" priority="59">
      <formula>IF(B192=1,TRUE,FALSE)</formula>
    </cfRule>
  </conditionalFormatting>
  <conditionalFormatting sqref="C34 C25:C30">
    <cfRule type="expression" dxfId="59" priority="54">
      <formula>IF(B25=3,TRUE,FALSE)</formula>
    </cfRule>
    <cfRule type="expression" dxfId="58" priority="55">
      <formula>IF(B25=2,TRUE,FALSE)</formula>
    </cfRule>
    <cfRule type="expression" dxfId="57" priority="56">
      <formula>IF(B25=1,TRUE,FALSE)</formula>
    </cfRule>
  </conditionalFormatting>
  <conditionalFormatting sqref="C31:C33">
    <cfRule type="expression" dxfId="56" priority="51">
      <formula>IF(B31=3,TRUE,FALSE)</formula>
    </cfRule>
    <cfRule type="expression" dxfId="55" priority="52">
      <formula>IF(B31=2,TRUE,FALSE)</formula>
    </cfRule>
    <cfRule type="expression" dxfId="54" priority="53">
      <formula>IF(B31=1,TRUE,FALSE)</formula>
    </cfRule>
  </conditionalFormatting>
  <conditionalFormatting sqref="C44 C35:C40">
    <cfRule type="expression" dxfId="53" priority="48">
      <formula>IF(B35=3,TRUE,FALSE)</formula>
    </cfRule>
    <cfRule type="expression" dxfId="52" priority="49">
      <formula>IF(B35=2,TRUE,FALSE)</formula>
    </cfRule>
    <cfRule type="expression" dxfId="51" priority="50">
      <formula>IF(B35=1,TRUE,FALSE)</formula>
    </cfRule>
  </conditionalFormatting>
  <conditionalFormatting sqref="C41:C43">
    <cfRule type="expression" dxfId="50" priority="45">
      <formula>IF(B41=3,TRUE,FALSE)</formula>
    </cfRule>
    <cfRule type="expression" dxfId="49" priority="46">
      <formula>IF(B41=2,TRUE,FALSE)</formula>
    </cfRule>
    <cfRule type="expression" dxfId="48" priority="47">
      <formula>IF(B41=1,TRUE,FALSE)</formula>
    </cfRule>
  </conditionalFormatting>
  <conditionalFormatting sqref="C106:C107">
    <cfRule type="expression" dxfId="47" priority="42">
      <formula>IF(B106=3,TRUE,FALSE)</formula>
    </cfRule>
    <cfRule type="expression" dxfId="46" priority="43">
      <formula>IF(B106=2,TRUE,FALSE)</formula>
    </cfRule>
    <cfRule type="expression" dxfId="45" priority="44">
      <formula>IF(B106=1,TRUE,FALSE)</formula>
    </cfRule>
  </conditionalFormatting>
  <conditionalFormatting sqref="C111:C112">
    <cfRule type="expression" dxfId="44" priority="39">
      <formula>IF(B111=3,TRUE,FALSE)</formula>
    </cfRule>
    <cfRule type="expression" dxfId="43" priority="40">
      <formula>IF(B111=2,TRUE,FALSE)</formula>
    </cfRule>
    <cfRule type="expression" dxfId="42" priority="41">
      <formula>IF(B111=1,TRUE,FALSE)</formula>
    </cfRule>
  </conditionalFormatting>
  <conditionalFormatting sqref="C108:C110">
    <cfRule type="expression" dxfId="41" priority="33">
      <formula>IF(B108=3,TRUE,FALSE)</formula>
    </cfRule>
    <cfRule type="expression" dxfId="40" priority="34">
      <formula>IF(B108=2,TRUE,FALSE)</formula>
    </cfRule>
    <cfRule type="expression" dxfId="39" priority="35">
      <formula>IF(B108=1,TRUE,FALSE)</formula>
    </cfRule>
  </conditionalFormatting>
  <conditionalFormatting sqref="C113:C115">
    <cfRule type="expression" dxfId="38" priority="30">
      <formula>IF(B113=3,TRUE,FALSE)</formula>
    </cfRule>
    <cfRule type="expression" dxfId="37" priority="31">
      <formula>IF(B113=2,TRUE,FALSE)</formula>
    </cfRule>
    <cfRule type="expression" dxfId="36" priority="32">
      <formula>IF(B113=1,TRUE,FALSE)</formula>
    </cfRule>
  </conditionalFormatting>
  <conditionalFormatting sqref="C116:C120">
    <cfRule type="expression" dxfId="35" priority="27">
      <formula>IF(B116=3,TRUE,FALSE)</formula>
    </cfRule>
    <cfRule type="expression" dxfId="34" priority="28">
      <formula>IF(B116=2,TRUE,FALSE)</formula>
    </cfRule>
    <cfRule type="expression" dxfId="33" priority="29">
      <formula>IF(B116=1,TRUE,FALSE)</formula>
    </cfRule>
  </conditionalFormatting>
  <conditionalFormatting sqref="C121:C122">
    <cfRule type="expression" dxfId="32" priority="24">
      <formula>IF(B121=3,TRUE,FALSE)</formula>
    </cfRule>
    <cfRule type="expression" dxfId="31" priority="25">
      <formula>IF(B121=2,TRUE,FALSE)</formula>
    </cfRule>
    <cfRule type="expression" dxfId="30" priority="26">
      <formula>IF(B121=1,TRUE,FALSE)</formula>
    </cfRule>
  </conditionalFormatting>
  <conditionalFormatting sqref="C126:C127">
    <cfRule type="expression" dxfId="29" priority="21">
      <formula>IF(B126=3,TRUE,FALSE)</formula>
    </cfRule>
    <cfRule type="expression" dxfId="28" priority="22">
      <formula>IF(B126=2,TRUE,FALSE)</formula>
    </cfRule>
    <cfRule type="expression" dxfId="27" priority="23">
      <formula>IF(B126=1,TRUE,FALSE)</formula>
    </cfRule>
  </conditionalFormatting>
  <conditionalFormatting sqref="C123:C125">
    <cfRule type="expression" dxfId="26" priority="18">
      <formula>IF(B123=3,TRUE,FALSE)</formula>
    </cfRule>
    <cfRule type="expression" dxfId="25" priority="19">
      <formula>IF(B123=2,TRUE,FALSE)</formula>
    </cfRule>
    <cfRule type="expression" dxfId="24" priority="20">
      <formula>IF(B123=1,TRUE,FALSE)</formula>
    </cfRule>
  </conditionalFormatting>
  <conditionalFormatting sqref="C128:C130">
    <cfRule type="expression" dxfId="23" priority="15">
      <formula>IF(B128=3,TRUE,FALSE)</formula>
    </cfRule>
    <cfRule type="expression" dxfId="22" priority="16">
      <formula>IF(B128=2,TRUE,FALSE)</formula>
    </cfRule>
    <cfRule type="expression" dxfId="21" priority="17">
      <formula>IF(B128=1,TRUE,FALSE)</formula>
    </cfRule>
  </conditionalFormatting>
  <conditionalFormatting sqref="H4:H203">
    <cfRule type="expression" dxfId="20" priority="14">
      <formula>IF(VLOOKUP(D4,part_details,13,FALSE)&gt;=H4,TRUE,FALSE)</formula>
    </cfRule>
  </conditionalFormatting>
  <conditionalFormatting sqref="D4:D96 D98:D132 D134:D467">
    <cfRule type="expression" dxfId="19" priority="180">
      <formula>IF(F4="x",TRUE,FALSE)</formula>
    </cfRule>
  </conditionalFormatting>
  <conditionalFormatting sqref="C97">
    <cfRule type="expression" dxfId="18" priority="8">
      <formula>IF(B97=3,TRUE,FALSE)</formula>
    </cfRule>
    <cfRule type="expression" dxfId="17" priority="9">
      <formula>IF(B97=2,TRUE,FALSE)</formula>
    </cfRule>
    <cfRule type="expression" dxfId="16" priority="10">
      <formula>IF(B97=1,TRUE,FALSE)</formula>
    </cfRule>
  </conditionalFormatting>
  <conditionalFormatting sqref="D97">
    <cfRule type="expression" dxfId="13" priority="6">
      <formula>IF(F97="x",TRUE,FALSE)</formula>
    </cfRule>
  </conditionalFormatting>
  <conditionalFormatting sqref="D133">
    <cfRule type="expression" dxfId="8" priority="1">
      <formula>IF(F133="x",TRUE,FALSE)</formula>
    </cfRule>
  </conditionalFormatting>
  <conditionalFormatting sqref="C133">
    <cfRule type="expression" dxfId="7" priority="3">
      <formula>IF(B133=3,TRUE,FALSE)</formula>
    </cfRule>
    <cfRule type="expression" dxfId="6" priority="4">
      <formula>IF(B133=2,TRUE,FALSE)</formula>
    </cfRule>
    <cfRule type="expression" dxfId="5" priority="5">
      <formula>IF(B133=1,TRUE,FALSE)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7"/>
  <sheetViews>
    <sheetView zoomScaleNormal="100"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B75" sqref="B75"/>
    </sheetView>
  </sheetViews>
  <sheetFormatPr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9" ht="30" x14ac:dyDescent="0.25">
      <c r="K1" s="57" t="s">
        <v>783</v>
      </c>
      <c r="P1" s="56" t="s">
        <v>956</v>
      </c>
    </row>
    <row r="2" spans="1:19" x14ac:dyDescent="0.25">
      <c r="K2" s="3">
        <f>SUM(Table1[Ideal cost])</f>
        <v>1844.7827168064105</v>
      </c>
      <c r="L2" s="3"/>
      <c r="P2" s="51">
        <f>SUM(Table1[Remaining Extended cost])</f>
        <v>1605.7390416666667</v>
      </c>
      <c r="Q2" s="3">
        <f>SUM(Table1[Cost of excess material])</f>
        <v>136.56437743589746</v>
      </c>
      <c r="R2" s="1" t="s">
        <v>6</v>
      </c>
      <c r="S2" s="3">
        <f>SUM(Table1[Buy-now costs])</f>
        <v>360.33036666666663</v>
      </c>
    </row>
    <row r="3" spans="1:1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929</v>
      </c>
      <c r="I3" s="12" t="s">
        <v>6</v>
      </c>
      <c r="J3" s="48" t="s">
        <v>698</v>
      </c>
      <c r="K3" s="15" t="s">
        <v>782</v>
      </c>
      <c r="L3" s="15" t="s">
        <v>784</v>
      </c>
      <c r="M3" s="39" t="s">
        <v>891</v>
      </c>
      <c r="N3" s="48" t="s">
        <v>700</v>
      </c>
      <c r="O3" s="48" t="s">
        <v>699</v>
      </c>
      <c r="P3" s="52" t="s">
        <v>930</v>
      </c>
      <c r="Q3" s="37" t="s">
        <v>932</v>
      </c>
      <c r="R3" s="37" t="s">
        <v>892</v>
      </c>
      <c r="S3" s="37" t="s">
        <v>964</v>
      </c>
    </row>
    <row r="4" spans="1:19" x14ac:dyDescent="0.25">
      <c r="A4" s="1" t="s">
        <v>7</v>
      </c>
      <c r="B4" s="4" t="s">
        <v>735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734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  <c r="S4" s="36">
        <f>IF(ISNA(VLOOKUP(Table1[[#This Row],[Part Number]],'Multi-level BOM'!V$4:V$449,1,FALSE)),0,Table1[[#This Row],[Remaining Extended cost]])</f>
        <v>0</v>
      </c>
    </row>
    <row r="5" spans="1:19" x14ac:dyDescent="0.25">
      <c r="A5" s="1" t="s">
        <v>8</v>
      </c>
      <c r="B5" s="4" t="s">
        <v>736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  <c r="S5" s="36">
        <f>IF(ISNA(VLOOKUP(Table1[[#This Row],[Part Number]],'Multi-level BOM'!V$4:V$449,1,FALSE)),0,Table1[[#This Row],[Remaining Extended cost]])</f>
        <v>0</v>
      </c>
    </row>
    <row r="6" spans="1:19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24</v>
      </c>
      <c r="K6" s="10">
        <f>Table1[[#This Row],[extended quantity]]*(Table1[[#This Row],[Cost ]]+Table1[[#This Row],[shipping]]+Table1[[#This Row],[Tax]])</f>
        <v>35.289839999999998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6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8.8224599999999995</v>
      </c>
      <c r="R6" s="36" t="s">
        <v>936</v>
      </c>
      <c r="S6" s="36">
        <f>IF(ISNA(VLOOKUP(Table1[[#This Row],[Part Number]],'Multi-level BOM'!V$4:V$449,1,FALSE)),0,Table1[[#This Row],[Remaining Extended cost]])</f>
        <v>0</v>
      </c>
    </row>
    <row r="7" spans="1:19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246.3</v>
      </c>
      <c r="K7" s="10">
        <f>Table1[[#This Row],[extended quantity]]*(Table1[[#This Row],[Cost ]]+Table1[[#This Row],[shipping]]+Table1[[#This Row],[Tax]])</f>
        <v>4.5594645499999995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0</v>
      </c>
      <c r="O7" s="49">
        <f>Table1[[#This Row],[Order quantity]]+Table1[[#This Row],[quantity on-hand]]-Table1[[#This Row],[extended quantity]]</f>
        <v>53.699999999999989</v>
      </c>
      <c r="P7" s="51">
        <f>IFERROR(Table1[[#This Row],[Order quantity]]*(Table1[[#This Row],[Cost ]]+Table1[[#This Row],[shipping]]+Table1[[#This Row],[Tax]]),0)</f>
        <v>0</v>
      </c>
      <c r="Q7" s="36">
        <f>IFERROR(IF(Table1[[#This Row],[Order quantity]]=0,0,Table1[[#This Row],[leftover material]]*(Table1[[#This Row],[Cost ]]+Table1[[#This Row],[shipping]]+Table1[[#This Row],[Tax]])),0)</f>
        <v>0</v>
      </c>
      <c r="R7" s="36" t="s">
        <v>893</v>
      </c>
      <c r="S7" s="36">
        <f>IF(ISNA(VLOOKUP(Table1[[#This Row],[Part Number]],'Multi-level BOM'!V$4:V$449,1,FALSE)),0,Table1[[#This Row],[Remaining Extended cost]])</f>
        <v>0</v>
      </c>
    </row>
    <row r="8" spans="1:1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12</v>
      </c>
      <c r="K8" s="10">
        <f>Table1[[#This Row],[extended quantity]]*(Table1[[#This Row],[Cost ]]+Table1[[#This Row],[shipping]]+Table1[[#This Row],[Tax]])</f>
        <v>2.8710599999999995</v>
      </c>
      <c r="L8" s="10"/>
      <c r="M8" s="40"/>
      <c r="N8" s="49">
        <f>CEILING((Table1[[#This Row],[extended quantity]]-Table1[[#This Row],[quantity on-hand]])/Table1[[#This Row],[Minimum order quantity]],1)*Table1[[#This Row],[Minimum order quantity]]</f>
        <v>40</v>
      </c>
      <c r="O8" s="49">
        <f>Table1[[#This Row],[Order quantity]]+Table1[[#This Row],[quantity on-hand]]-Table1[[#This Row],[extended quantity]]</f>
        <v>28</v>
      </c>
      <c r="P8" s="51">
        <f>IFERROR(Table1[[#This Row],[Order quantity]]*(Table1[[#This Row],[Cost ]]+Table1[[#This Row],[shipping]]+Table1[[#This Row],[Tax]]),0)</f>
        <v>9.570199999999998</v>
      </c>
      <c r="Q8" s="36">
        <f>IFERROR(IF(Table1[[#This Row],[Order quantity]]=0,0,Table1[[#This Row],[leftover material]]*(Table1[[#This Row],[Cost ]]+Table1[[#This Row],[shipping]]+Table1[[#This Row],[Tax]])),0)</f>
        <v>6.699139999999999</v>
      </c>
      <c r="R8" s="36"/>
      <c r="S8" s="36">
        <f>IF(ISNA(VLOOKUP(Table1[[#This Row],[Part Number]],'Multi-level BOM'!V$4:V$449,1,FALSE)),0,Table1[[#This Row],[Remaining Extended cost]])</f>
        <v>9.570199999999998</v>
      </c>
    </row>
    <row r="9" spans="1:19" ht="30" x14ac:dyDescent="0.25">
      <c r="A9" s="1" t="s">
        <v>12</v>
      </c>
      <c r="B9" s="4" t="s">
        <v>745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49">
        <f>SUMIF('Multi-level BOM'!D$4:D$467,Table1[[#This Row],[Part Number]],'Multi-level BOM'!H$4:H$467)</f>
        <v>3</v>
      </c>
      <c r="K9" s="10">
        <f>Table1[[#This Row],[extended quantity]]*(Table1[[#This Row],[Cost ]]+Table1[[#This Row],[shipping]]+Table1[[#This Row],[Tax]])</f>
        <v>2.83182</v>
      </c>
      <c r="L9" s="10"/>
      <c r="M9" s="40">
        <v>3</v>
      </c>
      <c r="N9" s="49">
        <f>CEILING((Table1[[#This Row],[extended quantity]]-Table1[[#This Row],[quantity on-hand]])/Table1[[#This Row],[Minimum order quantity]],1)*Table1[[#This Row],[Minimum order quantity]]</f>
        <v>0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0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6" t="s">
        <v>935</v>
      </c>
      <c r="S9" s="36">
        <f>IF(ISNA(VLOOKUP(Table1[[#This Row],[Part Number]],'Multi-level BOM'!V$4:V$449,1,FALSE)),0,Table1[[#This Row],[Remaining Extended cost]])</f>
        <v>0</v>
      </c>
    </row>
    <row r="10" spans="1:19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49">
        <f>SUMIF('Multi-level BOM'!D$4:D$467,Table1[[#This Row],[Part Number]],'Multi-level BOM'!H$4:H$467)</f>
        <v>32</v>
      </c>
      <c r="K10" s="10">
        <f>Table1[[#This Row],[extended quantity]]*(Table1[[#This Row],[Cost ]]+Table1[[#This Row],[shipping]]+Table1[[#This Row],[Tax]])</f>
        <v>1.4108959999999999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18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935</v>
      </c>
      <c r="S10" s="36">
        <f>IF(ISNA(VLOOKUP(Table1[[#This Row],[Part Number]],'Multi-level BOM'!V$4:V$449,1,FALSE)),0,Table1[[#This Row],[Remaining Extended cost]])</f>
        <v>0</v>
      </c>
    </row>
    <row r="11" spans="1:19" ht="30" x14ac:dyDescent="0.25">
      <c r="A11" s="1" t="s">
        <v>14</v>
      </c>
      <c r="B11" s="4" t="s">
        <v>691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  <c r="S11" s="36">
        <f>IF(ISNA(VLOOKUP(Table1[[#This Row],[Part Number]],'Multi-level BOM'!V$4:V$449,1,FALSE)),0,Table1[[#This Row],[Remaining Extended cost]])</f>
        <v>0</v>
      </c>
    </row>
    <row r="12" spans="1:19" ht="45" x14ac:dyDescent="0.25">
      <c r="A12" s="1" t="s">
        <v>15</v>
      </c>
      <c r="B12" s="16" t="s">
        <v>767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893</v>
      </c>
      <c r="S12" s="36">
        <f>IF(ISNA(VLOOKUP(Table1[[#This Row],[Part Number]],'Multi-level BOM'!V$4:V$449,1,FALSE)),0,Table1[[#This Row],[Remaining Extended cost]])</f>
        <v>0</v>
      </c>
    </row>
    <row r="13" spans="1:19" ht="30" x14ac:dyDescent="0.25">
      <c r="A13" s="1" t="s">
        <v>16</v>
      </c>
      <c r="B13" s="4" t="s">
        <v>758</v>
      </c>
      <c r="C13" s="1" t="s">
        <v>950</v>
      </c>
      <c r="D13" s="3">
        <v>0.35</v>
      </c>
      <c r="E13" s="3">
        <v>0</v>
      </c>
      <c r="F13" s="3">
        <f>9%*Table1[[#This Row],[Cost ]]</f>
        <v>3.15E-2</v>
      </c>
      <c r="G13" s="1" t="s">
        <v>980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1.5259999999999998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4</v>
      </c>
      <c r="O13" s="49">
        <f>Table1[[#This Row],[Order quantity]]+Table1[[#This Row],[quantity on-hand]]-Table1[[#This Row],[extended quantity]]</f>
        <v>0</v>
      </c>
      <c r="P13" s="51">
        <f>IFERROR(Table1[[#This Row],[Order quantity]]*(Table1[[#This Row],[Cost ]]+Table1[[#This Row],[shipping]]+Table1[[#This Row],[Tax]]),0)</f>
        <v>1.5259999999999998</v>
      </c>
      <c r="Q13" s="36">
        <f>IFERROR(IF(Table1[[#This Row],[Order quantity]]=0,0,Table1[[#This Row],[leftover material]]*(Table1[[#This Row],[Cost ]]+Table1[[#This Row],[shipping]]+Table1[[#This Row],[Tax]])),0)</f>
        <v>0</v>
      </c>
      <c r="R13" s="36"/>
      <c r="S13" s="36">
        <f>IF(ISNA(VLOOKUP(Table1[[#This Row],[Part Number]],'Multi-level BOM'!V$4:V$449,1,FALSE)),0,Table1[[#This Row],[Remaining Extended cost]])</f>
        <v>1.5259999999999998</v>
      </c>
    </row>
    <row r="14" spans="1:19" ht="45" x14ac:dyDescent="0.25">
      <c r="A14" s="1" t="s">
        <v>17</v>
      </c>
      <c r="B14" s="4" t="s">
        <v>688</v>
      </c>
      <c r="C14" s="1" t="s">
        <v>704</v>
      </c>
      <c r="D14" s="3">
        <v>25.91</v>
      </c>
      <c r="E14" s="3">
        <f>15.8/2</f>
        <v>7.9</v>
      </c>
      <c r="F14" s="3">
        <v>0</v>
      </c>
      <c r="G14" s="1" t="s">
        <v>689</v>
      </c>
      <c r="H14" s="2">
        <v>1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169.05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67.62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931</v>
      </c>
      <c r="S14" s="36">
        <f>IF(ISNA(VLOOKUP(Table1[[#This Row],[Part Number]],'Multi-level BOM'!V$4:V$449,1,FALSE)),0,Table1[[#This Row],[Remaining Extended cost]])</f>
        <v>67.62</v>
      </c>
    </row>
    <row r="15" spans="1:19" ht="45" x14ac:dyDescent="0.25">
      <c r="A15" s="1" t="s">
        <v>18</v>
      </c>
      <c r="B15" s="4" t="s">
        <v>775</v>
      </c>
      <c r="C15" s="1" t="s">
        <v>950</v>
      </c>
      <c r="D15" s="3">
        <f>9.15/100</f>
        <v>9.1499999999999998E-2</v>
      </c>
      <c r="F15" s="3">
        <v>0</v>
      </c>
      <c r="G15" s="5" t="s">
        <v>982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5.9474999999999998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9.15</v>
      </c>
      <c r="Q15" s="36">
        <f>IFERROR(IF(Table1[[#This Row],[Order quantity]]=0,0,Table1[[#This Row],[leftover material]]*(Table1[[#This Row],[Cost ]]+Table1[[#This Row],[shipping]]+Table1[[#This Row],[Tax]])),0)</f>
        <v>3.2025000000000001</v>
      </c>
      <c r="R15" s="36"/>
      <c r="S15" s="36">
        <f>IF(ISNA(VLOOKUP(Table1[[#This Row],[Part Number]],'Multi-level BOM'!V$4:V$449,1,FALSE)),0,Table1[[#This Row],[Remaining Extended cost]])</f>
        <v>9.15</v>
      </c>
    </row>
    <row r="16" spans="1:19" ht="45" x14ac:dyDescent="0.25">
      <c r="A16" s="1" t="s">
        <v>19</v>
      </c>
      <c r="B16" s="4" t="s">
        <v>692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693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6"/>
      <c r="S16" s="36">
        <f>IF(ISNA(VLOOKUP(Table1[[#This Row],[Part Number]],'Multi-level BOM'!V$4:V$449,1,FALSE)),0,Table1[[#This Row],[Remaining Extended cost]])</f>
        <v>12.535</v>
      </c>
    </row>
    <row r="17" spans="1:19" ht="30" x14ac:dyDescent="0.25">
      <c r="A17" s="1" t="s">
        <v>20</v>
      </c>
      <c r="B17" s="4" t="s">
        <v>959</v>
      </c>
      <c r="C17" s="1" t="s">
        <v>697</v>
      </c>
      <c r="D17" s="3">
        <v>38.68</v>
      </c>
      <c r="E17" s="3">
        <f>19.24/3</f>
        <v>6.4133333333333331</v>
      </c>
      <c r="F17" s="3">
        <f>9%*Table1[[#This Row],[Cost ]]</f>
        <v>3.4811999999999999</v>
      </c>
      <c r="G17" s="1" t="s">
        <v>958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145.7236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145.7236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6"/>
      <c r="S17" s="36">
        <f>IF(ISNA(VLOOKUP(Table1[[#This Row],[Part Number]],'Multi-level BOM'!V$4:V$449,1,FALSE)),0,Table1[[#This Row],[Remaining Extended cost]])</f>
        <v>0</v>
      </c>
    </row>
    <row r="18" spans="1:19" x14ac:dyDescent="0.25">
      <c r="A18" s="1" t="s">
        <v>21</v>
      </c>
      <c r="B18" s="4" t="s">
        <v>992</v>
      </c>
      <c r="C18" s="1" t="s">
        <v>950</v>
      </c>
      <c r="D18" s="3">
        <v>0.24</v>
      </c>
      <c r="E18" s="3">
        <f>5/12</f>
        <v>0.41666666666666669</v>
      </c>
      <c r="F18" s="3">
        <v>0</v>
      </c>
      <c r="G18" s="5" t="s">
        <v>991</v>
      </c>
      <c r="H18" s="2">
        <v>1</v>
      </c>
      <c r="I18" s="1" t="s">
        <v>951</v>
      </c>
      <c r="J18" s="49">
        <v>1</v>
      </c>
      <c r="K18" s="10">
        <f>Table1[[#This Row],[extended quantity]]*(Table1[[#This Row],[Cost ]]+Table1[[#This Row],[shipping]]+Table1[[#This Row],[Tax]])</f>
        <v>0.65666666666666673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1</v>
      </c>
      <c r="O18" s="49">
        <f>Table1[[#This Row],[Order quantity]]+Table1[[#This Row],[quantity on-hand]]-Table1[[#This Row],[extended quantity]]</f>
        <v>0</v>
      </c>
      <c r="P18" s="51">
        <f>IFERROR(Table1[[#This Row],[Order quantity]]*(Table1[[#This Row],[Cost ]]+Table1[[#This Row],[shipping]]+Table1[[#This Row],[Tax]]),0)</f>
        <v>0.65666666666666673</v>
      </c>
      <c r="Q18" s="36">
        <f>IFERROR(IF(Table1[[#This Row],[Order quantity]]=0,0,Table1[[#This Row],[leftover material]]*(Table1[[#This Row],[Cost ]]+Table1[[#This Row],[shipping]]+Table1[[#This Row],[Tax]])),0)</f>
        <v>0</v>
      </c>
      <c r="R18" s="36"/>
      <c r="S18" s="36">
        <f>IF(ISNA(VLOOKUP(Table1[[#This Row],[Part Number]],'Multi-level BOM'!V$4:V$449,1,FALSE)),0,Table1[[#This Row],[Remaining Extended cost]])</f>
        <v>0.65666666666666673</v>
      </c>
    </row>
    <row r="19" spans="1:19" ht="30" x14ac:dyDescent="0.25">
      <c r="A19" s="1" t="s">
        <v>22</v>
      </c>
      <c r="B19" s="4" t="s">
        <v>703</v>
      </c>
      <c r="C19" s="1" t="s">
        <v>704</v>
      </c>
      <c r="D19" s="3">
        <v>16.989999999999998</v>
      </c>
      <c r="E19" s="3">
        <v>2.99</v>
      </c>
      <c r="F19" s="3">
        <v>0</v>
      </c>
      <c r="G19" s="5" t="s">
        <v>705</v>
      </c>
      <c r="H19" s="2">
        <v>1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  <c r="S19" s="36">
        <f>IF(ISNA(VLOOKUP(Table1[[#This Row],[Part Number]],'Multi-level BOM'!V$4:V$449,1,FALSE)),0,Table1[[#This Row],[Remaining Extended cost]])</f>
        <v>19.979999999999997</v>
      </c>
    </row>
    <row r="20" spans="1:19" x14ac:dyDescent="0.25">
      <c r="A20" s="1" t="s">
        <v>23</v>
      </c>
      <c r="B20" s="4" t="s">
        <v>766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952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0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  <c r="S20" s="36">
        <f>IF(ISNA(VLOOKUP(Table1[[#This Row],[Part Number]],'Multi-level BOM'!V$4:V$449,1,FALSE)),0,Table1[[#This Row],[Remaining Extended cost]])</f>
        <v>0</v>
      </c>
    </row>
    <row r="21" spans="1:19" x14ac:dyDescent="0.25">
      <c r="A21" s="1" t="s">
        <v>24</v>
      </c>
      <c r="B21" s="4" t="s">
        <v>709</v>
      </c>
      <c r="C21" s="1" t="s">
        <v>708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711</v>
      </c>
      <c r="H21" s="2">
        <v>1</v>
      </c>
      <c r="I21" s="1" t="s">
        <v>710</v>
      </c>
      <c r="J21" s="49">
        <f>SUMIF('Multi-level BOM'!D$4:D$467,Table1[[#This Row],[Part Number]],'Multi-level BOM'!H$4:H$467)</f>
        <v>3</v>
      </c>
      <c r="K21" s="10">
        <f>Table1[[#This Row],[extended quantity]]*(Table1[[#This Row],[Cost ]]+Table1[[#This Row],[shipping]]+Table1[[#This Row],[Tax]])</f>
        <v>18.229800000000001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18.229800000000001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6"/>
      <c r="S21" s="36">
        <f>IF(ISNA(VLOOKUP(Table1[[#This Row],[Part Number]],'Multi-level BOM'!V$4:V$449,1,FALSE)),0,Table1[[#This Row],[Remaining Extended cost]])</f>
        <v>18.229800000000001</v>
      </c>
    </row>
    <row r="22" spans="1:19" ht="30" x14ac:dyDescent="0.25">
      <c r="A22" s="1" t="s">
        <v>25</v>
      </c>
      <c r="B22" s="4" t="s">
        <v>715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714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70.468500000000006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23.4895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6" t="s">
        <v>931</v>
      </c>
      <c r="S22" s="36">
        <f>IF(ISNA(VLOOKUP(Table1[[#This Row],[Part Number]],'Multi-level BOM'!V$4:V$449,1,FALSE)),0,Table1[[#This Row],[Remaining Extended cost]])</f>
        <v>23.4895</v>
      </c>
    </row>
    <row r="23" spans="1:19" ht="45" x14ac:dyDescent="0.25">
      <c r="A23" s="1" t="s">
        <v>26</v>
      </c>
      <c r="B23" s="4" t="s">
        <v>725</v>
      </c>
      <c r="C23" s="1" t="s">
        <v>656</v>
      </c>
      <c r="D23" s="3">
        <v>19.98</v>
      </c>
      <c r="F23" s="3">
        <f>9%*Table1[[#This Row],[Cost ]]</f>
        <v>1.7982</v>
      </c>
      <c r="G23" s="5" t="s">
        <v>726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65.334600000000009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65.334600000000009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6"/>
      <c r="S23" s="36">
        <f>IF(ISNA(VLOOKUP(Table1[[#This Row],[Part Number]],'Multi-level BOM'!V$4:V$449,1,FALSE)),0,Table1[[#This Row],[Remaining Extended cost]])</f>
        <v>65.334600000000009</v>
      </c>
    </row>
    <row r="24" spans="1:19" ht="30" x14ac:dyDescent="0.25">
      <c r="A24" s="1" t="s">
        <v>27</v>
      </c>
      <c r="B24" s="16" t="s">
        <v>740</v>
      </c>
      <c r="C24" s="1" t="s">
        <v>704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741</v>
      </c>
      <c r="H24" s="2">
        <v>1</v>
      </c>
      <c r="I24" s="1" t="s">
        <v>710</v>
      </c>
      <c r="J24" s="49">
        <f>SUMIF('Multi-level BOM'!D$4:D$467,Table1[[#This Row],[Part Number]],'Multi-level BOM'!H$4:H$467)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  <c r="S24" s="36">
        <f>IF(ISNA(VLOOKUP(Table1[[#This Row],[Part Number]],'Multi-level BOM'!V$4:V$449,1,FALSE)),0,Table1[[#This Row],[Remaining Extended cost]])</f>
        <v>0</v>
      </c>
    </row>
    <row r="25" spans="1:19" ht="30" x14ac:dyDescent="0.25">
      <c r="A25" s="1" t="s">
        <v>28</v>
      </c>
      <c r="B25" s="17" t="s">
        <v>743</v>
      </c>
      <c r="C25" s="1" t="s">
        <v>950</v>
      </c>
      <c r="D25" s="3">
        <v>0.08</v>
      </c>
      <c r="F25" s="3">
        <v>0</v>
      </c>
      <c r="G25" s="5" t="s">
        <v>966</v>
      </c>
      <c r="H25" s="2">
        <v>1</v>
      </c>
      <c r="I25" s="1" t="s">
        <v>744</v>
      </c>
      <c r="J25" s="49">
        <f>SUMIF('Multi-level BOM'!D$4:D$467,Table1[[#This Row],[Part Number]],'Multi-level BOM'!H$4:H$467)</f>
        <v>20</v>
      </c>
      <c r="K25" s="10">
        <f>Table1[[#This Row],[extended quantity]]*(Table1[[#This Row],[Cost ]]+Table1[[#This Row],[shipping]]+Table1[[#This Row],[Tax]])</f>
        <v>1.6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20</v>
      </c>
      <c r="O25" s="49">
        <f>Table1[[#This Row],[Order quantity]]+Table1[[#This Row],[quantity on-hand]]-Table1[[#This Row],[extended quantity]]</f>
        <v>0</v>
      </c>
      <c r="P25" s="51">
        <f>IFERROR(Table1[[#This Row],[Order quantity]]*(Table1[[#This Row],[Cost ]]+Table1[[#This Row],[shipping]]+Table1[[#This Row],[Tax]]),0)</f>
        <v>1.6</v>
      </c>
      <c r="Q25" s="36">
        <f>IFERROR(IF(Table1[[#This Row],[Order quantity]]=0,0,Table1[[#This Row],[leftover material]]*(Table1[[#This Row],[Cost ]]+Table1[[#This Row],[shipping]]+Table1[[#This Row],[Tax]])),0)</f>
        <v>0</v>
      </c>
      <c r="R25" s="36"/>
      <c r="S25" s="36">
        <f>IF(ISNA(VLOOKUP(Table1[[#This Row],[Part Number]],'Multi-level BOM'!V$4:V$449,1,FALSE)),0,Table1[[#This Row],[Remaining Extended cost]])</f>
        <v>1.6</v>
      </c>
    </row>
    <row r="26" spans="1:19" x14ac:dyDescent="0.25">
      <c r="A26" s="42" t="s">
        <v>29</v>
      </c>
      <c r="B26" s="4" t="s">
        <v>718</v>
      </c>
      <c r="C26" s="1" t="s">
        <v>716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717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/>
      <c r="N26" s="49">
        <f>CEILING((Table1[[#This Row],[extended quantity]]-Table1[[#This Row],[quantity on-hand]])/Table1[[#This Row],[Minimum order quantity]],1)*Table1[[#This Row],[Minimum order quantity]]</f>
        <v>4</v>
      </c>
      <c r="O26" s="49">
        <f>Table1[[#This Row],[Order quantity]]+Table1[[#This Row],[quantity on-hand]]-Table1[[#This Row],[extended quantity]]</f>
        <v>2</v>
      </c>
      <c r="P26" s="51">
        <f>IFERROR(Table1[[#This Row],[Order quantity]]*(Table1[[#This Row],[Cost ]]+Table1[[#This Row],[shipping]]+Table1[[#This Row],[Tax]]),0)</f>
        <v>19.077500000000001</v>
      </c>
      <c r="Q26" s="36">
        <f>IFERROR(IF(Table1[[#This Row],[Order quantity]]=0,0,Table1[[#This Row],[leftover material]]*(Table1[[#This Row],[Cost ]]+Table1[[#This Row],[shipping]]+Table1[[#This Row],[Tax]])),0)</f>
        <v>9.5387500000000003</v>
      </c>
      <c r="R26" s="36"/>
      <c r="S26" s="36">
        <f>IF(ISNA(VLOOKUP(Table1[[#This Row],[Part Number]],'Multi-level BOM'!V$4:V$449,1,FALSE)),0,Table1[[#This Row],[Remaining Extended cost]])</f>
        <v>19.077500000000001</v>
      </c>
    </row>
    <row r="27" spans="1:19" x14ac:dyDescent="0.25">
      <c r="A27" s="1" t="s">
        <v>30</v>
      </c>
      <c r="B27" s="16" t="s">
        <v>897</v>
      </c>
      <c r="C27" s="1" t="s">
        <v>716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710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  <c r="S27" s="36">
        <f>IF(ISNA(VLOOKUP(Table1[[#This Row],[Part Number]],'Multi-level BOM'!V$4:V$449,1,FALSE)),0,Table1[[#This Row],[Remaining Extended cost]])</f>
        <v>0</v>
      </c>
    </row>
    <row r="28" spans="1:19" ht="30" x14ac:dyDescent="0.25">
      <c r="A28" s="1" t="s">
        <v>31</v>
      </c>
      <c r="B28" s="4" t="s">
        <v>926</v>
      </c>
      <c r="C28" s="1" t="s">
        <v>716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731</v>
      </c>
      <c r="H28" s="2">
        <v>2</v>
      </c>
      <c r="I28" s="1" t="s">
        <v>730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7.5589999999999993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7.5589999999999993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6"/>
      <c r="S28" s="36">
        <f>IF(ISNA(VLOOKUP(Table1[[#This Row],[Part Number]],'Multi-level BOM'!V$4:V$449,1,FALSE)),0,Table1[[#This Row],[Remaining Extended cost]])</f>
        <v>7.5589999999999993</v>
      </c>
    </row>
    <row r="29" spans="1:19" x14ac:dyDescent="0.25">
      <c r="A29" s="1" t="s">
        <v>32</v>
      </c>
      <c r="B29" s="4" t="s">
        <v>983</v>
      </c>
      <c r="C29" s="1" t="s">
        <v>950</v>
      </c>
      <c r="D29" s="3">
        <v>0.12</v>
      </c>
      <c r="F29" s="3">
        <v>0</v>
      </c>
      <c r="G29" s="5" t="s">
        <v>969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0.96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8</v>
      </c>
      <c r="O29" s="49">
        <f>Table1[[#This Row],[Order quantity]]+Table1[[#This Row],[quantity on-hand]]-Table1[[#This Row],[extended quantity]]</f>
        <v>0</v>
      </c>
      <c r="P29" s="51">
        <f>IFERROR(Table1[[#This Row],[Order quantity]]*(Table1[[#This Row],[Cost ]]+Table1[[#This Row],[shipping]]+Table1[[#This Row],[Tax]]),0)</f>
        <v>0.96</v>
      </c>
      <c r="Q29" s="36">
        <f>IFERROR(IF(Table1[[#This Row],[Order quantity]]=0,0,Table1[[#This Row],[leftover material]]*(Table1[[#This Row],[Cost ]]+Table1[[#This Row],[shipping]]+Table1[[#This Row],[Tax]])),0)</f>
        <v>0</v>
      </c>
      <c r="R29" s="36"/>
      <c r="S29" s="36">
        <f>IF(ISNA(VLOOKUP(Table1[[#This Row],[Part Number]],'Multi-level BOM'!V$4:V$449,1,FALSE)),0,Table1[[#This Row],[Remaining Extended cost]])</f>
        <v>0.96</v>
      </c>
    </row>
    <row r="30" spans="1:19" ht="30" x14ac:dyDescent="0.25">
      <c r="A30" s="1" t="s">
        <v>33</v>
      </c>
      <c r="B30" s="4" t="s">
        <v>721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722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26</v>
      </c>
      <c r="O30" s="49">
        <f>Table1[[#This Row],[Order quantity]]+Table1[[#This Row],[quantity on-hand]]-Table1[[#This Row],[extended quantity]]</f>
        <v>17</v>
      </c>
      <c r="P30" s="51">
        <f>IFERROR(Table1[[#This Row],[Order quantity]]*(Table1[[#This Row],[Cost ]]+Table1[[#This Row],[shipping]]+Table1[[#This Row],[Tax]]),0)</f>
        <v>8.8181000000000012</v>
      </c>
      <c r="Q30" s="36">
        <f>IFERROR(IF(Table1[[#This Row],[Order quantity]]=0,0,Table1[[#This Row],[leftover material]]*(Table1[[#This Row],[Cost ]]+Table1[[#This Row],[shipping]]+Table1[[#This Row],[Tax]])),0)</f>
        <v>5.7656807692307694</v>
      </c>
      <c r="R30" s="36"/>
      <c r="S30" s="36">
        <f>IF(ISNA(VLOOKUP(Table1[[#This Row],[Part Number]],'Multi-level BOM'!V$4:V$449,1,FALSE)),0,Table1[[#This Row],[Remaining Extended cost]])</f>
        <v>8.8181000000000012</v>
      </c>
    </row>
    <row r="31" spans="1:19" ht="30" x14ac:dyDescent="0.25">
      <c r="A31" s="1" t="s">
        <v>34</v>
      </c>
      <c r="B31" s="4" t="s">
        <v>790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724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  <c r="S31" s="36">
        <f>IF(ISNA(VLOOKUP(Table1[[#This Row],[Part Number]],'Multi-level BOM'!V$4:V$449,1,FALSE)),0,Table1[[#This Row],[Remaining Extended cost]])</f>
        <v>0</v>
      </c>
    </row>
    <row r="32" spans="1:19" ht="30" x14ac:dyDescent="0.25">
      <c r="A32" s="1" t="s">
        <v>35</v>
      </c>
      <c r="B32" s="4" t="s">
        <v>747</v>
      </c>
      <c r="C32" s="1" t="s">
        <v>950</v>
      </c>
      <c r="D32" s="3">
        <v>0.39</v>
      </c>
      <c r="F32" s="3">
        <v>0</v>
      </c>
      <c r="G32" s="1" t="s">
        <v>971</v>
      </c>
      <c r="H32" s="2">
        <v>1</v>
      </c>
      <c r="J32" s="49">
        <f>SUMIF('Multi-level BOM'!D$4:D$467,Table1[[#This Row],[Part Number]],'Multi-level BOM'!H$4:H$467)</f>
        <v>3</v>
      </c>
      <c r="K32" s="10">
        <f>Table1[[#This Row],[extended quantity]]*(Table1[[#This Row],[Cost ]]+Table1[[#This Row],[shipping]]+Table1[[#This Row],[Tax]])</f>
        <v>1.17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3</v>
      </c>
      <c r="O32" s="49">
        <f>Table1[[#This Row],[Order quantity]]+Table1[[#This Row],[quantity on-hand]]-Table1[[#This Row],[extended quantity]]</f>
        <v>0</v>
      </c>
      <c r="P32" s="51">
        <f>IFERROR(Table1[[#This Row],[Order quantity]]*(Table1[[#This Row],[Cost ]]+Table1[[#This Row],[shipping]]+Table1[[#This Row],[Tax]]),0)</f>
        <v>1.17</v>
      </c>
      <c r="Q32" s="36">
        <f>IFERROR(IF(Table1[[#This Row],[Order quantity]]=0,0,Table1[[#This Row],[leftover material]]*(Table1[[#This Row],[Cost ]]+Table1[[#This Row],[shipping]]+Table1[[#This Row],[Tax]])),0)</f>
        <v>0</v>
      </c>
      <c r="R32" s="36"/>
      <c r="S32" s="36">
        <f>IF(ISNA(VLOOKUP(Table1[[#This Row],[Part Number]],'Multi-level BOM'!V$4:V$449,1,FALSE)),0,Table1[[#This Row],[Remaining Extended cost]])</f>
        <v>1.17</v>
      </c>
    </row>
    <row r="33" spans="1:19" ht="30" x14ac:dyDescent="0.25">
      <c r="A33" s="1" t="s">
        <v>36</v>
      </c>
      <c r="B33" s="4" t="s">
        <v>972</v>
      </c>
      <c r="C33" s="1" t="s">
        <v>950</v>
      </c>
      <c r="D33" s="3">
        <v>0.44</v>
      </c>
      <c r="F33" s="3">
        <v>0</v>
      </c>
      <c r="G33" s="1" t="s">
        <v>973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1.76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4</v>
      </c>
      <c r="O33" s="49">
        <f>Table1[[#This Row],[Order quantity]]+Table1[[#This Row],[quantity on-hand]]-Table1[[#This Row],[extended quantity]]</f>
        <v>0</v>
      </c>
      <c r="P33" s="51">
        <f>IFERROR(Table1[[#This Row],[Order quantity]]*(Table1[[#This Row],[Cost ]]+Table1[[#This Row],[shipping]]+Table1[[#This Row],[Tax]]),0)</f>
        <v>1.76</v>
      </c>
      <c r="Q33" s="36">
        <f>IFERROR(IF(Table1[[#This Row],[Order quantity]]=0,0,Table1[[#This Row],[leftover material]]*(Table1[[#This Row],[Cost ]]+Table1[[#This Row],[shipping]]+Table1[[#This Row],[Tax]])),0)</f>
        <v>0</v>
      </c>
      <c r="R33" s="36"/>
      <c r="S33" s="36">
        <f>IF(ISNA(VLOOKUP(Table1[[#This Row],[Part Number]],'Multi-level BOM'!V$4:V$449,1,FALSE)),0,Table1[[#This Row],[Remaining Extended cost]])</f>
        <v>1.76</v>
      </c>
    </row>
    <row r="34" spans="1:19" x14ac:dyDescent="0.25">
      <c r="A34" s="1" t="s">
        <v>37</v>
      </c>
      <c r="B34" s="4" t="s">
        <v>974</v>
      </c>
      <c r="C34" s="1" t="s">
        <v>950</v>
      </c>
      <c r="D34" s="3">
        <v>0.18</v>
      </c>
      <c r="F34" s="3">
        <v>0</v>
      </c>
      <c r="G34" s="1" t="s">
        <v>975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0.36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2</v>
      </c>
      <c r="O34" s="49">
        <f>Table1[[#This Row],[Order quantity]]+Table1[[#This Row],[quantity on-hand]]-Table1[[#This Row],[extended quantity]]</f>
        <v>0</v>
      </c>
      <c r="P34" s="51">
        <f>IFERROR(Table1[[#This Row],[Order quantity]]*(Table1[[#This Row],[Cost ]]+Table1[[#This Row],[shipping]]+Table1[[#This Row],[Tax]]),0)</f>
        <v>0.36</v>
      </c>
      <c r="Q34" s="36">
        <f>IFERROR(IF(Table1[[#This Row],[Order quantity]]=0,0,Table1[[#This Row],[leftover material]]*(Table1[[#This Row],[Cost ]]+Table1[[#This Row],[shipping]]+Table1[[#This Row],[Tax]])),0)</f>
        <v>0</v>
      </c>
      <c r="R34" s="36"/>
      <c r="S34" s="36">
        <f>IF(ISNA(VLOOKUP(Table1[[#This Row],[Part Number]],'Multi-level BOM'!V$4:V$449,1,FALSE)),0,Table1[[#This Row],[Remaining Extended cost]])</f>
        <v>0.36</v>
      </c>
    </row>
    <row r="35" spans="1:19" x14ac:dyDescent="0.25">
      <c r="A35" s="1" t="s">
        <v>38</v>
      </c>
      <c r="B35" s="4" t="s">
        <v>984</v>
      </c>
      <c r="C35" s="1" t="s">
        <v>950</v>
      </c>
      <c r="D35" s="3">
        <v>0.2</v>
      </c>
      <c r="F35" s="3">
        <v>0</v>
      </c>
      <c r="G35" s="5" t="s">
        <v>976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0.4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</v>
      </c>
      <c r="O35" s="49">
        <f>Table1[[#This Row],[Order quantity]]+Table1[[#This Row],[quantity on-hand]]-Table1[[#This Row],[extended quantity]]</f>
        <v>0</v>
      </c>
      <c r="P35" s="51">
        <f>IFERROR(Table1[[#This Row],[Order quantity]]*(Table1[[#This Row],[Cost ]]+Table1[[#This Row],[shipping]]+Table1[[#This Row],[Tax]]),0)</f>
        <v>0.4</v>
      </c>
      <c r="Q35" s="36">
        <f>IFERROR(IF(Table1[[#This Row],[Order quantity]]=0,0,Table1[[#This Row],[leftover material]]*(Table1[[#This Row],[Cost ]]+Table1[[#This Row],[shipping]]+Table1[[#This Row],[Tax]])),0)</f>
        <v>0</v>
      </c>
      <c r="R35" s="36"/>
      <c r="S35" s="36">
        <f>IF(ISNA(VLOOKUP(Table1[[#This Row],[Part Number]],'Multi-level BOM'!V$4:V$449,1,FALSE)),0,Table1[[#This Row],[Remaining Extended cost]])</f>
        <v>0.4</v>
      </c>
    </row>
    <row r="36" spans="1:19" ht="45" x14ac:dyDescent="0.25">
      <c r="A36" s="1" t="s">
        <v>39</v>
      </c>
      <c r="B36" s="4" t="s">
        <v>776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777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1.8508199999999999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9.2540999999999993</v>
      </c>
      <c r="Q36" s="36">
        <f>IFERROR(IF(Table1[[#This Row],[Order quantity]]=0,0,Table1[[#This Row],[leftover material]]*(Table1[[#This Row],[Cost ]]+Table1[[#This Row],[shipping]]+Table1[[#This Row],[Tax]])),0)</f>
        <v>7.4032799999999996</v>
      </c>
      <c r="R36" s="36"/>
      <c r="S36" s="36">
        <f>IF(ISNA(VLOOKUP(Table1[[#This Row],[Part Number]],'Multi-level BOM'!V$4:V$449,1,FALSE)),0,Table1[[#This Row],[Remaining Extended cost]])</f>
        <v>0</v>
      </c>
    </row>
    <row r="37" spans="1:19" ht="30" x14ac:dyDescent="0.25">
      <c r="A37" s="1" t="s">
        <v>40</v>
      </c>
      <c r="B37" s="4" t="s">
        <v>778</v>
      </c>
      <c r="C37" s="1" t="s">
        <v>950</v>
      </c>
      <c r="D37" s="3">
        <f>3.19/100</f>
        <v>3.1899999999999998E-2</v>
      </c>
      <c r="F37" s="3">
        <v>0</v>
      </c>
      <c r="G37" s="5" t="s">
        <v>967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1.4673999999999998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3.19</v>
      </c>
      <c r="Q37" s="36">
        <f>IFERROR(IF(Table1[[#This Row],[Order quantity]]=0,0,Table1[[#This Row],[leftover material]]*(Table1[[#This Row],[Cost ]]+Table1[[#This Row],[shipping]]+Table1[[#This Row],[Tax]])),0)</f>
        <v>1.7225999999999999</v>
      </c>
      <c r="R37" s="36"/>
      <c r="S37" s="36">
        <f>IF(ISNA(VLOOKUP(Table1[[#This Row],[Part Number]],'Multi-level BOM'!V$4:V$449,1,FALSE)),0,Table1[[#This Row],[Remaining Extended cost]])</f>
        <v>3.19</v>
      </c>
    </row>
    <row r="38" spans="1:19" x14ac:dyDescent="0.25">
      <c r="A38" s="1" t="s">
        <v>41</v>
      </c>
      <c r="B38" s="4" t="s">
        <v>779</v>
      </c>
      <c r="C38" s="1" t="s">
        <v>950</v>
      </c>
      <c r="D38" s="3">
        <f>1.1/100</f>
        <v>1.1000000000000001E-2</v>
      </c>
      <c r="F38" s="3">
        <v>0</v>
      </c>
      <c r="G38" s="1" t="s">
        <v>978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0.50600000000000001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1.1000000000000001</v>
      </c>
      <c r="Q38" s="36">
        <f>IFERROR(IF(Table1[[#This Row],[Order quantity]]=0,0,Table1[[#This Row],[leftover material]]*(Table1[[#This Row],[Cost ]]+Table1[[#This Row],[shipping]]+Table1[[#This Row],[Tax]])),0)</f>
        <v>0.59400000000000008</v>
      </c>
      <c r="R38" s="36"/>
      <c r="S38" s="36">
        <f>IF(ISNA(VLOOKUP(Table1[[#This Row],[Part Number]],'Multi-level BOM'!V$4:V$449,1,FALSE)),0,Table1[[#This Row],[Remaining Extended cost]])</f>
        <v>1.1000000000000001</v>
      </c>
    </row>
    <row r="39" spans="1:19" x14ac:dyDescent="0.25">
      <c r="A39" s="1" t="s">
        <v>42</v>
      </c>
      <c r="B39" s="4" t="s">
        <v>787</v>
      </c>
      <c r="C39" s="1" t="s">
        <v>788</v>
      </c>
      <c r="D39" s="3">
        <v>5.69</v>
      </c>
      <c r="E39" s="3">
        <v>1</v>
      </c>
      <c r="F39" s="3">
        <f>9%*Table1[[#This Row],[Cost ]]</f>
        <v>0.5121</v>
      </c>
      <c r="G39" s="1" t="s">
        <v>789</v>
      </c>
      <c r="H39" s="2">
        <v>1</v>
      </c>
      <c r="I39" s="1" t="s">
        <v>798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  <c r="S39" s="36">
        <f>IF(ISNA(VLOOKUP(Table1[[#This Row],[Part Number]],'Multi-level BOM'!V$4:V$449,1,FALSE)),0,Table1[[#This Row],[Remaining Extended cost]])</f>
        <v>21.606300000000001</v>
      </c>
    </row>
    <row r="40" spans="1:19" ht="30" x14ac:dyDescent="0.25">
      <c r="A40" s="1" t="s">
        <v>43</v>
      </c>
      <c r="B40" s="4" t="s">
        <v>986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798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0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  <c r="S40" s="36">
        <f>IF(ISNA(VLOOKUP(Table1[[#This Row],[Part Number]],'Multi-level BOM'!V$4:V$449,1,FALSE)),0,Table1[[#This Row],[Remaining Extended cost]])</f>
        <v>0</v>
      </c>
    </row>
    <row r="41" spans="1:19" x14ac:dyDescent="0.25">
      <c r="A41" s="1" t="s">
        <v>44</v>
      </c>
      <c r="B41" s="4" t="s">
        <v>801</v>
      </c>
      <c r="C41" s="1" t="s">
        <v>802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800</v>
      </c>
      <c r="H41" s="2">
        <v>1</v>
      </c>
      <c r="I41" s="1" t="s">
        <v>819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  <c r="S41" s="36">
        <f>IF(ISNA(VLOOKUP(Table1[[#This Row],[Part Number]],'Multi-level BOM'!V$4:V$449,1,FALSE)),0,Table1[[#This Row],[Remaining Extended cost]])</f>
        <v>0</v>
      </c>
    </row>
    <row r="42" spans="1:19" x14ac:dyDescent="0.25">
      <c r="A42" s="1" t="s">
        <v>45</v>
      </c>
      <c r="B42" t="s">
        <v>822</v>
      </c>
      <c r="C42" s="1" t="s">
        <v>823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1" t="s">
        <v>824</v>
      </c>
      <c r="H42" s="2">
        <v>2</v>
      </c>
      <c r="I42" s="1" t="s">
        <v>829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  <c r="S42" s="36">
        <f>IF(ISNA(VLOOKUP(Table1[[#This Row],[Part Number]],'Multi-level BOM'!V$4:V$449,1,FALSE)),0,Table1[[#This Row],[Remaining Extended cost]])</f>
        <v>0</v>
      </c>
    </row>
    <row r="43" spans="1:19" x14ac:dyDescent="0.25">
      <c r="A43" s="1" t="s">
        <v>46</v>
      </c>
      <c r="B43" s="4" t="s">
        <v>830</v>
      </c>
      <c r="C43" s="1" t="s">
        <v>950</v>
      </c>
      <c r="D43" s="3">
        <v>0.06</v>
      </c>
      <c r="F43" s="3">
        <v>0</v>
      </c>
      <c r="G43" s="5" t="s">
        <v>968</v>
      </c>
      <c r="H43" s="2">
        <v>1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0.36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6</v>
      </c>
      <c r="O43" s="49">
        <f>Table1[[#This Row],[Order quantity]]+Table1[[#This Row],[quantity on-hand]]-Table1[[#This Row],[extended quantity]]</f>
        <v>0</v>
      </c>
      <c r="P43" s="51">
        <f>IFERROR(Table1[[#This Row],[Order quantity]]*(Table1[[#This Row],[Cost ]]+Table1[[#This Row],[shipping]]+Table1[[#This Row],[Tax]]),0)</f>
        <v>0.36</v>
      </c>
      <c r="Q43" s="36">
        <f>IFERROR(IF(Table1[[#This Row],[Order quantity]]=0,0,Table1[[#This Row],[leftover material]]*(Table1[[#This Row],[Cost ]]+Table1[[#This Row],[shipping]]+Table1[[#This Row],[Tax]])),0)</f>
        <v>0</v>
      </c>
      <c r="R43" s="36"/>
      <c r="S43" s="36">
        <f>IF(ISNA(VLOOKUP(Table1[[#This Row],[Part Number]],'Multi-level BOM'!V$4:V$449,1,FALSE)),0,Table1[[#This Row],[Remaining Extended cost]])</f>
        <v>0.36</v>
      </c>
    </row>
    <row r="44" spans="1:19" x14ac:dyDescent="0.25">
      <c r="A44" s="1" t="s">
        <v>47</v>
      </c>
      <c r="B44" s="4" t="s">
        <v>957</v>
      </c>
      <c r="C44" s="1" t="s">
        <v>950</v>
      </c>
      <c r="D44" s="3">
        <f>1.25/100</f>
        <v>1.2500000000000001E-2</v>
      </c>
      <c r="F44" s="3">
        <v>0</v>
      </c>
      <c r="G44" s="5" t="s">
        <v>979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0.375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1.25</v>
      </c>
      <c r="Q44" s="36">
        <f>IFERROR(IF(Table1[[#This Row],[Order quantity]]=0,0,Table1[[#This Row],[leftover material]]*(Table1[[#This Row],[Cost ]]+Table1[[#This Row],[shipping]]+Table1[[#This Row],[Tax]])),0)</f>
        <v>0.875</v>
      </c>
      <c r="R44" s="36"/>
      <c r="S44" s="36">
        <f>IF(ISNA(VLOOKUP(Table1[[#This Row],[Part Number]],'Multi-level BOM'!V$4:V$449,1,FALSE)),0,Table1[[#This Row],[Remaining Extended cost]])</f>
        <v>1.25</v>
      </c>
    </row>
    <row r="45" spans="1:19" ht="30" x14ac:dyDescent="0.25">
      <c r="A45" s="1" t="s">
        <v>48</v>
      </c>
      <c r="B45" s="4" t="s">
        <v>838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839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  <c r="S45" s="36">
        <f>IF(ISNA(VLOOKUP(Table1[[#This Row],[Part Number]],'Multi-level BOM'!V$4:V$449,1,FALSE)),0,Table1[[#This Row],[Remaining Extended cost]])</f>
        <v>0</v>
      </c>
    </row>
    <row r="46" spans="1:19" x14ac:dyDescent="0.25">
      <c r="A46" s="1" t="s">
        <v>49</v>
      </c>
      <c r="B46" s="4" t="s">
        <v>850</v>
      </c>
      <c r="C46" s="1" t="s">
        <v>697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848</v>
      </c>
      <c r="H46" s="2">
        <v>1</v>
      </c>
      <c r="I46" s="1" t="s">
        <v>798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  <c r="S46" s="36">
        <f>IF(ISNA(VLOOKUP(Table1[[#This Row],[Part Number]],'Multi-level BOM'!V$4:V$449,1,FALSE)),0,Table1[[#This Row],[Remaining Extended cost]])</f>
        <v>0</v>
      </c>
    </row>
    <row r="47" spans="1:19" x14ac:dyDescent="0.25">
      <c r="A47" s="1" t="s">
        <v>50</v>
      </c>
      <c r="B47" s="4" t="s">
        <v>851</v>
      </c>
      <c r="C47" s="1" t="s">
        <v>697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848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  <c r="S47" s="36">
        <f>IF(ISNA(VLOOKUP(Table1[[#This Row],[Part Number]],'Multi-level BOM'!V$4:V$449,1,FALSE)),0,Table1[[#This Row],[Remaining Extended cost]])</f>
        <v>0</v>
      </c>
    </row>
    <row r="48" spans="1:19" x14ac:dyDescent="0.25">
      <c r="A48" s="1" t="s">
        <v>51</v>
      </c>
      <c r="B48" s="16" t="s">
        <v>933</v>
      </c>
      <c r="C48" s="1" t="s">
        <v>708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934</v>
      </c>
      <c r="H48" s="2">
        <v>3</v>
      </c>
      <c r="I48" s="1" t="s">
        <v>798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935</v>
      </c>
      <c r="S48" s="36">
        <f>IF(ISNA(VLOOKUP(Table1[[#This Row],[Part Number]],'Multi-level BOM'!V$4:V$449,1,FALSE)),0,Table1[[#This Row],[Remaining Extended cost]])</f>
        <v>0</v>
      </c>
    </row>
    <row r="49" spans="1:19" x14ac:dyDescent="0.25">
      <c r="A49" s="1" t="s">
        <v>52</v>
      </c>
      <c r="B49" s="4" t="s">
        <v>849</v>
      </c>
      <c r="C49" s="1" t="s">
        <v>697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848</v>
      </c>
      <c r="H49" s="2">
        <v>1</v>
      </c>
      <c r="I49" s="1" t="s">
        <v>798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  <c r="S49" s="36">
        <f>IF(ISNA(VLOOKUP(Table1[[#This Row],[Part Number]],'Multi-level BOM'!V$4:V$449,1,FALSE)),0,Table1[[#This Row],[Remaining Extended cost]])</f>
        <v>0</v>
      </c>
    </row>
    <row r="50" spans="1:19" x14ac:dyDescent="0.25">
      <c r="A50" s="1" t="s">
        <v>53</v>
      </c>
      <c r="B50" t="s">
        <v>852</v>
      </c>
      <c r="C50" s="1" t="s">
        <v>656</v>
      </c>
      <c r="D50" s="3">
        <v>34.1</v>
      </c>
      <c r="F50" s="3">
        <f>9%*Table1[[#This Row],[Cost ]]</f>
        <v>3.069</v>
      </c>
      <c r="G50" s="1" t="s">
        <v>853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  <c r="S50" s="36">
        <f>IF(ISNA(VLOOKUP(Table1[[#This Row],[Part Number]],'Multi-level BOM'!V$4:V$449,1,FALSE)),0,Table1[[#This Row],[Remaining Extended cost]])</f>
        <v>0</v>
      </c>
    </row>
    <row r="51" spans="1:19" x14ac:dyDescent="0.25">
      <c r="A51" s="1" t="s">
        <v>54</v>
      </c>
      <c r="B51" t="s">
        <v>852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853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  <c r="S51" s="36">
        <f>IF(ISNA(VLOOKUP(Table1[[#This Row],[Part Number]],'Multi-level BOM'!V$4:V$449,1,FALSE)),0,Table1[[#This Row],[Remaining Extended cost]])</f>
        <v>0</v>
      </c>
    </row>
    <row r="52" spans="1:19" ht="45" x14ac:dyDescent="0.25">
      <c r="A52" s="1" t="s">
        <v>55</v>
      </c>
      <c r="B52" s="4" t="s">
        <v>854</v>
      </c>
      <c r="C52" s="1" t="s">
        <v>656</v>
      </c>
      <c r="D52" s="3">
        <v>39.99</v>
      </c>
      <c r="F52" s="3">
        <f>9%*Table1[[#This Row],[Cost ]]</f>
        <v>3.5991</v>
      </c>
      <c r="G52" s="1" t="s">
        <v>855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  <c r="S52" s="36">
        <f>IF(ISNA(VLOOKUP(Table1[[#This Row],[Part Number]],'Multi-level BOM'!V$4:V$449,1,FALSE)),0,Table1[[#This Row],[Remaining Extended cost]])</f>
        <v>0</v>
      </c>
    </row>
    <row r="53" spans="1:19" ht="45" x14ac:dyDescent="0.25">
      <c r="A53" s="1" t="s">
        <v>56</v>
      </c>
      <c r="B53" s="4" t="s">
        <v>857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861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  <c r="S53" s="36">
        <f>IF(ISNA(VLOOKUP(Table1[[#This Row],[Part Number]],'Multi-level BOM'!V$4:V$449,1,FALSE)),0,Table1[[#This Row],[Remaining Extended cost]])</f>
        <v>0</v>
      </c>
    </row>
    <row r="54" spans="1:19" x14ac:dyDescent="0.25">
      <c r="A54" s="1" t="s">
        <v>57</v>
      </c>
      <c r="B54" s="16" t="s">
        <v>924</v>
      </c>
      <c r="C54" s="1" t="s">
        <v>868</v>
      </c>
      <c r="D54" s="3">
        <v>46.71</v>
      </c>
      <c r="E54" s="3">
        <v>6</v>
      </c>
      <c r="F54" s="3">
        <f>9%*Table1[[#This Row],[Cost ]]</f>
        <v>4.2039</v>
      </c>
      <c r="G54" s="1" t="s">
        <v>925</v>
      </c>
      <c r="H54" s="2">
        <v>1</v>
      </c>
      <c r="I54" s="1" t="s">
        <v>870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  <c r="S54" s="36">
        <f>IF(ISNA(VLOOKUP(Table1[[#This Row],[Part Number]],'Multi-level BOM'!V$4:V$449,1,FALSE)),0,Table1[[#This Row],[Remaining Extended cost]])</f>
        <v>0</v>
      </c>
    </row>
    <row r="55" spans="1:19" ht="30" x14ac:dyDescent="0.25">
      <c r="A55" s="1" t="s">
        <v>58</v>
      </c>
      <c r="B55" s="4" t="s">
        <v>859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860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  <c r="S55" s="36">
        <f>IF(ISNA(VLOOKUP(Table1[[#This Row],[Part Number]],'Multi-level BOM'!V$4:V$449,1,FALSE)),0,Table1[[#This Row],[Remaining Extended cost]])</f>
        <v>0</v>
      </c>
    </row>
    <row r="56" spans="1:19" ht="30" x14ac:dyDescent="0.25">
      <c r="A56" s="1" t="s">
        <v>59</v>
      </c>
      <c r="B56" s="4" t="s">
        <v>862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863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  <c r="S56" s="36">
        <f>IF(ISNA(VLOOKUP(Table1[[#This Row],[Part Number]],'Multi-level BOM'!V$4:V$449,1,FALSE)),0,Table1[[#This Row],[Remaining Extended cost]])</f>
        <v>0</v>
      </c>
    </row>
    <row r="57" spans="1:19" ht="45" x14ac:dyDescent="0.25">
      <c r="A57" s="1" t="s">
        <v>60</v>
      </c>
      <c r="B57" s="4" t="s">
        <v>867</v>
      </c>
      <c r="C57" s="1" t="s">
        <v>868</v>
      </c>
      <c r="D57" s="3">
        <v>48.96</v>
      </c>
      <c r="E57" s="3">
        <v>10</v>
      </c>
      <c r="F57" s="3">
        <v>0</v>
      </c>
      <c r="G57" s="1" t="s">
        <v>869</v>
      </c>
      <c r="H57" s="2">
        <v>1</v>
      </c>
      <c r="I57" s="1" t="s">
        <v>870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  <c r="S57" s="36">
        <f>IF(ISNA(VLOOKUP(Table1[[#This Row],[Part Number]],'Multi-level BOM'!V$4:V$449,1,FALSE)),0,Table1[[#This Row],[Remaining Extended cost]])</f>
        <v>0</v>
      </c>
    </row>
    <row r="58" spans="1:19" ht="45" x14ac:dyDescent="0.25">
      <c r="A58" s="1" t="s">
        <v>61</v>
      </c>
      <c r="B58" s="4" t="s">
        <v>874</v>
      </c>
      <c r="C58" s="1" t="s">
        <v>868</v>
      </c>
      <c r="D58" s="3">
        <v>147</v>
      </c>
      <c r="E58" s="3">
        <v>15</v>
      </c>
      <c r="F58" s="3">
        <v>0</v>
      </c>
      <c r="G58" s="1" t="s">
        <v>873</v>
      </c>
      <c r="H58" s="2">
        <v>1</v>
      </c>
      <c r="I58" s="1" t="s">
        <v>798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894</v>
      </c>
      <c r="S58" s="36">
        <f>IF(ISNA(VLOOKUP(Table1[[#This Row],[Part Number]],'Multi-level BOM'!V$4:V$449,1,FALSE)),0,Table1[[#This Row],[Remaining Extended cost]])</f>
        <v>0</v>
      </c>
    </row>
    <row r="59" spans="1:19" ht="45" x14ac:dyDescent="0.25">
      <c r="A59" s="1" t="s">
        <v>62</v>
      </c>
      <c r="B59" s="4" t="s">
        <v>875</v>
      </c>
      <c r="C59" s="1" t="s">
        <v>868</v>
      </c>
      <c r="D59" s="3">
        <v>69.08</v>
      </c>
      <c r="E59" s="3">
        <v>10</v>
      </c>
      <c r="F59" s="3">
        <v>0</v>
      </c>
      <c r="G59" s="1" t="s">
        <v>871</v>
      </c>
      <c r="H59" s="2">
        <v>1</v>
      </c>
      <c r="I59" s="1" t="s">
        <v>798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  <c r="S59" s="36">
        <f>IF(ISNA(VLOOKUP(Table1[[#This Row],[Part Number]],'Multi-level BOM'!V$4:V$449,1,FALSE)),0,Table1[[#This Row],[Remaining Extended cost]])</f>
        <v>0</v>
      </c>
    </row>
    <row r="60" spans="1:19" ht="30" x14ac:dyDescent="0.25">
      <c r="A60" s="1" t="s">
        <v>63</v>
      </c>
      <c r="B60" s="4" t="s">
        <v>878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879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26.901199999999999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26.901199999999999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6"/>
      <c r="S60" s="36">
        <f>IF(ISNA(VLOOKUP(Table1[[#This Row],[Part Number]],'Multi-level BOM'!V$4:V$449,1,FALSE)),0,Table1[[#This Row],[Remaining Extended cost]])</f>
        <v>26.901199999999999</v>
      </c>
    </row>
    <row r="61" spans="1:19" ht="30" x14ac:dyDescent="0.25">
      <c r="A61" s="1" t="s">
        <v>64</v>
      </c>
      <c r="B61" s="4" t="s">
        <v>998</v>
      </c>
      <c r="C61" s="1" t="s">
        <v>656</v>
      </c>
      <c r="D61" s="3">
        <v>13.99</v>
      </c>
      <c r="F61" s="3">
        <f>9%*Table1[[#This Row],[Cost ]]</f>
        <v>1.2590999999999999</v>
      </c>
      <c r="G61" s="5" t="s">
        <v>985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15.2491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  <c r="S61" s="36">
        <f>IF(ISNA(VLOOKUP(Table1[[#This Row],[Part Number]],'Multi-level BOM'!V$4:V$449,1,FALSE)),0,Table1[[#This Row],[Remaining Extended cost]])</f>
        <v>0</v>
      </c>
    </row>
    <row r="62" spans="1:19" ht="30" x14ac:dyDescent="0.25">
      <c r="A62" s="1" t="s">
        <v>65</v>
      </c>
      <c r="B62" s="4" t="s">
        <v>881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880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  <c r="S62" s="36">
        <f>IF(ISNA(VLOOKUP(Table1[[#This Row],[Part Number]],'Multi-level BOM'!V$4:V$449,1,FALSE)),0,Table1[[#This Row],[Remaining Extended cost]])</f>
        <v>0</v>
      </c>
    </row>
    <row r="63" spans="1:19" ht="30" x14ac:dyDescent="0.25">
      <c r="A63" s="1" t="s">
        <v>66</v>
      </c>
      <c r="B63" s="16" t="s">
        <v>882</v>
      </c>
      <c r="C63" s="1" t="s">
        <v>987</v>
      </c>
      <c r="D63" s="3">
        <v>3.95</v>
      </c>
      <c r="E63" s="3">
        <v>6</v>
      </c>
      <c r="F63" s="3">
        <f>9%*Table1[[#This Row],[Cost ]]</f>
        <v>0.35549999999999998</v>
      </c>
      <c r="G63" s="5" t="s">
        <v>988</v>
      </c>
      <c r="H63" s="2">
        <v>1</v>
      </c>
      <c r="I63" s="1" t="s">
        <v>798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30.916499999999996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3</v>
      </c>
      <c r="O63" s="49">
        <f>Table1[[#This Row],[Order quantity]]+Table1[[#This Row],[quantity on-hand]]-Table1[[#This Row],[extended quantity]]</f>
        <v>0</v>
      </c>
      <c r="P63" s="51">
        <f>IFERROR(Table1[[#This Row],[Order quantity]]*(Table1[[#This Row],[Cost ]]+Table1[[#This Row],[shipping]]+Table1[[#This Row],[Tax]]),0)</f>
        <v>30.916499999999996</v>
      </c>
      <c r="Q63" s="36">
        <f>IFERROR(IF(Table1[[#This Row],[Order quantity]]=0,0,Table1[[#This Row],[leftover material]]*(Table1[[#This Row],[Cost ]]+Table1[[#This Row],[shipping]]+Table1[[#This Row],[Tax]])),0)</f>
        <v>0</v>
      </c>
      <c r="R63" s="36"/>
      <c r="S63" s="36">
        <f>IF(ISNA(VLOOKUP(Table1[[#This Row],[Part Number]],'Multi-level BOM'!V$4:V$449,1,FALSE)),0,Table1[[#This Row],[Remaining Extended cost]])</f>
        <v>30.916499999999996</v>
      </c>
    </row>
    <row r="64" spans="1:19" ht="30" x14ac:dyDescent="0.25">
      <c r="A64" s="1" t="s">
        <v>67</v>
      </c>
      <c r="B64" s="4" t="s">
        <v>887</v>
      </c>
      <c r="C64" s="1" t="s">
        <v>950</v>
      </c>
      <c r="D64" s="3">
        <v>0.1</v>
      </c>
      <c r="F64" s="3">
        <v>0</v>
      </c>
      <c r="G64" s="1" t="s">
        <v>977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1.2000000000000002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12</v>
      </c>
      <c r="O64" s="49">
        <f>Table1[[#This Row],[Order quantity]]+Table1[[#This Row],[quantity on-hand]]-Table1[[#This Row],[extended quantity]]</f>
        <v>0</v>
      </c>
      <c r="P64" s="51">
        <f>IFERROR(Table1[[#This Row],[Order quantity]]*(Table1[[#This Row],[Cost ]]+Table1[[#This Row],[shipping]]+Table1[[#This Row],[Tax]]),0)</f>
        <v>1.2000000000000002</v>
      </c>
      <c r="Q64" s="36">
        <f>IFERROR(IF(Table1[[#This Row],[Order quantity]]=0,0,Table1[[#This Row],[leftover material]]*(Table1[[#This Row],[Cost ]]+Table1[[#This Row],[shipping]]+Table1[[#This Row],[Tax]])),0)</f>
        <v>0</v>
      </c>
      <c r="R64" s="36"/>
      <c r="S64" s="36">
        <f>IF(ISNA(VLOOKUP(Table1[[#This Row],[Part Number]],'Multi-level BOM'!V$4:V$449,1,FALSE)),0,Table1[[#This Row],[Remaining Extended cost]])</f>
        <v>1.2000000000000002</v>
      </c>
    </row>
    <row r="65" spans="1:19" ht="30" x14ac:dyDescent="0.25">
      <c r="A65" s="1" t="s">
        <v>68</v>
      </c>
      <c r="B65" s="4" t="s">
        <v>890</v>
      </c>
      <c r="C65" s="1" t="s">
        <v>950</v>
      </c>
      <c r="D65" s="3">
        <f>1.77/100</f>
        <v>1.77E-2</v>
      </c>
      <c r="F65" s="3">
        <v>0</v>
      </c>
      <c r="G65" s="5" t="s">
        <v>981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0.1593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91</v>
      </c>
      <c r="P65" s="51">
        <f>IFERROR(Table1[[#This Row],[Order quantity]]*(Table1[[#This Row],[Cost ]]+Table1[[#This Row],[shipping]]+Table1[[#This Row],[Tax]]),0)</f>
        <v>1.77</v>
      </c>
      <c r="Q65" s="36">
        <f>IFERROR(IF(Table1[[#This Row],[Order quantity]]=0,0,Table1[[#This Row],[leftover material]]*(Table1[[#This Row],[Cost ]]+Table1[[#This Row],[shipping]]+Table1[[#This Row],[Tax]])),0)</f>
        <v>1.6107</v>
      </c>
      <c r="R65" s="36"/>
      <c r="S65" s="36">
        <f>IF(ISNA(VLOOKUP(Table1[[#This Row],[Part Number]],'Multi-level BOM'!V$4:V$449,1,FALSE)),0,Table1[[#This Row],[Remaining Extended cost]])</f>
        <v>1.77</v>
      </c>
    </row>
    <row r="66" spans="1:19" x14ac:dyDescent="0.25">
      <c r="A66" s="1" t="s">
        <v>69</v>
      </c>
      <c r="B66" s="4" t="s">
        <v>901</v>
      </c>
      <c r="C66" s="1" t="s">
        <v>950</v>
      </c>
      <c r="D66" s="3">
        <v>0.16</v>
      </c>
      <c r="F66" s="3">
        <v>0</v>
      </c>
      <c r="G66" s="1" t="s">
        <v>970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1.28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8</v>
      </c>
      <c r="O66" s="49">
        <f>Table1[[#This Row],[Order quantity]]+Table1[[#This Row],[quantity on-hand]]-Table1[[#This Row],[extended quantity]]</f>
        <v>0</v>
      </c>
      <c r="P66" s="51">
        <f>IFERROR(Table1[[#This Row],[Order quantity]]*(Table1[[#This Row],[Cost ]]+Table1[[#This Row],[shipping]]+Table1[[#This Row],[Tax]]),0)</f>
        <v>1.28</v>
      </c>
      <c r="Q66" s="36">
        <f>IFERROR(IF(Table1[[#This Row],[Order quantity]]=0,0,Table1[[#This Row],[leftover material]]*(Table1[[#This Row],[Cost ]]+Table1[[#This Row],[shipping]]+Table1[[#This Row],[Tax]])),0)</f>
        <v>0</v>
      </c>
      <c r="R66" s="36"/>
      <c r="S66" s="36">
        <f>IF(ISNA(VLOOKUP(Table1[[#This Row],[Part Number]],'Multi-level BOM'!V$4:V$449,1,FALSE)),0,Table1[[#This Row],[Remaining Extended cost]])</f>
        <v>1.28</v>
      </c>
    </row>
    <row r="67" spans="1:19" x14ac:dyDescent="0.25">
      <c r="A67" s="1" t="s">
        <v>70</v>
      </c>
      <c r="B67" s="16" t="s">
        <v>904</v>
      </c>
      <c r="C67" s="1" t="s">
        <v>708</v>
      </c>
      <c r="D67" s="3">
        <f>4.69/13</f>
        <v>0.36076923076923079</v>
      </c>
      <c r="F67" s="3">
        <f>9%*Table1[[#This Row],[Cost ]]</f>
        <v>3.2469230769230771E-2</v>
      </c>
      <c r="G67" s="1" t="s">
        <v>921</v>
      </c>
      <c r="H67" s="2">
        <v>12</v>
      </c>
      <c r="I67" s="1" t="s">
        <v>922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935</v>
      </c>
      <c r="S67" s="36">
        <f>IF(ISNA(VLOOKUP(Table1[[#This Row],[Part Number]],'Multi-level BOM'!V$4:V$449,1,FALSE)),0,Table1[[#This Row],[Remaining Extended cost]])</f>
        <v>0</v>
      </c>
    </row>
    <row r="68" spans="1:19" x14ac:dyDescent="0.25">
      <c r="A68" s="1" t="s">
        <v>71</v>
      </c>
      <c r="B68" s="4" t="s">
        <v>923</v>
      </c>
      <c r="C68" s="1" t="s">
        <v>708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798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0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0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  <c r="S68" s="36">
        <f>IF(ISNA(VLOOKUP(Table1[[#This Row],[Part Number]],'Multi-level BOM'!V$4:V$449,1,FALSE)),0,Table1[[#This Row],[Remaining Extended cost]])</f>
        <v>0</v>
      </c>
    </row>
    <row r="69" spans="1:19" ht="30" x14ac:dyDescent="0.25">
      <c r="A69" s="1" t="s">
        <v>72</v>
      </c>
      <c r="B69" s="4" t="s">
        <v>909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910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0</v>
      </c>
      <c r="O69" s="49">
        <f>Table1[[#This Row],[Order quantity]]+Table1[[#This Row],[quantity on-hand]]-Table1[[#This Row],[extended quantity]]</f>
        <v>0</v>
      </c>
      <c r="P69" s="51">
        <f>IFERROR(Table1[[#This Row],[Order quantity]]*(Table1[[#This Row],[Cost ]]+Table1[[#This Row],[shipping]]+Table1[[#This Row],[Tax]]),0)</f>
        <v>0</v>
      </c>
      <c r="Q69" s="36">
        <f>IFERROR(IF(Table1[[#This Row],[Order quantity]]=0,0,Table1[[#This Row],[leftover material]]*(Table1[[#This Row],[Cost ]]+Table1[[#This Row],[shipping]]+Table1[[#This Row],[Tax]])),0)</f>
        <v>0</v>
      </c>
      <c r="R69" s="36"/>
      <c r="S69" s="36">
        <f>IF(ISNA(VLOOKUP(Table1[[#This Row],[Part Number]],'Multi-level BOM'!V$4:V$449,1,FALSE)),0,Table1[[#This Row],[Remaining Extended cost]])</f>
        <v>0</v>
      </c>
    </row>
    <row r="70" spans="1:19" x14ac:dyDescent="0.25">
      <c r="A70" s="1" t="s">
        <v>73</v>
      </c>
      <c r="B70" s="16" t="s">
        <v>920</v>
      </c>
      <c r="C70" s="1" t="s">
        <v>708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798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0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0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  <c r="S70" s="36">
        <f>IF(ISNA(VLOOKUP(Table1[[#This Row],[Part Number]],'Multi-level BOM'!V$4:V$449,1,FALSE)),0,Table1[[#This Row],[Remaining Extended cost]])</f>
        <v>0</v>
      </c>
    </row>
    <row r="71" spans="1:19" x14ac:dyDescent="0.25">
      <c r="A71" s="1" t="s">
        <v>74</v>
      </c>
      <c r="B71" s="4" t="s">
        <v>939</v>
      </c>
      <c r="C71" s="1" t="s">
        <v>708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935</v>
      </c>
      <c r="S71" s="36">
        <f>IF(ISNA(VLOOKUP(Table1[[#This Row],[Part Number]],'Multi-level BOM'!V$4:V$449,1,FALSE)),0,Table1[[#This Row],[Remaining Extended cost]])</f>
        <v>0</v>
      </c>
    </row>
    <row r="72" spans="1:19" x14ac:dyDescent="0.25">
      <c r="A72" s="1" t="s">
        <v>75</v>
      </c>
      <c r="B72" t="s">
        <v>947</v>
      </c>
      <c r="C72" s="1" t="s">
        <v>868</v>
      </c>
      <c r="D72" s="3">
        <v>1.49</v>
      </c>
      <c r="E72" s="3">
        <v>5</v>
      </c>
      <c r="F72" s="3">
        <f>9%*Table1[[#This Row],[Cost ]]</f>
        <v>0.1341</v>
      </c>
      <c r="G72" s="1" t="s">
        <v>948</v>
      </c>
      <c r="H72" s="2">
        <v>1</v>
      </c>
      <c r="I72" s="1" t="s">
        <v>949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>
        <f>CEILING((Table1[[#This Row],[extended quantity]]-Table1[[#This Row],[quantity on-hand]])/Table1[[#This Row],[Minimum order quantity]],1)*Table1[[#This Row],[Minimum order quantity]]</f>
        <v>0</v>
      </c>
      <c r="O72" s="49">
        <f>Table1[[#This Row],[Order quantity]]+Table1[[#This Row],[quantity on-hand]]-Table1[[#This Row],[extended quantity]]</f>
        <v>0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  <c r="S72" s="36">
        <f>IF(ISNA(VLOOKUP(Table1[[#This Row],[Part Number]],'Multi-level BOM'!V$4:V$449,1,FALSE)),0,Table1[[#This Row],[Remaining Extended cost]])</f>
        <v>0</v>
      </c>
    </row>
    <row r="73" spans="1:19" ht="30" x14ac:dyDescent="0.25">
      <c r="A73" s="1" t="s">
        <v>76</v>
      </c>
      <c r="B73" s="4" t="s">
        <v>954</v>
      </c>
      <c r="C73" s="1" t="s">
        <v>955</v>
      </c>
      <c r="D73" s="3">
        <f>10.97/10</f>
        <v>1.097</v>
      </c>
      <c r="E73" s="3">
        <f>2.5/10</f>
        <v>0.25</v>
      </c>
      <c r="F73" s="3">
        <v>0</v>
      </c>
      <c r="G73" s="1" t="s">
        <v>953</v>
      </c>
      <c r="H73" s="2">
        <v>10</v>
      </c>
      <c r="I73" s="1" t="s">
        <v>798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10"/>
      <c r="M73" s="40"/>
      <c r="N73" s="49">
        <f>CEILING((Table1[[#This Row],[extended quantity]]-Table1[[#This Row],[quantity on-hand]])/Table1[[#This Row],[Minimum order quantity]],1)*Table1[[#This Row],[Minimum order quantity]]</f>
        <v>40</v>
      </c>
      <c r="O73" s="49">
        <f>Table1[[#This Row],[Order quantity]]+Table1[[#This Row],[quantity on-hand]]-Table1[[#This Row],[extended quantity]]</f>
        <v>4</v>
      </c>
      <c r="P73" s="51">
        <f>IFERROR(Table1[[#This Row],[Order quantity]]*(Table1[[#This Row],[Cost ]]+Table1[[#This Row],[shipping]]+Table1[[#This Row],[Tax]]),0)</f>
        <v>53.879999999999995</v>
      </c>
      <c r="Q73" s="36">
        <f>IFERROR(IF(Table1[[#This Row],[Order quantity]]=0,0,Table1[[#This Row],[leftover material]]*(Table1[[#This Row],[Cost ]]+Table1[[#This Row],[shipping]]+Table1[[#This Row],[Tax]])),0)</f>
        <v>5.3879999999999999</v>
      </c>
      <c r="R73" s="36"/>
      <c r="S73" s="36">
        <f>IF(ISNA(VLOOKUP(Table1[[#This Row],[Part Number]],'Multi-level BOM'!V$4:V$449,1,FALSE)),0,Table1[[#This Row],[Remaining Extended cost]])</f>
        <v>0</v>
      </c>
    </row>
    <row r="74" spans="1:19" x14ac:dyDescent="0.25">
      <c r="A74" s="1" t="s">
        <v>77</v>
      </c>
      <c r="B74" s="4" t="s">
        <v>997</v>
      </c>
      <c r="C74" s="1" t="s">
        <v>950</v>
      </c>
      <c r="D74" s="3">
        <v>0.08</v>
      </c>
      <c r="F74" s="3">
        <v>0</v>
      </c>
      <c r="G74" s="1" t="s">
        <v>996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0.96</v>
      </c>
      <c r="L74" s="10"/>
      <c r="M74" s="40"/>
      <c r="N74" s="49">
        <f>CEILING((Table1[[#This Row],[extended quantity]]-Table1[[#This Row],[quantity on-hand]])/Table1[[#This Row],[Minimum order quantity]],1)*Table1[[#This Row],[Minimum order quantity]]</f>
        <v>12</v>
      </c>
      <c r="O74" s="49">
        <f>Table1[[#This Row],[Order quantity]]+Table1[[#This Row],[quantity on-hand]]-Table1[[#This Row],[extended quantity]]</f>
        <v>0</v>
      </c>
      <c r="P74" s="51">
        <f>IFERROR(Table1[[#This Row],[Order quantity]]*(Table1[[#This Row],[Cost ]]+Table1[[#This Row],[shipping]]+Table1[[#This Row],[Tax]]),0)</f>
        <v>0.96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6"/>
      <c r="S74" s="36">
        <f>IF(ISNA(VLOOKUP(Table1[[#This Row],[Part Number]],'Multi-level BOM'!V$4:V$449,1,FALSE)),0,Table1[[#This Row],[Remaining Extended cost]])</f>
        <v>0.96</v>
      </c>
    </row>
    <row r="75" spans="1:19" x14ac:dyDescent="0.25">
      <c r="A75" s="1" t="s">
        <v>78</v>
      </c>
      <c r="B75" s="4" t="s">
        <v>1001</v>
      </c>
      <c r="C75" s="1" t="s">
        <v>999</v>
      </c>
      <c r="D75" s="3">
        <f>9.99/4</f>
        <v>2.4975000000000001</v>
      </c>
      <c r="F75" s="3">
        <f>9%*Table1[[#This Row],[Cost ]]</f>
        <v>0.224775</v>
      </c>
      <c r="G75" s="1" t="s">
        <v>1000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2.7222750000000002</v>
      </c>
      <c r="L75" s="10"/>
      <c r="M75" s="40"/>
      <c r="N75" s="49">
        <f>CEILING((Table1[[#This Row],[extended quantity]]-Table1[[#This Row],[quantity on-hand]])/Table1[[#This Row],[Minimum order quantity]],1)*Table1[[#This Row],[Minimum order quantity]]</f>
        <v>1</v>
      </c>
      <c r="O75" s="49">
        <f>Table1[[#This Row],[Order quantity]]+Table1[[#This Row],[quantity on-hand]]-Table1[[#This Row],[extended quantity]]</f>
        <v>0</v>
      </c>
      <c r="P75" s="51">
        <f>IFERROR(Table1[[#This Row],[Order quantity]]*(Table1[[#This Row],[Cost ]]+Table1[[#This Row],[shipping]]+Table1[[#This Row],[Tax]]),0)</f>
        <v>2.7222750000000002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  <c r="S75" s="36">
        <f>IF(ISNA(VLOOKUP(Table1[[#This Row],[Part Number]],'Multi-level BOM'!V$4:V$449,1,FALSE)),0,Table1[[#This Row],[Remaining Extended cost]])</f>
        <v>0</v>
      </c>
    </row>
    <row r="76" spans="1:19" x14ac:dyDescent="0.25">
      <c r="A76" s="1" t="s">
        <v>79</v>
      </c>
      <c r="B76" s="4"/>
      <c r="F76" s="3">
        <f>9%*Table1[[#This Row],[Cost ]]</f>
        <v>0</v>
      </c>
      <c r="J76" s="49">
        <f>SUMIF('Multi-level BOM'!D$4:D$467,Table1[[#This Row],[Part Number]],'Multi-level BOM'!H$4:H$467)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  <c r="S76" s="36">
        <f>IF(ISNA(VLOOKUP(Table1[[#This Row],[Part Number]],'Multi-level BOM'!V$4:V$449,1,FALSE)),0,Table1[[#This Row],[Remaining Extended cost]])</f>
        <v>0</v>
      </c>
    </row>
    <row r="77" spans="1:19" x14ac:dyDescent="0.25">
      <c r="A77" s="1" t="s">
        <v>80</v>
      </c>
      <c r="B77" s="4"/>
      <c r="F77" s="3">
        <f>9%*Table1[[#This Row],[Cost ]]</f>
        <v>0</v>
      </c>
      <c r="J77" s="49">
        <f>SUMIF('Multi-level BOM'!D$4:D$467,Table1[[#This Row],[Part Number]],'Multi-level BOM'!H$4:H$467)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  <c r="S77" s="36">
        <f>IF(ISNA(VLOOKUP(Table1[[#This Row],[Part Number]],'Multi-level BOM'!V$4:V$449,1,FALSE)),0,Table1[[#This Row],[Remaining Extended cost]])</f>
        <v>0</v>
      </c>
    </row>
    <row r="78" spans="1:19" x14ac:dyDescent="0.25">
      <c r="A78" s="1" t="s">
        <v>81</v>
      </c>
      <c r="B78" s="4"/>
      <c r="F78" s="3">
        <f>9%*Table1[[#This Row],[Cost ]]</f>
        <v>0</v>
      </c>
      <c r="J78" s="49">
        <f>SUMIF('Multi-level BOM'!D$4:D$467,Table1[[#This Row],[Part Number]],'Multi-level BOM'!H$4:H$467)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  <c r="S78" s="36">
        <f>IF(ISNA(VLOOKUP(Table1[[#This Row],[Part Number]],'Multi-level BOM'!V$4:V$449,1,FALSE)),0,Table1[[#This Row],[Remaining Extended cost]])</f>
        <v>0</v>
      </c>
    </row>
    <row r="79" spans="1:19" x14ac:dyDescent="0.25">
      <c r="A79" s="1" t="s">
        <v>82</v>
      </c>
      <c r="B79" s="4"/>
      <c r="F79" s="3">
        <f>9%*Table1[[#This Row],[Cost ]]</f>
        <v>0</v>
      </c>
      <c r="J79" s="49">
        <f>SUMIF('Multi-level BOM'!D$4:D$467,Table1[[#This Row],[Part Number]],'Multi-level BOM'!H$4:H$467)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  <c r="S79" s="36">
        <f>IF(ISNA(VLOOKUP(Table1[[#This Row],[Part Number]],'Multi-level BOM'!V$4:V$449,1,FALSE)),0,Table1[[#This Row],[Remaining Extended cost]])</f>
        <v>0</v>
      </c>
    </row>
    <row r="80" spans="1:19" x14ac:dyDescent="0.25">
      <c r="A80" s="1" t="s">
        <v>83</v>
      </c>
      <c r="B80" s="4"/>
      <c r="F80" s="3">
        <f>9%*Table1[[#This Row],[Cost ]]</f>
        <v>0</v>
      </c>
      <c r="J80" s="49">
        <f>SUMIF('Multi-level BOM'!D$4:D$467,Table1[[#This Row],[Part Number]],'Multi-level BOM'!H$4:H$467)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  <c r="S80" s="36">
        <f>IF(ISNA(VLOOKUP(Table1[[#This Row],[Part Number]],'Multi-level BOM'!V$4:V$449,1,FALSE)),0,Table1[[#This Row],[Remaining Extended cost]])</f>
        <v>0</v>
      </c>
    </row>
    <row r="81" spans="1:19" x14ac:dyDescent="0.25">
      <c r="A81" s="1" t="s">
        <v>84</v>
      </c>
      <c r="B81" s="4"/>
      <c r="F81" s="3">
        <f>9%*Table1[[#This Row],[Cost ]]</f>
        <v>0</v>
      </c>
      <c r="J81" s="49">
        <f>SUMIF('Multi-level BOM'!D$4:D$467,Table1[[#This Row],[Part Number]],'Multi-level BOM'!H$4:H$467)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  <c r="S81" s="36">
        <f>IF(ISNA(VLOOKUP(Table1[[#This Row],[Part Number]],'Multi-level BOM'!V$4:V$449,1,FALSE)),0,Table1[[#This Row],[Remaining Extended cost]])</f>
        <v>0</v>
      </c>
    </row>
    <row r="82" spans="1:19" x14ac:dyDescent="0.25">
      <c r="A82" s="1" t="s">
        <v>85</v>
      </c>
      <c r="B82" s="4"/>
      <c r="F82" s="3">
        <f>9%*Table1[[#This Row],[Cost ]]</f>
        <v>0</v>
      </c>
      <c r="J82" s="49">
        <f>SUMIF('Multi-level BOM'!D$4:D$467,Table1[[#This Row],[Part Number]],'Multi-level BOM'!H$4:H$467)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  <c r="S82" s="36">
        <f>IF(ISNA(VLOOKUP(Table1[[#This Row],[Part Number]],'Multi-level BOM'!V$4:V$449,1,FALSE)),0,Table1[[#This Row],[Remaining Extended cost]])</f>
        <v>0</v>
      </c>
    </row>
    <row r="83" spans="1:19" x14ac:dyDescent="0.25">
      <c r="A83" s="1" t="s">
        <v>86</v>
      </c>
      <c r="B83" s="4"/>
      <c r="F83" s="3">
        <f>9%*Table1[[#This Row],[Cost ]]</f>
        <v>0</v>
      </c>
      <c r="J83" s="49">
        <f>SUMIF('Multi-level BOM'!D$4:D$467,Table1[[#This Row],[Part Number]],'Multi-level BOM'!H$4:H$467)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  <c r="S83" s="36">
        <f>IF(ISNA(VLOOKUP(Table1[[#This Row],[Part Number]],'Multi-level BOM'!V$4:V$449,1,FALSE)),0,Table1[[#This Row],[Remaining Extended cost]])</f>
        <v>0</v>
      </c>
    </row>
    <row r="84" spans="1:19" x14ac:dyDescent="0.25">
      <c r="A84" s="1" t="s">
        <v>87</v>
      </c>
      <c r="B84" s="4"/>
      <c r="F84" s="3">
        <f>9%*Table1[[#This Row],[Cost ]]</f>
        <v>0</v>
      </c>
      <c r="J84" s="49">
        <f>SUMIF('Multi-level BOM'!D$4:D$467,Table1[[#This Row],[Part Number]],'Multi-level BOM'!H$4:H$467)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  <c r="S84" s="36">
        <f>IF(ISNA(VLOOKUP(Table1[[#This Row],[Part Number]],'Multi-level BOM'!V$4:V$449,1,FALSE)),0,Table1[[#This Row],[Remaining Extended cost]])</f>
        <v>0</v>
      </c>
    </row>
    <row r="85" spans="1:19" x14ac:dyDescent="0.25">
      <c r="A85" s="1" t="s">
        <v>88</v>
      </c>
      <c r="B85" s="4"/>
      <c r="F85" s="3">
        <f>9%*Table1[[#This Row],[Cost ]]</f>
        <v>0</v>
      </c>
      <c r="J85" s="49">
        <f>SUMIF('Multi-level BOM'!D$4:D$467,Table1[[#This Row],[Part Number]],'Multi-level BOM'!H$4:H$467)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  <c r="S85" s="36">
        <f>IF(ISNA(VLOOKUP(Table1[[#This Row],[Part Number]],'Multi-level BOM'!V$4:V$449,1,FALSE)),0,Table1[[#This Row],[Remaining Extended cost]])</f>
        <v>0</v>
      </c>
    </row>
    <row r="86" spans="1:19" x14ac:dyDescent="0.25">
      <c r="A86" s="1" t="s">
        <v>89</v>
      </c>
      <c r="B86" s="4"/>
      <c r="F86" s="3">
        <f>9%*Table1[[#This Row],[Cost ]]</f>
        <v>0</v>
      </c>
      <c r="J86" s="49">
        <f>SUMIF('Multi-level BOM'!D$4:D$467,Table1[[#This Row],[Part Number]],'Multi-level BOM'!H$4:H$467)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  <c r="S86" s="36">
        <f>IF(ISNA(VLOOKUP(Table1[[#This Row],[Part Number]],'Multi-level BOM'!V$4:V$449,1,FALSE)),0,Table1[[#This Row],[Remaining Extended cost]])</f>
        <v>0</v>
      </c>
    </row>
    <row r="87" spans="1:19" x14ac:dyDescent="0.25">
      <c r="A87" s="1" t="s">
        <v>90</v>
      </c>
      <c r="B87" s="4"/>
      <c r="F87" s="3">
        <f>9%*Table1[[#This Row],[Cost ]]</f>
        <v>0</v>
      </c>
      <c r="J87" s="49">
        <f>SUMIF('Multi-level BOM'!D$4:D$467,Table1[[#This Row],[Part Number]],'Multi-level BOM'!H$4:H$467)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  <c r="S87" s="36">
        <f>IF(ISNA(VLOOKUP(Table1[[#This Row],[Part Number]],'Multi-level BOM'!V$4:V$449,1,FALSE)),0,Table1[[#This Row],[Remaining Extended cost]])</f>
        <v>0</v>
      </c>
    </row>
    <row r="88" spans="1:19" x14ac:dyDescent="0.25">
      <c r="A88" s="1" t="s">
        <v>91</v>
      </c>
      <c r="B88" s="4"/>
      <c r="F88" s="3">
        <f>9%*Table1[[#This Row],[Cost ]]</f>
        <v>0</v>
      </c>
      <c r="J88" s="49">
        <f>SUMIF('Multi-level BOM'!D$4:D$467,Table1[[#This Row],[Part Number]],'Multi-level BOM'!H$4:H$467)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  <c r="S88" s="36">
        <f>IF(ISNA(VLOOKUP(Table1[[#This Row],[Part Number]],'Multi-level BOM'!V$4:V$449,1,FALSE)),0,Table1[[#This Row],[Remaining Extended cost]])</f>
        <v>0</v>
      </c>
    </row>
    <row r="89" spans="1:19" x14ac:dyDescent="0.25">
      <c r="A89" s="1" t="s">
        <v>92</v>
      </c>
      <c r="B89" s="4"/>
      <c r="F89" s="3">
        <f>9%*Table1[[#This Row],[Cost ]]</f>
        <v>0</v>
      </c>
      <c r="J89" s="49">
        <f>SUMIF('Multi-level BOM'!D$4:D$467,Table1[[#This Row],[Part Number]],'Multi-level BOM'!H$4:H$467)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  <c r="S89" s="36">
        <f>IF(ISNA(VLOOKUP(Table1[[#This Row],[Part Number]],'Multi-level BOM'!V$4:V$449,1,FALSE)),0,Table1[[#This Row],[Remaining Extended cost]])</f>
        <v>0</v>
      </c>
    </row>
    <row r="90" spans="1:19" x14ac:dyDescent="0.25">
      <c r="A90" s="1" t="s">
        <v>93</v>
      </c>
      <c r="B90" s="4"/>
      <c r="F90" s="3">
        <f>9%*Table1[[#This Row],[Cost ]]</f>
        <v>0</v>
      </c>
      <c r="J90" s="49">
        <f>SUMIF('Multi-level BOM'!D$4:D$467,Table1[[#This Row],[Part Number]],'Multi-level BOM'!H$4:H$467)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  <c r="S90" s="36">
        <f>IF(ISNA(VLOOKUP(Table1[[#This Row],[Part Number]],'Multi-level BOM'!V$4:V$449,1,FALSE)),0,Table1[[#This Row],[Remaining Extended cost]])</f>
        <v>0</v>
      </c>
    </row>
    <row r="91" spans="1:19" x14ac:dyDescent="0.25">
      <c r="A91" s="1" t="s">
        <v>94</v>
      </c>
      <c r="B91" s="4"/>
      <c r="F91" s="3">
        <f>9%*Table1[[#This Row],[Cost ]]</f>
        <v>0</v>
      </c>
      <c r="J91" s="49">
        <f>SUMIF('Multi-level BOM'!D$4:D$467,Table1[[#This Row],[Part Number]],'Multi-level BOM'!H$4:H$467)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  <c r="S91" s="36">
        <f>IF(ISNA(VLOOKUP(Table1[[#This Row],[Part Number]],'Multi-level BOM'!V$4:V$449,1,FALSE)),0,Table1[[#This Row],[Remaining Extended cost]])</f>
        <v>0</v>
      </c>
    </row>
    <row r="92" spans="1:19" x14ac:dyDescent="0.25">
      <c r="A92" s="1" t="s">
        <v>95</v>
      </c>
      <c r="B92" s="4"/>
      <c r="F92" s="3">
        <f>9%*Table1[[#This Row],[Cost ]]</f>
        <v>0</v>
      </c>
      <c r="J92" s="49">
        <f>SUMIF('Multi-level BOM'!D$4:D$467,Table1[[#This Row],[Part Number]],'Multi-level BOM'!H$4:H$467)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  <c r="S92" s="36">
        <f>IF(ISNA(VLOOKUP(Table1[[#This Row],[Part Number]],'Multi-level BOM'!V$4:V$449,1,FALSE)),0,Table1[[#This Row],[Remaining Extended cost]])</f>
        <v>0</v>
      </c>
    </row>
    <row r="93" spans="1:19" x14ac:dyDescent="0.25">
      <c r="A93" s="1" t="s">
        <v>96</v>
      </c>
      <c r="B93" s="4"/>
      <c r="F93" s="3">
        <f>9%*Table1[[#This Row],[Cost ]]</f>
        <v>0</v>
      </c>
      <c r="J93" s="49">
        <f>SUMIF('Multi-level BOM'!D$4:D$467,Table1[[#This Row],[Part Number]],'Multi-level BOM'!H$4:H$467)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  <c r="S93" s="36">
        <f>IF(ISNA(VLOOKUP(Table1[[#This Row],[Part Number]],'Multi-level BOM'!V$4:V$449,1,FALSE)),0,Table1[[#This Row],[Remaining Extended cost]])</f>
        <v>0</v>
      </c>
    </row>
    <row r="94" spans="1:19" x14ac:dyDescent="0.25">
      <c r="A94" s="1" t="s">
        <v>97</v>
      </c>
      <c r="B94" s="4"/>
      <c r="F94" s="3">
        <f>9%*Table1[[#This Row],[Cost ]]</f>
        <v>0</v>
      </c>
      <c r="J94" s="49">
        <f>SUMIF('Multi-level BOM'!D$4:D$467,Table1[[#This Row],[Part Number]],'Multi-level BOM'!H$4:H$467)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  <c r="S94" s="36">
        <f>IF(ISNA(VLOOKUP(Table1[[#This Row],[Part Number]],'Multi-level BOM'!V$4:V$449,1,FALSE)),0,Table1[[#This Row],[Remaining Extended cost]])</f>
        <v>0</v>
      </c>
    </row>
    <row r="95" spans="1:19" x14ac:dyDescent="0.25">
      <c r="A95" s="1" t="s">
        <v>98</v>
      </c>
      <c r="B95" s="4"/>
      <c r="F95" s="3">
        <f>9%*Table1[[#This Row],[Cost ]]</f>
        <v>0</v>
      </c>
      <c r="J95" s="49">
        <f>SUMIF('Multi-level BOM'!D$4:D$467,Table1[[#This Row],[Part Number]],'Multi-level BOM'!H$4:H$467)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  <c r="S95" s="36">
        <f>IF(ISNA(VLOOKUP(Table1[[#This Row],[Part Number]],'Multi-level BOM'!V$4:V$449,1,FALSE)),0,Table1[[#This Row],[Remaining Extended cost]])</f>
        <v>0</v>
      </c>
    </row>
    <row r="96" spans="1:19" x14ac:dyDescent="0.25">
      <c r="A96" s="1" t="s">
        <v>99</v>
      </c>
      <c r="B96" s="4"/>
      <c r="F96" s="3">
        <f>9%*Table1[[#This Row],[Cost ]]</f>
        <v>0</v>
      </c>
      <c r="J96" s="49">
        <f>SUMIF('Multi-level BOM'!D$4:D$467,Table1[[#This Row],[Part Number]],'Multi-level BOM'!H$4:H$467)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  <c r="S96" s="36">
        <f>IF(ISNA(VLOOKUP(Table1[[#This Row],[Part Number]],'Multi-level BOM'!V$4:V$449,1,FALSE)),0,Table1[[#This Row],[Remaining Extended cost]])</f>
        <v>0</v>
      </c>
    </row>
    <row r="97" spans="1:19" x14ac:dyDescent="0.25">
      <c r="A97" s="1" t="s">
        <v>100</v>
      </c>
      <c r="B97" s="4"/>
      <c r="F97" s="3">
        <f>9%*Table1[[#This Row],[Cost ]]</f>
        <v>0</v>
      </c>
      <c r="J97" s="49">
        <f>SUMIF('Multi-level BOM'!D$4:D$467,Table1[[#This Row],[Part Number]],'Multi-level BOM'!H$4:H$467)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  <c r="S97" s="36">
        <f>IF(ISNA(VLOOKUP(Table1[[#This Row],[Part Number]],'Multi-level BOM'!V$4:V$449,1,FALSE)),0,Table1[[#This Row],[Remaining Extended cost]])</f>
        <v>0</v>
      </c>
    </row>
    <row r="98" spans="1:19" x14ac:dyDescent="0.25">
      <c r="A98" s="1" t="s">
        <v>101</v>
      </c>
      <c r="B98" s="4"/>
      <c r="F98" s="3">
        <f>9%*Table1[[#This Row],[Cost ]]</f>
        <v>0</v>
      </c>
      <c r="J98" s="49">
        <f>SUMIF('Multi-level BOM'!D$4:D$467,Table1[[#This Row],[Part Number]],'Multi-level BOM'!H$4:H$467)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  <c r="S98" s="36">
        <f>IF(ISNA(VLOOKUP(Table1[[#This Row],[Part Number]],'Multi-level BOM'!V$4:V$449,1,FALSE)),0,Table1[[#This Row],[Remaining Extended cost]])</f>
        <v>0</v>
      </c>
    </row>
    <row r="99" spans="1:19" x14ac:dyDescent="0.25">
      <c r="A99" s="1" t="s">
        <v>102</v>
      </c>
      <c r="B99" s="4"/>
      <c r="F99" s="3">
        <f>9%*Table1[[#This Row],[Cost ]]</f>
        <v>0</v>
      </c>
      <c r="J99" s="49">
        <f>SUMIF('Multi-level BOM'!D$4:D$467,Table1[[#This Row],[Part Number]],'Multi-level BOM'!H$4:H$467)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  <c r="S99" s="36">
        <f>IF(ISNA(VLOOKUP(Table1[[#This Row],[Part Number]],'Multi-level BOM'!V$4:V$449,1,FALSE)),0,Table1[[#This Row],[Remaining Extended cost]])</f>
        <v>0</v>
      </c>
    </row>
    <row r="100" spans="1:19" x14ac:dyDescent="0.25">
      <c r="A100" s="1" t="s">
        <v>103</v>
      </c>
      <c r="B100" s="4"/>
      <c r="F100" s="3">
        <f>9%*Table1[[#This Row],[Cost ]]</f>
        <v>0</v>
      </c>
      <c r="J100" s="49">
        <f>SUMIF('Multi-level BOM'!D$4:D$467,Table1[[#This Row],[Part Number]],'Multi-level BOM'!H$4:H$467)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  <c r="S100" s="36">
        <f>IF(ISNA(VLOOKUP(Table1[[#This Row],[Part Number]],'Multi-level BOM'!V$4:V$449,1,FALSE)),0,Table1[[#This Row],[Remaining Extended cost]])</f>
        <v>0</v>
      </c>
    </row>
    <row r="101" spans="1:19" x14ac:dyDescent="0.25">
      <c r="A101" s="1" t="s">
        <v>104</v>
      </c>
      <c r="B101" s="4"/>
      <c r="F101" s="3">
        <f>9%*Table1[[#This Row],[Cost ]]</f>
        <v>0</v>
      </c>
      <c r="J101" s="49">
        <f>SUMIF('Multi-level BOM'!D$4:D$467,Table1[[#This Row],[Part Number]],'Multi-level BOM'!H$4:H$467)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  <c r="S101" s="36">
        <f>IF(ISNA(VLOOKUP(Table1[[#This Row],[Part Number]],'Multi-level BOM'!V$4:V$449,1,FALSE)),0,Table1[[#This Row],[Remaining Extended cost]])</f>
        <v>0</v>
      </c>
    </row>
    <row r="102" spans="1:19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  <c r="S102" s="36">
        <f>IF(ISNA(VLOOKUP(Table1[[#This Row],[Part Number]],'Multi-level BOM'!V$4:V$449,1,FALSE)),0,Table1[[#This Row],[Remaining Extended cost]])</f>
        <v>0</v>
      </c>
    </row>
    <row r="103" spans="1:19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  <c r="S103" s="36">
        <f>IF(ISNA(VLOOKUP(Table1[[#This Row],[Part Number]],'Multi-level BOM'!V$4:V$449,1,FALSE)),0,Table1[[#This Row],[Remaining Extended cost]])</f>
        <v>0</v>
      </c>
    </row>
    <row r="104" spans="1:19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  <c r="S104" s="36">
        <f>IF(ISNA(VLOOKUP(Table1[[#This Row],[Part Number]],'Multi-level BOM'!V$4:V$449,1,FALSE)),0,Table1[[#This Row],[Remaining Extended cost]])</f>
        <v>0</v>
      </c>
    </row>
    <row r="105" spans="1:19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  <c r="S105" s="36">
        <f>IF(ISNA(VLOOKUP(Table1[[#This Row],[Part Number]],'Multi-level BOM'!V$4:V$449,1,FALSE)),0,Table1[[#This Row],[Remaining Extended cost]])</f>
        <v>0</v>
      </c>
    </row>
    <row r="106" spans="1:19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  <c r="S106" s="36">
        <f>IF(ISNA(VLOOKUP(Table1[[#This Row],[Part Number]],'Multi-level BOM'!V$4:V$449,1,FALSE)),0,Table1[[#This Row],[Remaining Extended cost]])</f>
        <v>0</v>
      </c>
    </row>
    <row r="107" spans="1:19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  <c r="S107" s="36">
        <f>IF(ISNA(VLOOKUP(Table1[[#This Row],[Part Number]],'Multi-level BOM'!V$4:V$449,1,FALSE)),0,Table1[[#This Row],[Remaining Extended cost]])</f>
        <v>0</v>
      </c>
    </row>
    <row r="108" spans="1:19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  <c r="S108" s="36">
        <f>IF(ISNA(VLOOKUP(Table1[[#This Row],[Part Number]],'Multi-level BOM'!V$4:V$449,1,FALSE)),0,Table1[[#This Row],[Remaining Extended cost]])</f>
        <v>0</v>
      </c>
    </row>
    <row r="109" spans="1:19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  <c r="S109" s="36">
        <f>IF(ISNA(VLOOKUP(Table1[[#This Row],[Part Number]],'Multi-level BOM'!V$4:V$449,1,FALSE)),0,Table1[[#This Row],[Remaining Extended cost]])</f>
        <v>0</v>
      </c>
    </row>
    <row r="110" spans="1:19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  <c r="S110" s="36">
        <f>IF(ISNA(VLOOKUP(Table1[[#This Row],[Part Number]],'Multi-level BOM'!V$4:V$449,1,FALSE)),0,Table1[[#This Row],[Remaining Extended cost]])</f>
        <v>0</v>
      </c>
    </row>
    <row r="111" spans="1:19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  <c r="S111" s="36">
        <f>IF(ISNA(VLOOKUP(Table1[[#This Row],[Part Number]],'Multi-level BOM'!V$4:V$449,1,FALSE)),0,Table1[[#This Row],[Remaining Extended cost]])</f>
        <v>0</v>
      </c>
    </row>
    <row r="112" spans="1:19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  <c r="S112" s="36">
        <f>IF(ISNA(VLOOKUP(Table1[[#This Row],[Part Number]],'Multi-level BOM'!V$4:V$449,1,FALSE)),0,Table1[[#This Row],[Remaining Extended cost]])</f>
        <v>0</v>
      </c>
    </row>
    <row r="113" spans="1:19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  <c r="S113" s="36">
        <f>IF(ISNA(VLOOKUP(Table1[[#This Row],[Part Number]],'Multi-level BOM'!V$4:V$449,1,FALSE)),0,Table1[[#This Row],[Remaining Extended cost]])</f>
        <v>0</v>
      </c>
    </row>
    <row r="114" spans="1:19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  <c r="S114" s="36">
        <f>IF(ISNA(VLOOKUP(Table1[[#This Row],[Part Number]],'Multi-level BOM'!V$4:V$449,1,FALSE)),0,Table1[[#This Row],[Remaining Extended cost]])</f>
        <v>0</v>
      </c>
    </row>
    <row r="115" spans="1:19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  <c r="S115" s="36">
        <f>IF(ISNA(VLOOKUP(Table1[[#This Row],[Part Number]],'Multi-level BOM'!V$4:V$449,1,FALSE)),0,Table1[[#This Row],[Remaining Extended cost]])</f>
        <v>0</v>
      </c>
    </row>
    <row r="116" spans="1:19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  <c r="S116" s="36">
        <f>IF(ISNA(VLOOKUP(Table1[[#This Row],[Part Number]],'Multi-level BOM'!V$4:V$449,1,FALSE)),0,Table1[[#This Row],[Remaining Extended cost]])</f>
        <v>0</v>
      </c>
    </row>
    <row r="117" spans="1:19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  <c r="S117" s="36">
        <f>IF(ISNA(VLOOKUP(Table1[[#This Row],[Part Number]],'Multi-level BOM'!V$4:V$449,1,FALSE)),0,Table1[[#This Row],[Remaining Extended cost]])</f>
        <v>0</v>
      </c>
    </row>
    <row r="118" spans="1:19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  <c r="S118" s="36">
        <f>IF(ISNA(VLOOKUP(Table1[[#This Row],[Part Number]],'Multi-level BOM'!V$4:V$449,1,FALSE)),0,Table1[[#This Row],[Remaining Extended cost]])</f>
        <v>0</v>
      </c>
    </row>
    <row r="119" spans="1:19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  <c r="S119" s="36">
        <f>IF(ISNA(VLOOKUP(Table1[[#This Row],[Part Number]],'Multi-level BOM'!V$4:V$449,1,FALSE)),0,Table1[[#This Row],[Remaining Extended cost]])</f>
        <v>0</v>
      </c>
    </row>
    <row r="120" spans="1:19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  <c r="S120" s="36">
        <f>IF(ISNA(VLOOKUP(Table1[[#This Row],[Part Number]],'Multi-level BOM'!V$4:V$449,1,FALSE)),0,Table1[[#This Row],[Remaining Extended cost]])</f>
        <v>0</v>
      </c>
    </row>
    <row r="121" spans="1:19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  <c r="S121" s="36">
        <f>IF(ISNA(VLOOKUP(Table1[[#This Row],[Part Number]],'Multi-level BOM'!V$4:V$449,1,FALSE)),0,Table1[[#This Row],[Remaining Extended cost]])</f>
        <v>0</v>
      </c>
    </row>
    <row r="122" spans="1:19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  <c r="S122" s="36">
        <f>IF(ISNA(VLOOKUP(Table1[[#This Row],[Part Number]],'Multi-level BOM'!V$4:V$449,1,FALSE)),0,Table1[[#This Row],[Remaining Extended cost]])</f>
        <v>0</v>
      </c>
    </row>
    <row r="123" spans="1:19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  <c r="S123" s="36">
        <f>IF(ISNA(VLOOKUP(Table1[[#This Row],[Part Number]],'Multi-level BOM'!V$4:V$449,1,FALSE)),0,Table1[[#This Row],[Remaining Extended cost]])</f>
        <v>0</v>
      </c>
    </row>
    <row r="124" spans="1:19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  <c r="S124" s="36">
        <f>IF(ISNA(VLOOKUP(Table1[[#This Row],[Part Number]],'Multi-level BOM'!V$4:V$449,1,FALSE)),0,Table1[[#This Row],[Remaining Extended cost]])</f>
        <v>0</v>
      </c>
    </row>
    <row r="125" spans="1:19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  <c r="S125" s="36">
        <f>IF(ISNA(VLOOKUP(Table1[[#This Row],[Part Number]],'Multi-level BOM'!V$4:V$449,1,FALSE)),0,Table1[[#This Row],[Remaining Extended cost]])</f>
        <v>0</v>
      </c>
    </row>
    <row r="126" spans="1:19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  <c r="S126" s="36">
        <f>IF(ISNA(VLOOKUP(Table1[[#This Row],[Part Number]],'Multi-level BOM'!V$4:V$449,1,FALSE)),0,Table1[[#This Row],[Remaining Extended cost]])</f>
        <v>0</v>
      </c>
    </row>
    <row r="127" spans="1:19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  <c r="S127" s="36">
        <f>IF(ISNA(VLOOKUP(Table1[[#This Row],[Part Number]],'Multi-level BOM'!V$4:V$449,1,FALSE)),0,Table1[[#This Row],[Remaining Extended cost]])</f>
        <v>0</v>
      </c>
    </row>
    <row r="128" spans="1:19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  <c r="S128" s="36">
        <f>IF(ISNA(VLOOKUP(Table1[[#This Row],[Part Number]],'Multi-level BOM'!V$4:V$449,1,FALSE)),0,Table1[[#This Row],[Remaining Extended cost]])</f>
        <v>0</v>
      </c>
    </row>
    <row r="129" spans="1:19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  <c r="S129" s="36">
        <f>IF(ISNA(VLOOKUP(Table1[[#This Row],[Part Number]],'Multi-level BOM'!V$4:V$449,1,FALSE)),0,Table1[[#This Row],[Remaining Extended cost]])</f>
        <v>0</v>
      </c>
    </row>
    <row r="130" spans="1:19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  <c r="S130" s="36">
        <f>IF(ISNA(VLOOKUP(Table1[[#This Row],[Part Number]],'Multi-level BOM'!V$4:V$449,1,FALSE)),0,Table1[[#This Row],[Remaining Extended cost]])</f>
        <v>0</v>
      </c>
    </row>
    <row r="131" spans="1:19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  <c r="S131" s="36">
        <f>IF(ISNA(VLOOKUP(Table1[[#This Row],[Part Number]],'Multi-level BOM'!V$4:V$449,1,FALSE)),0,Table1[[#This Row],[Remaining Extended cost]])</f>
        <v>0</v>
      </c>
    </row>
    <row r="132" spans="1:19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  <c r="S132" s="36">
        <f>IF(ISNA(VLOOKUP(Table1[[#This Row],[Part Number]],'Multi-level BOM'!V$4:V$449,1,FALSE)),0,Table1[[#This Row],[Remaining Extended cost]])</f>
        <v>0</v>
      </c>
    </row>
    <row r="133" spans="1:19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  <c r="S133" s="36">
        <f>IF(ISNA(VLOOKUP(Table1[[#This Row],[Part Number]],'Multi-level BOM'!V$4:V$449,1,FALSE)),0,Table1[[#This Row],[Remaining Extended cost]])</f>
        <v>0</v>
      </c>
    </row>
    <row r="134" spans="1:19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  <c r="S134" s="36">
        <f>IF(ISNA(VLOOKUP(Table1[[#This Row],[Part Number]],'Multi-level BOM'!V$4:V$449,1,FALSE)),0,Table1[[#This Row],[Remaining Extended cost]])</f>
        <v>0</v>
      </c>
    </row>
    <row r="135" spans="1:19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  <c r="S135" s="36">
        <f>IF(ISNA(VLOOKUP(Table1[[#This Row],[Part Number]],'Multi-level BOM'!V$4:V$449,1,FALSE)),0,Table1[[#This Row],[Remaining Extended cost]])</f>
        <v>0</v>
      </c>
    </row>
    <row r="136" spans="1:19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  <c r="S136" s="36">
        <f>IF(ISNA(VLOOKUP(Table1[[#This Row],[Part Number]],'Multi-level BOM'!V$4:V$449,1,FALSE)),0,Table1[[#This Row],[Remaining Extended cost]])</f>
        <v>0</v>
      </c>
    </row>
    <row r="137" spans="1:19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  <c r="S137" s="36">
        <f>IF(ISNA(VLOOKUP(Table1[[#This Row],[Part Number]],'Multi-level BOM'!V$4:V$449,1,FALSE)),0,Table1[[#This Row],[Remaining Extended cost]])</f>
        <v>0</v>
      </c>
    </row>
    <row r="138" spans="1:19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  <c r="S138" s="36">
        <f>IF(ISNA(VLOOKUP(Table1[[#This Row],[Part Number]],'Multi-level BOM'!V$4:V$449,1,FALSE)),0,Table1[[#This Row],[Remaining Extended cost]])</f>
        <v>0</v>
      </c>
    </row>
    <row r="139" spans="1:19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  <c r="S139" s="36">
        <f>IF(ISNA(VLOOKUP(Table1[[#This Row],[Part Number]],'Multi-level BOM'!V$4:V$449,1,FALSE)),0,Table1[[#This Row],[Remaining Extended cost]])</f>
        <v>0</v>
      </c>
    </row>
    <row r="140" spans="1:19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  <c r="S140" s="36">
        <f>IF(ISNA(VLOOKUP(Table1[[#This Row],[Part Number]],'Multi-level BOM'!V$4:V$449,1,FALSE)),0,Table1[[#This Row],[Remaining Extended cost]])</f>
        <v>0</v>
      </c>
    </row>
    <row r="141" spans="1:19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  <c r="S141" s="36">
        <f>IF(ISNA(VLOOKUP(Table1[[#This Row],[Part Number]],'Multi-level BOM'!V$4:V$449,1,FALSE)),0,Table1[[#This Row],[Remaining Extended cost]])</f>
        <v>0</v>
      </c>
    </row>
    <row r="142" spans="1:19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  <c r="S142" s="36">
        <f>IF(ISNA(VLOOKUP(Table1[[#This Row],[Part Number]],'Multi-level BOM'!V$4:V$449,1,FALSE)),0,Table1[[#This Row],[Remaining Extended cost]])</f>
        <v>0</v>
      </c>
    </row>
    <row r="143" spans="1:19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  <c r="S143" s="36">
        <f>IF(ISNA(VLOOKUP(Table1[[#This Row],[Part Number]],'Multi-level BOM'!V$4:V$449,1,FALSE)),0,Table1[[#This Row],[Remaining Extended cost]])</f>
        <v>0</v>
      </c>
    </row>
    <row r="144" spans="1:19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  <c r="S144" s="36">
        <f>IF(ISNA(VLOOKUP(Table1[[#This Row],[Part Number]],'Multi-level BOM'!V$4:V$449,1,FALSE)),0,Table1[[#This Row],[Remaining Extended cost]])</f>
        <v>0</v>
      </c>
    </row>
    <row r="145" spans="1:19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  <c r="S145" s="36">
        <f>IF(ISNA(VLOOKUP(Table1[[#This Row],[Part Number]],'Multi-level BOM'!V$4:V$449,1,FALSE)),0,Table1[[#This Row],[Remaining Extended cost]])</f>
        <v>0</v>
      </c>
    </row>
    <row r="146" spans="1:19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  <c r="S146" s="36">
        <f>IF(ISNA(VLOOKUP(Table1[[#This Row],[Part Number]],'Multi-level BOM'!V$4:V$449,1,FALSE)),0,Table1[[#This Row],[Remaining Extended cost]])</f>
        <v>0</v>
      </c>
    </row>
    <row r="147" spans="1:19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  <c r="S147" s="36">
        <f>IF(ISNA(VLOOKUP(Table1[[#This Row],[Part Number]],'Multi-level BOM'!V$4:V$449,1,FALSE)),0,Table1[[#This Row],[Remaining Extended cost]])</f>
        <v>0</v>
      </c>
    </row>
    <row r="148" spans="1:19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  <c r="S148" s="36">
        <f>IF(ISNA(VLOOKUP(Table1[[#This Row],[Part Number]],'Multi-level BOM'!V$4:V$449,1,FALSE)),0,Table1[[#This Row],[Remaining Extended cost]])</f>
        <v>0</v>
      </c>
    </row>
    <row r="149" spans="1:19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  <c r="S149" s="36">
        <f>IF(ISNA(VLOOKUP(Table1[[#This Row],[Part Number]],'Multi-level BOM'!V$4:V$449,1,FALSE)),0,Table1[[#This Row],[Remaining Extended cost]])</f>
        <v>0</v>
      </c>
    </row>
    <row r="150" spans="1:19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  <c r="S150" s="36">
        <f>IF(ISNA(VLOOKUP(Table1[[#This Row],[Part Number]],'Multi-level BOM'!V$4:V$449,1,FALSE)),0,Table1[[#This Row],[Remaining Extended cost]])</f>
        <v>0</v>
      </c>
    </row>
    <row r="151" spans="1:19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  <c r="S151" s="36">
        <f>IF(ISNA(VLOOKUP(Table1[[#This Row],[Part Number]],'Multi-level BOM'!V$4:V$449,1,FALSE)),0,Table1[[#This Row],[Remaining Extended cost]])</f>
        <v>0</v>
      </c>
    </row>
    <row r="152" spans="1:19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  <c r="S152" s="36">
        <f>IF(ISNA(VLOOKUP(Table1[[#This Row],[Part Number]],'Multi-level BOM'!V$4:V$449,1,FALSE)),0,Table1[[#This Row],[Remaining Extended cost]])</f>
        <v>0</v>
      </c>
    </row>
    <row r="153" spans="1:19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  <c r="S153" s="36">
        <f>IF(ISNA(VLOOKUP(Table1[[#This Row],[Part Number]],'Multi-level BOM'!V$4:V$449,1,FALSE)),0,Table1[[#This Row],[Remaining Extended cost]])</f>
        <v>0</v>
      </c>
    </row>
    <row r="154" spans="1:19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  <c r="S154" s="36">
        <f>IF(ISNA(VLOOKUP(Table1[[#This Row],[Part Number]],'Multi-level BOM'!V$4:V$449,1,FALSE)),0,Table1[[#This Row],[Remaining Extended cost]])</f>
        <v>0</v>
      </c>
    </row>
    <row r="155" spans="1:19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  <c r="S155" s="36">
        <f>IF(ISNA(VLOOKUP(Table1[[#This Row],[Part Number]],'Multi-level BOM'!V$4:V$449,1,FALSE)),0,Table1[[#This Row],[Remaining Extended cost]])</f>
        <v>0</v>
      </c>
    </row>
    <row r="156" spans="1:19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  <c r="S156" s="36">
        <f>IF(ISNA(VLOOKUP(Table1[[#This Row],[Part Number]],'Multi-level BOM'!V$4:V$449,1,FALSE)),0,Table1[[#This Row],[Remaining Extended cost]])</f>
        <v>0</v>
      </c>
    </row>
    <row r="157" spans="1:19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  <c r="S157" s="36">
        <f>IF(ISNA(VLOOKUP(Table1[[#This Row],[Part Number]],'Multi-level BOM'!V$4:V$449,1,FALSE)),0,Table1[[#This Row],[Remaining Extended cost]])</f>
        <v>0</v>
      </c>
    </row>
    <row r="158" spans="1:19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  <c r="S158" s="36">
        <f>IF(ISNA(VLOOKUP(Table1[[#This Row],[Part Number]],'Multi-level BOM'!V$4:V$449,1,FALSE)),0,Table1[[#This Row],[Remaining Extended cost]])</f>
        <v>0</v>
      </c>
    </row>
    <row r="159" spans="1:19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  <c r="S159" s="36">
        <f>IF(ISNA(VLOOKUP(Table1[[#This Row],[Part Number]],'Multi-level BOM'!V$4:V$449,1,FALSE)),0,Table1[[#This Row],[Remaining Extended cost]])</f>
        <v>0</v>
      </c>
    </row>
    <row r="160" spans="1:19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  <c r="S160" s="36">
        <f>IF(ISNA(VLOOKUP(Table1[[#This Row],[Part Number]],'Multi-level BOM'!V$4:V$449,1,FALSE)),0,Table1[[#This Row],[Remaining Extended cost]])</f>
        <v>0</v>
      </c>
    </row>
    <row r="161" spans="1:19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  <c r="S161" s="36">
        <f>IF(ISNA(VLOOKUP(Table1[[#This Row],[Part Number]],'Multi-level BOM'!V$4:V$449,1,FALSE)),0,Table1[[#This Row],[Remaining Extended cost]])</f>
        <v>0</v>
      </c>
    </row>
    <row r="162" spans="1:19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  <c r="S162" s="36">
        <f>IF(ISNA(VLOOKUP(Table1[[#This Row],[Part Number]],'Multi-level BOM'!V$4:V$449,1,FALSE)),0,Table1[[#This Row],[Remaining Extended cost]])</f>
        <v>0</v>
      </c>
    </row>
    <row r="163" spans="1:19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  <c r="S163" s="36">
        <f>IF(ISNA(VLOOKUP(Table1[[#This Row],[Part Number]],'Multi-level BOM'!V$4:V$449,1,FALSE)),0,Table1[[#This Row],[Remaining Extended cost]])</f>
        <v>0</v>
      </c>
    </row>
    <row r="164" spans="1:19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  <c r="S164" s="36">
        <f>IF(ISNA(VLOOKUP(Table1[[#This Row],[Part Number]],'Multi-level BOM'!V$4:V$449,1,FALSE)),0,Table1[[#This Row],[Remaining Extended cost]])</f>
        <v>0</v>
      </c>
    </row>
    <row r="165" spans="1:19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  <c r="S165" s="36">
        <f>IF(ISNA(VLOOKUP(Table1[[#This Row],[Part Number]],'Multi-level BOM'!V$4:V$449,1,FALSE)),0,Table1[[#This Row],[Remaining Extended cost]])</f>
        <v>0</v>
      </c>
    </row>
    <row r="166" spans="1:19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  <c r="S166" s="36">
        <f>IF(ISNA(VLOOKUP(Table1[[#This Row],[Part Number]],'Multi-level BOM'!V$4:V$449,1,FALSE)),0,Table1[[#This Row],[Remaining Extended cost]])</f>
        <v>0</v>
      </c>
    </row>
    <row r="167" spans="1:19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  <c r="S167" s="36">
        <f>IF(ISNA(VLOOKUP(Table1[[#This Row],[Part Number]],'Multi-level BOM'!V$4:V$449,1,FALSE)),0,Table1[[#This Row],[Remaining Extended cost]])</f>
        <v>0</v>
      </c>
    </row>
    <row r="168" spans="1:19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  <c r="S168" s="36">
        <f>IF(ISNA(VLOOKUP(Table1[[#This Row],[Part Number]],'Multi-level BOM'!V$4:V$449,1,FALSE)),0,Table1[[#This Row],[Remaining Extended cost]])</f>
        <v>0</v>
      </c>
    </row>
    <row r="169" spans="1:19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  <c r="S169" s="36">
        <f>IF(ISNA(VLOOKUP(Table1[[#This Row],[Part Number]],'Multi-level BOM'!V$4:V$449,1,FALSE)),0,Table1[[#This Row],[Remaining Extended cost]])</f>
        <v>0</v>
      </c>
    </row>
    <row r="170" spans="1:19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  <c r="S170" s="36">
        <f>IF(ISNA(VLOOKUP(Table1[[#This Row],[Part Number]],'Multi-level BOM'!V$4:V$449,1,FALSE)),0,Table1[[#This Row],[Remaining Extended cost]])</f>
        <v>0</v>
      </c>
    </row>
    <row r="171" spans="1:19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  <c r="S171" s="36">
        <f>IF(ISNA(VLOOKUP(Table1[[#This Row],[Part Number]],'Multi-level BOM'!V$4:V$449,1,FALSE)),0,Table1[[#This Row],[Remaining Extended cost]])</f>
        <v>0</v>
      </c>
    </row>
    <row r="172" spans="1:19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  <c r="S172" s="36">
        <f>IF(ISNA(VLOOKUP(Table1[[#This Row],[Part Number]],'Multi-level BOM'!V$4:V$449,1,FALSE)),0,Table1[[#This Row],[Remaining Extended cost]])</f>
        <v>0</v>
      </c>
    </row>
    <row r="173" spans="1:19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  <c r="S173" s="36">
        <f>IF(ISNA(VLOOKUP(Table1[[#This Row],[Part Number]],'Multi-level BOM'!V$4:V$449,1,FALSE)),0,Table1[[#This Row],[Remaining Extended cost]])</f>
        <v>0</v>
      </c>
    </row>
    <row r="174" spans="1:19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  <c r="S174" s="36">
        <f>IF(ISNA(VLOOKUP(Table1[[#This Row],[Part Number]],'Multi-level BOM'!V$4:V$449,1,FALSE)),0,Table1[[#This Row],[Remaining Extended cost]])</f>
        <v>0</v>
      </c>
    </row>
    <row r="175" spans="1:19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  <c r="S175" s="36">
        <f>IF(ISNA(VLOOKUP(Table1[[#This Row],[Part Number]],'Multi-level BOM'!V$4:V$449,1,FALSE)),0,Table1[[#This Row],[Remaining Extended cost]])</f>
        <v>0</v>
      </c>
    </row>
    <row r="176" spans="1:19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  <c r="S176" s="36">
        <f>IF(ISNA(VLOOKUP(Table1[[#This Row],[Part Number]],'Multi-level BOM'!V$4:V$449,1,FALSE)),0,Table1[[#This Row],[Remaining Extended cost]])</f>
        <v>0</v>
      </c>
    </row>
    <row r="177" spans="1:19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  <c r="S177" s="36">
        <f>IF(ISNA(VLOOKUP(Table1[[#This Row],[Part Number]],'Multi-level BOM'!V$4:V$449,1,FALSE)),0,Table1[[#This Row],[Remaining Extended cost]])</f>
        <v>0</v>
      </c>
    </row>
    <row r="178" spans="1:19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  <c r="S178" s="36">
        <f>IF(ISNA(VLOOKUP(Table1[[#This Row],[Part Number]],'Multi-level BOM'!V$4:V$449,1,FALSE)),0,Table1[[#This Row],[Remaining Extended cost]])</f>
        <v>0</v>
      </c>
    </row>
    <row r="179" spans="1:19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  <c r="S179" s="36">
        <f>IF(ISNA(VLOOKUP(Table1[[#This Row],[Part Number]],'Multi-level BOM'!V$4:V$449,1,FALSE)),0,Table1[[#This Row],[Remaining Extended cost]])</f>
        <v>0</v>
      </c>
    </row>
    <row r="180" spans="1:19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  <c r="S180" s="36">
        <f>IF(ISNA(VLOOKUP(Table1[[#This Row],[Part Number]],'Multi-level BOM'!V$4:V$449,1,FALSE)),0,Table1[[#This Row],[Remaining Extended cost]])</f>
        <v>0</v>
      </c>
    </row>
    <row r="181" spans="1:19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  <c r="S181" s="36">
        <f>IF(ISNA(VLOOKUP(Table1[[#This Row],[Part Number]],'Multi-level BOM'!V$4:V$449,1,FALSE)),0,Table1[[#This Row],[Remaining Extended cost]])</f>
        <v>0</v>
      </c>
    </row>
    <row r="182" spans="1:19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  <c r="S182" s="36">
        <f>IF(ISNA(VLOOKUP(Table1[[#This Row],[Part Number]],'Multi-level BOM'!V$4:V$449,1,FALSE)),0,Table1[[#This Row],[Remaining Extended cost]])</f>
        <v>0</v>
      </c>
    </row>
    <row r="183" spans="1:19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  <c r="S183" s="36">
        <f>IF(ISNA(VLOOKUP(Table1[[#This Row],[Part Number]],'Multi-level BOM'!V$4:V$449,1,FALSE)),0,Table1[[#This Row],[Remaining Extended cost]])</f>
        <v>0</v>
      </c>
    </row>
    <row r="184" spans="1:19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  <c r="S184" s="36">
        <f>IF(ISNA(VLOOKUP(Table1[[#This Row],[Part Number]],'Multi-level BOM'!V$4:V$449,1,FALSE)),0,Table1[[#This Row],[Remaining Extended cost]])</f>
        <v>0</v>
      </c>
    </row>
    <row r="185" spans="1:19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  <c r="S185" s="36">
        <f>IF(ISNA(VLOOKUP(Table1[[#This Row],[Part Number]],'Multi-level BOM'!V$4:V$449,1,FALSE)),0,Table1[[#This Row],[Remaining Extended cost]])</f>
        <v>0</v>
      </c>
    </row>
    <row r="186" spans="1:19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  <c r="S186" s="36">
        <f>IF(ISNA(VLOOKUP(Table1[[#This Row],[Part Number]],'Multi-level BOM'!V$4:V$449,1,FALSE)),0,Table1[[#This Row],[Remaining Extended cost]])</f>
        <v>0</v>
      </c>
    </row>
    <row r="187" spans="1:19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  <c r="S187" s="36">
        <f>IF(ISNA(VLOOKUP(Table1[[#This Row],[Part Number]],'Multi-level BOM'!V$4:V$449,1,FALSE)),0,Table1[[#This Row],[Remaining Extended cost]])</f>
        <v>0</v>
      </c>
    </row>
    <row r="188" spans="1:19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  <c r="S188" s="36">
        <f>IF(ISNA(VLOOKUP(Table1[[#This Row],[Part Number]],'Multi-level BOM'!V$4:V$449,1,FALSE)),0,Table1[[#This Row],[Remaining Extended cost]])</f>
        <v>0</v>
      </c>
    </row>
    <row r="189" spans="1:19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  <c r="S189" s="36">
        <f>IF(ISNA(VLOOKUP(Table1[[#This Row],[Part Number]],'Multi-level BOM'!V$4:V$449,1,FALSE)),0,Table1[[#This Row],[Remaining Extended cost]])</f>
        <v>0</v>
      </c>
    </row>
    <row r="190" spans="1:19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  <c r="S190" s="36">
        <f>IF(ISNA(VLOOKUP(Table1[[#This Row],[Part Number]],'Multi-level BOM'!V$4:V$449,1,FALSE)),0,Table1[[#This Row],[Remaining Extended cost]])</f>
        <v>0</v>
      </c>
    </row>
    <row r="191" spans="1:19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  <c r="S191" s="36">
        <f>IF(ISNA(VLOOKUP(Table1[[#This Row],[Part Number]],'Multi-level BOM'!V$4:V$449,1,FALSE)),0,Table1[[#This Row],[Remaining Extended cost]])</f>
        <v>0</v>
      </c>
    </row>
    <row r="192" spans="1:19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  <c r="S192" s="36">
        <f>IF(ISNA(VLOOKUP(Table1[[#This Row],[Part Number]],'Multi-level BOM'!V$4:V$449,1,FALSE)),0,Table1[[#This Row],[Remaining Extended cost]])</f>
        <v>0</v>
      </c>
    </row>
    <row r="193" spans="1:19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  <c r="S193" s="36">
        <f>IF(ISNA(VLOOKUP(Table1[[#This Row],[Part Number]],'Multi-level BOM'!V$4:V$449,1,FALSE)),0,Table1[[#This Row],[Remaining Extended cost]])</f>
        <v>0</v>
      </c>
    </row>
    <row r="194" spans="1:19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  <c r="S194" s="36">
        <f>IF(ISNA(VLOOKUP(Table1[[#This Row],[Part Number]],'Multi-level BOM'!V$4:V$449,1,FALSE)),0,Table1[[#This Row],[Remaining Extended cost]])</f>
        <v>0</v>
      </c>
    </row>
    <row r="195" spans="1:19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  <c r="S195" s="36">
        <f>IF(ISNA(VLOOKUP(Table1[[#This Row],[Part Number]],'Multi-level BOM'!V$4:V$449,1,FALSE)),0,Table1[[#This Row],[Remaining Extended cost]])</f>
        <v>0</v>
      </c>
    </row>
    <row r="196" spans="1:19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  <c r="S196" s="36">
        <f>IF(ISNA(VLOOKUP(Table1[[#This Row],[Part Number]],'Multi-level BOM'!V$4:V$449,1,FALSE)),0,Table1[[#This Row],[Remaining Extended cost]])</f>
        <v>0</v>
      </c>
    </row>
    <row r="197" spans="1:19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  <c r="S197" s="36">
        <f>IF(ISNA(VLOOKUP(Table1[[#This Row],[Part Number]],'Multi-level BOM'!V$4:V$449,1,FALSE)),0,Table1[[#This Row],[Remaining Extended cost]])</f>
        <v>0</v>
      </c>
    </row>
    <row r="198" spans="1:19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  <c r="S198" s="36">
        <f>IF(ISNA(VLOOKUP(Table1[[#This Row],[Part Number]],'Multi-level BOM'!V$4:V$449,1,FALSE)),0,Table1[[#This Row],[Remaining Extended cost]])</f>
        <v>0</v>
      </c>
    </row>
    <row r="199" spans="1:19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  <c r="S199" s="36">
        <f>IF(ISNA(VLOOKUP(Table1[[#This Row],[Part Number]],'Multi-level BOM'!V$4:V$449,1,FALSE)),0,Table1[[#This Row],[Remaining Extended cost]])</f>
        <v>0</v>
      </c>
    </row>
    <row r="200" spans="1:19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  <c r="S200" s="36">
        <f>IF(ISNA(VLOOKUP(Table1[[#This Row],[Part Number]],'Multi-level BOM'!V$4:V$449,1,FALSE)),0,Table1[[#This Row],[Remaining Extended cost]])</f>
        <v>0</v>
      </c>
    </row>
    <row r="201" spans="1:19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  <c r="S201" s="36">
        <f>IF(ISNA(VLOOKUP(Table1[[#This Row],[Part Number]],'Multi-level BOM'!V$4:V$449,1,FALSE)),0,Table1[[#This Row],[Remaining Extended cost]])</f>
        <v>0</v>
      </c>
    </row>
    <row r="202" spans="1:19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  <c r="S202" s="36">
        <f>IF(ISNA(VLOOKUP(Table1[[#This Row],[Part Number]],'Multi-level BOM'!V$4:V$449,1,FALSE)),0,Table1[[#This Row],[Remaining Extended cost]])</f>
        <v>0</v>
      </c>
    </row>
    <row r="203" spans="1:19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  <c r="S203" s="36">
        <f>IF(ISNA(VLOOKUP(Table1[[#This Row],[Part Number]],'Multi-level BOM'!V$4:V$449,1,FALSE)),0,Table1[[#This Row],[Remaining Extended cost]])</f>
        <v>0</v>
      </c>
    </row>
    <row r="204" spans="1:19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  <c r="S204" s="36">
        <f>IF(ISNA(VLOOKUP(Table1[[#This Row],[Part Number]],'Multi-level BOM'!V$4:V$449,1,FALSE)),0,Table1[[#This Row],[Remaining Extended cost]])</f>
        <v>0</v>
      </c>
    </row>
    <row r="205" spans="1:19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  <c r="S205" s="36">
        <f>IF(ISNA(VLOOKUP(Table1[[#This Row],[Part Number]],'Multi-level BOM'!V$4:V$449,1,FALSE)),0,Table1[[#This Row],[Remaining Extended cost]])</f>
        <v>0</v>
      </c>
    </row>
    <row r="206" spans="1:19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  <c r="S206" s="36">
        <f>IF(ISNA(VLOOKUP(Table1[[#This Row],[Part Number]],'Multi-level BOM'!V$4:V$449,1,FALSE)),0,Table1[[#This Row],[Remaining Extended cost]])</f>
        <v>0</v>
      </c>
    </row>
    <row r="207" spans="1:19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  <c r="S207" s="36">
        <f>IF(ISNA(VLOOKUP(Table1[[#This Row],[Part Number]],'Multi-level BOM'!V$4:V$449,1,FALSE)),0,Table1[[#This Row],[Remaining Extended cost]])</f>
        <v>0</v>
      </c>
    </row>
    <row r="208" spans="1:19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  <c r="S208" s="36">
        <f>IF(ISNA(VLOOKUP(Table1[[#This Row],[Part Number]],'Multi-level BOM'!V$4:V$449,1,FALSE)),0,Table1[[#This Row],[Remaining Extended cost]])</f>
        <v>0</v>
      </c>
    </row>
    <row r="209" spans="1:19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  <c r="S209" s="36">
        <f>IF(ISNA(VLOOKUP(Table1[[#This Row],[Part Number]],'Multi-level BOM'!V$4:V$449,1,FALSE)),0,Table1[[#This Row],[Remaining Extended cost]])</f>
        <v>0</v>
      </c>
    </row>
    <row r="210" spans="1:19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  <c r="S210" s="36">
        <f>IF(ISNA(VLOOKUP(Table1[[#This Row],[Part Number]],'Multi-level BOM'!V$4:V$449,1,FALSE)),0,Table1[[#This Row],[Remaining Extended cost]])</f>
        <v>0</v>
      </c>
    </row>
    <row r="211" spans="1:19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  <c r="S211" s="36">
        <f>IF(ISNA(VLOOKUP(Table1[[#This Row],[Part Number]],'Multi-level BOM'!V$4:V$449,1,FALSE)),0,Table1[[#This Row],[Remaining Extended cost]])</f>
        <v>0</v>
      </c>
    </row>
    <row r="212" spans="1:19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  <c r="S212" s="36">
        <f>IF(ISNA(VLOOKUP(Table1[[#This Row],[Part Number]],'Multi-level BOM'!V$4:V$449,1,FALSE)),0,Table1[[#This Row],[Remaining Extended cost]])</f>
        <v>0</v>
      </c>
    </row>
    <row r="213" spans="1:19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  <c r="S213" s="36">
        <f>IF(ISNA(VLOOKUP(Table1[[#This Row],[Part Number]],'Multi-level BOM'!V$4:V$449,1,FALSE)),0,Table1[[#This Row],[Remaining Extended cost]])</f>
        <v>0</v>
      </c>
    </row>
    <row r="214" spans="1:19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  <c r="S214" s="36">
        <f>IF(ISNA(VLOOKUP(Table1[[#This Row],[Part Number]],'Multi-level BOM'!V$4:V$449,1,FALSE)),0,Table1[[#This Row],[Remaining Extended cost]])</f>
        <v>0</v>
      </c>
    </row>
    <row r="215" spans="1:19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  <c r="S215" s="36">
        <f>IF(ISNA(VLOOKUP(Table1[[#This Row],[Part Number]],'Multi-level BOM'!V$4:V$449,1,FALSE)),0,Table1[[#This Row],[Remaining Extended cost]])</f>
        <v>0</v>
      </c>
    </row>
    <row r="216" spans="1:19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  <c r="S216" s="36">
        <f>IF(ISNA(VLOOKUP(Table1[[#This Row],[Part Number]],'Multi-level BOM'!V$4:V$449,1,FALSE)),0,Table1[[#This Row],[Remaining Extended cost]])</f>
        <v>0</v>
      </c>
    </row>
    <row r="217" spans="1:19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  <c r="S217" s="36">
        <f>IF(ISNA(VLOOKUP(Table1[[#This Row],[Part Number]],'Multi-level BOM'!V$4:V$449,1,FALSE)),0,Table1[[#This Row],[Remaining Extended cost]])</f>
        <v>0</v>
      </c>
    </row>
    <row r="218" spans="1:19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  <c r="S218" s="36">
        <f>IF(ISNA(VLOOKUP(Table1[[#This Row],[Part Number]],'Multi-level BOM'!V$4:V$449,1,FALSE)),0,Table1[[#This Row],[Remaining Extended cost]])</f>
        <v>0</v>
      </c>
    </row>
    <row r="219" spans="1:19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  <c r="S219" s="36">
        <f>IF(ISNA(VLOOKUP(Table1[[#This Row],[Part Number]],'Multi-level BOM'!V$4:V$449,1,FALSE)),0,Table1[[#This Row],[Remaining Extended cost]])</f>
        <v>0</v>
      </c>
    </row>
    <row r="220" spans="1:19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  <c r="S220" s="36">
        <f>IF(ISNA(VLOOKUP(Table1[[#This Row],[Part Number]],'Multi-level BOM'!V$4:V$449,1,FALSE)),0,Table1[[#This Row],[Remaining Extended cost]])</f>
        <v>0</v>
      </c>
    </row>
    <row r="221" spans="1:19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  <c r="S221" s="36">
        <f>IF(ISNA(VLOOKUP(Table1[[#This Row],[Part Number]],'Multi-level BOM'!V$4:V$449,1,FALSE)),0,Table1[[#This Row],[Remaining Extended cost]])</f>
        <v>0</v>
      </c>
    </row>
    <row r="222" spans="1:19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  <c r="S222" s="36">
        <f>IF(ISNA(VLOOKUP(Table1[[#This Row],[Part Number]],'Multi-level BOM'!V$4:V$449,1,FALSE)),0,Table1[[#This Row],[Remaining Extended cost]])</f>
        <v>0</v>
      </c>
    </row>
    <row r="223" spans="1:19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  <c r="S223" s="36">
        <f>IF(ISNA(VLOOKUP(Table1[[#This Row],[Part Number]],'Multi-level BOM'!V$4:V$449,1,FALSE)),0,Table1[[#This Row],[Remaining Extended cost]])</f>
        <v>0</v>
      </c>
    </row>
    <row r="224" spans="1:19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  <c r="S224" s="36">
        <f>IF(ISNA(VLOOKUP(Table1[[#This Row],[Part Number]],'Multi-level BOM'!V$4:V$449,1,FALSE)),0,Table1[[#This Row],[Remaining Extended cost]])</f>
        <v>0</v>
      </c>
    </row>
    <row r="225" spans="1:19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  <c r="S225" s="36">
        <f>IF(ISNA(VLOOKUP(Table1[[#This Row],[Part Number]],'Multi-level BOM'!V$4:V$449,1,FALSE)),0,Table1[[#This Row],[Remaining Extended cost]])</f>
        <v>0</v>
      </c>
    </row>
    <row r="226" spans="1:19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  <c r="S226" s="36">
        <f>IF(ISNA(VLOOKUP(Table1[[#This Row],[Part Number]],'Multi-level BOM'!V$4:V$449,1,FALSE)),0,Table1[[#This Row],[Remaining Extended cost]])</f>
        <v>0</v>
      </c>
    </row>
    <row r="227" spans="1:19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  <c r="S227" s="36">
        <f>IF(ISNA(VLOOKUP(Table1[[#This Row],[Part Number]],'Multi-level BOM'!V$4:V$449,1,FALSE)),0,Table1[[#This Row],[Remaining Extended cost]])</f>
        <v>0</v>
      </c>
    </row>
    <row r="228" spans="1:19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  <c r="S228" s="36">
        <f>IF(ISNA(VLOOKUP(Table1[[#This Row],[Part Number]],'Multi-level BOM'!V$4:V$449,1,FALSE)),0,Table1[[#This Row],[Remaining Extended cost]])</f>
        <v>0</v>
      </c>
    </row>
    <row r="229" spans="1:19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  <c r="S229" s="36">
        <f>IF(ISNA(VLOOKUP(Table1[[#This Row],[Part Number]],'Multi-level BOM'!V$4:V$449,1,FALSE)),0,Table1[[#This Row],[Remaining Extended cost]])</f>
        <v>0</v>
      </c>
    </row>
    <row r="230" spans="1:19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  <c r="S230" s="36">
        <f>IF(ISNA(VLOOKUP(Table1[[#This Row],[Part Number]],'Multi-level BOM'!V$4:V$449,1,FALSE)),0,Table1[[#This Row],[Remaining Extended cost]])</f>
        <v>0</v>
      </c>
    </row>
    <row r="231" spans="1:19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  <c r="S231" s="36">
        <f>IF(ISNA(VLOOKUP(Table1[[#This Row],[Part Number]],'Multi-level BOM'!V$4:V$449,1,FALSE)),0,Table1[[#This Row],[Remaining Extended cost]])</f>
        <v>0</v>
      </c>
    </row>
    <row r="232" spans="1:19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  <c r="S232" s="36">
        <f>IF(ISNA(VLOOKUP(Table1[[#This Row],[Part Number]],'Multi-level BOM'!V$4:V$449,1,FALSE)),0,Table1[[#This Row],[Remaining Extended cost]])</f>
        <v>0</v>
      </c>
    </row>
    <row r="233" spans="1:19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  <c r="S233" s="36">
        <f>IF(ISNA(VLOOKUP(Table1[[#This Row],[Part Number]],'Multi-level BOM'!V$4:V$449,1,FALSE)),0,Table1[[#This Row],[Remaining Extended cost]])</f>
        <v>0</v>
      </c>
    </row>
    <row r="234" spans="1:19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  <c r="S234" s="36">
        <f>IF(ISNA(VLOOKUP(Table1[[#This Row],[Part Number]],'Multi-level BOM'!V$4:V$449,1,FALSE)),0,Table1[[#This Row],[Remaining Extended cost]])</f>
        <v>0</v>
      </c>
    </row>
    <row r="235" spans="1:19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  <c r="S235" s="36">
        <f>IF(ISNA(VLOOKUP(Table1[[#This Row],[Part Number]],'Multi-level BOM'!V$4:V$449,1,FALSE)),0,Table1[[#This Row],[Remaining Extended cost]])</f>
        <v>0</v>
      </c>
    </row>
    <row r="236" spans="1:19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  <c r="S236" s="36">
        <f>IF(ISNA(VLOOKUP(Table1[[#This Row],[Part Number]],'Multi-level BOM'!V$4:V$449,1,FALSE)),0,Table1[[#This Row],[Remaining Extended cost]])</f>
        <v>0</v>
      </c>
    </row>
    <row r="237" spans="1:19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  <c r="S237" s="36">
        <f>IF(ISNA(VLOOKUP(Table1[[#This Row],[Part Number]],'Multi-level BOM'!V$4:V$449,1,FALSE)),0,Table1[[#This Row],[Remaining Extended cost]])</f>
        <v>0</v>
      </c>
    </row>
    <row r="238" spans="1:19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  <c r="S238" s="36">
        <f>IF(ISNA(VLOOKUP(Table1[[#This Row],[Part Number]],'Multi-level BOM'!V$4:V$449,1,FALSE)),0,Table1[[#This Row],[Remaining Extended cost]])</f>
        <v>0</v>
      </c>
    </row>
    <row r="239" spans="1:19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  <c r="S239" s="36">
        <f>IF(ISNA(VLOOKUP(Table1[[#This Row],[Part Number]],'Multi-level BOM'!V$4:V$449,1,FALSE)),0,Table1[[#This Row],[Remaining Extended cost]])</f>
        <v>0</v>
      </c>
    </row>
    <row r="240" spans="1:19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  <c r="S240" s="36">
        <f>IF(ISNA(VLOOKUP(Table1[[#This Row],[Part Number]],'Multi-level BOM'!V$4:V$449,1,FALSE)),0,Table1[[#This Row],[Remaining Extended cost]])</f>
        <v>0</v>
      </c>
    </row>
    <row r="241" spans="1:19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  <c r="S241" s="36">
        <f>IF(ISNA(VLOOKUP(Table1[[#This Row],[Part Number]],'Multi-level BOM'!V$4:V$449,1,FALSE)),0,Table1[[#This Row],[Remaining Extended cost]])</f>
        <v>0</v>
      </c>
    </row>
    <row r="242" spans="1:19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  <c r="S242" s="36">
        <f>IF(ISNA(VLOOKUP(Table1[[#This Row],[Part Number]],'Multi-level BOM'!V$4:V$449,1,FALSE)),0,Table1[[#This Row],[Remaining Extended cost]])</f>
        <v>0</v>
      </c>
    </row>
    <row r="243" spans="1:19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  <c r="S243" s="36">
        <f>IF(ISNA(VLOOKUP(Table1[[#This Row],[Part Number]],'Multi-level BOM'!V$4:V$449,1,FALSE)),0,Table1[[#This Row],[Remaining Extended cost]])</f>
        <v>0</v>
      </c>
    </row>
    <row r="244" spans="1:19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  <c r="S244" s="36">
        <f>IF(ISNA(VLOOKUP(Table1[[#This Row],[Part Number]],'Multi-level BOM'!V$4:V$449,1,FALSE)),0,Table1[[#This Row],[Remaining Extended cost]])</f>
        <v>0</v>
      </c>
    </row>
    <row r="245" spans="1:19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  <c r="S245" s="36">
        <f>IF(ISNA(VLOOKUP(Table1[[#This Row],[Part Number]],'Multi-level BOM'!V$4:V$449,1,FALSE)),0,Table1[[#This Row],[Remaining Extended cost]])</f>
        <v>0</v>
      </c>
    </row>
    <row r="246" spans="1:19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  <c r="S246" s="36">
        <f>IF(ISNA(VLOOKUP(Table1[[#This Row],[Part Number]],'Multi-level BOM'!V$4:V$449,1,FALSE)),0,Table1[[#This Row],[Remaining Extended cost]])</f>
        <v>0</v>
      </c>
    </row>
    <row r="247" spans="1:19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  <c r="S247" s="36">
        <f>IF(ISNA(VLOOKUP(Table1[[#This Row],[Part Number]],'Multi-level BOM'!V$4:V$449,1,FALSE)),0,Table1[[#This Row],[Remaining Extended cost]])</f>
        <v>0</v>
      </c>
    </row>
    <row r="248" spans="1:19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  <c r="S248" s="36">
        <f>IF(ISNA(VLOOKUP(Table1[[#This Row],[Part Number]],'Multi-level BOM'!V$4:V$449,1,FALSE)),0,Table1[[#This Row],[Remaining Extended cost]])</f>
        <v>0</v>
      </c>
    </row>
    <row r="249" spans="1:19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  <c r="S249" s="36">
        <f>IF(ISNA(VLOOKUP(Table1[[#This Row],[Part Number]],'Multi-level BOM'!V$4:V$449,1,FALSE)),0,Table1[[#This Row],[Remaining Extended cost]])</f>
        <v>0</v>
      </c>
    </row>
    <row r="250" spans="1:19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  <c r="S250" s="36">
        <f>IF(ISNA(VLOOKUP(Table1[[#This Row],[Part Number]],'Multi-level BOM'!V$4:V$449,1,FALSE)),0,Table1[[#This Row],[Remaining Extended cost]])</f>
        <v>0</v>
      </c>
    </row>
    <row r="251" spans="1:19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  <c r="S251" s="36">
        <f>IF(ISNA(VLOOKUP(Table1[[#This Row],[Part Number]],'Multi-level BOM'!V$4:V$449,1,FALSE)),0,Table1[[#This Row],[Remaining Extended cost]])</f>
        <v>0</v>
      </c>
    </row>
    <row r="252" spans="1:19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  <c r="S252" s="36">
        <f>IF(ISNA(VLOOKUP(Table1[[#This Row],[Part Number]],'Multi-level BOM'!V$4:V$449,1,FALSE)),0,Table1[[#This Row],[Remaining Extended cost]])</f>
        <v>0</v>
      </c>
    </row>
    <row r="253" spans="1:19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  <c r="S253" s="36">
        <f>IF(ISNA(VLOOKUP(Table1[[#This Row],[Part Number]],'Multi-level BOM'!V$4:V$449,1,FALSE)),0,Table1[[#This Row],[Remaining Extended cost]])</f>
        <v>0</v>
      </c>
    </row>
    <row r="254" spans="1:19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  <c r="S254" s="36">
        <f>IF(ISNA(VLOOKUP(Table1[[#This Row],[Part Number]],'Multi-level BOM'!V$4:V$449,1,FALSE)),0,Table1[[#This Row],[Remaining Extended cost]])</f>
        <v>0</v>
      </c>
    </row>
    <row r="255" spans="1:19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  <c r="S255" s="36">
        <f>IF(ISNA(VLOOKUP(Table1[[#This Row],[Part Number]],'Multi-level BOM'!V$4:V$449,1,FALSE)),0,Table1[[#This Row],[Remaining Extended cost]])</f>
        <v>0</v>
      </c>
    </row>
    <row r="256" spans="1:19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  <c r="S256" s="36">
        <f>IF(ISNA(VLOOKUP(Table1[[#This Row],[Part Number]],'Multi-level BOM'!V$4:V$449,1,FALSE)),0,Table1[[#This Row],[Remaining Extended cost]])</f>
        <v>0</v>
      </c>
    </row>
    <row r="257" spans="1:19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  <c r="S257" s="36">
        <f>IF(ISNA(VLOOKUP(Table1[[#This Row],[Part Number]],'Multi-level BOM'!V$4:V$449,1,FALSE)),0,Table1[[#This Row],[Remaining Extended cost]])</f>
        <v>0</v>
      </c>
    </row>
    <row r="258" spans="1:19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  <c r="S258" s="36">
        <f>IF(ISNA(VLOOKUP(Table1[[#This Row],[Part Number]],'Multi-level BOM'!V$4:V$449,1,FALSE)),0,Table1[[#This Row],[Remaining Extended cost]])</f>
        <v>0</v>
      </c>
    </row>
    <row r="259" spans="1:19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  <c r="S259" s="36">
        <f>IF(ISNA(VLOOKUP(Table1[[#This Row],[Part Number]],'Multi-level BOM'!V$4:V$449,1,FALSE)),0,Table1[[#This Row],[Remaining Extended cost]])</f>
        <v>0</v>
      </c>
    </row>
    <row r="260" spans="1:19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  <c r="S260" s="36">
        <f>IF(ISNA(VLOOKUP(Table1[[#This Row],[Part Number]],'Multi-level BOM'!V$4:V$449,1,FALSE)),0,Table1[[#This Row],[Remaining Extended cost]])</f>
        <v>0</v>
      </c>
    </row>
    <row r="261" spans="1:19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  <c r="S261" s="36">
        <f>IF(ISNA(VLOOKUP(Table1[[#This Row],[Part Number]],'Multi-level BOM'!V$4:V$449,1,FALSE)),0,Table1[[#This Row],[Remaining Extended cost]])</f>
        <v>0</v>
      </c>
    </row>
    <row r="262" spans="1:19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  <c r="S262" s="36">
        <f>IF(ISNA(VLOOKUP(Table1[[#This Row],[Part Number]],'Multi-level BOM'!V$4:V$449,1,FALSE)),0,Table1[[#This Row],[Remaining Extended cost]])</f>
        <v>0</v>
      </c>
    </row>
    <row r="263" spans="1:19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  <c r="S263" s="36">
        <f>IF(ISNA(VLOOKUP(Table1[[#This Row],[Part Number]],'Multi-level BOM'!V$4:V$449,1,FALSE)),0,Table1[[#This Row],[Remaining Extended cost]])</f>
        <v>0</v>
      </c>
    </row>
    <row r="264" spans="1:19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  <c r="S264" s="36">
        <f>IF(ISNA(VLOOKUP(Table1[[#This Row],[Part Number]],'Multi-level BOM'!V$4:V$449,1,FALSE)),0,Table1[[#This Row],[Remaining Extended cost]])</f>
        <v>0</v>
      </c>
    </row>
    <row r="265" spans="1:19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  <c r="S265" s="36">
        <f>IF(ISNA(VLOOKUP(Table1[[#This Row],[Part Number]],'Multi-level BOM'!V$4:V$449,1,FALSE)),0,Table1[[#This Row],[Remaining Extended cost]])</f>
        <v>0</v>
      </c>
    </row>
    <row r="266" spans="1:19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  <c r="S266" s="36">
        <f>IF(ISNA(VLOOKUP(Table1[[#This Row],[Part Number]],'Multi-level BOM'!V$4:V$449,1,FALSE)),0,Table1[[#This Row],[Remaining Extended cost]])</f>
        <v>0</v>
      </c>
    </row>
    <row r="267" spans="1:19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  <c r="S267" s="36">
        <f>IF(ISNA(VLOOKUP(Table1[[#This Row],[Part Number]],'Multi-level BOM'!V$4:V$449,1,FALSE)),0,Table1[[#This Row],[Remaining Extended cost]])</f>
        <v>0</v>
      </c>
    </row>
    <row r="268" spans="1:19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  <c r="S268" s="36">
        <f>IF(ISNA(VLOOKUP(Table1[[#This Row],[Part Number]],'Multi-level BOM'!V$4:V$449,1,FALSE)),0,Table1[[#This Row],[Remaining Extended cost]])</f>
        <v>0</v>
      </c>
    </row>
    <row r="269" spans="1:19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  <c r="S269" s="36">
        <f>IF(ISNA(VLOOKUP(Table1[[#This Row],[Part Number]],'Multi-level BOM'!V$4:V$449,1,FALSE)),0,Table1[[#This Row],[Remaining Extended cost]])</f>
        <v>0</v>
      </c>
    </row>
    <row r="270" spans="1:19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  <c r="S270" s="36">
        <f>IF(ISNA(VLOOKUP(Table1[[#This Row],[Part Number]],'Multi-level BOM'!V$4:V$449,1,FALSE)),0,Table1[[#This Row],[Remaining Extended cost]])</f>
        <v>0</v>
      </c>
    </row>
    <row r="271" spans="1:19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  <c r="S271" s="36">
        <f>IF(ISNA(VLOOKUP(Table1[[#This Row],[Part Number]],'Multi-level BOM'!V$4:V$449,1,FALSE)),0,Table1[[#This Row],[Remaining Extended cost]])</f>
        <v>0</v>
      </c>
    </row>
    <row r="272" spans="1:19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  <c r="S272" s="36">
        <f>IF(ISNA(VLOOKUP(Table1[[#This Row],[Part Number]],'Multi-level BOM'!V$4:V$449,1,FALSE)),0,Table1[[#This Row],[Remaining Extended cost]])</f>
        <v>0</v>
      </c>
    </row>
    <row r="273" spans="1:19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  <c r="S273" s="36">
        <f>IF(ISNA(VLOOKUP(Table1[[#This Row],[Part Number]],'Multi-level BOM'!V$4:V$449,1,FALSE)),0,Table1[[#This Row],[Remaining Extended cost]])</f>
        <v>0</v>
      </c>
    </row>
    <row r="274" spans="1:19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  <c r="S274" s="36">
        <f>IF(ISNA(VLOOKUP(Table1[[#This Row],[Part Number]],'Multi-level BOM'!V$4:V$449,1,FALSE)),0,Table1[[#This Row],[Remaining Extended cost]])</f>
        <v>0</v>
      </c>
    </row>
    <row r="275" spans="1:19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  <c r="S275" s="36">
        <f>IF(ISNA(VLOOKUP(Table1[[#This Row],[Part Number]],'Multi-level BOM'!V$4:V$449,1,FALSE)),0,Table1[[#This Row],[Remaining Extended cost]])</f>
        <v>0</v>
      </c>
    </row>
    <row r="276" spans="1:19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  <c r="S276" s="36">
        <f>IF(ISNA(VLOOKUP(Table1[[#This Row],[Part Number]],'Multi-level BOM'!V$4:V$449,1,FALSE)),0,Table1[[#This Row],[Remaining Extended cost]])</f>
        <v>0</v>
      </c>
    </row>
    <row r="277" spans="1:19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  <c r="S277" s="36">
        <f>IF(ISNA(VLOOKUP(Table1[[#This Row],[Part Number]],'Multi-level BOM'!V$4:V$449,1,FALSE)),0,Table1[[#This Row],[Remaining Extended cost]])</f>
        <v>0</v>
      </c>
    </row>
    <row r="278" spans="1:19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  <c r="S278" s="36">
        <f>IF(ISNA(VLOOKUP(Table1[[#This Row],[Part Number]],'Multi-level BOM'!V$4:V$449,1,FALSE)),0,Table1[[#This Row],[Remaining Extended cost]])</f>
        <v>0</v>
      </c>
    </row>
    <row r="279" spans="1:19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  <c r="S279" s="36">
        <f>IF(ISNA(VLOOKUP(Table1[[#This Row],[Part Number]],'Multi-level BOM'!V$4:V$449,1,FALSE)),0,Table1[[#This Row],[Remaining Extended cost]])</f>
        <v>0</v>
      </c>
    </row>
    <row r="280" spans="1:19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  <c r="S280" s="36">
        <f>IF(ISNA(VLOOKUP(Table1[[#This Row],[Part Number]],'Multi-level BOM'!V$4:V$449,1,FALSE)),0,Table1[[#This Row],[Remaining Extended cost]])</f>
        <v>0</v>
      </c>
    </row>
    <row r="281" spans="1:19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  <c r="S281" s="36">
        <f>IF(ISNA(VLOOKUP(Table1[[#This Row],[Part Number]],'Multi-level BOM'!V$4:V$449,1,FALSE)),0,Table1[[#This Row],[Remaining Extended cost]])</f>
        <v>0</v>
      </c>
    </row>
    <row r="282" spans="1:19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  <c r="S282" s="36">
        <f>IF(ISNA(VLOOKUP(Table1[[#This Row],[Part Number]],'Multi-level BOM'!V$4:V$449,1,FALSE)),0,Table1[[#This Row],[Remaining Extended cost]])</f>
        <v>0</v>
      </c>
    </row>
    <row r="283" spans="1:19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  <c r="S283" s="36">
        <f>IF(ISNA(VLOOKUP(Table1[[#This Row],[Part Number]],'Multi-level BOM'!V$4:V$449,1,FALSE)),0,Table1[[#This Row],[Remaining Extended cost]])</f>
        <v>0</v>
      </c>
    </row>
    <row r="284" spans="1:19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  <c r="S284" s="36">
        <f>IF(ISNA(VLOOKUP(Table1[[#This Row],[Part Number]],'Multi-level BOM'!V$4:V$449,1,FALSE)),0,Table1[[#This Row],[Remaining Extended cost]])</f>
        <v>0</v>
      </c>
    </row>
    <row r="285" spans="1:19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  <c r="S285" s="36">
        <f>IF(ISNA(VLOOKUP(Table1[[#This Row],[Part Number]],'Multi-level BOM'!V$4:V$449,1,FALSE)),0,Table1[[#This Row],[Remaining Extended cost]])</f>
        <v>0</v>
      </c>
    </row>
    <row r="286" spans="1:19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  <c r="S286" s="36">
        <f>IF(ISNA(VLOOKUP(Table1[[#This Row],[Part Number]],'Multi-level BOM'!V$4:V$449,1,FALSE)),0,Table1[[#This Row],[Remaining Extended cost]])</f>
        <v>0</v>
      </c>
    </row>
    <row r="287" spans="1:19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  <c r="S287" s="36">
        <f>IF(ISNA(VLOOKUP(Table1[[#This Row],[Part Number]],'Multi-level BOM'!V$4:V$449,1,FALSE)),0,Table1[[#This Row],[Remaining Extended cost]])</f>
        <v>0</v>
      </c>
    </row>
    <row r="288" spans="1:19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  <c r="S288" s="36">
        <f>IF(ISNA(VLOOKUP(Table1[[#This Row],[Part Number]],'Multi-level BOM'!V$4:V$449,1,FALSE)),0,Table1[[#This Row],[Remaining Extended cost]])</f>
        <v>0</v>
      </c>
    </row>
    <row r="289" spans="1:19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  <c r="S289" s="36">
        <f>IF(ISNA(VLOOKUP(Table1[[#This Row],[Part Number]],'Multi-level BOM'!V$4:V$449,1,FALSE)),0,Table1[[#This Row],[Remaining Extended cost]])</f>
        <v>0</v>
      </c>
    </row>
    <row r="290" spans="1:19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  <c r="S290" s="36">
        <f>IF(ISNA(VLOOKUP(Table1[[#This Row],[Part Number]],'Multi-level BOM'!V$4:V$449,1,FALSE)),0,Table1[[#This Row],[Remaining Extended cost]])</f>
        <v>0</v>
      </c>
    </row>
    <row r="291" spans="1:19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  <c r="S291" s="36">
        <f>IF(ISNA(VLOOKUP(Table1[[#This Row],[Part Number]],'Multi-level BOM'!V$4:V$449,1,FALSE)),0,Table1[[#This Row],[Remaining Extended cost]])</f>
        <v>0</v>
      </c>
    </row>
    <row r="292" spans="1:19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  <c r="S292" s="36">
        <f>IF(ISNA(VLOOKUP(Table1[[#This Row],[Part Number]],'Multi-level BOM'!V$4:V$449,1,FALSE)),0,Table1[[#This Row],[Remaining Extended cost]])</f>
        <v>0</v>
      </c>
    </row>
    <row r="293" spans="1:19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  <c r="S293" s="36">
        <f>IF(ISNA(VLOOKUP(Table1[[#This Row],[Part Number]],'Multi-level BOM'!V$4:V$449,1,FALSE)),0,Table1[[#This Row],[Remaining Extended cost]])</f>
        <v>0</v>
      </c>
    </row>
    <row r="294" spans="1:19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  <c r="S294" s="36">
        <f>IF(ISNA(VLOOKUP(Table1[[#This Row],[Part Number]],'Multi-level BOM'!V$4:V$449,1,FALSE)),0,Table1[[#This Row],[Remaining Extended cost]])</f>
        <v>0</v>
      </c>
    </row>
    <row r="295" spans="1:19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  <c r="S295" s="36">
        <f>IF(ISNA(VLOOKUP(Table1[[#This Row],[Part Number]],'Multi-level BOM'!V$4:V$449,1,FALSE)),0,Table1[[#This Row],[Remaining Extended cost]])</f>
        <v>0</v>
      </c>
    </row>
    <row r="296" spans="1:19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  <c r="S296" s="36">
        <f>IF(ISNA(VLOOKUP(Table1[[#This Row],[Part Number]],'Multi-level BOM'!V$4:V$449,1,FALSE)),0,Table1[[#This Row],[Remaining Extended cost]])</f>
        <v>0</v>
      </c>
    </row>
    <row r="297" spans="1:19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  <c r="S297" s="36">
        <f>IF(ISNA(VLOOKUP(Table1[[#This Row],[Part Number]],'Multi-level BOM'!V$4:V$449,1,FALSE)),0,Table1[[#This Row],[Remaining Extended cost]])</f>
        <v>0</v>
      </c>
    </row>
    <row r="298" spans="1:19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  <c r="S298" s="36">
        <f>IF(ISNA(VLOOKUP(Table1[[#This Row],[Part Number]],'Multi-level BOM'!V$4:V$449,1,FALSE)),0,Table1[[#This Row],[Remaining Extended cost]])</f>
        <v>0</v>
      </c>
    </row>
    <row r="299" spans="1:19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  <c r="S299" s="36">
        <f>IF(ISNA(VLOOKUP(Table1[[#This Row],[Part Number]],'Multi-level BOM'!V$4:V$449,1,FALSE)),0,Table1[[#This Row],[Remaining Extended cost]])</f>
        <v>0</v>
      </c>
    </row>
    <row r="300" spans="1:19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  <c r="S300" s="36">
        <f>IF(ISNA(VLOOKUP(Table1[[#This Row],[Part Number]],'Multi-level BOM'!V$4:V$449,1,FALSE)),0,Table1[[#This Row],[Remaining Extended cost]])</f>
        <v>0</v>
      </c>
    </row>
    <row r="301" spans="1:19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  <c r="S301" s="36">
        <f>IF(ISNA(VLOOKUP(Table1[[#This Row],[Part Number]],'Multi-level BOM'!V$4:V$449,1,FALSE)),0,Table1[[#This Row],[Remaining Extended cost]])</f>
        <v>0</v>
      </c>
    </row>
    <row r="302" spans="1:19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  <c r="S302" s="36">
        <f>IF(ISNA(VLOOKUP(Table1[[#This Row],[Part Number]],'Multi-level BOM'!V$4:V$449,1,FALSE)),0,Table1[[#This Row],[Remaining Extended cost]])</f>
        <v>0</v>
      </c>
    </row>
    <row r="303" spans="1:19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  <c r="S303" s="36">
        <f>IF(ISNA(VLOOKUP(Table1[[#This Row],[Part Number]],'Multi-level BOM'!V$4:V$449,1,FALSE)),0,Table1[[#This Row],[Remaining Extended cost]])</f>
        <v>0</v>
      </c>
    </row>
    <row r="304" spans="1:19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  <c r="S304" s="36">
        <f>IF(ISNA(VLOOKUP(Table1[[#This Row],[Part Number]],'Multi-level BOM'!V$4:V$449,1,FALSE)),0,Table1[[#This Row],[Remaining Extended cost]])</f>
        <v>0</v>
      </c>
    </row>
    <row r="305" spans="1:19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  <c r="S305" s="36">
        <f>IF(ISNA(VLOOKUP(Table1[[#This Row],[Part Number]],'Multi-level BOM'!V$4:V$449,1,FALSE)),0,Table1[[#This Row],[Remaining Extended cost]])</f>
        <v>0</v>
      </c>
    </row>
    <row r="306" spans="1:19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  <c r="S306" s="36">
        <f>IF(ISNA(VLOOKUP(Table1[[#This Row],[Part Number]],'Multi-level BOM'!V$4:V$449,1,FALSE)),0,Table1[[#This Row],[Remaining Extended cost]])</f>
        <v>0</v>
      </c>
    </row>
    <row r="307" spans="1:19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  <c r="S307" s="36">
        <f>IF(ISNA(VLOOKUP(Table1[[#This Row],[Part Number]],'Multi-level BOM'!V$4:V$449,1,FALSE)),0,Table1[[#This Row],[Remaining Extended cost]])</f>
        <v>0</v>
      </c>
    </row>
    <row r="308" spans="1:19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  <c r="S308" s="36">
        <f>IF(ISNA(VLOOKUP(Table1[[#This Row],[Part Number]],'Multi-level BOM'!V$4:V$449,1,FALSE)),0,Table1[[#This Row],[Remaining Extended cost]])</f>
        <v>0</v>
      </c>
    </row>
    <row r="309" spans="1:19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  <c r="S309" s="36">
        <f>IF(ISNA(VLOOKUP(Table1[[#This Row],[Part Number]],'Multi-level BOM'!V$4:V$449,1,FALSE)),0,Table1[[#This Row],[Remaining Extended cost]])</f>
        <v>0</v>
      </c>
    </row>
    <row r="310" spans="1:19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  <c r="S310" s="36">
        <f>IF(ISNA(VLOOKUP(Table1[[#This Row],[Part Number]],'Multi-level BOM'!V$4:V$449,1,FALSE)),0,Table1[[#This Row],[Remaining Extended cost]])</f>
        <v>0</v>
      </c>
    </row>
    <row r="311" spans="1:19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  <c r="S311" s="36">
        <f>IF(ISNA(VLOOKUP(Table1[[#This Row],[Part Number]],'Multi-level BOM'!V$4:V$449,1,FALSE)),0,Table1[[#This Row],[Remaining Extended cost]])</f>
        <v>0</v>
      </c>
    </row>
    <row r="312" spans="1:19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  <c r="S312" s="36">
        <f>IF(ISNA(VLOOKUP(Table1[[#This Row],[Part Number]],'Multi-level BOM'!V$4:V$449,1,FALSE)),0,Table1[[#This Row],[Remaining Extended cost]])</f>
        <v>0</v>
      </c>
    </row>
    <row r="313" spans="1:19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  <c r="S313" s="36">
        <f>IF(ISNA(VLOOKUP(Table1[[#This Row],[Part Number]],'Multi-level BOM'!V$4:V$449,1,FALSE)),0,Table1[[#This Row],[Remaining Extended cost]])</f>
        <v>0</v>
      </c>
    </row>
    <row r="314" spans="1:19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  <c r="S314" s="36">
        <f>IF(ISNA(VLOOKUP(Table1[[#This Row],[Part Number]],'Multi-level BOM'!V$4:V$449,1,FALSE)),0,Table1[[#This Row],[Remaining Extended cost]])</f>
        <v>0</v>
      </c>
    </row>
    <row r="315" spans="1:19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  <c r="S315" s="36">
        <f>IF(ISNA(VLOOKUP(Table1[[#This Row],[Part Number]],'Multi-level BOM'!V$4:V$449,1,FALSE)),0,Table1[[#This Row],[Remaining Extended cost]])</f>
        <v>0</v>
      </c>
    </row>
    <row r="316" spans="1:19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  <c r="S316" s="36">
        <f>IF(ISNA(VLOOKUP(Table1[[#This Row],[Part Number]],'Multi-level BOM'!V$4:V$449,1,FALSE)),0,Table1[[#This Row],[Remaining Extended cost]])</f>
        <v>0</v>
      </c>
    </row>
    <row r="317" spans="1:19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  <c r="S317" s="36">
        <f>IF(ISNA(VLOOKUP(Table1[[#This Row],[Part Number]],'Multi-level BOM'!V$4:V$449,1,FALSE)),0,Table1[[#This Row],[Remaining Extended cost]])</f>
        <v>0</v>
      </c>
    </row>
    <row r="318" spans="1:19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  <c r="S318" s="36">
        <f>IF(ISNA(VLOOKUP(Table1[[#This Row],[Part Number]],'Multi-level BOM'!V$4:V$449,1,FALSE)),0,Table1[[#This Row],[Remaining Extended cost]])</f>
        <v>0</v>
      </c>
    </row>
    <row r="319" spans="1:19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  <c r="S319" s="36">
        <f>IF(ISNA(VLOOKUP(Table1[[#This Row],[Part Number]],'Multi-level BOM'!V$4:V$449,1,FALSE)),0,Table1[[#This Row],[Remaining Extended cost]])</f>
        <v>0</v>
      </c>
    </row>
    <row r="320" spans="1:19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  <c r="S320" s="36">
        <f>IF(ISNA(VLOOKUP(Table1[[#This Row],[Part Number]],'Multi-level BOM'!V$4:V$449,1,FALSE)),0,Table1[[#This Row],[Remaining Extended cost]])</f>
        <v>0</v>
      </c>
    </row>
    <row r="321" spans="1:19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  <c r="S321" s="36">
        <f>IF(ISNA(VLOOKUP(Table1[[#This Row],[Part Number]],'Multi-level BOM'!V$4:V$449,1,FALSE)),0,Table1[[#This Row],[Remaining Extended cost]])</f>
        <v>0</v>
      </c>
    </row>
    <row r="322" spans="1:19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  <c r="S322" s="36">
        <f>IF(ISNA(VLOOKUP(Table1[[#This Row],[Part Number]],'Multi-level BOM'!V$4:V$449,1,FALSE)),0,Table1[[#This Row],[Remaining Extended cost]])</f>
        <v>0</v>
      </c>
    </row>
    <row r="323" spans="1:19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  <c r="S323" s="36">
        <f>IF(ISNA(VLOOKUP(Table1[[#This Row],[Part Number]],'Multi-level BOM'!V$4:V$449,1,FALSE)),0,Table1[[#This Row],[Remaining Extended cost]])</f>
        <v>0</v>
      </c>
    </row>
    <row r="324" spans="1:19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  <c r="S324" s="36">
        <f>IF(ISNA(VLOOKUP(Table1[[#This Row],[Part Number]],'Multi-level BOM'!V$4:V$449,1,FALSE)),0,Table1[[#This Row],[Remaining Extended cost]])</f>
        <v>0</v>
      </c>
    </row>
    <row r="325" spans="1:19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  <c r="S325" s="36">
        <f>IF(ISNA(VLOOKUP(Table1[[#This Row],[Part Number]],'Multi-level BOM'!V$4:V$449,1,FALSE)),0,Table1[[#This Row],[Remaining Extended cost]])</f>
        <v>0</v>
      </c>
    </row>
    <row r="326" spans="1:19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  <c r="S326" s="36">
        <f>IF(ISNA(VLOOKUP(Table1[[#This Row],[Part Number]],'Multi-level BOM'!V$4:V$449,1,FALSE)),0,Table1[[#This Row],[Remaining Extended cost]])</f>
        <v>0</v>
      </c>
    </row>
    <row r="327" spans="1:19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  <c r="S327" s="36">
        <f>IF(ISNA(VLOOKUP(Table1[[#This Row],[Part Number]],'Multi-level BOM'!V$4:V$449,1,FALSE)),0,Table1[[#This Row],[Remaining Extended cost]])</f>
        <v>0</v>
      </c>
    </row>
    <row r="328" spans="1:19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  <c r="S328" s="36">
        <f>IF(ISNA(VLOOKUP(Table1[[#This Row],[Part Number]],'Multi-level BOM'!V$4:V$449,1,FALSE)),0,Table1[[#This Row],[Remaining Extended cost]])</f>
        <v>0</v>
      </c>
    </row>
    <row r="329" spans="1:19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  <c r="S329" s="36">
        <f>IF(ISNA(VLOOKUP(Table1[[#This Row],[Part Number]],'Multi-level BOM'!V$4:V$449,1,FALSE)),0,Table1[[#This Row],[Remaining Extended cost]])</f>
        <v>0</v>
      </c>
    </row>
    <row r="330" spans="1:19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  <c r="S330" s="36">
        <f>IF(ISNA(VLOOKUP(Table1[[#This Row],[Part Number]],'Multi-level BOM'!V$4:V$449,1,FALSE)),0,Table1[[#This Row],[Remaining Extended cost]])</f>
        <v>0</v>
      </c>
    </row>
    <row r="331" spans="1:19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  <c r="S331" s="36">
        <f>IF(ISNA(VLOOKUP(Table1[[#This Row],[Part Number]],'Multi-level BOM'!V$4:V$449,1,FALSE)),0,Table1[[#This Row],[Remaining Extended cost]])</f>
        <v>0</v>
      </c>
    </row>
    <row r="332" spans="1:19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  <c r="S332" s="36">
        <f>IF(ISNA(VLOOKUP(Table1[[#This Row],[Part Number]],'Multi-level BOM'!V$4:V$449,1,FALSE)),0,Table1[[#This Row],[Remaining Extended cost]])</f>
        <v>0</v>
      </c>
    </row>
    <row r="333" spans="1:19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  <c r="S333" s="36">
        <f>IF(ISNA(VLOOKUP(Table1[[#This Row],[Part Number]],'Multi-level BOM'!V$4:V$449,1,FALSE)),0,Table1[[#This Row],[Remaining Extended cost]])</f>
        <v>0</v>
      </c>
    </row>
    <row r="334" spans="1:19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  <c r="S334" s="36">
        <f>IF(ISNA(VLOOKUP(Table1[[#This Row],[Part Number]],'Multi-level BOM'!V$4:V$449,1,FALSE)),0,Table1[[#This Row],[Remaining Extended cost]])</f>
        <v>0</v>
      </c>
    </row>
    <row r="335" spans="1:19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  <c r="S335" s="36">
        <f>IF(ISNA(VLOOKUP(Table1[[#This Row],[Part Number]],'Multi-level BOM'!V$4:V$449,1,FALSE)),0,Table1[[#This Row],[Remaining Extended cost]])</f>
        <v>0</v>
      </c>
    </row>
    <row r="336" spans="1:19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  <c r="S336" s="36">
        <f>IF(ISNA(VLOOKUP(Table1[[#This Row],[Part Number]],'Multi-level BOM'!V$4:V$449,1,FALSE)),0,Table1[[#This Row],[Remaining Extended cost]])</f>
        <v>0</v>
      </c>
    </row>
    <row r="337" spans="1:19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  <c r="S337" s="36">
        <f>IF(ISNA(VLOOKUP(Table1[[#This Row],[Part Number]],'Multi-level BOM'!V$4:V$449,1,FALSE)),0,Table1[[#This Row],[Remaining Extended cost]])</f>
        <v>0</v>
      </c>
    </row>
    <row r="338" spans="1:19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  <c r="S338" s="36">
        <f>IF(ISNA(VLOOKUP(Table1[[#This Row],[Part Number]],'Multi-level BOM'!V$4:V$449,1,FALSE)),0,Table1[[#This Row],[Remaining Extended cost]])</f>
        <v>0</v>
      </c>
    </row>
    <row r="339" spans="1:19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  <c r="S339" s="36">
        <f>IF(ISNA(VLOOKUP(Table1[[#This Row],[Part Number]],'Multi-level BOM'!V$4:V$449,1,FALSE)),0,Table1[[#This Row],[Remaining Extended cost]])</f>
        <v>0</v>
      </c>
    </row>
    <row r="340" spans="1:19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  <c r="S340" s="36">
        <f>IF(ISNA(VLOOKUP(Table1[[#This Row],[Part Number]],'Multi-level BOM'!V$4:V$449,1,FALSE)),0,Table1[[#This Row],[Remaining Extended cost]])</f>
        <v>0</v>
      </c>
    </row>
    <row r="341" spans="1:19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  <c r="S341" s="36">
        <f>IF(ISNA(VLOOKUP(Table1[[#This Row],[Part Number]],'Multi-level BOM'!V$4:V$449,1,FALSE)),0,Table1[[#This Row],[Remaining Extended cost]])</f>
        <v>0</v>
      </c>
    </row>
    <row r="342" spans="1:19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  <c r="S342" s="36">
        <f>IF(ISNA(VLOOKUP(Table1[[#This Row],[Part Number]],'Multi-level BOM'!V$4:V$449,1,FALSE)),0,Table1[[#This Row],[Remaining Extended cost]])</f>
        <v>0</v>
      </c>
    </row>
    <row r="343" spans="1:19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  <c r="S343" s="36">
        <f>IF(ISNA(VLOOKUP(Table1[[#This Row],[Part Number]],'Multi-level BOM'!V$4:V$449,1,FALSE)),0,Table1[[#This Row],[Remaining Extended cost]])</f>
        <v>0</v>
      </c>
    </row>
    <row r="344" spans="1:19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  <c r="S344" s="36">
        <f>IF(ISNA(VLOOKUP(Table1[[#This Row],[Part Number]],'Multi-level BOM'!V$4:V$449,1,FALSE)),0,Table1[[#This Row],[Remaining Extended cost]])</f>
        <v>0</v>
      </c>
    </row>
    <row r="345" spans="1:19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  <c r="S345" s="36">
        <f>IF(ISNA(VLOOKUP(Table1[[#This Row],[Part Number]],'Multi-level BOM'!V$4:V$449,1,FALSE)),0,Table1[[#This Row],[Remaining Extended cost]])</f>
        <v>0</v>
      </c>
    </row>
    <row r="346" spans="1:19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  <c r="S346" s="36">
        <f>IF(ISNA(VLOOKUP(Table1[[#This Row],[Part Number]],'Multi-level BOM'!V$4:V$449,1,FALSE)),0,Table1[[#This Row],[Remaining Extended cost]])</f>
        <v>0</v>
      </c>
    </row>
    <row r="347" spans="1:19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  <c r="S347" s="36">
        <f>IF(ISNA(VLOOKUP(Table1[[#This Row],[Part Number]],'Multi-level BOM'!V$4:V$449,1,FALSE)),0,Table1[[#This Row],[Remaining Extended cost]])</f>
        <v>0</v>
      </c>
    </row>
    <row r="348" spans="1:19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  <c r="S348" s="36">
        <f>IF(ISNA(VLOOKUP(Table1[[#This Row],[Part Number]],'Multi-level BOM'!V$4:V$449,1,FALSE)),0,Table1[[#This Row],[Remaining Extended cost]])</f>
        <v>0</v>
      </c>
    </row>
    <row r="349" spans="1:19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  <c r="S349" s="36">
        <f>IF(ISNA(VLOOKUP(Table1[[#This Row],[Part Number]],'Multi-level BOM'!V$4:V$449,1,FALSE)),0,Table1[[#This Row],[Remaining Extended cost]])</f>
        <v>0</v>
      </c>
    </row>
    <row r="350" spans="1:19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  <c r="S350" s="36">
        <f>IF(ISNA(VLOOKUP(Table1[[#This Row],[Part Number]],'Multi-level BOM'!V$4:V$449,1,FALSE)),0,Table1[[#This Row],[Remaining Extended cost]])</f>
        <v>0</v>
      </c>
    </row>
    <row r="351" spans="1:19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  <c r="S351" s="36">
        <f>IF(ISNA(VLOOKUP(Table1[[#This Row],[Part Number]],'Multi-level BOM'!V$4:V$449,1,FALSE)),0,Table1[[#This Row],[Remaining Extended cost]])</f>
        <v>0</v>
      </c>
    </row>
    <row r="352" spans="1:19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  <c r="S352" s="36">
        <f>IF(ISNA(VLOOKUP(Table1[[#This Row],[Part Number]],'Multi-level BOM'!V$4:V$449,1,FALSE)),0,Table1[[#This Row],[Remaining Extended cost]])</f>
        <v>0</v>
      </c>
    </row>
    <row r="353" spans="1:19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  <c r="S353" s="36">
        <f>IF(ISNA(VLOOKUP(Table1[[#This Row],[Part Number]],'Multi-level BOM'!V$4:V$449,1,FALSE)),0,Table1[[#This Row],[Remaining Extended cost]])</f>
        <v>0</v>
      </c>
    </row>
    <row r="354" spans="1:19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  <c r="S354" s="36">
        <f>IF(ISNA(VLOOKUP(Table1[[#This Row],[Part Number]],'Multi-level BOM'!V$4:V$449,1,FALSE)),0,Table1[[#This Row],[Remaining Extended cost]])</f>
        <v>0</v>
      </c>
    </row>
    <row r="355" spans="1:19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  <c r="S355" s="36">
        <f>IF(ISNA(VLOOKUP(Table1[[#This Row],[Part Number]],'Multi-level BOM'!V$4:V$449,1,FALSE)),0,Table1[[#This Row],[Remaining Extended cost]])</f>
        <v>0</v>
      </c>
    </row>
    <row r="356" spans="1:19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  <c r="S356" s="36">
        <f>IF(ISNA(VLOOKUP(Table1[[#This Row],[Part Number]],'Multi-level BOM'!V$4:V$449,1,FALSE)),0,Table1[[#This Row],[Remaining Extended cost]])</f>
        <v>0</v>
      </c>
    </row>
    <row r="357" spans="1:19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  <c r="S357" s="36">
        <f>IF(ISNA(VLOOKUP(Table1[[#This Row],[Part Number]],'Multi-level BOM'!V$4:V$449,1,FALSE)),0,Table1[[#This Row],[Remaining Extended cost]])</f>
        <v>0</v>
      </c>
    </row>
    <row r="358" spans="1:19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  <c r="S358" s="36">
        <f>IF(ISNA(VLOOKUP(Table1[[#This Row],[Part Number]],'Multi-level BOM'!V$4:V$449,1,FALSE)),0,Table1[[#This Row],[Remaining Extended cost]])</f>
        <v>0</v>
      </c>
    </row>
    <row r="359" spans="1:19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  <c r="S359" s="36">
        <f>IF(ISNA(VLOOKUP(Table1[[#This Row],[Part Number]],'Multi-level BOM'!V$4:V$449,1,FALSE)),0,Table1[[#This Row],[Remaining Extended cost]])</f>
        <v>0</v>
      </c>
    </row>
    <row r="360" spans="1:19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  <c r="S360" s="36">
        <f>IF(ISNA(VLOOKUP(Table1[[#This Row],[Part Number]],'Multi-level BOM'!V$4:V$449,1,FALSE)),0,Table1[[#This Row],[Remaining Extended cost]])</f>
        <v>0</v>
      </c>
    </row>
    <row r="361" spans="1:19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  <c r="S361" s="36">
        <f>IF(ISNA(VLOOKUP(Table1[[#This Row],[Part Number]],'Multi-level BOM'!V$4:V$449,1,FALSE)),0,Table1[[#This Row],[Remaining Extended cost]])</f>
        <v>0</v>
      </c>
    </row>
    <row r="362" spans="1:19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  <c r="S362" s="36">
        <f>IF(ISNA(VLOOKUP(Table1[[#This Row],[Part Number]],'Multi-level BOM'!V$4:V$449,1,FALSE)),0,Table1[[#This Row],[Remaining Extended cost]])</f>
        <v>0</v>
      </c>
    </row>
    <row r="363" spans="1:19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  <c r="S363" s="36">
        <f>IF(ISNA(VLOOKUP(Table1[[#This Row],[Part Number]],'Multi-level BOM'!V$4:V$449,1,FALSE)),0,Table1[[#This Row],[Remaining Extended cost]])</f>
        <v>0</v>
      </c>
    </row>
    <row r="364" spans="1:19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  <c r="S364" s="36">
        <f>IF(ISNA(VLOOKUP(Table1[[#This Row],[Part Number]],'Multi-level BOM'!V$4:V$449,1,FALSE)),0,Table1[[#This Row],[Remaining Extended cost]])</f>
        <v>0</v>
      </c>
    </row>
    <row r="365" spans="1:19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  <c r="S365" s="36">
        <f>IF(ISNA(VLOOKUP(Table1[[#This Row],[Part Number]],'Multi-level BOM'!V$4:V$449,1,FALSE)),0,Table1[[#This Row],[Remaining Extended cost]])</f>
        <v>0</v>
      </c>
    </row>
    <row r="366" spans="1:19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  <c r="S366" s="36">
        <f>IF(ISNA(VLOOKUP(Table1[[#This Row],[Part Number]],'Multi-level BOM'!V$4:V$449,1,FALSE)),0,Table1[[#This Row],[Remaining Extended cost]])</f>
        <v>0</v>
      </c>
    </row>
    <row r="367" spans="1:19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  <c r="S367" s="36">
        <f>IF(ISNA(VLOOKUP(Table1[[#This Row],[Part Number]],'Multi-level BOM'!V$4:V$449,1,FALSE)),0,Table1[[#This Row],[Remaining Extended cost]])</f>
        <v>0</v>
      </c>
    </row>
    <row r="368" spans="1:19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  <c r="S368" s="36">
        <f>IF(ISNA(VLOOKUP(Table1[[#This Row],[Part Number]],'Multi-level BOM'!V$4:V$449,1,FALSE)),0,Table1[[#This Row],[Remaining Extended cost]])</f>
        <v>0</v>
      </c>
    </row>
    <row r="369" spans="1:19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  <c r="S369" s="36">
        <f>IF(ISNA(VLOOKUP(Table1[[#This Row],[Part Number]],'Multi-level BOM'!V$4:V$449,1,FALSE)),0,Table1[[#This Row],[Remaining Extended cost]])</f>
        <v>0</v>
      </c>
    </row>
    <row r="370" spans="1:19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  <c r="S370" s="36">
        <f>IF(ISNA(VLOOKUP(Table1[[#This Row],[Part Number]],'Multi-level BOM'!V$4:V$449,1,FALSE)),0,Table1[[#This Row],[Remaining Extended cost]])</f>
        <v>0</v>
      </c>
    </row>
    <row r="371" spans="1:19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  <c r="S371" s="36">
        <f>IF(ISNA(VLOOKUP(Table1[[#This Row],[Part Number]],'Multi-level BOM'!V$4:V$449,1,FALSE)),0,Table1[[#This Row],[Remaining Extended cost]])</f>
        <v>0</v>
      </c>
    </row>
    <row r="372" spans="1:19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  <c r="S372" s="36">
        <f>IF(ISNA(VLOOKUP(Table1[[#This Row],[Part Number]],'Multi-level BOM'!V$4:V$449,1,FALSE)),0,Table1[[#This Row],[Remaining Extended cost]])</f>
        <v>0</v>
      </c>
    </row>
    <row r="373" spans="1:19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  <c r="S373" s="36">
        <f>IF(ISNA(VLOOKUP(Table1[[#This Row],[Part Number]],'Multi-level BOM'!V$4:V$449,1,FALSE)),0,Table1[[#This Row],[Remaining Extended cost]])</f>
        <v>0</v>
      </c>
    </row>
    <row r="374" spans="1:19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  <c r="S374" s="36">
        <f>IF(ISNA(VLOOKUP(Table1[[#This Row],[Part Number]],'Multi-level BOM'!V$4:V$449,1,FALSE)),0,Table1[[#This Row],[Remaining Extended cost]])</f>
        <v>0</v>
      </c>
    </row>
    <row r="375" spans="1:19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  <c r="S375" s="36">
        <f>IF(ISNA(VLOOKUP(Table1[[#This Row],[Part Number]],'Multi-level BOM'!V$4:V$449,1,FALSE)),0,Table1[[#This Row],[Remaining Extended cost]])</f>
        <v>0</v>
      </c>
    </row>
    <row r="376" spans="1:19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  <c r="S376" s="36">
        <f>IF(ISNA(VLOOKUP(Table1[[#This Row],[Part Number]],'Multi-level BOM'!V$4:V$449,1,FALSE)),0,Table1[[#This Row],[Remaining Extended cost]])</f>
        <v>0</v>
      </c>
    </row>
    <row r="377" spans="1:19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  <c r="S377" s="36">
        <f>IF(ISNA(VLOOKUP(Table1[[#This Row],[Part Number]],'Multi-level BOM'!V$4:V$449,1,FALSE)),0,Table1[[#This Row],[Remaining Extended cost]])</f>
        <v>0</v>
      </c>
    </row>
    <row r="378" spans="1:19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  <c r="S378" s="36">
        <f>IF(ISNA(VLOOKUP(Table1[[#This Row],[Part Number]],'Multi-level BOM'!V$4:V$449,1,FALSE)),0,Table1[[#This Row],[Remaining Extended cost]])</f>
        <v>0</v>
      </c>
    </row>
    <row r="379" spans="1:19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  <c r="S379" s="36">
        <f>IF(ISNA(VLOOKUP(Table1[[#This Row],[Part Number]],'Multi-level BOM'!V$4:V$449,1,FALSE)),0,Table1[[#This Row],[Remaining Extended cost]])</f>
        <v>0</v>
      </c>
    </row>
    <row r="380" spans="1:19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  <c r="S380" s="36">
        <f>IF(ISNA(VLOOKUP(Table1[[#This Row],[Part Number]],'Multi-level BOM'!V$4:V$449,1,FALSE)),0,Table1[[#This Row],[Remaining Extended cost]])</f>
        <v>0</v>
      </c>
    </row>
    <row r="381" spans="1:19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  <c r="S381" s="36">
        <f>IF(ISNA(VLOOKUP(Table1[[#This Row],[Part Number]],'Multi-level BOM'!V$4:V$449,1,FALSE)),0,Table1[[#This Row],[Remaining Extended cost]])</f>
        <v>0</v>
      </c>
    </row>
    <row r="382" spans="1:19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  <c r="S382" s="36">
        <f>IF(ISNA(VLOOKUP(Table1[[#This Row],[Part Number]],'Multi-level BOM'!V$4:V$449,1,FALSE)),0,Table1[[#This Row],[Remaining Extended cost]])</f>
        <v>0</v>
      </c>
    </row>
    <row r="383" spans="1:19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  <c r="S383" s="36">
        <f>IF(ISNA(VLOOKUP(Table1[[#This Row],[Part Number]],'Multi-level BOM'!V$4:V$449,1,FALSE)),0,Table1[[#This Row],[Remaining Extended cost]])</f>
        <v>0</v>
      </c>
    </row>
    <row r="384" spans="1:19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  <c r="S384" s="36">
        <f>IF(ISNA(VLOOKUP(Table1[[#This Row],[Part Number]],'Multi-level BOM'!V$4:V$449,1,FALSE)),0,Table1[[#This Row],[Remaining Extended cost]])</f>
        <v>0</v>
      </c>
    </row>
    <row r="385" spans="1:19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  <c r="S385" s="36">
        <f>IF(ISNA(VLOOKUP(Table1[[#This Row],[Part Number]],'Multi-level BOM'!V$4:V$449,1,FALSE)),0,Table1[[#This Row],[Remaining Extended cost]])</f>
        <v>0</v>
      </c>
    </row>
    <row r="386" spans="1:19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  <c r="S386" s="36">
        <f>IF(ISNA(VLOOKUP(Table1[[#This Row],[Part Number]],'Multi-level BOM'!V$4:V$449,1,FALSE)),0,Table1[[#This Row],[Remaining Extended cost]])</f>
        <v>0</v>
      </c>
    </row>
    <row r="387" spans="1:19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  <c r="S387" s="36">
        <f>IF(ISNA(VLOOKUP(Table1[[#This Row],[Part Number]],'Multi-level BOM'!V$4:V$449,1,FALSE)),0,Table1[[#This Row],[Remaining Extended cost]])</f>
        <v>0</v>
      </c>
    </row>
    <row r="388" spans="1:19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  <c r="S388" s="36">
        <f>IF(ISNA(VLOOKUP(Table1[[#This Row],[Part Number]],'Multi-level BOM'!V$4:V$449,1,FALSE)),0,Table1[[#This Row],[Remaining Extended cost]])</f>
        <v>0</v>
      </c>
    </row>
    <row r="389" spans="1:19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  <c r="S389" s="36">
        <f>IF(ISNA(VLOOKUP(Table1[[#This Row],[Part Number]],'Multi-level BOM'!V$4:V$449,1,FALSE)),0,Table1[[#This Row],[Remaining Extended cost]])</f>
        <v>0</v>
      </c>
    </row>
    <row r="390" spans="1:19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  <c r="S390" s="36">
        <f>IF(ISNA(VLOOKUP(Table1[[#This Row],[Part Number]],'Multi-level BOM'!V$4:V$449,1,FALSE)),0,Table1[[#This Row],[Remaining Extended cost]])</f>
        <v>0</v>
      </c>
    </row>
    <row r="391" spans="1:19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  <c r="S391" s="36">
        <f>IF(ISNA(VLOOKUP(Table1[[#This Row],[Part Number]],'Multi-level BOM'!V$4:V$449,1,FALSE)),0,Table1[[#This Row],[Remaining Extended cost]])</f>
        <v>0</v>
      </c>
    </row>
    <row r="392" spans="1:19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  <c r="S392" s="36">
        <f>IF(ISNA(VLOOKUP(Table1[[#This Row],[Part Number]],'Multi-level BOM'!V$4:V$449,1,FALSE)),0,Table1[[#This Row],[Remaining Extended cost]])</f>
        <v>0</v>
      </c>
    </row>
    <row r="393" spans="1:19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  <c r="S393" s="36">
        <f>IF(ISNA(VLOOKUP(Table1[[#This Row],[Part Number]],'Multi-level BOM'!V$4:V$449,1,FALSE)),0,Table1[[#This Row],[Remaining Extended cost]])</f>
        <v>0</v>
      </c>
    </row>
    <row r="394" spans="1:19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  <c r="S394" s="36">
        <f>IF(ISNA(VLOOKUP(Table1[[#This Row],[Part Number]],'Multi-level BOM'!V$4:V$449,1,FALSE)),0,Table1[[#This Row],[Remaining Extended cost]])</f>
        <v>0</v>
      </c>
    </row>
    <row r="395" spans="1:19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  <c r="S395" s="36">
        <f>IF(ISNA(VLOOKUP(Table1[[#This Row],[Part Number]],'Multi-level BOM'!V$4:V$449,1,FALSE)),0,Table1[[#This Row],[Remaining Extended cost]])</f>
        <v>0</v>
      </c>
    </row>
    <row r="396" spans="1:19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  <c r="S396" s="36">
        <f>IF(ISNA(VLOOKUP(Table1[[#This Row],[Part Number]],'Multi-level BOM'!V$4:V$449,1,FALSE)),0,Table1[[#This Row],[Remaining Extended cost]])</f>
        <v>0</v>
      </c>
    </row>
    <row r="397" spans="1:19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  <c r="S397" s="36">
        <f>IF(ISNA(VLOOKUP(Table1[[#This Row],[Part Number]],'Multi-level BOM'!V$4:V$449,1,FALSE)),0,Table1[[#This Row],[Remaining Extended cost]])</f>
        <v>0</v>
      </c>
    </row>
    <row r="398" spans="1:19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  <c r="S398" s="36">
        <f>IF(ISNA(VLOOKUP(Table1[[#This Row],[Part Number]],'Multi-level BOM'!V$4:V$449,1,FALSE)),0,Table1[[#This Row],[Remaining Extended cost]])</f>
        <v>0</v>
      </c>
    </row>
    <row r="399" spans="1:19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  <c r="S399" s="36">
        <f>IF(ISNA(VLOOKUP(Table1[[#This Row],[Part Number]],'Multi-level BOM'!V$4:V$449,1,FALSE)),0,Table1[[#This Row],[Remaining Extended cost]])</f>
        <v>0</v>
      </c>
    </row>
    <row r="400" spans="1:19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  <c r="S400" s="36">
        <f>IF(ISNA(VLOOKUP(Table1[[#This Row],[Part Number]],'Multi-level BOM'!V$4:V$449,1,FALSE)),0,Table1[[#This Row],[Remaining Extended cost]])</f>
        <v>0</v>
      </c>
    </row>
    <row r="401" spans="1:19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  <c r="S401" s="36">
        <f>IF(ISNA(VLOOKUP(Table1[[#This Row],[Part Number]],'Multi-level BOM'!V$4:V$449,1,FALSE)),0,Table1[[#This Row],[Remaining Extended cost]])</f>
        <v>0</v>
      </c>
    </row>
    <row r="402" spans="1:19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  <c r="S402" s="36">
        <f>IF(ISNA(VLOOKUP(Table1[[#This Row],[Part Number]],'Multi-level BOM'!V$4:V$449,1,FALSE)),0,Table1[[#This Row],[Remaining Extended cost]])</f>
        <v>0</v>
      </c>
    </row>
    <row r="403" spans="1:19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  <c r="S403" s="36">
        <f>IF(ISNA(VLOOKUP(Table1[[#This Row],[Part Number]],'Multi-level BOM'!V$4:V$449,1,FALSE)),0,Table1[[#This Row],[Remaining Extended cost]])</f>
        <v>0</v>
      </c>
    </row>
    <row r="404" spans="1:19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  <c r="S404" s="36">
        <f>IF(ISNA(VLOOKUP(Table1[[#This Row],[Part Number]],'Multi-level BOM'!V$4:V$449,1,FALSE)),0,Table1[[#This Row],[Remaining Extended cost]])</f>
        <v>0</v>
      </c>
    </row>
    <row r="405" spans="1:19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  <c r="S405" s="36">
        <f>IF(ISNA(VLOOKUP(Table1[[#This Row],[Part Number]],'Multi-level BOM'!V$4:V$449,1,FALSE)),0,Table1[[#This Row],[Remaining Extended cost]])</f>
        <v>0</v>
      </c>
    </row>
    <row r="406" spans="1:19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  <c r="S406" s="36">
        <f>IF(ISNA(VLOOKUP(Table1[[#This Row],[Part Number]],'Multi-level BOM'!V$4:V$449,1,FALSE)),0,Table1[[#This Row],[Remaining Extended cost]])</f>
        <v>0</v>
      </c>
    </row>
    <row r="407" spans="1:19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  <c r="S407" s="36">
        <f>IF(ISNA(VLOOKUP(Table1[[#This Row],[Part Number]],'Multi-level BOM'!V$4:V$449,1,FALSE)),0,Table1[[#This Row],[Remaining Extended cost]])</f>
        <v>0</v>
      </c>
    </row>
    <row r="408" spans="1:19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  <c r="S408" s="36">
        <f>IF(ISNA(VLOOKUP(Table1[[#This Row],[Part Number]],'Multi-level BOM'!V$4:V$449,1,FALSE)),0,Table1[[#This Row],[Remaining Extended cost]])</f>
        <v>0</v>
      </c>
    </row>
    <row r="409" spans="1:19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  <c r="S409" s="36">
        <f>IF(ISNA(VLOOKUP(Table1[[#This Row],[Part Number]],'Multi-level BOM'!V$4:V$449,1,FALSE)),0,Table1[[#This Row],[Remaining Extended cost]])</f>
        <v>0</v>
      </c>
    </row>
    <row r="410" spans="1:19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  <c r="S410" s="36">
        <f>IF(ISNA(VLOOKUP(Table1[[#This Row],[Part Number]],'Multi-level BOM'!V$4:V$449,1,FALSE)),0,Table1[[#This Row],[Remaining Extended cost]])</f>
        <v>0</v>
      </c>
    </row>
    <row r="411" spans="1:19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  <c r="S411" s="36">
        <f>IF(ISNA(VLOOKUP(Table1[[#This Row],[Part Number]],'Multi-level BOM'!V$4:V$449,1,FALSE)),0,Table1[[#This Row],[Remaining Extended cost]])</f>
        <v>0</v>
      </c>
    </row>
    <row r="412" spans="1:19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  <c r="S412" s="36">
        <f>IF(ISNA(VLOOKUP(Table1[[#This Row],[Part Number]],'Multi-level BOM'!V$4:V$449,1,FALSE)),0,Table1[[#This Row],[Remaining Extended cost]])</f>
        <v>0</v>
      </c>
    </row>
    <row r="413" spans="1:19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  <c r="S413" s="36">
        <f>IF(ISNA(VLOOKUP(Table1[[#This Row],[Part Number]],'Multi-level BOM'!V$4:V$449,1,FALSE)),0,Table1[[#This Row],[Remaining Extended cost]])</f>
        <v>0</v>
      </c>
    </row>
    <row r="414" spans="1:19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  <c r="S414" s="36">
        <f>IF(ISNA(VLOOKUP(Table1[[#This Row],[Part Number]],'Multi-level BOM'!V$4:V$449,1,FALSE)),0,Table1[[#This Row],[Remaining Extended cost]])</f>
        <v>0</v>
      </c>
    </row>
    <row r="415" spans="1:19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  <c r="S415" s="36">
        <f>IF(ISNA(VLOOKUP(Table1[[#This Row],[Part Number]],'Multi-level BOM'!V$4:V$449,1,FALSE)),0,Table1[[#This Row],[Remaining Extended cost]])</f>
        <v>0</v>
      </c>
    </row>
    <row r="416" spans="1:19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  <c r="S416" s="36">
        <f>IF(ISNA(VLOOKUP(Table1[[#This Row],[Part Number]],'Multi-level BOM'!V$4:V$449,1,FALSE)),0,Table1[[#This Row],[Remaining Extended cost]])</f>
        <v>0</v>
      </c>
    </row>
    <row r="417" spans="1:19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  <c r="S417" s="36">
        <f>IF(ISNA(VLOOKUP(Table1[[#This Row],[Part Number]],'Multi-level BOM'!V$4:V$449,1,FALSE)),0,Table1[[#This Row],[Remaining Extended cost]])</f>
        <v>0</v>
      </c>
    </row>
    <row r="418" spans="1:19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  <c r="S418" s="36">
        <f>IF(ISNA(VLOOKUP(Table1[[#This Row],[Part Number]],'Multi-level BOM'!V$4:V$449,1,FALSE)),0,Table1[[#This Row],[Remaining Extended cost]])</f>
        <v>0</v>
      </c>
    </row>
    <row r="419" spans="1:19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  <c r="S419" s="36">
        <f>IF(ISNA(VLOOKUP(Table1[[#This Row],[Part Number]],'Multi-level BOM'!V$4:V$449,1,FALSE)),0,Table1[[#This Row],[Remaining Extended cost]])</f>
        <v>0</v>
      </c>
    </row>
    <row r="420" spans="1:19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  <c r="S420" s="36">
        <f>IF(ISNA(VLOOKUP(Table1[[#This Row],[Part Number]],'Multi-level BOM'!V$4:V$449,1,FALSE)),0,Table1[[#This Row],[Remaining Extended cost]])</f>
        <v>0</v>
      </c>
    </row>
    <row r="421" spans="1:19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  <c r="S421" s="36">
        <f>IF(ISNA(VLOOKUP(Table1[[#This Row],[Part Number]],'Multi-level BOM'!V$4:V$449,1,FALSE)),0,Table1[[#This Row],[Remaining Extended cost]])</f>
        <v>0</v>
      </c>
    </row>
    <row r="422" spans="1:19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  <c r="S422" s="36">
        <f>IF(ISNA(VLOOKUP(Table1[[#This Row],[Part Number]],'Multi-level BOM'!V$4:V$449,1,FALSE)),0,Table1[[#This Row],[Remaining Extended cost]])</f>
        <v>0</v>
      </c>
    </row>
    <row r="423" spans="1:19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  <c r="S423" s="36">
        <f>IF(ISNA(VLOOKUP(Table1[[#This Row],[Part Number]],'Multi-level BOM'!V$4:V$449,1,FALSE)),0,Table1[[#This Row],[Remaining Extended cost]])</f>
        <v>0</v>
      </c>
    </row>
    <row r="424" spans="1:19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  <c r="S424" s="36">
        <f>IF(ISNA(VLOOKUP(Table1[[#This Row],[Part Number]],'Multi-level BOM'!V$4:V$449,1,FALSE)),0,Table1[[#This Row],[Remaining Extended cost]])</f>
        <v>0</v>
      </c>
    </row>
    <row r="425" spans="1:19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  <c r="S425" s="36">
        <f>IF(ISNA(VLOOKUP(Table1[[#This Row],[Part Number]],'Multi-level BOM'!V$4:V$449,1,FALSE)),0,Table1[[#This Row],[Remaining Extended cost]])</f>
        <v>0</v>
      </c>
    </row>
    <row r="426" spans="1:19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  <c r="S426" s="36">
        <f>IF(ISNA(VLOOKUP(Table1[[#This Row],[Part Number]],'Multi-level BOM'!V$4:V$449,1,FALSE)),0,Table1[[#This Row],[Remaining Extended cost]])</f>
        <v>0</v>
      </c>
    </row>
    <row r="427" spans="1:19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  <c r="S427" s="36">
        <f>IF(ISNA(VLOOKUP(Table1[[#This Row],[Part Number]],'Multi-level BOM'!V$4:V$449,1,FALSE)),0,Table1[[#This Row],[Remaining Extended cost]])</f>
        <v>0</v>
      </c>
    </row>
    <row r="428" spans="1:19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  <c r="S428" s="36">
        <f>IF(ISNA(VLOOKUP(Table1[[#This Row],[Part Number]],'Multi-level BOM'!V$4:V$449,1,FALSE)),0,Table1[[#This Row],[Remaining Extended cost]])</f>
        <v>0</v>
      </c>
    </row>
    <row r="429" spans="1:19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  <c r="S429" s="36">
        <f>IF(ISNA(VLOOKUP(Table1[[#This Row],[Part Number]],'Multi-level BOM'!V$4:V$449,1,FALSE)),0,Table1[[#This Row],[Remaining Extended cost]])</f>
        <v>0</v>
      </c>
    </row>
    <row r="430" spans="1:19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  <c r="S430" s="36">
        <f>IF(ISNA(VLOOKUP(Table1[[#This Row],[Part Number]],'Multi-level BOM'!V$4:V$449,1,FALSE)),0,Table1[[#This Row],[Remaining Extended cost]])</f>
        <v>0</v>
      </c>
    </row>
    <row r="431" spans="1:19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  <c r="S431" s="36">
        <f>IF(ISNA(VLOOKUP(Table1[[#This Row],[Part Number]],'Multi-level BOM'!V$4:V$449,1,FALSE)),0,Table1[[#This Row],[Remaining Extended cost]])</f>
        <v>0</v>
      </c>
    </row>
    <row r="432" spans="1:19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  <c r="S432" s="36">
        <f>IF(ISNA(VLOOKUP(Table1[[#This Row],[Part Number]],'Multi-level BOM'!V$4:V$449,1,FALSE)),0,Table1[[#This Row],[Remaining Extended cost]])</f>
        <v>0</v>
      </c>
    </row>
    <row r="433" spans="1:19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  <c r="S433" s="36">
        <f>IF(ISNA(VLOOKUP(Table1[[#This Row],[Part Number]],'Multi-level BOM'!V$4:V$449,1,FALSE)),0,Table1[[#This Row],[Remaining Extended cost]])</f>
        <v>0</v>
      </c>
    </row>
    <row r="434" spans="1:19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  <c r="S434" s="36">
        <f>IF(ISNA(VLOOKUP(Table1[[#This Row],[Part Number]],'Multi-level BOM'!V$4:V$449,1,FALSE)),0,Table1[[#This Row],[Remaining Extended cost]])</f>
        <v>0</v>
      </c>
    </row>
    <row r="435" spans="1:19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  <c r="S435" s="36">
        <f>IF(ISNA(VLOOKUP(Table1[[#This Row],[Part Number]],'Multi-level BOM'!V$4:V$449,1,FALSE)),0,Table1[[#This Row],[Remaining Extended cost]])</f>
        <v>0</v>
      </c>
    </row>
    <row r="436" spans="1:19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  <c r="S436" s="36">
        <f>IF(ISNA(VLOOKUP(Table1[[#This Row],[Part Number]],'Multi-level BOM'!V$4:V$449,1,FALSE)),0,Table1[[#This Row],[Remaining Extended cost]])</f>
        <v>0</v>
      </c>
    </row>
    <row r="437" spans="1:19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  <c r="S437" s="36">
        <f>IF(ISNA(VLOOKUP(Table1[[#This Row],[Part Number]],'Multi-level BOM'!V$4:V$449,1,FALSE)),0,Table1[[#This Row],[Remaining Extended cost]])</f>
        <v>0</v>
      </c>
    </row>
    <row r="438" spans="1:19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  <c r="S438" s="36">
        <f>IF(ISNA(VLOOKUP(Table1[[#This Row],[Part Number]],'Multi-level BOM'!V$4:V$449,1,FALSE)),0,Table1[[#This Row],[Remaining Extended cost]])</f>
        <v>0</v>
      </c>
    </row>
    <row r="439" spans="1:19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  <c r="S439" s="36">
        <f>IF(ISNA(VLOOKUP(Table1[[#This Row],[Part Number]],'Multi-level BOM'!V$4:V$449,1,FALSE)),0,Table1[[#This Row],[Remaining Extended cost]])</f>
        <v>0</v>
      </c>
    </row>
    <row r="440" spans="1:19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  <c r="S440" s="36">
        <f>IF(ISNA(VLOOKUP(Table1[[#This Row],[Part Number]],'Multi-level BOM'!V$4:V$449,1,FALSE)),0,Table1[[#This Row],[Remaining Extended cost]])</f>
        <v>0</v>
      </c>
    </row>
    <row r="441" spans="1:19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  <c r="S441" s="36">
        <f>IF(ISNA(VLOOKUP(Table1[[#This Row],[Part Number]],'Multi-level BOM'!V$4:V$449,1,FALSE)),0,Table1[[#This Row],[Remaining Extended cost]])</f>
        <v>0</v>
      </c>
    </row>
    <row r="442" spans="1:19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  <c r="S442" s="36">
        <f>IF(ISNA(VLOOKUP(Table1[[#This Row],[Part Number]],'Multi-level BOM'!V$4:V$449,1,FALSE)),0,Table1[[#This Row],[Remaining Extended cost]])</f>
        <v>0</v>
      </c>
    </row>
    <row r="443" spans="1:19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  <c r="S443" s="36">
        <f>IF(ISNA(VLOOKUP(Table1[[#This Row],[Part Number]],'Multi-level BOM'!V$4:V$449,1,FALSE)),0,Table1[[#This Row],[Remaining Extended cost]])</f>
        <v>0</v>
      </c>
    </row>
    <row r="444" spans="1:19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  <c r="S444" s="36">
        <f>IF(ISNA(VLOOKUP(Table1[[#This Row],[Part Number]],'Multi-level BOM'!V$4:V$449,1,FALSE)),0,Table1[[#This Row],[Remaining Extended cost]])</f>
        <v>0</v>
      </c>
    </row>
    <row r="445" spans="1:19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  <c r="S445" s="36">
        <f>IF(ISNA(VLOOKUP(Table1[[#This Row],[Part Number]],'Multi-level BOM'!V$4:V$449,1,FALSE)),0,Table1[[#This Row],[Remaining Extended cost]])</f>
        <v>0</v>
      </c>
    </row>
    <row r="446" spans="1:19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  <c r="S446" s="36">
        <f>IF(ISNA(VLOOKUP(Table1[[#This Row],[Part Number]],'Multi-level BOM'!V$4:V$449,1,FALSE)),0,Table1[[#This Row],[Remaining Extended cost]])</f>
        <v>0</v>
      </c>
    </row>
    <row r="447" spans="1:19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  <c r="S447" s="36">
        <f>IF(ISNA(VLOOKUP(Table1[[#This Row],[Part Number]],'Multi-level BOM'!V$4:V$449,1,FALSE)),0,Table1[[#This Row],[Remaining Extended cost]])</f>
        <v>0</v>
      </c>
    </row>
    <row r="448" spans="1:19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  <c r="S448" s="36">
        <f>IF(ISNA(VLOOKUP(Table1[[#This Row],[Part Number]],'Multi-level BOM'!V$4:V$449,1,FALSE)),0,Table1[[#This Row],[Remaining Extended cost]])</f>
        <v>0</v>
      </c>
    </row>
    <row r="449" spans="1:19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  <c r="S449" s="36">
        <f>IF(ISNA(VLOOKUP(Table1[[#This Row],[Part Number]],'Multi-level BOM'!V$4:V$449,1,FALSE)),0,Table1[[#This Row],[Remaining Extended cost]])</f>
        <v>0</v>
      </c>
    </row>
    <row r="450" spans="1:19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  <c r="S450" s="36">
        <f>IF(ISNA(VLOOKUP(Table1[[#This Row],[Part Number]],'Multi-level BOM'!V$4:V$449,1,FALSE)),0,Table1[[#This Row],[Remaining Extended cost]])</f>
        <v>0</v>
      </c>
    </row>
    <row r="451" spans="1:19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  <c r="S451" s="36">
        <f>IF(ISNA(VLOOKUP(Table1[[#This Row],[Part Number]],'Multi-level BOM'!V$4:V$449,1,FALSE)),0,Table1[[#This Row],[Remaining Extended cost]])</f>
        <v>0</v>
      </c>
    </row>
    <row r="452" spans="1:19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  <c r="S452" s="36">
        <f>IF(ISNA(VLOOKUP(Table1[[#This Row],[Part Number]],'Multi-level BOM'!V$4:V$449,1,FALSE)),0,Table1[[#This Row],[Remaining Extended cost]])</f>
        <v>0</v>
      </c>
    </row>
    <row r="453" spans="1:19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  <c r="S453" s="36">
        <f>IF(ISNA(VLOOKUP(Table1[[#This Row],[Part Number]],'Multi-level BOM'!V$4:V$449,1,FALSE)),0,Table1[[#This Row],[Remaining Extended cost]])</f>
        <v>0</v>
      </c>
    </row>
    <row r="454" spans="1:19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  <c r="S454" s="36">
        <f>IF(ISNA(VLOOKUP(Table1[[#This Row],[Part Number]],'Multi-level BOM'!V$4:V$449,1,FALSE)),0,Table1[[#This Row],[Remaining Extended cost]])</f>
        <v>0</v>
      </c>
    </row>
    <row r="455" spans="1:19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  <c r="S455" s="36">
        <f>IF(ISNA(VLOOKUP(Table1[[#This Row],[Part Number]],'Multi-level BOM'!V$4:V$449,1,FALSE)),0,Table1[[#This Row],[Remaining Extended cost]])</f>
        <v>0</v>
      </c>
    </row>
    <row r="456" spans="1:19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  <c r="S456" s="36">
        <f>IF(ISNA(VLOOKUP(Table1[[#This Row],[Part Number]],'Multi-level BOM'!V$4:V$449,1,FALSE)),0,Table1[[#This Row],[Remaining Extended cost]])</f>
        <v>0</v>
      </c>
    </row>
    <row r="457" spans="1:19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  <c r="S457" s="36">
        <f>IF(ISNA(VLOOKUP(Table1[[#This Row],[Part Number]],'Multi-level BOM'!V$4:V$449,1,FALSE)),0,Table1[[#This Row],[Remaining Extended cost]])</f>
        <v>0</v>
      </c>
    </row>
    <row r="458" spans="1:19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  <c r="S458" s="36">
        <f>IF(ISNA(VLOOKUP(Table1[[#This Row],[Part Number]],'Multi-level BOM'!V$4:V$449,1,FALSE)),0,Table1[[#This Row],[Remaining Extended cost]])</f>
        <v>0</v>
      </c>
    </row>
    <row r="459" spans="1:19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  <c r="S459" s="36">
        <f>IF(ISNA(VLOOKUP(Table1[[#This Row],[Part Number]],'Multi-level BOM'!V$4:V$449,1,FALSE)),0,Table1[[#This Row],[Remaining Extended cost]])</f>
        <v>0</v>
      </c>
    </row>
    <row r="460" spans="1:19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  <c r="S460" s="36">
        <f>IF(ISNA(VLOOKUP(Table1[[#This Row],[Part Number]],'Multi-level BOM'!V$4:V$449,1,FALSE)),0,Table1[[#This Row],[Remaining Extended cost]])</f>
        <v>0</v>
      </c>
    </row>
    <row r="461" spans="1:19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  <c r="S461" s="36">
        <f>IF(ISNA(VLOOKUP(Table1[[#This Row],[Part Number]],'Multi-level BOM'!V$4:V$449,1,FALSE)),0,Table1[[#This Row],[Remaining Extended cost]])</f>
        <v>0</v>
      </c>
    </row>
    <row r="462" spans="1:19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  <c r="S462" s="36">
        <f>IF(ISNA(VLOOKUP(Table1[[#This Row],[Part Number]],'Multi-level BOM'!V$4:V$449,1,FALSE)),0,Table1[[#This Row],[Remaining Extended cost]])</f>
        <v>0</v>
      </c>
    </row>
    <row r="463" spans="1:19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  <c r="S463" s="36">
        <f>IF(ISNA(VLOOKUP(Table1[[#This Row],[Part Number]],'Multi-level BOM'!V$4:V$449,1,FALSE)),0,Table1[[#This Row],[Remaining Extended cost]])</f>
        <v>0</v>
      </c>
    </row>
    <row r="464" spans="1:19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  <c r="S464" s="36">
        <f>IF(ISNA(VLOOKUP(Table1[[#This Row],[Part Number]],'Multi-level BOM'!V$4:V$449,1,FALSE)),0,Table1[[#This Row],[Remaining Extended cost]])</f>
        <v>0</v>
      </c>
    </row>
    <row r="465" spans="1:19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  <c r="S465" s="36">
        <f>IF(ISNA(VLOOKUP(Table1[[#This Row],[Part Number]],'Multi-level BOM'!V$4:V$449,1,FALSE)),0,Table1[[#This Row],[Remaining Extended cost]])</f>
        <v>0</v>
      </c>
    </row>
    <row r="466" spans="1:19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  <c r="S466" s="36">
        <f>IF(ISNA(VLOOKUP(Table1[[#This Row],[Part Number]],'Multi-level BOM'!V$4:V$449,1,FALSE)),0,Table1[[#This Row],[Remaining Extended cost]])</f>
        <v>0</v>
      </c>
    </row>
    <row r="467" spans="1:19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  <c r="S467" s="36">
        <f>IF(ISNA(VLOOKUP(Table1[[#This Row],[Part Number]],'Multi-level BOM'!V$4:V$449,1,FALSE)),0,Table1[[#This Row],[Remaining Extended cost]])</f>
        <v>0</v>
      </c>
    </row>
    <row r="468" spans="1:19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  <c r="S468" s="36">
        <f>IF(ISNA(VLOOKUP(Table1[[#This Row],[Part Number]],'Multi-level BOM'!V$4:V$449,1,FALSE)),0,Table1[[#This Row],[Remaining Extended cost]])</f>
        <v>0</v>
      </c>
    </row>
    <row r="469" spans="1:19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  <c r="S469" s="36">
        <f>IF(ISNA(VLOOKUP(Table1[[#This Row],[Part Number]],'Multi-level BOM'!V$4:V$449,1,FALSE)),0,Table1[[#This Row],[Remaining Extended cost]])</f>
        <v>0</v>
      </c>
    </row>
    <row r="470" spans="1:19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  <c r="S470" s="36">
        <f>IF(ISNA(VLOOKUP(Table1[[#This Row],[Part Number]],'Multi-level BOM'!V$4:V$449,1,FALSE)),0,Table1[[#This Row],[Remaining Extended cost]])</f>
        <v>0</v>
      </c>
    </row>
    <row r="471" spans="1:19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  <c r="S471" s="36">
        <f>IF(ISNA(VLOOKUP(Table1[[#This Row],[Part Number]],'Multi-level BOM'!V$4:V$449,1,FALSE)),0,Table1[[#This Row],[Remaining Extended cost]])</f>
        <v>0</v>
      </c>
    </row>
    <row r="472" spans="1:19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  <c r="S472" s="36">
        <f>IF(ISNA(VLOOKUP(Table1[[#This Row],[Part Number]],'Multi-level BOM'!V$4:V$449,1,FALSE)),0,Table1[[#This Row],[Remaining Extended cost]])</f>
        <v>0</v>
      </c>
    </row>
    <row r="473" spans="1:19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  <c r="S473" s="36">
        <f>IF(ISNA(VLOOKUP(Table1[[#This Row],[Part Number]],'Multi-level BOM'!V$4:V$449,1,FALSE)),0,Table1[[#This Row],[Remaining Extended cost]])</f>
        <v>0</v>
      </c>
    </row>
    <row r="474" spans="1:19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  <c r="S474" s="36">
        <f>IF(ISNA(VLOOKUP(Table1[[#This Row],[Part Number]],'Multi-level BOM'!V$4:V$449,1,FALSE)),0,Table1[[#This Row],[Remaining Extended cost]])</f>
        <v>0</v>
      </c>
    </row>
    <row r="475" spans="1:19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  <c r="S475" s="36">
        <f>IF(ISNA(VLOOKUP(Table1[[#This Row],[Part Number]],'Multi-level BOM'!V$4:V$449,1,FALSE)),0,Table1[[#This Row],[Remaining Extended cost]])</f>
        <v>0</v>
      </c>
    </row>
    <row r="476" spans="1:19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  <c r="S476" s="36">
        <f>IF(ISNA(VLOOKUP(Table1[[#This Row],[Part Number]],'Multi-level BOM'!V$4:V$449,1,FALSE)),0,Table1[[#This Row],[Remaining Extended cost]])</f>
        <v>0</v>
      </c>
    </row>
    <row r="477" spans="1:19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  <c r="S477" s="36">
        <f>IF(ISNA(VLOOKUP(Table1[[#This Row],[Part Number]],'Multi-level BOM'!V$4:V$449,1,FALSE)),0,Table1[[#This Row],[Remaining Extended cost]])</f>
        <v>0</v>
      </c>
    </row>
    <row r="478" spans="1:19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  <c r="S478" s="36">
        <f>IF(ISNA(VLOOKUP(Table1[[#This Row],[Part Number]],'Multi-level BOM'!V$4:V$449,1,FALSE)),0,Table1[[#This Row],[Remaining Extended cost]])</f>
        <v>0</v>
      </c>
    </row>
    <row r="479" spans="1:19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  <c r="S479" s="36">
        <f>IF(ISNA(VLOOKUP(Table1[[#This Row],[Part Number]],'Multi-level BOM'!V$4:V$449,1,FALSE)),0,Table1[[#This Row],[Remaining Extended cost]])</f>
        <v>0</v>
      </c>
    </row>
    <row r="480" spans="1:19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  <c r="S480" s="36">
        <f>IF(ISNA(VLOOKUP(Table1[[#This Row],[Part Number]],'Multi-level BOM'!V$4:V$449,1,FALSE)),0,Table1[[#This Row],[Remaining Extended cost]])</f>
        <v>0</v>
      </c>
    </row>
    <row r="481" spans="1:19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  <c r="S481" s="36">
        <f>IF(ISNA(VLOOKUP(Table1[[#This Row],[Part Number]],'Multi-level BOM'!V$4:V$449,1,FALSE)),0,Table1[[#This Row],[Remaining Extended cost]])</f>
        <v>0</v>
      </c>
    </row>
    <row r="482" spans="1:19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  <c r="S482" s="36">
        <f>IF(ISNA(VLOOKUP(Table1[[#This Row],[Part Number]],'Multi-level BOM'!V$4:V$449,1,FALSE)),0,Table1[[#This Row],[Remaining Extended cost]])</f>
        <v>0</v>
      </c>
    </row>
    <row r="483" spans="1:19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  <c r="S483" s="36">
        <f>IF(ISNA(VLOOKUP(Table1[[#This Row],[Part Number]],'Multi-level BOM'!V$4:V$449,1,FALSE)),0,Table1[[#This Row],[Remaining Extended cost]])</f>
        <v>0</v>
      </c>
    </row>
    <row r="484" spans="1:19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  <c r="S484" s="36">
        <f>IF(ISNA(VLOOKUP(Table1[[#This Row],[Part Number]],'Multi-level BOM'!V$4:V$449,1,FALSE)),0,Table1[[#This Row],[Remaining Extended cost]])</f>
        <v>0</v>
      </c>
    </row>
    <row r="485" spans="1:19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  <c r="S485" s="36">
        <f>IF(ISNA(VLOOKUP(Table1[[#This Row],[Part Number]],'Multi-level BOM'!V$4:V$449,1,FALSE)),0,Table1[[#This Row],[Remaining Extended cost]])</f>
        <v>0</v>
      </c>
    </row>
    <row r="486" spans="1:19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  <c r="S486" s="36">
        <f>IF(ISNA(VLOOKUP(Table1[[#This Row],[Part Number]],'Multi-level BOM'!V$4:V$449,1,FALSE)),0,Table1[[#This Row],[Remaining Extended cost]])</f>
        <v>0</v>
      </c>
    </row>
    <row r="487" spans="1:19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  <c r="S487" s="36">
        <f>IF(ISNA(VLOOKUP(Table1[[#This Row],[Part Number]],'Multi-level BOM'!V$4:V$449,1,FALSE)),0,Table1[[#This Row],[Remaining Extended cost]])</f>
        <v>0</v>
      </c>
    </row>
    <row r="488" spans="1:19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  <c r="S488" s="36">
        <f>IF(ISNA(VLOOKUP(Table1[[#This Row],[Part Number]],'Multi-level BOM'!V$4:V$449,1,FALSE)),0,Table1[[#This Row],[Remaining Extended cost]])</f>
        <v>0</v>
      </c>
    </row>
    <row r="489" spans="1:19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  <c r="S489" s="36">
        <f>IF(ISNA(VLOOKUP(Table1[[#This Row],[Part Number]],'Multi-level BOM'!V$4:V$449,1,FALSE)),0,Table1[[#This Row],[Remaining Extended cost]])</f>
        <v>0</v>
      </c>
    </row>
    <row r="490" spans="1:19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  <c r="S490" s="36">
        <f>IF(ISNA(VLOOKUP(Table1[[#This Row],[Part Number]],'Multi-level BOM'!V$4:V$449,1,FALSE)),0,Table1[[#This Row],[Remaining Extended cost]])</f>
        <v>0</v>
      </c>
    </row>
    <row r="491" spans="1:19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  <c r="S491" s="36">
        <f>IF(ISNA(VLOOKUP(Table1[[#This Row],[Part Number]],'Multi-level BOM'!V$4:V$449,1,FALSE)),0,Table1[[#This Row],[Remaining Extended cost]])</f>
        <v>0</v>
      </c>
    </row>
    <row r="492" spans="1:19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  <c r="S492" s="36">
        <f>IF(ISNA(VLOOKUP(Table1[[#This Row],[Part Number]],'Multi-level BOM'!V$4:V$449,1,FALSE)),0,Table1[[#This Row],[Remaining Extended cost]])</f>
        <v>0</v>
      </c>
    </row>
    <row r="493" spans="1:19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  <c r="S493" s="36">
        <f>IF(ISNA(VLOOKUP(Table1[[#This Row],[Part Number]],'Multi-level BOM'!V$4:V$449,1,FALSE)),0,Table1[[#This Row],[Remaining Extended cost]])</f>
        <v>0</v>
      </c>
    </row>
    <row r="494" spans="1:19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  <c r="S494" s="36">
        <f>IF(ISNA(VLOOKUP(Table1[[#This Row],[Part Number]],'Multi-level BOM'!V$4:V$449,1,FALSE)),0,Table1[[#This Row],[Remaining Extended cost]])</f>
        <v>0</v>
      </c>
    </row>
    <row r="495" spans="1:19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  <c r="S495" s="36">
        <f>IF(ISNA(VLOOKUP(Table1[[#This Row],[Part Number]],'Multi-level BOM'!V$4:V$449,1,FALSE)),0,Table1[[#This Row],[Remaining Extended cost]])</f>
        <v>0</v>
      </c>
    </row>
    <row r="496" spans="1:19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  <c r="S496" s="36">
        <f>IF(ISNA(VLOOKUP(Table1[[#This Row],[Part Number]],'Multi-level BOM'!V$4:V$449,1,FALSE)),0,Table1[[#This Row],[Remaining Extended cost]])</f>
        <v>0</v>
      </c>
    </row>
    <row r="497" spans="1:19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  <c r="S497" s="36">
        <f>IF(ISNA(VLOOKUP(Table1[[#This Row],[Part Number]],'Multi-level BOM'!V$4:V$449,1,FALSE)),0,Table1[[#This Row],[Remaining Extended cost]])</f>
        <v>0</v>
      </c>
    </row>
    <row r="498" spans="1:19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  <c r="S498" s="36">
        <f>IF(ISNA(VLOOKUP(Table1[[#This Row],[Part Number]],'Multi-level BOM'!V$4:V$449,1,FALSE)),0,Table1[[#This Row],[Remaining Extended cost]])</f>
        <v>0</v>
      </c>
    </row>
    <row r="499" spans="1:19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  <c r="S499" s="36">
        <f>IF(ISNA(VLOOKUP(Table1[[#This Row],[Part Number]],'Multi-level BOM'!V$4:V$449,1,FALSE)),0,Table1[[#This Row],[Remaining Extended cost]])</f>
        <v>0</v>
      </c>
    </row>
    <row r="500" spans="1:19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  <c r="S500" s="36">
        <f>IF(ISNA(VLOOKUP(Table1[[#This Row],[Part Number]],'Multi-level BOM'!V$4:V$449,1,FALSE)),0,Table1[[#This Row],[Remaining Extended cost]])</f>
        <v>0</v>
      </c>
    </row>
    <row r="501" spans="1:19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  <c r="S501" s="36">
        <f>IF(ISNA(VLOOKUP(Table1[[#This Row],[Part Number]],'Multi-level BOM'!V$4:V$449,1,FALSE)),0,Table1[[#This Row],[Remaining Extended cost]])</f>
        <v>0</v>
      </c>
    </row>
    <row r="502" spans="1:19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  <c r="S502" s="36">
        <f>IF(ISNA(VLOOKUP(Table1[[#This Row],[Part Number]],'Multi-level BOM'!V$4:V$449,1,FALSE)),0,Table1[[#This Row],[Remaining Extended cost]])</f>
        <v>0</v>
      </c>
    </row>
    <row r="503" spans="1:19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  <c r="S503" s="36">
        <f>IF(ISNA(VLOOKUP(Table1[[#This Row],[Part Number]],'Multi-level BOM'!V$4:V$449,1,FALSE)),0,Table1[[#This Row],[Remaining Extended cost]])</f>
        <v>0</v>
      </c>
    </row>
    <row r="504" spans="1:19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  <c r="S504" s="36">
        <f>IF(ISNA(VLOOKUP(Table1[[#This Row],[Part Number]],'Multi-level BOM'!V$4:V$449,1,FALSE)),0,Table1[[#This Row],[Remaining Extended cost]])</f>
        <v>0</v>
      </c>
    </row>
    <row r="505" spans="1:19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  <c r="S505" s="36">
        <f>IF(ISNA(VLOOKUP(Table1[[#This Row],[Part Number]],'Multi-level BOM'!V$4:V$449,1,FALSE)),0,Table1[[#This Row],[Remaining Extended cost]])</f>
        <v>0</v>
      </c>
    </row>
    <row r="506" spans="1:19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  <c r="S506" s="36">
        <f>IF(ISNA(VLOOKUP(Table1[[#This Row],[Part Number]],'Multi-level BOM'!V$4:V$449,1,FALSE)),0,Table1[[#This Row],[Remaining Extended cost]])</f>
        <v>0</v>
      </c>
    </row>
    <row r="507" spans="1:19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  <c r="S507" s="36">
        <f>IF(ISNA(VLOOKUP(Table1[[#This Row],[Part Number]],'Multi-level BOM'!V$4:V$449,1,FALSE)),0,Table1[[#This Row],[Remaining Extended cost]])</f>
        <v>0</v>
      </c>
    </row>
    <row r="508" spans="1:19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  <c r="S508" s="36">
        <f>IF(ISNA(VLOOKUP(Table1[[#This Row],[Part Number]],'Multi-level BOM'!V$4:V$449,1,FALSE)),0,Table1[[#This Row],[Remaining Extended cost]])</f>
        <v>0</v>
      </c>
    </row>
    <row r="509" spans="1:19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  <c r="S509" s="36">
        <f>IF(ISNA(VLOOKUP(Table1[[#This Row],[Part Number]],'Multi-level BOM'!V$4:V$449,1,FALSE)),0,Table1[[#This Row],[Remaining Extended cost]])</f>
        <v>0</v>
      </c>
    </row>
    <row r="510" spans="1:19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  <c r="S510" s="36">
        <f>IF(ISNA(VLOOKUP(Table1[[#This Row],[Part Number]],'Multi-level BOM'!V$4:V$449,1,FALSE)),0,Table1[[#This Row],[Remaining Extended cost]])</f>
        <v>0</v>
      </c>
    </row>
    <row r="511" spans="1:19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  <c r="S511" s="36">
        <f>IF(ISNA(VLOOKUP(Table1[[#This Row],[Part Number]],'Multi-level BOM'!V$4:V$449,1,FALSE)),0,Table1[[#This Row],[Remaining Extended cost]])</f>
        <v>0</v>
      </c>
    </row>
    <row r="512" spans="1:19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  <c r="S512" s="36">
        <f>IF(ISNA(VLOOKUP(Table1[[#This Row],[Part Number]],'Multi-level BOM'!V$4:V$449,1,FALSE)),0,Table1[[#This Row],[Remaining Extended cost]])</f>
        <v>0</v>
      </c>
    </row>
    <row r="513" spans="1:19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  <c r="S513" s="36">
        <f>IF(ISNA(VLOOKUP(Table1[[#This Row],[Part Number]],'Multi-level BOM'!V$4:V$449,1,FALSE)),0,Table1[[#This Row],[Remaining Extended cost]])</f>
        <v>0</v>
      </c>
    </row>
    <row r="514" spans="1:19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  <c r="S514" s="36">
        <f>IF(ISNA(VLOOKUP(Table1[[#This Row],[Part Number]],'Multi-level BOM'!V$4:V$449,1,FALSE)),0,Table1[[#This Row],[Remaining Extended cost]])</f>
        <v>0</v>
      </c>
    </row>
    <row r="515" spans="1:19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  <c r="S515" s="36">
        <f>IF(ISNA(VLOOKUP(Table1[[#This Row],[Part Number]],'Multi-level BOM'!V$4:V$449,1,FALSE)),0,Table1[[#This Row],[Remaining Extended cost]])</f>
        <v>0</v>
      </c>
    </row>
    <row r="516" spans="1:19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  <c r="S516" s="36">
        <f>IF(ISNA(VLOOKUP(Table1[[#This Row],[Part Number]],'Multi-level BOM'!V$4:V$449,1,FALSE)),0,Table1[[#This Row],[Remaining Extended cost]])</f>
        <v>0</v>
      </c>
    </row>
    <row r="517" spans="1:19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  <c r="S517" s="36">
        <f>IF(ISNA(VLOOKUP(Table1[[#This Row],[Part Number]],'Multi-level BOM'!V$4:V$449,1,FALSE)),0,Table1[[#This Row],[Remaining Extended cost]])</f>
        <v>0</v>
      </c>
    </row>
    <row r="518" spans="1:19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  <c r="S518" s="36">
        <f>IF(ISNA(VLOOKUP(Table1[[#This Row],[Part Number]],'Multi-level BOM'!V$4:V$449,1,FALSE)),0,Table1[[#This Row],[Remaining Extended cost]])</f>
        <v>0</v>
      </c>
    </row>
    <row r="519" spans="1:19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  <c r="S519" s="36">
        <f>IF(ISNA(VLOOKUP(Table1[[#This Row],[Part Number]],'Multi-level BOM'!V$4:V$449,1,FALSE)),0,Table1[[#This Row],[Remaining Extended cost]])</f>
        <v>0</v>
      </c>
    </row>
    <row r="520" spans="1:19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  <c r="S520" s="36">
        <f>IF(ISNA(VLOOKUP(Table1[[#This Row],[Part Number]],'Multi-level BOM'!V$4:V$449,1,FALSE)),0,Table1[[#This Row],[Remaining Extended cost]])</f>
        <v>0</v>
      </c>
    </row>
    <row r="521" spans="1:19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  <c r="S521" s="36">
        <f>IF(ISNA(VLOOKUP(Table1[[#This Row],[Part Number]],'Multi-level BOM'!V$4:V$449,1,FALSE)),0,Table1[[#This Row],[Remaining Extended cost]])</f>
        <v>0</v>
      </c>
    </row>
    <row r="522" spans="1:19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  <c r="S522" s="36">
        <f>IF(ISNA(VLOOKUP(Table1[[#This Row],[Part Number]],'Multi-level BOM'!V$4:V$449,1,FALSE)),0,Table1[[#This Row],[Remaining Extended cost]])</f>
        <v>0</v>
      </c>
    </row>
    <row r="523" spans="1:19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  <c r="S523" s="36">
        <f>IF(ISNA(VLOOKUP(Table1[[#This Row],[Part Number]],'Multi-level BOM'!V$4:V$449,1,FALSE)),0,Table1[[#This Row],[Remaining Extended cost]])</f>
        <v>0</v>
      </c>
    </row>
    <row r="524" spans="1:19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  <c r="S524" s="36">
        <f>IF(ISNA(VLOOKUP(Table1[[#This Row],[Part Number]],'Multi-level BOM'!V$4:V$449,1,FALSE)),0,Table1[[#This Row],[Remaining Extended cost]])</f>
        <v>0</v>
      </c>
    </row>
    <row r="525" spans="1:19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  <c r="S525" s="36">
        <f>IF(ISNA(VLOOKUP(Table1[[#This Row],[Part Number]],'Multi-level BOM'!V$4:V$449,1,FALSE)),0,Table1[[#This Row],[Remaining Extended cost]])</f>
        <v>0</v>
      </c>
    </row>
    <row r="526" spans="1:19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  <c r="S526" s="36">
        <f>IF(ISNA(VLOOKUP(Table1[[#This Row],[Part Number]],'Multi-level BOM'!V$4:V$449,1,FALSE)),0,Table1[[#This Row],[Remaining Extended cost]])</f>
        <v>0</v>
      </c>
    </row>
    <row r="527" spans="1:19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  <c r="S527" s="36">
        <f>IF(ISNA(VLOOKUP(Table1[[#This Row],[Part Number]],'Multi-level BOM'!V$4:V$449,1,FALSE)),0,Table1[[#This Row],[Remaining Extended cost]])</f>
        <v>0</v>
      </c>
    </row>
    <row r="528" spans="1:19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  <c r="S528" s="36">
        <f>IF(ISNA(VLOOKUP(Table1[[#This Row],[Part Number]],'Multi-level BOM'!V$4:V$449,1,FALSE)),0,Table1[[#This Row],[Remaining Extended cost]])</f>
        <v>0</v>
      </c>
    </row>
    <row r="529" spans="1:19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  <c r="S529" s="36">
        <f>IF(ISNA(VLOOKUP(Table1[[#This Row],[Part Number]],'Multi-level BOM'!V$4:V$449,1,FALSE)),0,Table1[[#This Row],[Remaining Extended cost]])</f>
        <v>0</v>
      </c>
    </row>
    <row r="530" spans="1:19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  <c r="S530" s="36">
        <f>IF(ISNA(VLOOKUP(Table1[[#This Row],[Part Number]],'Multi-level BOM'!V$4:V$449,1,FALSE)),0,Table1[[#This Row],[Remaining Extended cost]])</f>
        <v>0</v>
      </c>
    </row>
    <row r="531" spans="1:19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  <c r="S531" s="36">
        <f>IF(ISNA(VLOOKUP(Table1[[#This Row],[Part Number]],'Multi-level BOM'!V$4:V$449,1,FALSE)),0,Table1[[#This Row],[Remaining Extended cost]])</f>
        <v>0</v>
      </c>
    </row>
    <row r="532" spans="1:19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  <c r="S532" s="36">
        <f>IF(ISNA(VLOOKUP(Table1[[#This Row],[Part Number]],'Multi-level BOM'!V$4:V$449,1,FALSE)),0,Table1[[#This Row],[Remaining Extended cost]])</f>
        <v>0</v>
      </c>
    </row>
    <row r="533" spans="1:19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  <c r="S533" s="36">
        <f>IF(ISNA(VLOOKUP(Table1[[#This Row],[Part Number]],'Multi-level BOM'!V$4:V$449,1,FALSE)),0,Table1[[#This Row],[Remaining Extended cost]])</f>
        <v>0</v>
      </c>
    </row>
    <row r="534" spans="1:19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  <c r="S534" s="36">
        <f>IF(ISNA(VLOOKUP(Table1[[#This Row],[Part Number]],'Multi-level BOM'!V$4:V$449,1,FALSE)),0,Table1[[#This Row],[Remaining Extended cost]])</f>
        <v>0</v>
      </c>
    </row>
    <row r="535" spans="1:19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  <c r="S535" s="36">
        <f>IF(ISNA(VLOOKUP(Table1[[#This Row],[Part Number]],'Multi-level BOM'!V$4:V$449,1,FALSE)),0,Table1[[#This Row],[Remaining Extended cost]])</f>
        <v>0</v>
      </c>
    </row>
    <row r="536" spans="1:19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  <c r="S536" s="36">
        <f>IF(ISNA(VLOOKUP(Table1[[#This Row],[Part Number]],'Multi-level BOM'!V$4:V$449,1,FALSE)),0,Table1[[#This Row],[Remaining Extended cost]])</f>
        <v>0</v>
      </c>
    </row>
    <row r="537" spans="1:19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  <c r="S537" s="36">
        <f>IF(ISNA(VLOOKUP(Table1[[#This Row],[Part Number]],'Multi-level BOM'!V$4:V$449,1,FALSE)),0,Table1[[#This Row],[Remaining Extended cost]])</f>
        <v>0</v>
      </c>
    </row>
    <row r="538" spans="1:19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  <c r="S538" s="36">
        <f>IF(ISNA(VLOOKUP(Table1[[#This Row],[Part Number]],'Multi-level BOM'!V$4:V$449,1,FALSE)),0,Table1[[#This Row],[Remaining Extended cost]])</f>
        <v>0</v>
      </c>
    </row>
    <row r="539" spans="1:19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  <c r="S539" s="36">
        <f>IF(ISNA(VLOOKUP(Table1[[#This Row],[Part Number]],'Multi-level BOM'!V$4:V$449,1,FALSE)),0,Table1[[#This Row],[Remaining Extended cost]])</f>
        <v>0</v>
      </c>
    </row>
    <row r="540" spans="1:19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  <c r="S540" s="36">
        <f>IF(ISNA(VLOOKUP(Table1[[#This Row],[Part Number]],'Multi-level BOM'!V$4:V$449,1,FALSE)),0,Table1[[#This Row],[Remaining Extended cost]])</f>
        <v>0</v>
      </c>
    </row>
    <row r="541" spans="1:19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  <c r="S541" s="36">
        <f>IF(ISNA(VLOOKUP(Table1[[#This Row],[Part Number]],'Multi-level BOM'!V$4:V$449,1,FALSE)),0,Table1[[#This Row],[Remaining Extended cost]])</f>
        <v>0</v>
      </c>
    </row>
    <row r="542" spans="1:19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  <c r="S542" s="36">
        <f>IF(ISNA(VLOOKUP(Table1[[#This Row],[Part Number]],'Multi-level BOM'!V$4:V$449,1,FALSE)),0,Table1[[#This Row],[Remaining Extended cost]])</f>
        <v>0</v>
      </c>
    </row>
    <row r="543" spans="1:19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  <c r="S543" s="36">
        <f>IF(ISNA(VLOOKUP(Table1[[#This Row],[Part Number]],'Multi-level BOM'!V$4:V$449,1,FALSE)),0,Table1[[#This Row],[Remaining Extended cost]])</f>
        <v>0</v>
      </c>
    </row>
    <row r="544" spans="1:19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  <c r="S544" s="36">
        <f>IF(ISNA(VLOOKUP(Table1[[#This Row],[Part Number]],'Multi-level BOM'!V$4:V$449,1,FALSE)),0,Table1[[#This Row],[Remaining Extended cost]])</f>
        <v>0</v>
      </c>
    </row>
    <row r="545" spans="1:19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  <c r="S545" s="36">
        <f>IF(ISNA(VLOOKUP(Table1[[#This Row],[Part Number]],'Multi-level BOM'!V$4:V$449,1,FALSE)),0,Table1[[#This Row],[Remaining Extended cost]])</f>
        <v>0</v>
      </c>
    </row>
    <row r="546" spans="1:19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  <c r="S546" s="36">
        <f>IF(ISNA(VLOOKUP(Table1[[#This Row],[Part Number]],'Multi-level BOM'!V$4:V$449,1,FALSE)),0,Table1[[#This Row],[Remaining Extended cost]])</f>
        <v>0</v>
      </c>
    </row>
    <row r="547" spans="1:19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  <c r="S547" s="36">
        <f>IF(ISNA(VLOOKUP(Table1[[#This Row],[Part Number]],'Multi-level BOM'!V$4:V$449,1,FALSE)),0,Table1[[#This Row],[Remaining Extended cost]])</f>
        <v>0</v>
      </c>
    </row>
    <row r="548" spans="1:19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  <c r="S548" s="36">
        <f>IF(ISNA(VLOOKUP(Table1[[#This Row],[Part Number]],'Multi-level BOM'!V$4:V$449,1,FALSE)),0,Table1[[#This Row],[Remaining Extended cost]])</f>
        <v>0</v>
      </c>
    </row>
    <row r="549" spans="1:19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  <c r="S549" s="36">
        <f>IF(ISNA(VLOOKUP(Table1[[#This Row],[Part Number]],'Multi-level BOM'!V$4:V$449,1,FALSE)),0,Table1[[#This Row],[Remaining Extended cost]])</f>
        <v>0</v>
      </c>
    </row>
    <row r="550" spans="1:19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  <c r="S550" s="36">
        <f>IF(ISNA(VLOOKUP(Table1[[#This Row],[Part Number]],'Multi-level BOM'!V$4:V$449,1,FALSE)),0,Table1[[#This Row],[Remaining Extended cost]])</f>
        <v>0</v>
      </c>
    </row>
    <row r="551" spans="1:19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  <c r="S551" s="36">
        <f>IF(ISNA(VLOOKUP(Table1[[#This Row],[Part Number]],'Multi-level BOM'!V$4:V$449,1,FALSE)),0,Table1[[#This Row],[Remaining Extended cost]])</f>
        <v>0</v>
      </c>
    </row>
    <row r="552" spans="1:19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  <c r="S552" s="36">
        <f>IF(ISNA(VLOOKUP(Table1[[#This Row],[Part Number]],'Multi-level BOM'!V$4:V$449,1,FALSE)),0,Table1[[#This Row],[Remaining Extended cost]])</f>
        <v>0</v>
      </c>
    </row>
    <row r="553" spans="1:19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  <c r="S553" s="36">
        <f>IF(ISNA(VLOOKUP(Table1[[#This Row],[Part Number]],'Multi-level BOM'!V$4:V$449,1,FALSE)),0,Table1[[#This Row],[Remaining Extended cost]])</f>
        <v>0</v>
      </c>
    </row>
    <row r="554" spans="1:19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  <c r="S554" s="36">
        <f>IF(ISNA(VLOOKUP(Table1[[#This Row],[Part Number]],'Multi-level BOM'!V$4:V$449,1,FALSE)),0,Table1[[#This Row],[Remaining Extended cost]])</f>
        <v>0</v>
      </c>
    </row>
    <row r="555" spans="1:19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  <c r="S555" s="36">
        <f>IF(ISNA(VLOOKUP(Table1[[#This Row],[Part Number]],'Multi-level BOM'!V$4:V$449,1,FALSE)),0,Table1[[#This Row],[Remaining Extended cost]])</f>
        <v>0</v>
      </c>
    </row>
    <row r="556" spans="1:19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  <c r="S556" s="36">
        <f>IF(ISNA(VLOOKUP(Table1[[#This Row],[Part Number]],'Multi-level BOM'!V$4:V$449,1,FALSE)),0,Table1[[#This Row],[Remaining Extended cost]])</f>
        <v>0</v>
      </c>
    </row>
    <row r="557" spans="1:19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  <c r="S557" s="36">
        <f>IF(ISNA(VLOOKUP(Table1[[#This Row],[Part Number]],'Multi-level BOM'!V$4:V$449,1,FALSE)),0,Table1[[#This Row],[Remaining Extended cost]])</f>
        <v>0</v>
      </c>
    </row>
    <row r="558" spans="1:19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  <c r="S558" s="36">
        <f>IF(ISNA(VLOOKUP(Table1[[#This Row],[Part Number]],'Multi-level BOM'!V$4:V$449,1,FALSE)),0,Table1[[#This Row],[Remaining Extended cost]])</f>
        <v>0</v>
      </c>
    </row>
    <row r="559" spans="1:19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  <c r="S559" s="36">
        <f>IF(ISNA(VLOOKUP(Table1[[#This Row],[Part Number]],'Multi-level BOM'!V$4:V$449,1,FALSE)),0,Table1[[#This Row],[Remaining Extended cost]])</f>
        <v>0</v>
      </c>
    </row>
    <row r="560" spans="1:19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  <c r="S560" s="36">
        <f>IF(ISNA(VLOOKUP(Table1[[#This Row],[Part Number]],'Multi-level BOM'!V$4:V$449,1,FALSE)),0,Table1[[#This Row],[Remaining Extended cost]])</f>
        <v>0</v>
      </c>
    </row>
    <row r="561" spans="1:19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  <c r="S561" s="36">
        <f>IF(ISNA(VLOOKUP(Table1[[#This Row],[Part Number]],'Multi-level BOM'!V$4:V$449,1,FALSE)),0,Table1[[#This Row],[Remaining Extended cost]])</f>
        <v>0</v>
      </c>
    </row>
    <row r="562" spans="1:19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  <c r="S562" s="36">
        <f>IF(ISNA(VLOOKUP(Table1[[#This Row],[Part Number]],'Multi-level BOM'!V$4:V$449,1,FALSE)),0,Table1[[#This Row],[Remaining Extended cost]])</f>
        <v>0</v>
      </c>
    </row>
    <row r="563" spans="1:19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  <c r="S563" s="36">
        <f>IF(ISNA(VLOOKUP(Table1[[#This Row],[Part Number]],'Multi-level BOM'!V$4:V$449,1,FALSE)),0,Table1[[#This Row],[Remaining Extended cost]])</f>
        <v>0</v>
      </c>
    </row>
    <row r="564" spans="1:19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  <c r="S564" s="36">
        <f>IF(ISNA(VLOOKUP(Table1[[#This Row],[Part Number]],'Multi-level BOM'!V$4:V$449,1,FALSE)),0,Table1[[#This Row],[Remaining Extended cost]])</f>
        <v>0</v>
      </c>
    </row>
    <row r="565" spans="1:19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  <c r="S565" s="36">
        <f>IF(ISNA(VLOOKUP(Table1[[#This Row],[Part Number]],'Multi-level BOM'!V$4:V$449,1,FALSE)),0,Table1[[#This Row],[Remaining Extended cost]])</f>
        <v>0</v>
      </c>
    </row>
    <row r="566" spans="1:19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  <c r="S566" s="36">
        <f>IF(ISNA(VLOOKUP(Table1[[#This Row],[Part Number]],'Multi-level BOM'!V$4:V$449,1,FALSE)),0,Table1[[#This Row],[Remaining Extended cost]])</f>
        <v>0</v>
      </c>
    </row>
    <row r="567" spans="1:19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  <c r="S567" s="36">
        <f>IF(ISNA(VLOOKUP(Table1[[#This Row],[Part Number]],'Multi-level BOM'!V$4:V$449,1,FALSE)),0,Table1[[#This Row],[Remaining Extended cost]])</f>
        <v>0</v>
      </c>
    </row>
    <row r="568" spans="1:19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  <c r="S568" s="36">
        <f>IF(ISNA(VLOOKUP(Table1[[#This Row],[Part Number]],'Multi-level BOM'!V$4:V$449,1,FALSE)),0,Table1[[#This Row],[Remaining Extended cost]])</f>
        <v>0</v>
      </c>
    </row>
    <row r="569" spans="1:19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  <c r="S569" s="36">
        <f>IF(ISNA(VLOOKUP(Table1[[#This Row],[Part Number]],'Multi-level BOM'!V$4:V$449,1,FALSE)),0,Table1[[#This Row],[Remaining Extended cost]])</f>
        <v>0</v>
      </c>
    </row>
    <row r="570" spans="1:19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  <c r="S570" s="36">
        <f>IF(ISNA(VLOOKUP(Table1[[#This Row],[Part Number]],'Multi-level BOM'!V$4:V$449,1,FALSE)),0,Table1[[#This Row],[Remaining Extended cost]])</f>
        <v>0</v>
      </c>
    </row>
    <row r="571" spans="1:19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  <c r="S571" s="36">
        <f>IF(ISNA(VLOOKUP(Table1[[#This Row],[Part Number]],'Multi-level BOM'!V$4:V$449,1,FALSE)),0,Table1[[#This Row],[Remaining Extended cost]])</f>
        <v>0</v>
      </c>
    </row>
    <row r="572" spans="1:19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  <c r="S572" s="36">
        <f>IF(ISNA(VLOOKUP(Table1[[#This Row],[Part Number]],'Multi-level BOM'!V$4:V$449,1,FALSE)),0,Table1[[#This Row],[Remaining Extended cost]])</f>
        <v>0</v>
      </c>
    </row>
    <row r="573" spans="1:19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  <c r="S573" s="36">
        <f>IF(ISNA(VLOOKUP(Table1[[#This Row],[Part Number]],'Multi-level BOM'!V$4:V$449,1,FALSE)),0,Table1[[#This Row],[Remaining Extended cost]])</f>
        <v>0</v>
      </c>
    </row>
    <row r="574" spans="1:19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  <c r="S574" s="36">
        <f>IF(ISNA(VLOOKUP(Table1[[#This Row],[Part Number]],'Multi-level BOM'!V$4:V$449,1,FALSE)),0,Table1[[#This Row],[Remaining Extended cost]])</f>
        <v>0</v>
      </c>
    </row>
    <row r="575" spans="1:19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  <c r="S575" s="36">
        <f>IF(ISNA(VLOOKUP(Table1[[#This Row],[Part Number]],'Multi-level BOM'!V$4:V$449,1,FALSE)),0,Table1[[#This Row],[Remaining Extended cost]])</f>
        <v>0</v>
      </c>
    </row>
    <row r="576" spans="1:19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  <c r="S576" s="36">
        <f>IF(ISNA(VLOOKUP(Table1[[#This Row],[Part Number]],'Multi-level BOM'!V$4:V$449,1,FALSE)),0,Table1[[#This Row],[Remaining Extended cost]])</f>
        <v>0</v>
      </c>
    </row>
    <row r="577" spans="1:19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  <c r="S577" s="36">
        <f>IF(ISNA(VLOOKUP(Table1[[#This Row],[Part Number]],'Multi-level BOM'!V$4:V$449,1,FALSE)),0,Table1[[#This Row],[Remaining Extended cost]])</f>
        <v>0</v>
      </c>
    </row>
    <row r="578" spans="1:19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  <c r="S578" s="36">
        <f>IF(ISNA(VLOOKUP(Table1[[#This Row],[Part Number]],'Multi-level BOM'!V$4:V$449,1,FALSE)),0,Table1[[#This Row],[Remaining Extended cost]])</f>
        <v>0</v>
      </c>
    </row>
    <row r="579" spans="1:19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  <c r="S579" s="36">
        <f>IF(ISNA(VLOOKUP(Table1[[#This Row],[Part Number]],'Multi-level BOM'!V$4:V$449,1,FALSE)),0,Table1[[#This Row],[Remaining Extended cost]])</f>
        <v>0</v>
      </c>
    </row>
    <row r="580" spans="1:19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  <c r="S580" s="36">
        <f>IF(ISNA(VLOOKUP(Table1[[#This Row],[Part Number]],'Multi-level BOM'!V$4:V$449,1,FALSE)),0,Table1[[#This Row],[Remaining Extended cost]])</f>
        <v>0</v>
      </c>
    </row>
    <row r="581" spans="1:19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  <c r="S581" s="36">
        <f>IF(ISNA(VLOOKUP(Table1[[#This Row],[Part Number]],'Multi-level BOM'!V$4:V$449,1,FALSE)),0,Table1[[#This Row],[Remaining Extended cost]])</f>
        <v>0</v>
      </c>
    </row>
    <row r="582" spans="1:19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  <c r="S582" s="36">
        <f>IF(ISNA(VLOOKUP(Table1[[#This Row],[Part Number]],'Multi-level BOM'!V$4:V$449,1,FALSE)),0,Table1[[#This Row],[Remaining Extended cost]])</f>
        <v>0</v>
      </c>
    </row>
    <row r="583" spans="1:19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  <c r="S583" s="36">
        <f>IF(ISNA(VLOOKUP(Table1[[#This Row],[Part Number]],'Multi-level BOM'!V$4:V$449,1,FALSE)),0,Table1[[#This Row],[Remaining Extended cost]])</f>
        <v>0</v>
      </c>
    </row>
    <row r="584" spans="1:19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  <c r="S584" s="36">
        <f>IF(ISNA(VLOOKUP(Table1[[#This Row],[Part Number]],'Multi-level BOM'!V$4:V$449,1,FALSE)),0,Table1[[#This Row],[Remaining Extended cost]])</f>
        <v>0</v>
      </c>
    </row>
    <row r="585" spans="1:19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  <c r="S585" s="36">
        <f>IF(ISNA(VLOOKUP(Table1[[#This Row],[Part Number]],'Multi-level BOM'!V$4:V$449,1,FALSE)),0,Table1[[#This Row],[Remaining Extended cost]])</f>
        <v>0</v>
      </c>
    </row>
    <row r="586" spans="1:19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  <c r="S586" s="36">
        <f>IF(ISNA(VLOOKUP(Table1[[#This Row],[Part Number]],'Multi-level BOM'!V$4:V$449,1,FALSE)),0,Table1[[#This Row],[Remaining Extended cost]])</f>
        <v>0</v>
      </c>
    </row>
    <row r="587" spans="1:19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  <c r="S587" s="36">
        <f>IF(ISNA(VLOOKUP(Table1[[#This Row],[Part Number]],'Multi-level BOM'!V$4:V$449,1,FALSE)),0,Table1[[#This Row],[Remaining Extended cost]])</f>
        <v>0</v>
      </c>
    </row>
    <row r="588" spans="1:19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  <c r="S588" s="36">
        <f>IF(ISNA(VLOOKUP(Table1[[#This Row],[Part Number]],'Multi-level BOM'!V$4:V$449,1,FALSE)),0,Table1[[#This Row],[Remaining Extended cost]])</f>
        <v>0</v>
      </c>
    </row>
    <row r="589" spans="1:19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  <c r="S589" s="36">
        <f>IF(ISNA(VLOOKUP(Table1[[#This Row],[Part Number]],'Multi-level BOM'!V$4:V$449,1,FALSE)),0,Table1[[#This Row],[Remaining Extended cost]])</f>
        <v>0</v>
      </c>
    </row>
    <row r="590" spans="1:19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  <c r="S590" s="36">
        <f>IF(ISNA(VLOOKUP(Table1[[#This Row],[Part Number]],'Multi-level BOM'!V$4:V$449,1,FALSE)),0,Table1[[#This Row],[Remaining Extended cost]])</f>
        <v>0</v>
      </c>
    </row>
    <row r="591" spans="1:19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  <c r="S591" s="36">
        <f>IF(ISNA(VLOOKUP(Table1[[#This Row],[Part Number]],'Multi-level BOM'!V$4:V$449,1,FALSE)),0,Table1[[#This Row],[Remaining Extended cost]])</f>
        <v>0</v>
      </c>
    </row>
    <row r="592" spans="1:19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  <c r="S592" s="36">
        <f>IF(ISNA(VLOOKUP(Table1[[#This Row],[Part Number]],'Multi-level BOM'!V$4:V$449,1,FALSE)),0,Table1[[#This Row],[Remaining Extended cost]])</f>
        <v>0</v>
      </c>
    </row>
    <row r="593" spans="1:19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  <c r="S593" s="36">
        <f>IF(ISNA(VLOOKUP(Table1[[#This Row],[Part Number]],'Multi-level BOM'!V$4:V$449,1,FALSE)),0,Table1[[#This Row],[Remaining Extended cost]])</f>
        <v>0</v>
      </c>
    </row>
    <row r="594" spans="1:19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  <c r="S594" s="36">
        <f>IF(ISNA(VLOOKUP(Table1[[#This Row],[Part Number]],'Multi-level BOM'!V$4:V$449,1,FALSE)),0,Table1[[#This Row],[Remaining Extended cost]])</f>
        <v>0</v>
      </c>
    </row>
    <row r="595" spans="1:19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  <c r="S595" s="36">
        <f>IF(ISNA(VLOOKUP(Table1[[#This Row],[Part Number]],'Multi-level BOM'!V$4:V$449,1,FALSE)),0,Table1[[#This Row],[Remaining Extended cost]])</f>
        <v>0</v>
      </c>
    </row>
    <row r="596" spans="1:19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  <c r="S596" s="36">
        <f>IF(ISNA(VLOOKUP(Table1[[#This Row],[Part Number]],'Multi-level BOM'!V$4:V$449,1,FALSE)),0,Table1[[#This Row],[Remaining Extended cost]])</f>
        <v>0</v>
      </c>
    </row>
    <row r="597" spans="1:19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  <c r="S597" s="36">
        <f>IF(ISNA(VLOOKUP(Table1[[#This Row],[Part Number]],'Multi-level BOM'!V$4:V$449,1,FALSE)),0,Table1[[#This Row],[Remaining Extended cost]])</f>
        <v>0</v>
      </c>
    </row>
    <row r="598" spans="1:19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  <c r="S598" s="36">
        <f>IF(ISNA(VLOOKUP(Table1[[#This Row],[Part Number]],'Multi-level BOM'!V$4:V$449,1,FALSE)),0,Table1[[#This Row],[Remaining Extended cost]])</f>
        <v>0</v>
      </c>
    </row>
    <row r="599" spans="1:19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  <c r="S599" s="36">
        <f>IF(ISNA(VLOOKUP(Table1[[#This Row],[Part Number]],'Multi-level BOM'!V$4:V$449,1,FALSE)),0,Table1[[#This Row],[Remaining Extended cost]])</f>
        <v>0</v>
      </c>
    </row>
    <row r="600" spans="1:19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  <c r="S600" s="36">
        <f>IF(ISNA(VLOOKUP(Table1[[#This Row],[Part Number]],'Multi-level BOM'!V$4:V$449,1,FALSE)),0,Table1[[#This Row],[Remaining Extended cost]])</f>
        <v>0</v>
      </c>
    </row>
    <row r="601" spans="1:19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  <c r="S601" s="36">
        <f>IF(ISNA(VLOOKUP(Table1[[#This Row],[Part Number]],'Multi-level BOM'!V$4:V$449,1,FALSE)),0,Table1[[#This Row],[Remaining Extended cost]])</f>
        <v>0</v>
      </c>
    </row>
    <row r="602" spans="1:19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  <c r="S602" s="36">
        <f>IF(ISNA(VLOOKUP(Table1[[#This Row],[Part Number]],'Multi-level BOM'!V$4:V$449,1,FALSE)),0,Table1[[#This Row],[Remaining Extended cost]])</f>
        <v>0</v>
      </c>
    </row>
    <row r="603" spans="1:19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  <c r="S603" s="36">
        <f>IF(ISNA(VLOOKUP(Table1[[#This Row],[Part Number]],'Multi-level BOM'!V$4:V$449,1,FALSE)),0,Table1[[#This Row],[Remaining Extended cost]])</f>
        <v>0</v>
      </c>
    </row>
    <row r="604" spans="1:19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  <c r="S604" s="36">
        <f>IF(ISNA(VLOOKUP(Table1[[#This Row],[Part Number]],'Multi-level BOM'!V$4:V$449,1,FALSE)),0,Table1[[#This Row],[Remaining Extended cost]])</f>
        <v>0</v>
      </c>
    </row>
    <row r="605" spans="1:19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  <c r="S605" s="36">
        <f>IF(ISNA(VLOOKUP(Table1[[#This Row],[Part Number]],'Multi-level BOM'!V$4:V$449,1,FALSE)),0,Table1[[#This Row],[Remaining Extended cost]])</f>
        <v>0</v>
      </c>
    </row>
    <row r="606" spans="1:19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  <c r="S606" s="36">
        <f>IF(ISNA(VLOOKUP(Table1[[#This Row],[Part Number]],'Multi-level BOM'!V$4:V$449,1,FALSE)),0,Table1[[#This Row],[Remaining Extended cost]])</f>
        <v>0</v>
      </c>
    </row>
    <row r="607" spans="1:19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  <c r="S607" s="36">
        <f>IF(ISNA(VLOOKUP(Table1[[#This Row],[Part Number]],'Multi-level BOM'!V$4:V$449,1,FALSE)),0,Table1[[#This Row],[Remaining Extended cost]])</f>
        <v>0</v>
      </c>
    </row>
    <row r="608" spans="1:19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  <c r="S608" s="36">
        <f>IF(ISNA(VLOOKUP(Table1[[#This Row],[Part Number]],'Multi-level BOM'!V$4:V$449,1,FALSE)),0,Table1[[#This Row],[Remaining Extended cost]])</f>
        <v>0</v>
      </c>
    </row>
    <row r="609" spans="1:19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  <c r="S609" s="36">
        <f>IF(ISNA(VLOOKUP(Table1[[#This Row],[Part Number]],'Multi-level BOM'!V$4:V$449,1,FALSE)),0,Table1[[#This Row],[Remaining Extended cost]])</f>
        <v>0</v>
      </c>
    </row>
    <row r="610" spans="1:19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  <c r="S610" s="36">
        <f>IF(ISNA(VLOOKUP(Table1[[#This Row],[Part Number]],'Multi-level BOM'!V$4:V$449,1,FALSE)),0,Table1[[#This Row],[Remaining Extended cost]])</f>
        <v>0</v>
      </c>
    </row>
    <row r="611" spans="1:19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  <c r="S611" s="36">
        <f>IF(ISNA(VLOOKUP(Table1[[#This Row],[Part Number]],'Multi-level BOM'!V$4:V$449,1,FALSE)),0,Table1[[#This Row],[Remaining Extended cost]])</f>
        <v>0</v>
      </c>
    </row>
    <row r="612" spans="1:19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  <c r="S612" s="36">
        <f>IF(ISNA(VLOOKUP(Table1[[#This Row],[Part Number]],'Multi-level BOM'!V$4:V$449,1,FALSE)),0,Table1[[#This Row],[Remaining Extended cost]])</f>
        <v>0</v>
      </c>
    </row>
    <row r="613" spans="1:19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  <c r="S613" s="36">
        <f>IF(ISNA(VLOOKUP(Table1[[#This Row],[Part Number]],'Multi-level BOM'!V$4:V$449,1,FALSE)),0,Table1[[#This Row],[Remaining Extended cost]])</f>
        <v>0</v>
      </c>
    </row>
    <row r="614" spans="1:19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  <c r="S614" s="36">
        <f>IF(ISNA(VLOOKUP(Table1[[#This Row],[Part Number]],'Multi-level BOM'!V$4:V$449,1,FALSE)),0,Table1[[#This Row],[Remaining Extended cost]])</f>
        <v>0</v>
      </c>
    </row>
    <row r="615" spans="1:19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  <c r="S615" s="36">
        <f>IF(ISNA(VLOOKUP(Table1[[#This Row],[Part Number]],'Multi-level BOM'!V$4:V$449,1,FALSE)),0,Table1[[#This Row],[Remaining Extended cost]])</f>
        <v>0</v>
      </c>
    </row>
    <row r="616" spans="1:19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  <c r="S616" s="36">
        <f>IF(ISNA(VLOOKUP(Table1[[#This Row],[Part Number]],'Multi-level BOM'!V$4:V$449,1,FALSE)),0,Table1[[#This Row],[Remaining Extended cost]])</f>
        <v>0</v>
      </c>
    </row>
    <row r="617" spans="1:19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  <c r="S617" s="36">
        <f>IF(ISNA(VLOOKUP(Table1[[#This Row],[Part Number]],'Multi-level BOM'!V$4:V$449,1,FALSE)),0,Table1[[#This Row],[Remaining Extended cost]])</f>
        <v>0</v>
      </c>
    </row>
    <row r="618" spans="1:19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  <c r="S618" s="36">
        <f>IF(ISNA(VLOOKUP(Table1[[#This Row],[Part Number]],'Multi-level BOM'!V$4:V$449,1,FALSE)),0,Table1[[#This Row],[Remaining Extended cost]])</f>
        <v>0</v>
      </c>
    </row>
    <row r="619" spans="1:19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  <c r="S619" s="36">
        <f>IF(ISNA(VLOOKUP(Table1[[#This Row],[Part Number]],'Multi-level BOM'!V$4:V$449,1,FALSE)),0,Table1[[#This Row],[Remaining Extended cost]])</f>
        <v>0</v>
      </c>
    </row>
    <row r="620" spans="1:19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  <c r="S620" s="36">
        <f>IF(ISNA(VLOOKUP(Table1[[#This Row],[Part Number]],'Multi-level BOM'!V$4:V$449,1,FALSE)),0,Table1[[#This Row],[Remaining Extended cost]])</f>
        <v>0</v>
      </c>
    </row>
    <row r="621" spans="1:19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  <c r="S621" s="36">
        <f>IF(ISNA(VLOOKUP(Table1[[#This Row],[Part Number]],'Multi-level BOM'!V$4:V$449,1,FALSE)),0,Table1[[#This Row],[Remaining Extended cost]])</f>
        <v>0</v>
      </c>
    </row>
    <row r="622" spans="1:19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  <c r="S622" s="36">
        <f>IF(ISNA(VLOOKUP(Table1[[#This Row],[Part Number]],'Multi-level BOM'!V$4:V$449,1,FALSE)),0,Table1[[#This Row],[Remaining Extended cost]])</f>
        <v>0</v>
      </c>
    </row>
    <row r="623" spans="1:19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  <c r="S623" s="36">
        <f>IF(ISNA(VLOOKUP(Table1[[#This Row],[Part Number]],'Multi-level BOM'!V$4:V$449,1,FALSE)),0,Table1[[#This Row],[Remaining Extended cost]])</f>
        <v>0</v>
      </c>
    </row>
    <row r="624" spans="1:19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  <c r="S624" s="36">
        <f>IF(ISNA(VLOOKUP(Table1[[#This Row],[Part Number]],'Multi-level BOM'!V$4:V$449,1,FALSE)),0,Table1[[#This Row],[Remaining Extended cost]])</f>
        <v>0</v>
      </c>
    </row>
    <row r="625" spans="1:19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  <c r="S625" s="36">
        <f>IF(ISNA(VLOOKUP(Table1[[#This Row],[Part Number]],'Multi-level BOM'!V$4:V$449,1,FALSE)),0,Table1[[#This Row],[Remaining Extended cost]])</f>
        <v>0</v>
      </c>
    </row>
    <row r="626" spans="1:19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  <c r="S626" s="36">
        <f>IF(ISNA(VLOOKUP(Table1[[#This Row],[Part Number]],'Multi-level BOM'!V$4:V$449,1,FALSE)),0,Table1[[#This Row],[Remaining Extended cost]])</f>
        <v>0</v>
      </c>
    </row>
    <row r="627" spans="1:19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  <c r="S627" s="36">
        <f>IF(ISNA(VLOOKUP(Table1[[#This Row],[Part Number]],'Multi-level BOM'!V$4:V$449,1,FALSE)),0,Table1[[#This Row],[Remaining Extended cost]])</f>
        <v>0</v>
      </c>
    </row>
    <row r="628" spans="1:19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  <c r="S628" s="36">
        <f>IF(ISNA(VLOOKUP(Table1[[#This Row],[Part Number]],'Multi-level BOM'!V$4:V$449,1,FALSE)),0,Table1[[#This Row],[Remaining Extended cost]])</f>
        <v>0</v>
      </c>
    </row>
    <row r="629" spans="1:19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  <c r="S629" s="36">
        <f>IF(ISNA(VLOOKUP(Table1[[#This Row],[Part Number]],'Multi-level BOM'!V$4:V$449,1,FALSE)),0,Table1[[#This Row],[Remaining Extended cost]])</f>
        <v>0</v>
      </c>
    </row>
    <row r="630" spans="1:19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  <c r="S630" s="36">
        <f>IF(ISNA(VLOOKUP(Table1[[#This Row],[Part Number]],'Multi-level BOM'!V$4:V$449,1,FALSE)),0,Table1[[#This Row],[Remaining Extended cost]])</f>
        <v>0</v>
      </c>
    </row>
    <row r="631" spans="1:19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  <c r="S631" s="36">
        <f>IF(ISNA(VLOOKUP(Table1[[#This Row],[Part Number]],'Multi-level BOM'!V$4:V$449,1,FALSE)),0,Table1[[#This Row],[Remaining Extended cost]])</f>
        <v>0</v>
      </c>
    </row>
    <row r="632" spans="1:19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  <c r="S632" s="36">
        <f>IF(ISNA(VLOOKUP(Table1[[#This Row],[Part Number]],'Multi-level BOM'!V$4:V$449,1,FALSE)),0,Table1[[#This Row],[Remaining Extended cost]])</f>
        <v>0</v>
      </c>
    </row>
    <row r="633" spans="1:19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  <c r="S633" s="36">
        <f>IF(ISNA(VLOOKUP(Table1[[#This Row],[Part Number]],'Multi-level BOM'!V$4:V$449,1,FALSE)),0,Table1[[#This Row],[Remaining Extended cost]])</f>
        <v>0</v>
      </c>
    </row>
    <row r="634" spans="1:19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  <c r="S634" s="36">
        <f>IF(ISNA(VLOOKUP(Table1[[#This Row],[Part Number]],'Multi-level BOM'!V$4:V$449,1,FALSE)),0,Table1[[#This Row],[Remaining Extended cost]])</f>
        <v>0</v>
      </c>
    </row>
    <row r="635" spans="1:19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  <c r="S635" s="36">
        <f>IF(ISNA(VLOOKUP(Table1[[#This Row],[Part Number]],'Multi-level BOM'!V$4:V$449,1,FALSE)),0,Table1[[#This Row],[Remaining Extended cost]])</f>
        <v>0</v>
      </c>
    </row>
    <row r="637" spans="1:19" x14ac:dyDescent="0.25">
      <c r="M637" s="38" t="s">
        <v>702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56" r:id="rId8"/>
    <hyperlink ref="G22" r:id="rId9"/>
    <hyperlink ref="G23" r:id="rId10"/>
    <hyperlink ref="G49" r:id="rId11"/>
    <hyperlink ref="G29" r:id="rId12"/>
    <hyperlink ref="G15" r:id="rId13"/>
    <hyperlink ref="G43" r:id="rId14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K18" sqref="K18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960</v>
      </c>
      <c r="D1" s="2" t="s">
        <v>961</v>
      </c>
      <c r="E1" t="s">
        <v>962</v>
      </c>
      <c r="G1" s="19"/>
      <c r="H1" s="20" t="s">
        <v>755</v>
      </c>
      <c r="I1" s="21"/>
      <c r="L1" s="19"/>
      <c r="M1" s="20" t="s">
        <v>768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749</v>
      </c>
      <c r="L2" s="22"/>
      <c r="M2" s="29">
        <v>5.9</v>
      </c>
      <c r="N2" s="24" t="s">
        <v>742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750</v>
      </c>
      <c r="L3" s="22"/>
      <c r="M3" s="23">
        <v>0.9</v>
      </c>
      <c r="N3" s="24" t="s">
        <v>754</v>
      </c>
    </row>
    <row r="4" spans="1:14" x14ac:dyDescent="0.25">
      <c r="G4" s="22"/>
      <c r="H4" s="23">
        <v>0.25</v>
      </c>
      <c r="I4" s="24" t="s">
        <v>751</v>
      </c>
      <c r="L4" s="22"/>
      <c r="M4" s="23">
        <v>6</v>
      </c>
      <c r="N4" s="24" t="s">
        <v>750</v>
      </c>
    </row>
    <row r="5" spans="1:14" x14ac:dyDescent="0.25">
      <c r="G5" s="22"/>
      <c r="H5" s="23">
        <v>6</v>
      </c>
      <c r="I5" s="24" t="s">
        <v>750</v>
      </c>
      <c r="L5" s="22"/>
      <c r="M5" s="23">
        <v>0.25</v>
      </c>
      <c r="N5" s="24" t="s">
        <v>751</v>
      </c>
    </row>
    <row r="6" spans="1:14" x14ac:dyDescent="0.25">
      <c r="G6" s="22">
        <v>34.25</v>
      </c>
      <c r="H6" s="23">
        <f>G6</f>
        <v>34.25</v>
      </c>
      <c r="I6" s="24" t="s">
        <v>752</v>
      </c>
      <c r="L6" s="22"/>
      <c r="M6" s="23">
        <v>6</v>
      </c>
      <c r="N6" s="24" t="s">
        <v>750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753</v>
      </c>
      <c r="L7" s="22"/>
      <c r="M7" s="23">
        <v>11.9</v>
      </c>
      <c r="N7" s="24" t="s">
        <v>754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754</v>
      </c>
      <c r="L8" s="22"/>
      <c r="M8" s="18">
        <v>0.9</v>
      </c>
      <c r="N8" s="24" t="s">
        <v>769</v>
      </c>
    </row>
    <row r="9" spans="1:14" ht="16.5" thickTop="1" thickBot="1" x14ac:dyDescent="0.3">
      <c r="G9" s="22"/>
      <c r="H9" s="18">
        <v>5.9</v>
      </c>
      <c r="I9" s="24" t="s">
        <v>742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756</v>
      </c>
      <c r="I12" s="21"/>
      <c r="L12" s="19"/>
      <c r="M12" s="20" t="s">
        <v>989</v>
      </c>
      <c r="N12" s="21"/>
    </row>
    <row r="13" spans="1:14" x14ac:dyDescent="0.25">
      <c r="G13" s="22"/>
      <c r="H13" s="23">
        <v>0.9</v>
      </c>
      <c r="I13" s="24" t="s">
        <v>749</v>
      </c>
      <c r="L13" s="22"/>
      <c r="M13" s="23">
        <v>1.6</v>
      </c>
      <c r="N13" s="24" t="s">
        <v>749</v>
      </c>
    </row>
    <row r="14" spans="1:14" x14ac:dyDescent="0.25">
      <c r="G14" s="22"/>
      <c r="H14" s="23">
        <v>6</v>
      </c>
      <c r="I14" s="24" t="s">
        <v>757</v>
      </c>
      <c r="L14" s="22"/>
      <c r="M14" s="23">
        <v>9.52</v>
      </c>
      <c r="N14" s="24" t="s">
        <v>753</v>
      </c>
    </row>
    <row r="15" spans="1:14" ht="15.75" thickBot="1" x14ac:dyDescent="0.3">
      <c r="G15" s="22">
        <v>49.5</v>
      </c>
      <c r="H15" s="23">
        <f>G15</f>
        <v>49.5</v>
      </c>
      <c r="I15" s="24" t="s">
        <v>752</v>
      </c>
      <c r="L15" s="22"/>
      <c r="M15" s="18">
        <v>15</v>
      </c>
      <c r="N15" s="24" t="s">
        <v>990</v>
      </c>
    </row>
    <row r="16" spans="1:14" ht="16.5" thickTop="1" thickBot="1" x14ac:dyDescent="0.3">
      <c r="G16" s="22"/>
      <c r="H16" s="23">
        <v>9.52</v>
      </c>
      <c r="I16" s="24" t="s">
        <v>753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754</v>
      </c>
    </row>
    <row r="18" spans="7:14" ht="15.75" thickBot="1" x14ac:dyDescent="0.3">
      <c r="G18" s="22"/>
      <c r="H18" s="18">
        <v>5</v>
      </c>
      <c r="I18" s="24" t="s">
        <v>764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772</v>
      </c>
      <c r="N19" s="21"/>
    </row>
    <row r="20" spans="7:14" x14ac:dyDescent="0.25">
      <c r="L20" s="22"/>
      <c r="M20" s="23">
        <f>13-4.5</f>
        <v>8.5</v>
      </c>
      <c r="N20" s="24" t="s">
        <v>761</v>
      </c>
    </row>
    <row r="21" spans="7:14" ht="15.75" thickBot="1" x14ac:dyDescent="0.3">
      <c r="L21" s="22"/>
      <c r="M21" s="23">
        <v>6.35</v>
      </c>
      <c r="N21" s="24" t="s">
        <v>773</v>
      </c>
    </row>
    <row r="22" spans="7:14" x14ac:dyDescent="0.25">
      <c r="G22" s="19"/>
      <c r="H22" s="20" t="s">
        <v>762</v>
      </c>
      <c r="I22" s="21"/>
      <c r="L22" s="22"/>
      <c r="M22" s="23">
        <v>0.5</v>
      </c>
      <c r="N22" s="24" t="s">
        <v>754</v>
      </c>
    </row>
    <row r="23" spans="7:14" ht="15.75" thickBot="1" x14ac:dyDescent="0.3">
      <c r="G23" s="22"/>
      <c r="H23" s="23">
        <f>16-4.5</f>
        <v>11.5</v>
      </c>
      <c r="I23" s="24" t="s">
        <v>761</v>
      </c>
      <c r="L23" s="22"/>
      <c r="M23" s="18">
        <v>3.9</v>
      </c>
      <c r="N23" s="24" t="s">
        <v>763</v>
      </c>
    </row>
    <row r="24" spans="7:14" ht="16.5" thickTop="1" thickBot="1" x14ac:dyDescent="0.3">
      <c r="G24" s="22"/>
      <c r="H24" s="23">
        <v>9.52</v>
      </c>
      <c r="I24" s="24" t="s">
        <v>753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754</v>
      </c>
    </row>
    <row r="26" spans="7:14" ht="15.75" thickBot="1" x14ac:dyDescent="0.3">
      <c r="G26" s="22"/>
      <c r="H26" s="18">
        <v>3.9</v>
      </c>
      <c r="I26" s="24" t="s">
        <v>763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817</v>
      </c>
      <c r="I30" s="21"/>
    </row>
    <row r="31" spans="7:14" x14ac:dyDescent="0.25">
      <c r="G31" s="22"/>
      <c r="H31" s="23">
        <v>241.5</v>
      </c>
      <c r="I31" s="24" t="s">
        <v>813</v>
      </c>
    </row>
    <row r="32" spans="7:14" x14ac:dyDescent="0.25">
      <c r="G32" s="22"/>
      <c r="H32" s="23">
        <v>9.5</v>
      </c>
      <c r="I32" s="24" t="s">
        <v>803</v>
      </c>
    </row>
    <row r="33" spans="7:9" x14ac:dyDescent="0.25">
      <c r="G33" s="22"/>
      <c r="H33" s="23">
        <v>597.5</v>
      </c>
      <c r="I33" s="24" t="s">
        <v>804</v>
      </c>
    </row>
    <row r="34" spans="7:9" x14ac:dyDescent="0.25">
      <c r="G34" s="22"/>
      <c r="H34" s="31">
        <v>10.5</v>
      </c>
      <c r="I34" s="24" t="s">
        <v>805</v>
      </c>
    </row>
    <row r="35" spans="7:9" x14ac:dyDescent="0.25">
      <c r="G35" s="22"/>
      <c r="H35" s="31">
        <v>68.7</v>
      </c>
      <c r="I35" s="24" t="s">
        <v>807</v>
      </c>
    </row>
    <row r="36" spans="7:9" x14ac:dyDescent="0.25">
      <c r="G36" s="22"/>
      <c r="H36" s="31">
        <v>14.9</v>
      </c>
      <c r="I36" s="24" t="s">
        <v>806</v>
      </c>
    </row>
    <row r="37" spans="7:9" x14ac:dyDescent="0.25">
      <c r="G37" s="22"/>
      <c r="H37" s="31">
        <v>36.799999999999997</v>
      </c>
      <c r="I37" s="24" t="s">
        <v>808</v>
      </c>
    </row>
    <row r="38" spans="7:9" x14ac:dyDescent="0.25">
      <c r="G38" s="22"/>
      <c r="H38" s="31">
        <v>22.2</v>
      </c>
      <c r="I38" s="24" t="s">
        <v>809</v>
      </c>
    </row>
    <row r="39" spans="7:9" x14ac:dyDescent="0.25">
      <c r="G39" s="22"/>
      <c r="H39" s="31">
        <v>440</v>
      </c>
      <c r="I39" s="24" t="s">
        <v>810</v>
      </c>
    </row>
    <row r="40" spans="7:9" x14ac:dyDescent="0.25">
      <c r="G40" s="22"/>
      <c r="H40" s="31">
        <v>13.3</v>
      </c>
      <c r="I40" s="24" t="s">
        <v>811</v>
      </c>
    </row>
    <row r="41" spans="7:9" x14ac:dyDescent="0.25">
      <c r="G41" s="22"/>
      <c r="H41" s="31">
        <v>302</v>
      </c>
      <c r="I41" s="24" t="s">
        <v>812</v>
      </c>
    </row>
    <row r="42" spans="7:9" x14ac:dyDescent="0.25">
      <c r="G42" s="22"/>
      <c r="H42" s="31">
        <v>13.4</v>
      </c>
      <c r="I42" s="24" t="s">
        <v>814</v>
      </c>
    </row>
    <row r="43" spans="7:9" x14ac:dyDescent="0.25">
      <c r="G43" s="22"/>
      <c r="H43" s="31">
        <v>470</v>
      </c>
      <c r="I43" s="24" t="s">
        <v>815</v>
      </c>
    </row>
    <row r="44" spans="7:9" ht="15.75" thickBot="1" x14ac:dyDescent="0.3">
      <c r="G44" s="22"/>
      <c r="H44" s="33">
        <v>16.5</v>
      </c>
      <c r="I44" s="24" t="s">
        <v>816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941</v>
      </c>
    </row>
    <row r="3" spans="1:5" x14ac:dyDescent="0.25">
      <c r="A3" t="s">
        <v>943</v>
      </c>
    </row>
    <row r="4" spans="1:5" x14ac:dyDescent="0.25">
      <c r="B4" t="s">
        <v>942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944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945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946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2020-02-11T15:20:52Z</dcterms:modified>
</cp:coreProperties>
</file>