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Analysis"/>
    <sheet r:id="rId2" sheetId="2" name="6a"/>
    <sheet r:id="rId3" sheetId="3" name="6b"/>
    <sheet r:id="rId4" sheetId="4" name="6c"/>
    <sheet r:id="rId5" sheetId="5" name="6d"/>
    <sheet r:id="rId6" sheetId="6" name="6e"/>
    <sheet r:id="rId7" sheetId="7" name="6f"/>
    <sheet r:id="rId8" sheetId="8" name="Indicator Map"/>
  </sheets>
  <calcPr fullCalcOnLoad="1"/>
</workbook>
</file>

<file path=xl/sharedStrings.xml><?xml version="1.0" encoding="utf-8"?>
<sst xmlns="http://schemas.openxmlformats.org/spreadsheetml/2006/main" count="632" uniqueCount="193">
  <si>
    <t xml:space="preserve"> Individual and team work (GA-6) Curriculum Map</t>
  </si>
  <si>
    <t>Individual and team work</t>
  </si>
  <si>
    <t>ENGR-1100</t>
  </si>
  <si>
    <t>ENGR-1200</t>
  </si>
  <si>
    <t>ENGR-2300</t>
  </si>
  <si>
    <t>ENGR-2400</t>
  </si>
  <si>
    <t>ENGR-2000</t>
  </si>
  <si>
    <t>CENG-3010</t>
  </si>
  <si>
    <t>EENG-3010</t>
  </si>
  <si>
    <t>SENG 3130</t>
  </si>
  <si>
    <t>ENGR-3300</t>
  </si>
  <si>
    <t>COMP-3610</t>
  </si>
  <si>
    <t>SENG 3120</t>
  </si>
  <si>
    <t>SENG-3210</t>
  </si>
  <si>
    <t>CENG-3020</t>
  </si>
  <si>
    <t>SENG-4100</t>
  </si>
  <si>
    <t>SENG-4130</t>
  </si>
  <si>
    <t>SENG-4140</t>
  </si>
  <si>
    <t>SENG-4640</t>
  </si>
  <si>
    <t>I</t>
  </si>
  <si>
    <t>X</t>
  </si>
  <si>
    <t>D</t>
  </si>
  <si>
    <t>A</t>
  </si>
  <si>
    <t>GA Indicators</t>
  </si>
  <si>
    <t>abe</t>
  </si>
  <si>
    <t>bce</t>
  </si>
  <si>
    <t>cde</t>
  </si>
  <si>
    <t>cf</t>
  </si>
  <si>
    <t>cef</t>
  </si>
  <si>
    <t>a</t>
  </si>
  <si>
    <t>e</t>
  </si>
  <si>
    <t>af</t>
  </si>
  <si>
    <t>bde</t>
  </si>
  <si>
    <t>ae</t>
  </si>
  <si>
    <t>ab</t>
  </si>
  <si>
    <t>bc</t>
  </si>
  <si>
    <t>abcde</t>
  </si>
  <si>
    <t>ace</t>
  </si>
  <si>
    <t>Student Number</t>
  </si>
  <si>
    <t>ENGR-2000-3</t>
  </si>
  <si>
    <t>ENGR-2400-5</t>
  </si>
  <si>
    <t>SENG-3130-4</t>
  </si>
  <si>
    <t>Assessment
Tool</t>
  </si>
  <si>
    <t>Q</t>
  </si>
  <si>
    <t>M</t>
  </si>
  <si>
    <t>F</t>
  </si>
  <si>
    <t>P</t>
  </si>
  <si>
    <t>L</t>
  </si>
  <si>
    <t>OT</t>
  </si>
  <si>
    <t>Average</t>
  </si>
  <si>
    <t>Overall Average</t>
  </si>
  <si>
    <t>Total Students</t>
  </si>
  <si>
    <t>Assignment (A)</t>
  </si>
  <si>
    <t>Quiz (Q)</t>
  </si>
  <si>
    <t>Mid Term (M)</t>
  </si>
  <si>
    <t>Final Exam (F)</t>
  </si>
  <si>
    <t>Project (P)</t>
  </si>
  <si>
    <t>Lab (L)</t>
  </si>
  <si>
    <t>Anyother (OT)</t>
  </si>
  <si>
    <t>Total</t>
  </si>
  <si>
    <t>I (1st, 2nd yr)</t>
  </si>
  <si>
    <t>D (2nd &amp; 3rd yr)</t>
  </si>
  <si>
    <t>A (3rd, 4yr)</t>
  </si>
  <si>
    <t>Frequency Distribution Analysis</t>
  </si>
  <si>
    <t>Scale</t>
  </si>
  <si>
    <t>Below Expectation (C- and below)  (%)</t>
  </si>
  <si>
    <t>Marginal (C+, C)  (%)</t>
  </si>
  <si>
    <t>Meets Expectation (B+, B, B-) (%)</t>
  </si>
  <si>
    <t>Exceeds Expectation (A+, A, A-) (%)</t>
  </si>
  <si>
    <t>Class Limit</t>
  </si>
  <si>
    <t>Bin</t>
  </si>
  <si>
    <t>80-100</t>
  </si>
  <si>
    <t>70-79</t>
  </si>
  <si>
    <t>60-69</t>
  </si>
  <si>
    <t>0-59</t>
  </si>
  <si>
    <t>CENG-3020-5</t>
  </si>
  <si>
    <t>COMP-3610-10</t>
  </si>
  <si>
    <t>EENG-3010-5</t>
  </si>
  <si>
    <t>ENGR-1100-9</t>
  </si>
  <si>
    <t>ENGR-1200-5</t>
  </si>
  <si>
    <t>ENGR-2000-8</t>
  </si>
  <si>
    <t>ENGR-2300-5</t>
  </si>
  <si>
    <t>ENGR-3300-5</t>
  </si>
  <si>
    <t>SENG-4100-2</t>
  </si>
  <si>
    <t>SENG-4140-5</t>
  </si>
  <si>
    <t>SENG-4640-4</t>
  </si>
  <si>
    <t>SENG-4640-5</t>
  </si>
  <si>
    <t>ENGR-2300-1</t>
  </si>
  <si>
    <t>ENGR-3300-2</t>
  </si>
  <si>
    <t>SENG-4100-6</t>
  </si>
  <si>
    <t>ENGR-1200-6</t>
  </si>
  <si>
    <t>ENGR-2000-7</t>
  </si>
  <si>
    <t>ENGR-2300-2</t>
  </si>
  <si>
    <t>ENGR-2400-4</t>
  </si>
  <si>
    <t>SENG-3210-3</t>
  </si>
  <si>
    <t>SENG-3210-5</t>
  </si>
  <si>
    <t>SENG-4100-3</t>
  </si>
  <si>
    <t>SENG-4140-3</t>
  </si>
  <si>
    <t>SENG-4640-2</t>
  </si>
  <si>
    <t>SENG-4640-3</t>
  </si>
  <si>
    <t>ENGR-1100-2</t>
  </si>
  <si>
    <t>ENGR-1200-7</t>
  </si>
  <si>
    <t>ENGR-3300-1</t>
  </si>
  <si>
    <t>SENG-3120-3</t>
  </si>
  <si>
    <t>SENG-3210-4</t>
  </si>
  <si>
    <t>SENG-4100-4</t>
  </si>
  <si>
    <t>SENG-4100-8</t>
  </si>
  <si>
    <t>CENG-3010-5</t>
  </si>
  <si>
    <t>CENG-3020-1</t>
  </si>
  <si>
    <t>COMP-3610-6</t>
  </si>
  <si>
    <t>ENGR-1100-1</t>
  </si>
  <si>
    <t>SENG-3120-2</t>
  </si>
  <si>
    <t>SENG-3130-5</t>
  </si>
  <si>
    <t>SENG-4100-1</t>
  </si>
  <si>
    <t>SENG-4130-6</t>
  </si>
  <si>
    <t>SENG-4140-2</t>
  </si>
  <si>
    <t>SENG-4640-1</t>
  </si>
  <si>
    <t/>
  </si>
  <si>
    <t>Individual and Teamwork (GA-6) 2022-2023</t>
  </si>
  <si>
    <t>LO#</t>
  </si>
  <si>
    <t>GA-6</t>
  </si>
  <si>
    <t>Individual and Teamwork (GA-6)</t>
  </si>
  <si>
    <t>6a</t>
  </si>
  <si>
    <t>6b</t>
  </si>
  <si>
    <t>6c</t>
  </si>
  <si>
    <t>6e</t>
  </si>
  <si>
    <t>6f</t>
  </si>
  <si>
    <t>Number of Courses</t>
  </si>
  <si>
    <t>Number of CLO</t>
  </si>
  <si>
    <t>Introduced (Number of Courses)</t>
  </si>
  <si>
    <t>Developed (Number of Courses)</t>
  </si>
  <si>
    <t>Applied (Number of Courses)</t>
  </si>
  <si>
    <t>Frequency Distribution Analysis (70% cutoff)</t>
  </si>
  <si>
    <t>Overall indicator simple Average Analysis</t>
  </si>
  <si>
    <t>Assessment Tool</t>
  </si>
  <si>
    <t>Assignment</t>
  </si>
  <si>
    <t>Quiz</t>
  </si>
  <si>
    <t>Mid Term</t>
  </si>
  <si>
    <t>Final Exam</t>
  </si>
  <si>
    <t>Project</t>
  </si>
  <si>
    <t>Lab</t>
  </si>
  <si>
    <t>Anyother</t>
  </si>
  <si>
    <t>Total LO</t>
  </si>
  <si>
    <t>Course</t>
  </si>
  <si>
    <t>CENG 2010</t>
  </si>
  <si>
    <t>CENG 2030</t>
  </si>
  <si>
    <t>6d</t>
  </si>
  <si>
    <t>CENG 3010</t>
  </si>
  <si>
    <t>CENG 3020</t>
  </si>
  <si>
    <t xml:space="preserve">CENG 3310 </t>
  </si>
  <si>
    <t>CENG 4320</t>
  </si>
  <si>
    <t>CHEM 1520</t>
  </si>
  <si>
    <t>CMNS 1290</t>
  </si>
  <si>
    <t>COMP 3410</t>
  </si>
  <si>
    <t>COMP 3610</t>
  </si>
  <si>
    <t>EENG 3010</t>
  </si>
  <si>
    <t>ENGL 1100</t>
  </si>
  <si>
    <t>ENGR 1100</t>
  </si>
  <si>
    <t>ENGR 1200</t>
  </si>
  <si>
    <t>ENGR 2000</t>
  </si>
  <si>
    <t>ENGR 2200</t>
  </si>
  <si>
    <t>ENGR 2300</t>
  </si>
  <si>
    <t>ENGR 2400</t>
  </si>
  <si>
    <t>ENGR 3300</t>
  </si>
  <si>
    <t xml:space="preserve">EPHY 1170 </t>
  </si>
  <si>
    <t>EPHY 1270</t>
  </si>
  <si>
    <t>EPHY 1700</t>
  </si>
  <si>
    <t>EPHY 2200</t>
  </si>
  <si>
    <t>EPHY 2300</t>
  </si>
  <si>
    <t xml:space="preserve">MATH 1130 </t>
  </si>
  <si>
    <t>MATH 1230</t>
  </si>
  <si>
    <t xml:space="preserve">MATH 1300 </t>
  </si>
  <si>
    <t>MATH 1700</t>
  </si>
  <si>
    <t>PHYS 2150</t>
  </si>
  <si>
    <t>SENG 1110</t>
  </si>
  <si>
    <t>SENG 1210</t>
  </si>
  <si>
    <t>SENG 3110</t>
  </si>
  <si>
    <t>SENG 3210</t>
  </si>
  <si>
    <t>SENG 4100</t>
  </si>
  <si>
    <t>SENG 4110</t>
  </si>
  <si>
    <t>SENG 4120</t>
  </si>
  <si>
    <t>SENG 4130</t>
  </si>
  <si>
    <t>SENG 4140</t>
  </si>
  <si>
    <t>SENG 4220</t>
  </si>
  <si>
    <t>SENG 4230</t>
  </si>
  <si>
    <t>SENG 4610</t>
  </si>
  <si>
    <t>SENG 4620</t>
  </si>
  <si>
    <t>SENG 4630</t>
  </si>
  <si>
    <t>SENG 4640</t>
  </si>
  <si>
    <t>SENG 4650</t>
  </si>
  <si>
    <t>SENG 4660</t>
  </si>
  <si>
    <t xml:space="preserve">STAT 2230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</si>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</sst>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%"/>
    <numFmt numFmtId="165" formatCode="#,##0.0"/>
    <numFmt numFmtId="166" formatCode="#,##0%"/>
  </numFmts>
  <fonts count="15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8"/>
      <color rgb="FF000000"/>
      <name val="Arial"/>
      <family val="2"/>
    </font>
    <font>
      <sz val="14"/>
      <color rgb="FF000000"/>
      <name val="Calibri"/>
      <family val="2"/>
    </font>
    <font>
      <sz val="11"/>
      <color rgb="FFff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sz val="12"/>
      <color rgb="FFc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dd7ee"/>
      </patternFill>
    </fill>
    <fill>
      <patternFill patternType="solid">
        <fgColor rgb="FFc5e0b4"/>
      </patternFill>
    </fill>
    <fill>
      <patternFill patternType="solid">
        <fgColor rgb="FFe2f0d9"/>
      </patternFill>
    </fill>
    <fill>
      <patternFill patternType="solid">
        <fgColor rgb="FFa9d18e"/>
      </patternFill>
    </fill>
    <fill>
      <patternFill patternType="solid">
        <fgColor rgb="FFffd966"/>
      </patternFill>
    </fill>
    <fill>
      <patternFill patternType="solid">
        <fgColor rgb="FFfa6c50"/>
      </patternFill>
    </fill>
    <fill>
      <patternFill patternType="solid">
        <fgColor rgb="FFfba547"/>
      </patternFill>
    </fill>
    <fill>
      <patternFill patternType="solid">
        <fgColor rgb="FF00b050"/>
      </patternFill>
    </fill>
    <fill>
      <patternFill patternType="solid">
        <fgColor rgb="FFffffff"/>
      </patternFill>
    </fill>
    <fill>
      <patternFill patternType="solid">
        <fgColor rgb="FF9dc3e6"/>
      </patternFill>
    </fill>
    <fill>
      <patternFill patternType="solid">
        <fgColor rgb="FFafabab"/>
      </patternFill>
    </fill>
    <fill>
      <patternFill patternType="solid">
        <fgColor rgb="FF7030a0"/>
      </patternFill>
    </fill>
    <fill>
      <patternFill patternType="solid">
        <fgColor rgb="FFdeebf7"/>
      </patternFill>
    </fill>
    <fill>
      <patternFill patternType="solid">
        <fgColor rgb="FFf2f2f2"/>
      </patternFill>
    </fill>
    <fill>
      <patternFill patternType="solid">
        <fgColor rgb="FFf4b183"/>
      </patternFill>
    </fill>
    <fill>
      <patternFill patternType="solid">
        <fgColor rgb="FFb4c7e7"/>
      </patternFill>
    </fill>
    <fill>
      <patternFill patternType="solid">
        <fgColor rgb="FF92d050"/>
      </patternFill>
    </fill>
    <fill>
      <patternFill patternType="solid">
        <fgColor rgb="FFd9d9d9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203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0" borderId="3" applyBorder="1" fontId="2" applyFont="1" fillId="3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0" borderId="1" applyBorder="1" fontId="3" applyFont="1" fillId="0" applyAlignment="1">
      <alignment horizontal="left"/>
    </xf>
    <xf xfId="0" numFmtId="0" borderId="4" applyBorder="1" fontId="2" applyFont="1" fillId="3" applyFill="1" applyAlignment="1">
      <alignment horizontal="left"/>
    </xf>
    <xf xfId="0" numFmtId="0" borderId="5" applyBorder="1" fontId="2" applyFont="1" fillId="3" applyFill="1" applyAlignment="1">
      <alignment horizontal="left"/>
    </xf>
    <xf xfId="0" numFmtId="0" borderId="6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7" applyBorder="1" fontId="4" applyFont="1" fillId="5" applyFill="1" applyAlignment="1">
      <alignment horizontal="center"/>
    </xf>
    <xf xfId="0" numFmtId="3" applyNumberFormat="1" borderId="7" applyBorder="1" fontId="4" applyFont="1" fillId="3" applyFill="1" applyAlignment="1">
      <alignment horizontal="center"/>
    </xf>
    <xf xfId="0" numFmtId="1" applyNumberFormat="1" borderId="7" applyBorder="1" fontId="4" applyFont="1" fillId="2" applyFill="1" applyAlignment="1">
      <alignment horizontal="center"/>
    </xf>
    <xf xfId="0" numFmtId="3" applyNumberFormat="1" borderId="7" applyBorder="1" fontId="4" applyFont="1" fillId="4" applyFill="1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7" applyBorder="1" fontId="4" applyFont="1" fillId="5" applyFill="1" applyAlignment="1">
      <alignment horizontal="center" wrapText="1"/>
    </xf>
    <xf xfId="0" numFmtId="1" applyNumberFormat="1" borderId="7" applyBorder="1" fontId="4" applyFont="1" fillId="5" applyFill="1" applyAlignment="1">
      <alignment horizontal="center"/>
    </xf>
    <xf xfId="0" numFmtId="3" applyNumberFormat="1" borderId="7" applyBorder="1" fontId="4" applyFont="1" fillId="0" applyAlignment="1">
      <alignment horizontal="center"/>
    </xf>
    <xf xfId="0" numFmtId="164" applyNumberFormat="1" borderId="7" applyBorder="1" fontId="4" applyFont="1" fillId="0" applyAlignment="1">
      <alignment horizontal="center"/>
    </xf>
    <xf xfId="0" numFmtId="165" applyNumberFormat="1" borderId="8" applyBorder="1" fontId="4" applyFont="1" fillId="5" applyFill="1" applyAlignment="1">
      <alignment horizontal="center" vertical="top"/>
    </xf>
    <xf xfId="0" numFmtId="3" applyNumberFormat="1" borderId="9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10" applyBorder="1" fontId="4" applyFont="1" fillId="0" applyAlignment="1">
      <alignment horizontal="center"/>
    </xf>
    <xf xfId="0" numFmtId="3" applyNumberFormat="1" borderId="11" applyBorder="1" fontId="4" applyFont="1" fillId="0" applyAlignment="1">
      <alignment horizontal="left"/>
    </xf>
    <xf xfId="0" numFmtId="3" applyNumberFormat="1" borderId="10" applyBorder="1" fontId="3" applyFont="1" fillId="0" applyAlignment="1">
      <alignment horizontal="center"/>
    </xf>
    <xf xfId="0" numFmtId="164" applyNumberFormat="1" borderId="12" applyBorder="1" fontId="4" applyFont="1" fillId="0" applyAlignment="1">
      <alignment horizontal="center"/>
    </xf>
    <xf xfId="0" numFmtId="165" applyNumberFormat="1" borderId="12" applyBorder="1" fontId="4" applyFont="1" fillId="0" applyAlignment="1">
      <alignment horizontal="center"/>
    </xf>
    <xf xfId="0" numFmtId="3" applyNumberFormat="1" borderId="7" applyBorder="1" fontId="3" applyFont="1" fillId="0" applyAlignment="1">
      <alignment horizontal="center"/>
    </xf>
    <xf xfId="0" numFmtId="165" applyNumberFormat="1" borderId="7" applyBorder="1" fontId="4" applyFont="1" fillId="0" applyAlignment="1">
      <alignment horizontal="center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3" applyNumberFormat="1" borderId="7" applyBorder="1" fontId="3" applyFont="1" fillId="5" applyFill="1" applyAlignment="1">
      <alignment horizontal="center"/>
    </xf>
    <xf xfId="0" numFmtId="1" applyNumberFormat="1" borderId="7" applyBorder="1" fontId="3" applyFont="1" fillId="5" applyFill="1" applyAlignment="1">
      <alignment horizontal="center"/>
    </xf>
    <xf xfId="0" numFmtId="0" borderId="7" applyBorder="1" fontId="3" applyFont="1" fillId="5" applyFill="1" applyAlignment="1">
      <alignment horizontal="center"/>
    </xf>
    <xf xfId="0" numFmtId="3" applyNumberFormat="1" borderId="7" applyBorder="1" fontId="3" applyFont="1" fillId="2" applyFill="1" applyAlignment="1">
      <alignment horizontal="center"/>
    </xf>
    <xf xfId="0" numFmtId="1" applyNumberFormat="1" borderId="7" applyBorder="1" fontId="4" applyFont="1" fillId="0" applyAlignment="1">
      <alignment horizontal="center"/>
    </xf>
    <xf xfId="0" numFmtId="0" borderId="7" applyBorder="1" fontId="4" applyFont="1" fillId="0" applyAlignment="1">
      <alignment horizontal="center"/>
    </xf>
    <xf xfId="0" numFmtId="3" applyNumberFormat="1" borderId="7" applyBorder="1" fontId="3" applyFont="1" fillId="3" applyFill="1" applyAlignment="1">
      <alignment horizontal="center"/>
    </xf>
    <xf xfId="0" numFmtId="3" applyNumberFormat="1" borderId="7" applyBorder="1" fontId="3" applyFont="1" fillId="6" applyFill="1" applyAlignment="1">
      <alignment horizontal="center"/>
    </xf>
    <xf xfId="0" numFmtId="0" borderId="7" applyBorder="1" fontId="4" applyFont="1" fillId="5" applyFill="1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165" applyNumberFormat="1" borderId="1" applyBorder="1" fontId="4" applyFont="1" fillId="0" applyAlignment="1">
      <alignment horizontal="center"/>
    </xf>
    <xf xfId="0" numFmtId="3" applyNumberFormat="1" borderId="13" applyBorder="1" fontId="2" applyFont="1" fillId="0" applyAlignment="1">
      <alignment horizontal="center"/>
    </xf>
    <xf xfId="0" numFmtId="3" applyNumberFormat="1" borderId="14" applyBorder="1" fontId="4" applyFont="1" fillId="7" applyFill="1" applyAlignment="1">
      <alignment horizontal="center"/>
    </xf>
    <xf xfId="0" numFmtId="3" applyNumberFormat="1" borderId="15" applyBorder="1" fontId="6" applyFont="1" fillId="8" applyFill="1" applyAlignment="1">
      <alignment horizontal="left"/>
    </xf>
    <xf xfId="0" numFmtId="164" applyNumberFormat="1" borderId="16" applyBorder="1" fontId="4" applyFont="1" fillId="0" applyAlignment="1">
      <alignment horizontal="center"/>
    </xf>
    <xf xfId="0" numFmtId="164" applyNumberFormat="1" borderId="17" applyBorder="1" fontId="4" applyFont="1" fillId="7" applyFill="1" applyAlignment="1">
      <alignment horizontal="center"/>
    </xf>
    <xf xfId="0" numFmtId="3" applyNumberFormat="1" borderId="15" applyBorder="1" fontId="2" applyFont="1" fillId="9" applyFill="1" applyAlignment="1">
      <alignment horizontal="left"/>
    </xf>
    <xf xfId="0" numFmtId="3" applyNumberFormat="1" borderId="15" applyBorder="1" fontId="2" applyFont="1" fillId="7" applyFill="1" applyAlignment="1">
      <alignment horizontal="left"/>
    </xf>
    <xf xfId="0" numFmtId="3" applyNumberFormat="1" borderId="15" applyBorder="1" fontId="2" applyFont="1" fillId="10" applyFill="1" applyAlignment="1">
      <alignment horizontal="left"/>
    </xf>
    <xf xfId="0" numFmtId="165" applyNumberFormat="1" borderId="13" applyBorder="1" fontId="4" applyFont="1" fillId="0" applyAlignment="1">
      <alignment horizontal="center"/>
    </xf>
    <xf xfId="0" numFmtId="164" applyNumberFormat="1" borderId="18" applyBorder="1" fontId="4" applyFont="1" fillId="0" applyAlignment="1">
      <alignment horizontal="center"/>
    </xf>
    <xf xfId="0" numFmtId="164" applyNumberFormat="1" borderId="19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3" applyNumberFormat="1" borderId="20" applyBorder="1" fontId="4" applyFont="1" fillId="0" applyAlignment="1">
      <alignment horizontal="center"/>
    </xf>
    <xf xfId="0" numFmtId="1" applyNumberFormat="1" borderId="20" applyBorder="1" fontId="4" applyFont="1" fillId="0" applyAlignment="1">
      <alignment horizontal="center"/>
    </xf>
    <xf xfId="0" numFmtId="3" applyNumberFormat="1" borderId="20" applyBorder="1" fontId="2" applyFont="1" fillId="11" applyFill="1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7" applyBorder="1" fontId="4" applyFont="1" fillId="4" applyFill="1" applyAlignment="1">
      <alignment horizontal="center"/>
    </xf>
    <xf xfId="0" numFmtId="1" applyNumberFormat="1" borderId="7" applyBorder="1" fontId="4" applyFont="1" fillId="4" applyFill="1" applyAlignment="1">
      <alignment horizontal="center"/>
    </xf>
    <xf xfId="0" numFmtId="0" borderId="7" applyBorder="1" fontId="4" applyFont="1" fillId="3" applyFill="1" applyAlignment="1">
      <alignment horizontal="center"/>
    </xf>
    <xf xfId="0" numFmtId="0" borderId="7" applyBorder="1" fontId="4" applyFont="1" fillId="2" applyFill="1" applyAlignment="1">
      <alignment horizontal="center"/>
    </xf>
    <xf xfId="0" numFmtId="0" borderId="7" applyBorder="1" fontId="4" applyFont="1" fillId="4" applyFill="1" applyAlignment="1">
      <alignment horizontal="center"/>
    </xf>
    <xf xfId="0" numFmtId="0" borderId="7" applyBorder="1" fontId="4" applyFont="1" fillId="5" applyFill="1" applyAlignment="1">
      <alignment horizontal="center"/>
    </xf>
    <xf xfId="0" numFmtId="164" applyNumberFormat="1" borderId="21" applyBorder="1" fontId="4" applyFont="1" fillId="0" applyAlignment="1">
      <alignment horizontal="center"/>
    </xf>
    <xf xfId="0" numFmtId="164" applyNumberFormat="1" borderId="9" applyBorder="1" fontId="4" applyFont="1" fillId="0" applyAlignment="1">
      <alignment horizontal="center"/>
    </xf>
    <xf xfId="0" numFmtId="0" borderId="9" applyBorder="1" fontId="4" applyFont="1" fillId="0" applyAlignment="1">
      <alignment horizontal="left"/>
    </xf>
    <xf xfId="0" numFmtId="0" borderId="11" applyBorder="1" fontId="4" applyFont="1" fillId="0" applyAlignment="1">
      <alignment horizontal="left"/>
    </xf>
    <xf xfId="0" numFmtId="0" borderId="0" fontId="0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0" borderId="14" applyBorder="1" fontId="4" applyFont="1" fillId="7" applyFill="1" applyAlignment="1">
      <alignment horizontal="center"/>
    </xf>
    <xf xfId="0" numFmtId="0" borderId="20" applyBorder="1" fontId="4" applyFont="1" fillId="0" applyAlignment="1">
      <alignment horizontal="center"/>
    </xf>
    <xf xfId="0" numFmtId="0" borderId="0" fontId="0" fillId="0" applyAlignment="1">
      <alignment horizontal="center"/>
    </xf>
    <xf xfId="0" numFmtId="1" applyNumberFormat="1" borderId="7" applyBorder="1" fontId="4" applyFont="1" fillId="3" applyFill="1" applyAlignment="1">
      <alignment horizontal="center"/>
    </xf>
    <xf xfId="0" numFmtId="0" borderId="7" applyBorder="1" fontId="4" applyFont="1" fillId="5" applyFill="1" applyAlignment="1">
      <alignment horizontal="center" wrapText="1"/>
    </xf>
    <xf xfId="0" numFmtId="3" applyNumberFormat="1" borderId="10" applyBorder="1" fontId="4" applyFont="1" fillId="0" applyAlignment="1">
      <alignment horizontal="center"/>
    </xf>
    <xf xfId="0" numFmtId="3" applyNumberFormat="1" borderId="12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22" applyBorder="1" fontId="2" applyFont="1" fillId="0" applyAlignment="1">
      <alignment horizontal="center"/>
    </xf>
    <xf xfId="0" numFmtId="165" applyNumberFormat="1" borderId="23" applyBorder="1" fontId="4" applyFont="1" fillId="0" applyAlignment="1">
      <alignment horizontal="center"/>
    </xf>
    <xf xfId="0" numFmtId="0" borderId="24" applyBorder="1" fontId="3" applyFont="1" fillId="5" applyFill="1" applyAlignment="1">
      <alignment horizontal="left"/>
    </xf>
    <xf xfId="0" numFmtId="4" applyNumberFormat="1" borderId="1" applyBorder="1" fontId="3" applyFont="1" fillId="0" applyAlignment="1">
      <alignment horizontal="center"/>
    </xf>
    <xf xfId="0" numFmtId="3" applyNumberFormat="1" borderId="7" applyBorder="1" fontId="3" applyFont="1" fillId="12" applyFill="1" applyAlignment="1">
      <alignment horizontal="center"/>
    </xf>
    <xf xfId="0" numFmtId="3" applyNumberFormat="1" borderId="25" applyBorder="1" fontId="2" applyFont="1" fillId="0" applyAlignment="1">
      <alignment horizontal="center"/>
    </xf>
    <xf xfId="0" numFmtId="0" borderId="26" applyBorder="1" fontId="4" applyFont="1" fillId="7" applyFill="1" applyAlignment="1">
      <alignment horizontal="center"/>
    </xf>
    <xf xfId="0" numFmtId="3" applyNumberFormat="1" borderId="20" applyBorder="1" fontId="6" applyFont="1" fillId="8" applyFill="1" applyAlignment="1">
      <alignment horizontal="left"/>
    </xf>
    <xf xfId="0" numFmtId="3" applyNumberFormat="1" borderId="20" applyBorder="1" fontId="2" applyFont="1" fillId="9" applyFill="1" applyAlignment="1">
      <alignment horizontal="left"/>
    </xf>
    <xf xfId="0" numFmtId="3" applyNumberFormat="1" borderId="20" applyBorder="1" fontId="2" applyFont="1" fillId="7" applyFill="1" applyAlignment="1">
      <alignment horizontal="left"/>
    </xf>
    <xf xfId="0" numFmtId="3" applyNumberFormat="1" borderId="20" applyBorder="1" fontId="2" applyFont="1" fillId="10" applyFill="1" applyAlignment="1">
      <alignment horizontal="left"/>
    </xf>
    <xf xfId="0" numFmtId="165" applyNumberFormat="1" borderId="20" applyBorder="1" fontId="4" applyFont="1" fillId="0" applyAlignment="1">
      <alignment horizontal="center"/>
    </xf>
    <xf xfId="0" numFmtId="164" applyNumberFormat="1" borderId="27" applyBorder="1" fontId="4" applyFont="1" fillId="0" applyAlignment="1">
      <alignment horizontal="center"/>
    </xf>
    <xf xfId="0" numFmtId="3" applyNumberFormat="1" borderId="21" applyBorder="1" fontId="4" applyFont="1" fillId="0" applyAlignment="1">
      <alignment horizontal="center"/>
    </xf>
    <xf xfId="0" numFmtId="0" borderId="7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/>
    </xf>
    <xf xfId="0" numFmtId="3" applyNumberFormat="1" borderId="28" applyBorder="1" fontId="1" applyFont="1" fillId="0" applyAlignment="1">
      <alignment horizontal="left"/>
    </xf>
    <xf xfId="0" numFmtId="164" applyNumberFormat="1" borderId="29" applyBorder="1" fontId="4" applyFont="1" fillId="0" applyAlignment="1">
      <alignment horizontal="center"/>
    </xf>
    <xf xfId="0" numFmtId="164" applyNumberFormat="1" borderId="7" applyBorder="1" fontId="4" applyFont="1" fillId="3" applyFill="1" applyAlignment="1">
      <alignment horizontal="center"/>
    </xf>
    <xf xfId="0" numFmtId="164" applyNumberFormat="1" borderId="7" applyBorder="1" fontId="4" applyFont="1" fillId="4" applyFill="1" applyAlignment="1">
      <alignment horizontal="center"/>
    </xf>
    <xf xfId="0" numFmtId="164" applyNumberFormat="1" borderId="7" applyBorder="1" fontId="4" applyFont="1" fillId="2" applyFill="1" applyAlignment="1">
      <alignment horizontal="center"/>
    </xf>
    <xf xfId="0" numFmtId="164" applyNumberFormat="1" borderId="7" applyBorder="1" fontId="4" applyFont="1" fillId="5" applyFill="1" quotePrefix="1" applyAlignment="1">
      <alignment horizontal="center" wrapText="1"/>
    </xf>
    <xf xfId="0" numFmtId="4" applyNumberFormat="1" borderId="7" applyBorder="1" fontId="4" applyFont="1" fillId="5" applyFill="1" applyAlignment="1">
      <alignment horizontal="center" wrapText="1"/>
    </xf>
    <xf xfId="0" numFmtId="1" applyNumberFormat="1" borderId="9" applyBorder="1" fontId="4" applyFont="1" fillId="0" applyAlignment="1">
      <alignment horizontal="left"/>
    </xf>
    <xf xfId="0" numFmtId="1" applyNumberFormat="1" borderId="11" applyBorder="1" fontId="4" applyFont="1" fillId="0" applyAlignment="1">
      <alignment horizontal="left"/>
    </xf>
    <xf xfId="0" numFmtId="164" applyNumberFormat="1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24" applyBorder="1" fontId="3" applyFont="1" fillId="5" applyFill="1" applyAlignment="1">
      <alignment horizontal="left"/>
    </xf>
    <xf xfId="0" numFmtId="164" applyNumberFormat="1" borderId="7" applyBorder="1" fontId="3" applyFont="1" fillId="5" applyFill="1" applyAlignment="1">
      <alignment horizontal="center"/>
    </xf>
    <xf xfId="0" numFmtId="164" applyNumberFormat="1" borderId="7" applyBorder="1" fontId="4" applyFont="1" fillId="5" applyFill="1" applyAlignment="1">
      <alignment horizontal="center"/>
    </xf>
    <xf xfId="0" numFmtId="1" applyNumberFormat="1" borderId="26" applyBorder="1" fontId="4" applyFont="1" fillId="7" applyFill="1" applyAlignment="1">
      <alignment horizontal="center"/>
    </xf>
    <xf xfId="0" numFmtId="164" applyNumberFormat="1" borderId="20" applyBorder="1" fontId="4" applyFont="1" fillId="0" applyAlignment="1">
      <alignment horizontal="center"/>
    </xf>
    <xf xfId="0" numFmtId="164" applyNumberFormat="1" borderId="30" applyBorder="1" fontId="4" applyFont="1" fillId="0" applyAlignment="1">
      <alignment horizontal="center"/>
    </xf>
    <xf xfId="0" numFmtId="3" applyNumberFormat="1" borderId="15" applyBorder="1" fontId="2" applyFont="1" fillId="11" applyFill="1" applyAlignment="1">
      <alignment horizontal="left"/>
    </xf>
    <xf xfId="0" numFmtId="164" applyNumberFormat="1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3" applyBorder="1" fontId="7" applyFont="1" fillId="11" applyFill="1" applyAlignment="1">
      <alignment horizontal="left"/>
    </xf>
    <xf xfId="0" numFmtId="0" borderId="20" applyBorder="1" fontId="8" applyFont="1" fillId="11" applyFill="1" applyAlignment="1">
      <alignment horizontal="center"/>
    </xf>
    <xf xfId="0" numFmtId="0" borderId="31" applyBorder="1" fontId="4" applyFont="1" fillId="0" applyAlignment="1">
      <alignment horizontal="left"/>
    </xf>
    <xf xfId="0" numFmtId="0" borderId="32" applyBorder="1" fontId="4" applyFont="1" fillId="0" applyAlignment="1">
      <alignment horizontal="left"/>
    </xf>
    <xf xfId="0" numFmtId="0" borderId="3" applyBorder="1" fontId="4" applyFont="1" fillId="11" applyFill="1" applyAlignment="1">
      <alignment horizontal="left" wrapText="1"/>
    </xf>
    <xf xfId="0" numFmtId="0" borderId="3" applyBorder="1" fontId="4" applyFont="1" fillId="11" applyFill="1" applyAlignment="1">
      <alignment horizontal="left"/>
    </xf>
    <xf xfId="0" numFmtId="0" borderId="2" applyBorder="1" fontId="2" applyFont="1" fillId="13" applyFill="1" applyAlignment="1">
      <alignment horizontal="center" wrapText="1"/>
    </xf>
    <xf xfId="0" numFmtId="0" borderId="2" applyBorder="1" fontId="7" applyFont="1" fillId="14" applyFill="1" applyAlignment="1">
      <alignment horizontal="left"/>
    </xf>
    <xf xfId="0" numFmtId="0" borderId="3" applyBorder="1" fontId="7" applyFont="1" fillId="11" applyFill="1" applyAlignment="1">
      <alignment horizontal="center"/>
    </xf>
    <xf xfId="0" numFmtId="0" borderId="33" applyBorder="1" fontId="9" applyFont="1" fillId="15" applyFill="1" applyAlignment="1">
      <alignment horizontal="center" wrapText="1"/>
    </xf>
    <xf xfId="0" numFmtId="0" borderId="34" applyBorder="1" fontId="4" applyFont="1" fillId="0" applyAlignment="1">
      <alignment horizontal="left"/>
    </xf>
    <xf xfId="0" numFmtId="165" applyNumberFormat="1" borderId="3" applyBorder="1" fontId="2" applyFont="1" fillId="11" applyFill="1" applyAlignment="1">
      <alignment horizontal="right"/>
    </xf>
    <xf xfId="0" numFmtId="0" borderId="3" applyBorder="1" fontId="2" applyFont="1" fillId="11" applyFill="1" applyAlignment="1">
      <alignment horizontal="center" wrapText="1"/>
    </xf>
    <xf xfId="0" numFmtId="0" borderId="2" applyBorder="1" fontId="10" applyFont="1" fillId="11" applyFill="1" applyAlignment="1">
      <alignment horizontal="left"/>
    </xf>
    <xf xfId="0" numFmtId="0" borderId="3" applyBorder="1" fontId="10" applyFont="1" fillId="11" applyFill="1" applyAlignment="1">
      <alignment horizontal="left"/>
    </xf>
    <xf xfId="0" numFmtId="0" borderId="33" applyBorder="1" fontId="11" applyFont="1" fillId="0" applyAlignment="1">
      <alignment horizontal="left"/>
    </xf>
    <xf xfId="0" numFmtId="0" borderId="35" applyBorder="1" fontId="11" applyFont="1" fillId="0" applyAlignment="1">
      <alignment horizontal="center"/>
    </xf>
    <xf xfId="0" numFmtId="0" borderId="36" applyBorder="1" fontId="11" applyFont="1" fillId="0" applyAlignment="1">
      <alignment horizontal="center"/>
    </xf>
    <xf xfId="0" numFmtId="0" borderId="37" applyBorder="1" fontId="11" applyFont="1" fillId="7" applyFill="1" applyAlignment="1">
      <alignment horizontal="center"/>
    </xf>
    <xf xfId="0" numFmtId="0" borderId="3" applyBorder="1" fontId="2" applyFont="1" fillId="11" applyFill="1" applyAlignment="1">
      <alignment horizontal="left"/>
    </xf>
    <xf xfId="0" numFmtId="0" borderId="2" applyBorder="1" fontId="10" applyFont="1" fillId="0" applyAlignment="1">
      <alignment horizontal="left"/>
    </xf>
    <xf xfId="0" numFmtId="0" borderId="10" applyBorder="1" fontId="11" applyFont="1" fillId="0" applyAlignment="1">
      <alignment horizontal="left"/>
    </xf>
    <xf xfId="0" numFmtId="0" borderId="38" applyBorder="1" fontId="11" applyFont="1" fillId="16" applyFill="1" applyAlignment="1">
      <alignment horizontal="center"/>
    </xf>
    <xf xfId="0" numFmtId="4" applyNumberFormat="1" borderId="38" applyBorder="1" fontId="11" applyFont="1" fillId="7" applyFill="1" applyAlignment="1">
      <alignment horizontal="center"/>
    </xf>
    <xf xfId="0" numFmtId="164" applyNumberFormat="1" borderId="3" applyBorder="1" fontId="2" applyFont="1" fillId="11" applyFill="1" applyAlignment="1">
      <alignment horizontal="right"/>
    </xf>
    <xf xfId="0" numFmtId="0" borderId="7" applyBorder="1" fontId="11" applyFont="1" fillId="0" applyAlignment="1">
      <alignment horizontal="left"/>
    </xf>
    <xf xfId="0" numFmtId="0" borderId="7" applyBorder="1" fontId="11" applyFont="1" fillId="17" applyFill="1" applyAlignment="1">
      <alignment horizontal="center"/>
    </xf>
    <xf xfId="0" numFmtId="0" borderId="7" applyBorder="1" fontId="11" applyFont="1" fillId="0" applyAlignment="1">
      <alignment horizontal="center"/>
    </xf>
    <xf xfId="0" numFmtId="165" applyNumberFormat="1" borderId="3" applyBorder="1" fontId="2" applyFont="1" fillId="11" applyFill="1" applyAlignment="1">
      <alignment horizontal="center"/>
    </xf>
    <xf xfId="0" numFmtId="166" applyNumberFormat="1" borderId="3" applyBorder="1" fontId="2" applyFont="1" fillId="11" applyFill="1" applyAlignment="1">
      <alignment horizontal="right"/>
    </xf>
    <xf xfId="0" numFmtId="0" borderId="21" applyBorder="1" fontId="11" applyFont="1" fillId="0" applyAlignment="1">
      <alignment horizontal="left"/>
    </xf>
    <xf xfId="0" numFmtId="0" borderId="21" applyBorder="1" fontId="11" applyFont="1" fillId="0" applyAlignment="1">
      <alignment horizontal="center"/>
    </xf>
    <xf xfId="0" numFmtId="0" borderId="13" applyBorder="1" fontId="11" applyFont="1" fillId="0" applyAlignment="1">
      <alignment horizontal="center"/>
    </xf>
    <xf xfId="0" numFmtId="0" borderId="38" applyBorder="1" fontId="11" applyFont="1" fillId="11" applyFill="1" applyAlignment="1">
      <alignment horizontal="left"/>
    </xf>
    <xf xfId="0" numFmtId="164" applyNumberFormat="1" borderId="10" applyBorder="1" fontId="11" applyFont="1" fillId="0" applyAlignment="1">
      <alignment horizontal="right"/>
    </xf>
    <xf xfId="0" numFmtId="164" applyNumberFormat="1" borderId="38" applyBorder="1" fontId="11" applyFont="1" fillId="7" applyFill="1" applyAlignment="1">
      <alignment horizontal="right"/>
    </xf>
    <xf xfId="0" numFmtId="0" borderId="7" applyBorder="1" fontId="11" applyFont="1" fillId="11" applyFill="1" applyAlignment="1">
      <alignment horizontal="left"/>
    </xf>
    <xf xfId="0" numFmtId="164" applyNumberFormat="1" borderId="7" applyBorder="1" fontId="11" applyFont="1" fillId="0" applyAlignment="1">
      <alignment horizontal="right"/>
    </xf>
    <xf xfId="0" numFmtId="164" applyNumberFormat="1" borderId="7" applyBorder="1" fontId="11" applyFont="1" fillId="7" applyFill="1" applyAlignment="1">
      <alignment horizontal="right"/>
    </xf>
    <xf xfId="0" numFmtId="165" applyNumberFormat="1" borderId="7" applyBorder="1" fontId="11" applyFont="1" fillId="0" applyAlignment="1">
      <alignment horizontal="right"/>
    </xf>
    <xf xfId="0" numFmtId="4" applyNumberFormat="1" borderId="7" applyBorder="1" fontId="11" applyFont="1" fillId="0" applyAlignment="1">
      <alignment horizontal="right"/>
    </xf>
    <xf xfId="0" numFmtId="165" applyNumberFormat="1" borderId="7" applyBorder="1" fontId="11" applyFont="1" fillId="7" applyFill="1" applyAlignment="1">
      <alignment horizontal="right"/>
    </xf>
    <xf xfId="0" numFmtId="0" borderId="33" applyBorder="1" fontId="11" applyFont="1" fillId="0" applyAlignment="1">
      <alignment horizontal="center"/>
    </xf>
    <xf xfId="0" numFmtId="166" applyNumberFormat="1" borderId="10" applyBorder="1" fontId="11" applyFont="1" fillId="0" applyAlignment="1">
      <alignment horizontal="right"/>
    </xf>
    <xf xfId="0" numFmtId="166" applyNumberFormat="1" borderId="38" applyBorder="1" fontId="11" applyFont="1" fillId="7" applyFill="1" applyAlignment="1">
      <alignment horizontal="right"/>
    </xf>
    <xf xfId="0" numFmtId="0" borderId="3" applyBorder="1" fontId="11" applyFont="1" fillId="11" applyFill="1" applyAlignment="1">
      <alignment horizontal="left"/>
    </xf>
    <xf xfId="0" numFmtId="166" applyNumberFormat="1" borderId="7" applyBorder="1" fontId="11" applyFont="1" fillId="0" applyAlignment="1">
      <alignment horizontal="right"/>
    </xf>
    <xf xfId="0" numFmtId="166" applyNumberFormat="1" borderId="3" applyBorder="1" fontId="3" applyFont="1" fillId="11" applyFill="1" applyAlignment="1">
      <alignment horizontal="right"/>
    </xf>
    <xf xfId="0" numFmtId="0" borderId="33" applyBorder="1" fontId="12" applyFont="1" fillId="11" applyFill="1" applyAlignment="1">
      <alignment horizontal="center"/>
    </xf>
    <xf xfId="0" numFmtId="0" borderId="35" applyBorder="1" fontId="12" applyFont="1" fillId="0" applyAlignment="1">
      <alignment horizontal="center"/>
    </xf>
    <xf xfId="0" numFmtId="0" borderId="37" applyBorder="1" fontId="12" applyFont="1" fillId="0" applyAlignment="1">
      <alignment horizontal="center"/>
    </xf>
    <xf xfId="0" numFmtId="0" borderId="38" applyBorder="1" fontId="13" applyFont="1" fillId="18" applyFill="1" applyAlignment="1">
      <alignment horizontal="center"/>
    </xf>
    <xf xfId="0" numFmtId="0" borderId="38" applyBorder="1" fontId="13" applyFont="1" fillId="18" applyFill="1" applyAlignment="1">
      <alignment horizontal="center"/>
    </xf>
    <xf xfId="0" numFmtId="0" borderId="10" applyBorder="1" fontId="11" applyFont="1" fillId="0" applyAlignment="1">
      <alignment horizontal="left"/>
    </xf>
    <xf xfId="0" numFmtId="0" borderId="38" applyBorder="1" fontId="11" applyFont="1" fillId="4" applyFill="1" applyAlignment="1">
      <alignment horizontal="left"/>
    </xf>
    <xf xfId="0" numFmtId="0" borderId="38" applyBorder="1" fontId="11" applyFont="1" fillId="7" applyFill="1" applyAlignment="1">
      <alignment horizontal="center"/>
    </xf>
    <xf xfId="0" numFmtId="0" borderId="7" applyBorder="1" fontId="13" applyFont="1" fillId="18" applyFill="1" applyAlignment="1">
      <alignment horizontal="center"/>
    </xf>
    <xf xfId="0" numFmtId="0" borderId="7" applyBorder="1" fontId="13" applyFont="1" fillId="18" applyFill="1" applyAlignment="1">
      <alignment horizontal="center"/>
    </xf>
    <xf xfId="0" numFmtId="0" borderId="7" applyBorder="1" fontId="11" applyFont="1" fillId="0" applyAlignment="1">
      <alignment horizontal="left"/>
    </xf>
    <xf xfId="0" numFmtId="0" borderId="7" applyBorder="1" fontId="11" applyFont="1" fillId="4" applyFill="1" applyAlignment="1">
      <alignment horizontal="left"/>
    </xf>
    <xf xfId="0" numFmtId="0" borderId="21" applyBorder="1" fontId="11" applyFont="1" fillId="0" applyAlignment="1">
      <alignment horizontal="left"/>
    </xf>
    <xf xfId="0" numFmtId="0" borderId="39" applyBorder="1" fontId="11" applyFont="1" fillId="4" applyFill="1" applyAlignment="1">
      <alignment horizontal="left"/>
    </xf>
    <xf xfId="0" numFmtId="0" borderId="39" applyBorder="1" fontId="11" applyFont="1" fillId="17" applyFill="1" applyAlignment="1">
      <alignment horizontal="left"/>
    </xf>
    <xf xfId="0" numFmtId="0" borderId="40" applyBorder="1" fontId="13" applyFont="1" fillId="18" applyFill="1" applyAlignment="1">
      <alignment horizontal="center"/>
    </xf>
    <xf xfId="0" numFmtId="0" borderId="39" applyBorder="1" fontId="11" applyFont="1" fillId="19" applyFill="1" applyAlignment="1">
      <alignment horizontal="left"/>
    </xf>
    <xf xfId="0" numFmtId="0" borderId="7" applyBorder="1" fontId="11" applyFont="1" fillId="17" applyFill="1" applyAlignment="1">
      <alignment horizontal="left"/>
    </xf>
    <xf xfId="0" numFmtId="0" borderId="9" applyBorder="1" fontId="11" applyFont="1" fillId="0" applyAlignment="1">
      <alignment horizontal="left"/>
    </xf>
    <xf xfId="0" numFmtId="0" borderId="41" applyBorder="1" fontId="13" applyFont="1" fillId="18" applyFill="1" applyAlignment="1">
      <alignment horizontal="center"/>
    </xf>
    <xf xfId="0" numFmtId="0" borderId="24" applyBorder="1" fontId="13" applyFont="1" fillId="18" applyFill="1" applyAlignment="1">
      <alignment horizontal="center"/>
    </xf>
    <xf xfId="0" numFmtId="0" borderId="42" applyBorder="1" fontId="13" applyFont="1" fillId="18" applyFill="1" applyAlignment="1">
      <alignment horizontal="center"/>
    </xf>
    <xf xfId="0" numFmtId="0" borderId="38" applyBorder="1" fontId="11" applyFont="1" fillId="20" applyFill="1" applyAlignment="1">
      <alignment horizontal="left"/>
    </xf>
    <xf xfId="0" numFmtId="0" borderId="7" applyBorder="1" fontId="11" applyFont="1" fillId="20" applyFill="1" applyAlignment="1">
      <alignment horizontal="left"/>
    </xf>
    <xf xfId="0" numFmtId="0" borderId="7" applyBorder="1" fontId="14" applyFont="1" fillId="11" applyFill="1" applyAlignment="1">
      <alignment horizontal="center"/>
    </xf>
    <xf xfId="0" numFmtId="0" borderId="7" applyBorder="1" fontId="12" applyFont="1" fillId="17" applyFill="1" applyAlignment="1">
      <alignment horizontal="center"/>
    </xf>
    <xf xfId="0" numFmtId="0" borderId="7" applyBorder="1" fontId="14" applyFont="1" fillId="7" applyFill="1" applyAlignment="1">
      <alignment horizontal="center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82"/>
  <sheetViews>
    <sheetView workbookViewId="0"/>
  </sheetViews>
  <sheetFormatPr defaultRowHeight="15" x14ac:dyDescent="0.25"/>
  <cols>
    <col min="1" max="1" style="202" width="17.576428571428572" customWidth="1" bestFit="1"/>
    <col min="2" max="2" style="15" width="5.862142857142857" customWidth="1" bestFit="1"/>
    <col min="3" max="3" style="15" width="5.862142857142857" customWidth="1" bestFit="1"/>
    <col min="4" max="4" style="15" width="9.147857142857141" customWidth="1" bestFit="1"/>
    <col min="5" max="5" style="15" width="45.43357142857143" customWidth="1" bestFit="1"/>
    <col min="6" max="6" style="15" width="8.290714285714287" customWidth="1" bestFit="1"/>
    <col min="7" max="7" style="15" width="8.290714285714287" customWidth="1" bestFit="1"/>
    <col min="8" max="8" style="15" width="8.290714285714287" customWidth="1" bestFit="1"/>
    <col min="9" max="9" style="15" width="8.290714285714287" customWidth="1" bestFit="1"/>
    <col min="10" max="10" style="15" width="8.290714285714287" customWidth="1" bestFit="1"/>
    <col min="11" max="11" style="15" width="8.290714285714287" customWidth="1" bestFit="1"/>
    <col min="12" max="12" style="15" width="9.005" customWidth="1" bestFit="1"/>
    <col min="13" max="13" style="15" width="9.147857142857141" customWidth="1" bestFit="1"/>
    <col min="14" max="14" style="15" width="13.005" customWidth="1" bestFit="1"/>
    <col min="15" max="15" style="15" width="9.147857142857141" customWidth="1" bestFit="1"/>
    <col min="16" max="16" style="15" width="9.147857142857141" customWidth="1" bestFit="1"/>
    <col min="17" max="17" style="15" width="9.147857142857141" customWidth="1" bestFit="1"/>
    <col min="18" max="18" style="15" width="9.147857142857141" customWidth="1" bestFit="1"/>
    <col min="19" max="19" style="15" width="9.147857142857141" customWidth="1" bestFit="1"/>
    <col min="20" max="20" style="15" width="9.147857142857141" customWidth="1" bestFit="1"/>
    <col min="21" max="21" style="15" width="10.576428571428572" customWidth="1" bestFit="1"/>
  </cols>
  <sheetData>
    <row x14ac:dyDescent="0.25" r="1" customHeight="1" ht="24">
      <c r="A1" s="126"/>
      <c r="B1" s="3"/>
      <c r="C1" s="3"/>
      <c r="D1" s="127"/>
      <c r="E1" s="128" t="s">
        <v>118</v>
      </c>
      <c r="F1" s="129"/>
      <c r="G1" s="129"/>
      <c r="H1" s="129"/>
      <c r="I1" s="129"/>
      <c r="J1" s="129"/>
      <c r="K1" s="129"/>
      <c r="L1" s="129"/>
      <c r="M1" s="129"/>
      <c r="N1" s="130"/>
      <c r="O1" s="3"/>
      <c r="P1" s="3"/>
      <c r="Q1" s="3"/>
      <c r="R1" s="3"/>
      <c r="S1" s="3"/>
      <c r="T1" s="3"/>
      <c r="U1" s="3"/>
    </row>
    <row x14ac:dyDescent="0.25" r="2" customHeight="1" ht="19.5">
      <c r="A2" s="131"/>
      <c r="B2" s="132"/>
      <c r="C2" s="13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x14ac:dyDescent="0.25" r="3" customHeight="1" ht="20.25">
      <c r="A3" s="133" t="s">
        <v>119</v>
      </c>
      <c r="B3" s="134" t="s">
        <v>120</v>
      </c>
      <c r="C3" s="135"/>
      <c r="D3" s="3"/>
      <c r="E3" s="136" t="s">
        <v>121</v>
      </c>
      <c r="F3" s="129"/>
      <c r="G3" s="129"/>
      <c r="H3" s="129"/>
      <c r="I3" s="129"/>
      <c r="J3" s="129"/>
      <c r="K3" s="129"/>
      <c r="L3" s="137"/>
      <c r="M3" s="3"/>
      <c r="N3" s="138"/>
      <c r="O3" s="139"/>
      <c r="P3" s="3"/>
      <c r="Q3" s="3"/>
      <c r="R3" s="3"/>
      <c r="S3" s="3"/>
      <c r="T3" s="3"/>
      <c r="U3" s="3"/>
    </row>
    <row x14ac:dyDescent="0.25" r="4" customHeight="1" ht="17.25">
      <c r="A4" s="5" t="s">
        <v>110</v>
      </c>
      <c r="B4" s="140" t="s">
        <v>122</v>
      </c>
      <c r="C4" s="141"/>
      <c r="D4" s="3"/>
      <c r="E4" s="142"/>
      <c r="F4" s="143" t="s">
        <v>122</v>
      </c>
      <c r="G4" s="143" t="s">
        <v>123</v>
      </c>
      <c r="H4" s="143" t="s">
        <v>124</v>
      </c>
      <c r="I4" s="143" t="s">
        <v>125</v>
      </c>
      <c r="J4" s="143" t="s">
        <v>125</v>
      </c>
      <c r="K4" s="144" t="s">
        <v>126</v>
      </c>
      <c r="L4" s="145" t="s">
        <v>49</v>
      </c>
      <c r="M4" s="3"/>
      <c r="N4" s="138"/>
      <c r="O4" s="146"/>
      <c r="P4" s="146"/>
      <c r="Q4" s="146"/>
      <c r="R4" s="146"/>
      <c r="S4" s="146"/>
      <c r="T4" s="146"/>
      <c r="U4" s="146"/>
    </row>
    <row x14ac:dyDescent="0.25" r="5" customHeight="1" ht="17.25">
      <c r="A5" s="5" t="s">
        <v>107</v>
      </c>
      <c r="B5" s="147" t="s">
        <v>122</v>
      </c>
      <c r="C5" s="141"/>
      <c r="D5" s="3"/>
      <c r="E5" s="148" t="s">
        <v>127</v>
      </c>
      <c r="F5" s="149">
        <f>COUNTIF(F29:F77, "&gt;0")</f>
      </c>
      <c r="G5" s="149">
        <f>COUNTIF(G29:G77, "&gt;0")</f>
      </c>
      <c r="H5" s="149">
        <f>COUNTIF(H29:H77, "&gt;0")</f>
      </c>
      <c r="I5" s="149">
        <f>COUNTIF(I29:I77, "&gt;0")</f>
      </c>
      <c r="J5" s="149">
        <f>COUNTIF(J29:J77, "&gt;0")</f>
      </c>
      <c r="K5" s="149">
        <f>COUNTIF(K29:K77, "&gt;0")</f>
      </c>
      <c r="L5" s="150">
        <f>AVERAGE(F5:J5)</f>
      </c>
      <c r="M5" s="3"/>
      <c r="N5" s="146"/>
      <c r="O5" s="151"/>
      <c r="P5" s="151"/>
      <c r="Q5" s="151"/>
      <c r="R5" s="151"/>
      <c r="S5" s="151"/>
      <c r="T5" s="151"/>
      <c r="U5" s="146"/>
    </row>
    <row x14ac:dyDescent="0.25" r="6" customHeight="1" ht="17.25">
      <c r="A6" s="5" t="s">
        <v>112</v>
      </c>
      <c r="B6" s="147" t="s">
        <v>122</v>
      </c>
      <c r="C6" s="141"/>
      <c r="D6" s="3"/>
      <c r="E6" s="152" t="s">
        <v>128</v>
      </c>
      <c r="F6" s="153">
        <f>COUNTIF(B:B, "6a")</f>
      </c>
      <c r="G6" s="153">
        <f>COUNTIF(B:B, "6b")</f>
      </c>
      <c r="H6" s="153">
        <f>COUNTIF(B:B, "6c")</f>
      </c>
      <c r="I6" s="153">
        <f>COUNTIF(B:B, "6d")</f>
      </c>
      <c r="J6" s="153">
        <f>COUNTIF(B:B, "6e")</f>
      </c>
      <c r="K6" s="153">
        <f>COUNTIF(B:B, "6f")</f>
      </c>
      <c r="L6" s="150">
        <f>AVERAGE(F6:J6)</f>
      </c>
      <c r="M6" s="3"/>
      <c r="N6" s="146"/>
      <c r="O6" s="139"/>
      <c r="P6" s="3"/>
      <c r="Q6" s="3"/>
      <c r="R6" s="3"/>
      <c r="S6" s="3"/>
      <c r="T6" s="3"/>
      <c r="U6" s="3"/>
    </row>
    <row x14ac:dyDescent="0.25" r="7" customHeight="1" ht="17.25">
      <c r="A7" s="5" t="s">
        <v>109</v>
      </c>
      <c r="B7" s="147" t="s">
        <v>122</v>
      </c>
      <c r="C7" s="141"/>
      <c r="D7" s="3"/>
      <c r="E7" s="152" t="s">
        <v>129</v>
      </c>
      <c r="F7" s="154">
        <f>COUNTIF('Indicator Map'!$B$11:$M$11, "*a*")</f>
      </c>
      <c r="G7" s="154">
        <f>COUNTIF('Indicator Map'!$B$11:$M$11, "*b*")</f>
      </c>
      <c r="H7" s="154">
        <f>COUNTIF('Indicator Map'!$B$11:$M$11, "*c*")</f>
      </c>
      <c r="I7" s="154">
        <f>COUNTIF('Indicator Map'!$B$11:$M$11, "*d*")</f>
      </c>
      <c r="J7" s="154">
        <f>COUNTIF('Indicator Map'!$B$11:$M$11, "*e*")</f>
      </c>
      <c r="K7" s="154">
        <f>COUNTIF('Indicator Map'!$B$11:$M$11, "*f*")</f>
      </c>
      <c r="L7" s="150">
        <f>AVERAGE(F7:J7)</f>
      </c>
      <c r="M7" s="3"/>
      <c r="N7" s="155"/>
      <c r="O7" s="146"/>
      <c r="P7" s="146"/>
      <c r="Q7" s="146"/>
      <c r="R7" s="146"/>
      <c r="S7" s="146"/>
      <c r="T7" s="146"/>
      <c r="U7" s="146"/>
    </row>
    <row x14ac:dyDescent="0.25" r="8" customHeight="1" ht="17.25">
      <c r="A8" s="5" t="s">
        <v>111</v>
      </c>
      <c r="B8" s="140" t="s">
        <v>122</v>
      </c>
      <c r="C8" s="141"/>
      <c r="D8" s="3"/>
      <c r="E8" s="152" t="s">
        <v>130</v>
      </c>
      <c r="F8" s="154">
        <f>COUNTIF('Indicator Map'!$B$14:$K$14, "*a*")</f>
      </c>
      <c r="G8" s="154">
        <f>COUNTIF('Indicator Map'!$B$14:$K$14, "*b*")</f>
      </c>
      <c r="H8" s="154">
        <f>COUNTIF('Indicator Map'!$B$14:$K$14, "*c*")</f>
      </c>
      <c r="I8" s="154">
        <f>COUNTIF('Indicator Map'!$B$14:$K$14, "*d*")</f>
      </c>
      <c r="J8" s="154">
        <f>COUNTIF('Indicator Map'!$B$14:$K$14, "*e*")</f>
      </c>
      <c r="K8" s="154">
        <f>COUNTIF('Indicator Map'!$B$14:$K$14, "*f*")</f>
      </c>
      <c r="L8" s="150">
        <f>AVERAGE(F8:J8)</f>
      </c>
      <c r="M8" s="3"/>
      <c r="N8" s="146"/>
      <c r="O8" s="156"/>
      <c r="P8" s="156"/>
      <c r="Q8" s="156"/>
      <c r="R8" s="156"/>
      <c r="S8" s="156"/>
      <c r="T8" s="156"/>
      <c r="U8" s="156"/>
    </row>
    <row x14ac:dyDescent="0.25" r="9" customHeight="1" ht="17.25">
      <c r="A9" s="5" t="s">
        <v>108</v>
      </c>
      <c r="B9" s="140" t="s">
        <v>122</v>
      </c>
      <c r="C9" s="141"/>
      <c r="D9" s="3"/>
      <c r="E9" s="157" t="s">
        <v>131</v>
      </c>
      <c r="F9" s="158">
        <f>COUNTIF('Indicator Map'!$B$17:$K$17, "*a*")</f>
      </c>
      <c r="G9" s="158">
        <f>COUNTIF('Indicator Map'!$B$17:$K$17, "*b*")</f>
      </c>
      <c r="H9" s="158">
        <f>COUNTIF('Indicator Map'!$B$17:$K$17, "*c*")</f>
      </c>
      <c r="I9" s="158">
        <f>COUNTIF('Indicator Map'!$B$17:$K$17, "*d*")</f>
      </c>
      <c r="J9" s="158">
        <f>COUNTIF('Indicator Map'!$B$17:$K$17, "*e*")</f>
      </c>
      <c r="K9" s="158">
        <f>COUNTIF('Indicator Map'!$B$17:$K$17, "*f*")</f>
      </c>
      <c r="L9" s="150">
        <f>AVERAGE(F9:J9)</f>
      </c>
      <c r="M9" s="3"/>
      <c r="N9" s="146"/>
      <c r="O9" s="156"/>
      <c r="P9" s="156"/>
      <c r="Q9" s="156"/>
      <c r="R9" s="156"/>
      <c r="S9" s="156"/>
      <c r="T9" s="156"/>
      <c r="U9" s="156"/>
    </row>
    <row x14ac:dyDescent="0.25" r="10" customHeight="1" ht="17.25">
      <c r="A10" s="5" t="s">
        <v>113</v>
      </c>
      <c r="B10" s="140" t="s">
        <v>122</v>
      </c>
      <c r="C10" s="141"/>
      <c r="D10" s="3"/>
      <c r="E10" s="159" t="s">
        <v>64</v>
      </c>
      <c r="F10" s="143" t="s">
        <v>122</v>
      </c>
      <c r="G10" s="143" t="s">
        <v>123</v>
      </c>
      <c r="H10" s="143" t="s">
        <v>124</v>
      </c>
      <c r="I10" s="143" t="s">
        <v>125</v>
      </c>
      <c r="J10" s="143" t="s">
        <v>125</v>
      </c>
      <c r="K10" s="144" t="s">
        <v>126</v>
      </c>
      <c r="L10" s="145" t="s">
        <v>49</v>
      </c>
      <c r="M10" s="3"/>
      <c r="N10" s="146"/>
      <c r="O10" s="156"/>
      <c r="P10" s="156"/>
      <c r="Q10" s="156"/>
      <c r="R10" s="156"/>
      <c r="S10" s="156"/>
      <c r="T10" s="156"/>
      <c r="U10" s="156"/>
    </row>
    <row x14ac:dyDescent="0.25" r="11" customHeight="1" ht="17.25">
      <c r="A11" s="5" t="s">
        <v>114</v>
      </c>
      <c r="B11" s="147" t="s">
        <v>122</v>
      </c>
      <c r="C11" s="141"/>
      <c r="D11" s="3"/>
      <c r="E11" s="160" t="s">
        <v>65</v>
      </c>
      <c r="F11" s="161">
        <f>'6a'!L55</f>
      </c>
      <c r="G11" s="161">
        <f>'6b'!I55</f>
      </c>
      <c r="H11" s="161">
        <f>'6c'!L55</f>
      </c>
      <c r="I11" s="161">
        <f>'6d'!E55</f>
      </c>
      <c r="J11" s="161">
        <f>'6e'!N55</f>
      </c>
      <c r="K11" s="161">
        <f>'6f'!E55</f>
      </c>
      <c r="L11" s="162">
        <f>AVERAGE(F11:J11)</f>
      </c>
      <c r="M11" s="3"/>
      <c r="N11" s="146"/>
      <c r="O11" s="156"/>
      <c r="P11" s="156"/>
      <c r="Q11" s="156"/>
      <c r="R11" s="156"/>
      <c r="S11" s="156"/>
      <c r="T11" s="156"/>
      <c r="U11" s="156"/>
    </row>
    <row x14ac:dyDescent="0.25" r="12" customHeight="1" ht="17.25">
      <c r="A12" s="5" t="s">
        <v>115</v>
      </c>
      <c r="B12" s="140" t="s">
        <v>122</v>
      </c>
      <c r="C12" s="141"/>
      <c r="D12" s="3"/>
      <c r="E12" s="163" t="s">
        <v>66</v>
      </c>
      <c r="F12" s="164">
        <f>'6a'!L56</f>
      </c>
      <c r="G12" s="164">
        <f>'6b'!I56</f>
      </c>
      <c r="H12" s="164">
        <f>'6c'!L56</f>
      </c>
      <c r="I12" s="164">
        <f>'6d'!E56</f>
      </c>
      <c r="J12" s="161">
        <f>'6e'!N56</f>
      </c>
      <c r="K12" s="161">
        <f>'6f'!E56</f>
      </c>
      <c r="L12" s="162">
        <f>AVERAGE(F12:J12)</f>
      </c>
      <c r="M12" s="3"/>
      <c r="N12" s="146"/>
      <c r="O12" s="156"/>
      <c r="P12" s="156"/>
      <c r="Q12" s="156"/>
      <c r="R12" s="156"/>
      <c r="S12" s="156"/>
      <c r="T12" s="156"/>
      <c r="U12" s="156"/>
    </row>
    <row x14ac:dyDescent="0.25" r="13" customHeight="1" ht="17.25">
      <c r="A13" s="5" t="s">
        <v>116</v>
      </c>
      <c r="B13" s="140" t="s">
        <v>122</v>
      </c>
      <c r="C13" s="141"/>
      <c r="D13" s="3"/>
      <c r="E13" s="163" t="s">
        <v>67</v>
      </c>
      <c r="F13" s="164">
        <f>'6a'!L57</f>
      </c>
      <c r="G13" s="164">
        <f>'6b'!I57</f>
      </c>
      <c r="H13" s="164">
        <f>'6c'!L57</f>
      </c>
      <c r="I13" s="164">
        <f>'6d'!E57</f>
      </c>
      <c r="J13" s="161">
        <f>'6e'!N57</f>
      </c>
      <c r="K13" s="161">
        <f>'6f'!E57</f>
      </c>
      <c r="L13" s="162">
        <f>AVERAGE(F13:J13)</f>
      </c>
      <c r="M13" s="3"/>
      <c r="N13" s="146"/>
      <c r="O13" s="156"/>
      <c r="P13" s="156"/>
      <c r="Q13" s="156"/>
      <c r="R13" s="156"/>
      <c r="S13" s="156"/>
      <c r="T13" s="156"/>
      <c r="U13" s="156"/>
    </row>
    <row x14ac:dyDescent="0.25" r="14" customHeight="1" ht="17.25">
      <c r="A14" s="5" t="s">
        <v>100</v>
      </c>
      <c r="B14" s="140" t="s">
        <v>123</v>
      </c>
      <c r="C14" s="141"/>
      <c r="D14" s="3"/>
      <c r="E14" s="163" t="s">
        <v>68</v>
      </c>
      <c r="F14" s="164">
        <f>'6a'!L58</f>
      </c>
      <c r="G14" s="164">
        <f>'6b'!I58</f>
      </c>
      <c r="H14" s="164">
        <f>'6c'!L58</f>
      </c>
      <c r="I14" s="164">
        <f>'6d'!E58</f>
      </c>
      <c r="J14" s="161">
        <f>'6e'!N58</f>
      </c>
      <c r="K14" s="161">
        <f>'6f'!E58</f>
      </c>
      <c r="L14" s="162">
        <f>AVERAGE(F14:J14)</f>
      </c>
      <c r="M14" s="3"/>
      <c r="N14" s="146"/>
      <c r="O14" s="156"/>
      <c r="P14" s="156"/>
      <c r="Q14" s="156"/>
      <c r="R14" s="156"/>
      <c r="S14" s="156"/>
      <c r="T14" s="156"/>
      <c r="U14" s="156"/>
    </row>
    <row x14ac:dyDescent="0.25" r="15" customHeight="1" ht="17.25">
      <c r="A15" s="5" t="s">
        <v>101</v>
      </c>
      <c r="B15" s="140" t="s">
        <v>123</v>
      </c>
      <c r="C15" s="141"/>
      <c r="D15" s="3"/>
      <c r="E15" s="152" t="s">
        <v>132</v>
      </c>
      <c r="F15" s="164">
        <f>SUM(F13:F14)</f>
      </c>
      <c r="G15" s="164">
        <f>SUM(G13:G14)</f>
      </c>
      <c r="H15" s="164">
        <f>SUM(H13:H14)</f>
      </c>
      <c r="I15" s="164">
        <f>SUM(I13:I14)</f>
      </c>
      <c r="J15" s="164">
        <f>SUM(J13:J14)</f>
      </c>
      <c r="K15" s="164">
        <f>SUM(K13:K14)</f>
      </c>
      <c r="L15" s="165">
        <f>AVERAGE(F15:J15)</f>
      </c>
      <c r="M15" s="3"/>
      <c r="N15" s="3"/>
      <c r="O15" s="3"/>
      <c r="P15" s="3"/>
      <c r="Q15" s="3"/>
      <c r="R15" s="3"/>
      <c r="S15" s="3"/>
      <c r="T15" s="3"/>
      <c r="U15" s="3"/>
    </row>
    <row x14ac:dyDescent="0.25" r="16" customHeight="1" ht="17.25">
      <c r="A16" s="5" t="s">
        <v>102</v>
      </c>
      <c r="B16" s="147" t="s">
        <v>123</v>
      </c>
      <c r="C16" s="141"/>
      <c r="D16" s="3"/>
      <c r="E16" s="163" t="s">
        <v>133</v>
      </c>
      <c r="F16" s="166">
        <f>'6a'!B44</f>
      </c>
      <c r="G16" s="166">
        <f>'6b'!B44</f>
      </c>
      <c r="H16" s="166">
        <f>'6c'!B44</f>
      </c>
      <c r="I16" s="166">
        <f>'6d'!B44</f>
      </c>
      <c r="J16" s="167">
        <f>'6e'!B44</f>
      </c>
      <c r="K16" s="167">
        <f>'6f'!B44</f>
      </c>
      <c r="L16" s="168">
        <f>AVERAGE(F16:J16)</f>
      </c>
      <c r="M16" s="3"/>
      <c r="N16" s="3"/>
      <c r="O16" s="3"/>
      <c r="P16" s="3"/>
      <c r="Q16" s="3"/>
      <c r="R16" s="3"/>
      <c r="S16" s="3"/>
      <c r="T16" s="3"/>
      <c r="U16" s="3"/>
    </row>
    <row x14ac:dyDescent="0.25" r="17" customHeight="1" ht="17.25">
      <c r="A17" s="5" t="s">
        <v>103</v>
      </c>
      <c r="B17" s="140" t="s">
        <v>123</v>
      </c>
      <c r="C17" s="141"/>
      <c r="D17" s="3"/>
      <c r="E17" s="169" t="s">
        <v>134</v>
      </c>
      <c r="F17" s="143" t="s">
        <v>122</v>
      </c>
      <c r="G17" s="143" t="s">
        <v>123</v>
      </c>
      <c r="H17" s="143" t="s">
        <v>124</v>
      </c>
      <c r="I17" s="143" t="s">
        <v>125</v>
      </c>
      <c r="J17" s="143" t="s">
        <v>125</v>
      </c>
      <c r="K17" s="144" t="s">
        <v>126</v>
      </c>
      <c r="L17" s="145" t="s">
        <v>49</v>
      </c>
      <c r="M17" s="3"/>
      <c r="N17" s="3"/>
      <c r="O17" s="3"/>
      <c r="P17" s="3"/>
      <c r="Q17" s="3"/>
      <c r="R17" s="3"/>
      <c r="S17" s="3"/>
      <c r="T17" s="3"/>
      <c r="U17" s="3"/>
    </row>
    <row x14ac:dyDescent="0.25" r="18" customHeight="1" ht="17.25">
      <c r="A18" s="5" t="s">
        <v>104</v>
      </c>
      <c r="B18" s="140" t="s">
        <v>123</v>
      </c>
      <c r="C18" s="141"/>
      <c r="D18" s="3"/>
      <c r="E18" s="160" t="s">
        <v>135</v>
      </c>
      <c r="F18" s="170">
        <f>'6a'!B51/'6a'!I51</f>
      </c>
      <c r="G18" s="170">
        <f>'6b'!B51/'6b'!I51</f>
      </c>
      <c r="H18" s="170">
        <f>'6c'!B51/'6c'!I51</f>
      </c>
      <c r="I18" s="170">
        <f>'6d'!B51/'6d'!I51</f>
      </c>
      <c r="J18" s="170">
        <f>'6e'!B51/'6e'!I51</f>
      </c>
      <c r="K18" s="170">
        <f>'6f'!B51/'6f'!I51</f>
      </c>
      <c r="L18" s="171">
        <f>AVERAGE(F18:J18)</f>
      </c>
      <c r="M18" s="172"/>
      <c r="N18" s="3"/>
      <c r="O18" s="3"/>
      <c r="P18" s="3"/>
      <c r="Q18" s="3"/>
      <c r="R18" s="3"/>
      <c r="S18" s="3"/>
      <c r="T18" s="3"/>
      <c r="U18" s="3"/>
    </row>
    <row x14ac:dyDescent="0.25" r="19" customHeight="1" ht="17.25">
      <c r="A19" s="5" t="s">
        <v>105</v>
      </c>
      <c r="B19" s="140" t="s">
        <v>123</v>
      </c>
      <c r="C19" s="141"/>
      <c r="D19" s="3"/>
      <c r="E19" s="163" t="s">
        <v>136</v>
      </c>
      <c r="F19" s="173">
        <f>'6a'!C51/'6a'!I51</f>
      </c>
      <c r="G19" s="170">
        <f>'6b'!C51/'6b'!I51</f>
      </c>
      <c r="H19" s="173">
        <f>'6c'!C51/'6c'!I51</f>
      </c>
      <c r="I19" s="173">
        <f>'6d'!C51/'6d'!I51</f>
      </c>
      <c r="J19" s="173">
        <f>'6e'!C51/'6e'!I51</f>
      </c>
      <c r="K19" s="170">
        <f>'6f'!C51/'6f'!I51</f>
      </c>
      <c r="L19" s="171">
        <f>AVERAGE(F19:J19)</f>
      </c>
      <c r="M19" s="172"/>
      <c r="N19" s="3"/>
      <c r="O19" s="3"/>
      <c r="P19" s="3"/>
      <c r="Q19" s="3"/>
      <c r="R19" s="3"/>
      <c r="S19" s="3"/>
      <c r="T19" s="3"/>
      <c r="U19" s="3"/>
    </row>
    <row x14ac:dyDescent="0.25" r="20" customHeight="1" ht="17.25">
      <c r="A20" s="5" t="s">
        <v>106</v>
      </c>
      <c r="B20" s="140" t="s">
        <v>123</v>
      </c>
      <c r="C20" s="141"/>
      <c r="D20" s="3"/>
      <c r="E20" s="163" t="s">
        <v>137</v>
      </c>
      <c r="F20" s="173">
        <f>'6a'!D51/'6a'!I51</f>
      </c>
      <c r="G20" s="170">
        <f>'6b'!D51/'6b'!I51</f>
      </c>
      <c r="H20" s="173">
        <f>'6c'!D51/'6c'!I51</f>
      </c>
      <c r="I20" s="173">
        <f>'6d'!D51/'6d'!I51</f>
      </c>
      <c r="J20" s="173">
        <f>'6e'!D51/'6e'!I51</f>
      </c>
      <c r="K20" s="170">
        <f>'6f'!D51/'6f'!I51</f>
      </c>
      <c r="L20" s="171">
        <f>AVERAGE(F20:J20)</f>
      </c>
      <c r="M20" s="172"/>
      <c r="N20" s="3"/>
      <c r="O20" s="3"/>
      <c r="P20" s="3"/>
      <c r="Q20" s="3"/>
      <c r="R20" s="3"/>
      <c r="S20" s="3"/>
      <c r="T20" s="3"/>
      <c r="U20" s="3"/>
    </row>
    <row x14ac:dyDescent="0.25" r="21" customHeight="1" ht="17.25">
      <c r="A21" s="5" t="s">
        <v>90</v>
      </c>
      <c r="B21" s="140" t="s">
        <v>124</v>
      </c>
      <c r="C21" s="141"/>
      <c r="D21" s="3"/>
      <c r="E21" s="163" t="s">
        <v>138</v>
      </c>
      <c r="F21" s="173">
        <f>'6a'!E51/'6a'!I51</f>
      </c>
      <c r="G21" s="170">
        <f>'6b'!E51/'6b'!I51</f>
      </c>
      <c r="H21" s="173">
        <f>'6c'!E51/'6c'!I51</f>
      </c>
      <c r="I21" s="173">
        <f>'6d'!E51/'6d'!I51</f>
      </c>
      <c r="J21" s="173">
        <f>'6e'!E51/'6e'!I51</f>
      </c>
      <c r="K21" s="170">
        <f>'6f'!E51/'6f'!I51</f>
      </c>
      <c r="L21" s="171">
        <f>AVERAGE(F21:J21)</f>
      </c>
      <c r="M21" s="172"/>
      <c r="N21" s="3"/>
      <c r="O21" s="3"/>
      <c r="P21" s="3"/>
      <c r="Q21" s="3"/>
      <c r="R21" s="3"/>
      <c r="S21" s="3"/>
      <c r="T21" s="3"/>
      <c r="U21" s="3"/>
    </row>
    <row x14ac:dyDescent="0.25" r="22" customHeight="1" ht="17.25">
      <c r="A22" s="5" t="s">
        <v>91</v>
      </c>
      <c r="B22" s="140" t="s">
        <v>124</v>
      </c>
      <c r="C22" s="141"/>
      <c r="D22" s="3"/>
      <c r="E22" s="152" t="s">
        <v>139</v>
      </c>
      <c r="F22" s="173">
        <f>'6a'!F51/'6a'!I51</f>
      </c>
      <c r="G22" s="170">
        <f>'6b'!F51/'6b'!I51</f>
      </c>
      <c r="H22" s="173">
        <f>'6c'!F51/'6c'!I51</f>
      </c>
      <c r="I22" s="173">
        <f>'6d'!F51/'6d'!I51</f>
      </c>
      <c r="J22" s="173">
        <f>'6e'!F51/'6e'!I51</f>
      </c>
      <c r="K22" s="170">
        <f>'6f'!F51/'6f'!I51</f>
      </c>
      <c r="L22" s="171">
        <f>AVERAGE(F22:J22)</f>
      </c>
      <c r="M22" s="172"/>
      <c r="N22" s="3"/>
      <c r="O22" s="3"/>
      <c r="P22" s="3"/>
      <c r="Q22" s="3"/>
      <c r="R22" s="3"/>
      <c r="S22" s="3"/>
      <c r="T22" s="3"/>
      <c r="U22" s="3"/>
    </row>
    <row x14ac:dyDescent="0.25" r="23" customHeight="1" ht="17.25">
      <c r="A23" s="5" t="s">
        <v>92</v>
      </c>
      <c r="B23" s="147" t="s">
        <v>124</v>
      </c>
      <c r="C23" s="141"/>
      <c r="D23" s="3"/>
      <c r="E23" s="152" t="s">
        <v>140</v>
      </c>
      <c r="F23" s="173">
        <f>'6a'!G51/'6a'!I51</f>
      </c>
      <c r="G23" s="170">
        <f>'6b'!G51/'6b'!I51</f>
      </c>
      <c r="H23" s="173">
        <f>'6c'!G51/'6c'!I51</f>
      </c>
      <c r="I23" s="173">
        <f>'6d'!G51/'6d'!I51</f>
      </c>
      <c r="J23" s="173">
        <f>'6e'!G51/'6e'!I51</f>
      </c>
      <c r="K23" s="170">
        <f>'6f'!G51/'6f'!I51</f>
      </c>
      <c r="L23" s="171">
        <f>AVERAGE(F23:J23)</f>
      </c>
      <c r="M23" s="172"/>
      <c r="N23" s="3"/>
      <c r="O23" s="3"/>
      <c r="P23" s="3"/>
      <c r="Q23" s="3"/>
      <c r="R23" s="3"/>
      <c r="S23" s="3"/>
      <c r="T23" s="3"/>
      <c r="U23" s="3"/>
    </row>
    <row x14ac:dyDescent="0.25" r="24" customHeight="1" ht="17.25">
      <c r="A24" s="5" t="s">
        <v>93</v>
      </c>
      <c r="B24" s="147" t="s">
        <v>124</v>
      </c>
      <c r="C24" s="141"/>
      <c r="D24" s="3"/>
      <c r="E24" s="163" t="s">
        <v>141</v>
      </c>
      <c r="F24" s="173">
        <f>'6a'!H51/'6a'!I51</f>
      </c>
      <c r="G24" s="170">
        <f>'6b'!H51/'6b'!I51</f>
      </c>
      <c r="H24" s="173">
        <f>'6c'!H51/'6c'!I51</f>
      </c>
      <c r="I24" s="173">
        <f>'6d'!H51/'6d'!I51</f>
      </c>
      <c r="J24" s="173">
        <f>'6e'!H51/'6e'!I51</f>
      </c>
      <c r="K24" s="170">
        <f>'6f'!H51/'6f'!I51</f>
      </c>
      <c r="L24" s="171">
        <f>AVERAGE(F24:J24)</f>
      </c>
      <c r="M24" s="172"/>
      <c r="N24" s="3"/>
      <c r="O24" s="3"/>
      <c r="P24" s="3"/>
      <c r="Q24" s="3"/>
      <c r="R24" s="3"/>
      <c r="S24" s="3"/>
      <c r="T24" s="3"/>
      <c r="U24" s="3"/>
    </row>
    <row x14ac:dyDescent="0.25" r="25" customHeight="1" ht="17.25">
      <c r="A25" s="5" t="s">
        <v>94</v>
      </c>
      <c r="B25" s="140" t="s">
        <v>124</v>
      </c>
      <c r="C25" s="141"/>
      <c r="D25" s="3"/>
      <c r="E25" s="3"/>
      <c r="F25" s="3"/>
      <c r="G25" s="3"/>
      <c r="H25" s="3"/>
      <c r="I25" s="3"/>
      <c r="J25" s="3"/>
      <c r="K25" s="3"/>
      <c r="L25" s="174"/>
      <c r="M25" s="172"/>
      <c r="N25" s="3"/>
      <c r="O25" s="3"/>
      <c r="P25" s="3"/>
      <c r="Q25" s="3"/>
      <c r="R25" s="3"/>
      <c r="S25" s="3"/>
      <c r="T25" s="3"/>
      <c r="U25" s="3"/>
    </row>
    <row x14ac:dyDescent="0.25" r="26" customHeight="1" ht="17.25">
      <c r="A26" s="5" t="s">
        <v>95</v>
      </c>
      <c r="B26" s="140" t="s">
        <v>124</v>
      </c>
      <c r="C26" s="141"/>
      <c r="D26" s="3"/>
      <c r="E26" s="172"/>
      <c r="F26" s="172"/>
      <c r="G26" s="172"/>
      <c r="H26" s="172"/>
      <c r="I26" s="172"/>
      <c r="J26" s="172"/>
      <c r="K26" s="172"/>
      <c r="L26" s="172"/>
      <c r="M26" s="172"/>
      <c r="N26" s="3"/>
      <c r="O26" s="3"/>
      <c r="P26" s="3"/>
      <c r="Q26" s="3"/>
      <c r="R26" s="3"/>
      <c r="S26" s="3"/>
      <c r="T26" s="3"/>
      <c r="U26" s="3"/>
    </row>
    <row x14ac:dyDescent="0.25" r="27" customHeight="1" ht="17.25">
      <c r="A27" s="5" t="s">
        <v>96</v>
      </c>
      <c r="B27" s="140" t="s">
        <v>124</v>
      </c>
      <c r="C27" s="141"/>
      <c r="D27" s="3"/>
      <c r="E27" s="3"/>
      <c r="F27" s="172"/>
      <c r="G27" s="3"/>
      <c r="H27" s="172"/>
      <c r="I27" s="172"/>
      <c r="J27" s="172"/>
      <c r="K27" s="172"/>
      <c r="L27" s="172"/>
      <c r="M27" s="172"/>
      <c r="N27" s="3"/>
      <c r="O27" s="3"/>
      <c r="P27" s="3"/>
      <c r="Q27" s="3"/>
      <c r="R27" s="3"/>
      <c r="S27" s="3"/>
      <c r="T27" s="3"/>
      <c r="U27" s="3"/>
    </row>
    <row x14ac:dyDescent="0.25" r="28" customHeight="1" ht="17.25">
      <c r="A28" s="5" t="s">
        <v>97</v>
      </c>
      <c r="B28" s="140" t="s">
        <v>124</v>
      </c>
      <c r="C28" s="3"/>
      <c r="D28" s="175" t="s">
        <v>142</v>
      </c>
      <c r="E28" s="176" t="s">
        <v>143</v>
      </c>
      <c r="F28" s="143" t="s">
        <v>122</v>
      </c>
      <c r="G28" s="143" t="s">
        <v>123</v>
      </c>
      <c r="H28" s="143" t="s">
        <v>124</v>
      </c>
      <c r="I28" s="143" t="s">
        <v>125</v>
      </c>
      <c r="J28" s="143" t="s">
        <v>125</v>
      </c>
      <c r="K28" s="144" t="s">
        <v>126</v>
      </c>
      <c r="L28" s="177" t="s">
        <v>59</v>
      </c>
      <c r="M28" s="3"/>
      <c r="N28" s="3"/>
      <c r="O28" s="3"/>
      <c r="P28" s="3"/>
      <c r="Q28" s="3"/>
      <c r="R28" s="3"/>
      <c r="S28" s="3"/>
      <c r="T28" s="3"/>
      <c r="U28" s="3"/>
    </row>
    <row x14ac:dyDescent="0.25" r="29" customHeight="1" ht="17.25">
      <c r="A29" s="5" t="s">
        <v>98</v>
      </c>
      <c r="B29" s="140" t="s">
        <v>124</v>
      </c>
      <c r="C29" s="3"/>
      <c r="D29" s="178">
        <f>COUNTIF(A:A, "CENG-2010*")</f>
      </c>
      <c r="E29" s="179" t="s">
        <v>144</v>
      </c>
      <c r="F29" s="180">
        <f>COUNTIF('6a'!$B$1:$K$1, "CENG-2010*")</f>
      </c>
      <c r="G29" s="180">
        <f>COUNTIF('6b'!$B$1:$H$1, "CENG-2010*")</f>
      </c>
      <c r="H29" s="180">
        <f>COUNTIF('6c'!$B$1:$K$1, "CENG-2010*")</f>
      </c>
      <c r="I29" s="180">
        <f>COUNTIF('6d'!$B$1:$D$1, "CENG-2010*")</f>
      </c>
      <c r="J29" s="181">
        <f>COUNTIFS('6e'!$B$1:$M$1, "CENG-2010*")</f>
      </c>
      <c r="K29" s="181">
        <f>COUNTIFS('6f'!$B$1:$D$1, "CENG-2010*")</f>
      </c>
      <c r="L29" s="182">
        <f>SUM(F29:K29)</f>
      </c>
      <c r="M29" s="3"/>
      <c r="N29" s="3"/>
      <c r="O29" s="3"/>
      <c r="P29" s="3"/>
      <c r="Q29" s="3"/>
      <c r="R29" s="3"/>
      <c r="S29" s="3"/>
      <c r="T29" s="3"/>
      <c r="U29" s="3"/>
    </row>
    <row x14ac:dyDescent="0.25" r="30" customHeight="1" ht="17.25">
      <c r="A30" s="5" t="s">
        <v>99</v>
      </c>
      <c r="B30" s="140" t="s">
        <v>124</v>
      </c>
      <c r="C30" s="3"/>
      <c r="D30" s="183">
        <f>COUNTIF(A:A, "CENG-2030*")</f>
      </c>
      <c r="E30" s="184" t="s">
        <v>145</v>
      </c>
      <c r="F30" s="185">
        <f>COUNTIF('6a'!$B$1:$K$1, "CENG-2030*")</f>
      </c>
      <c r="G30" s="185">
        <f>COUNTIF('6b'!$B$1:$H$1, "CENG-2030*")</f>
      </c>
      <c r="H30" s="185">
        <f>COUNTIF('6c'!$B$1:$K$1, "CENG-2030*")</f>
      </c>
      <c r="I30" s="185">
        <f>COUNTIF('6d'!$B$1:$D$1, "CENG-2030*")</f>
      </c>
      <c r="J30" s="186">
        <f>COUNTIFS('6e'!$B$1:$M$1, "CENG-2030*")</f>
      </c>
      <c r="K30" s="186">
        <f>COUNTIFS('6f'!$B$1:$D$1, "CENG-2030*")</f>
      </c>
      <c r="L30" s="182">
        <f>SUM(F30:K30)</f>
      </c>
      <c r="M30" s="3"/>
      <c r="N30" s="3"/>
      <c r="O30" s="3"/>
      <c r="P30" s="3"/>
      <c r="Q30" s="3"/>
      <c r="R30" s="3"/>
      <c r="S30" s="3"/>
      <c r="T30" s="3"/>
      <c r="U30" s="3"/>
    </row>
    <row x14ac:dyDescent="0.25" r="31" customHeight="1" ht="17.25">
      <c r="A31" s="5" t="s">
        <v>87</v>
      </c>
      <c r="B31" s="147" t="s">
        <v>146</v>
      </c>
      <c r="C31" s="3"/>
      <c r="D31" s="183">
        <f>COUNTIF(A:A, "CENG-3010*")</f>
      </c>
      <c r="E31" s="184" t="s">
        <v>147</v>
      </c>
      <c r="F31" s="185">
        <f>COUNTIF('6a'!$B$1:$K$1, "CENG-3010*")</f>
      </c>
      <c r="G31" s="185">
        <f>COUNTIF('6b'!$B$1:$H$1, "CENG-3010*")</f>
      </c>
      <c r="H31" s="185">
        <f>COUNTIF('6c'!$B$1:$K$1, "CENG-3010*")</f>
      </c>
      <c r="I31" s="185">
        <f>COUNTIF('6d'!$B$1:$D$1, "CENG-3010*")</f>
      </c>
      <c r="J31" s="186">
        <f>COUNTIFS('6e'!$B$1:$M$1, "CENG-3010*")</f>
      </c>
      <c r="K31" s="186">
        <f>COUNTIFS('6f'!$B$1:$D$1, "CENG-3010*")</f>
      </c>
      <c r="L31" s="182">
        <f>SUM(F31:K31)</f>
      </c>
      <c r="M31" s="3"/>
      <c r="N31" s="3"/>
      <c r="O31" s="3"/>
      <c r="P31" s="3"/>
      <c r="Q31" s="3"/>
      <c r="R31" s="3"/>
      <c r="S31" s="3"/>
      <c r="T31" s="3"/>
      <c r="U31" s="3"/>
    </row>
    <row x14ac:dyDescent="0.25" r="32" customHeight="1" ht="17.25">
      <c r="A32" s="5" t="s">
        <v>88</v>
      </c>
      <c r="B32" s="147" t="s">
        <v>146</v>
      </c>
      <c r="C32" s="3"/>
      <c r="D32" s="183">
        <f>COUNTIF(A:A, "CENG-3020*")</f>
      </c>
      <c r="E32" s="184" t="s">
        <v>148</v>
      </c>
      <c r="F32" s="185">
        <f>COUNTIF('6a'!$B$1:$K$1, "CENG-3020*")</f>
      </c>
      <c r="G32" s="185">
        <f>COUNTIF('6b'!$B$1:$H$1, "CENG-3020*")</f>
      </c>
      <c r="H32" s="185">
        <f>COUNTIF('6c'!$B$1:$K$1, "CENG-3020*")</f>
      </c>
      <c r="I32" s="185">
        <f>COUNTIF('6d'!$B$1:$D$1, "CENG-3020*")</f>
      </c>
      <c r="J32" s="186">
        <f>COUNTIFS('6e'!$B$1:$M$1, "CENG-3020*")</f>
      </c>
      <c r="K32" s="186">
        <f>COUNTIFS('6f'!$B$1:$D$1, "CENG-3020*")</f>
      </c>
      <c r="L32" s="182">
        <f>SUM(F32:K32)</f>
      </c>
      <c r="M32" s="3"/>
      <c r="N32" s="3"/>
      <c r="O32" s="3"/>
      <c r="P32" s="3"/>
      <c r="Q32" s="3"/>
      <c r="R32" s="3"/>
      <c r="S32" s="3"/>
      <c r="T32" s="3"/>
      <c r="U32" s="3"/>
    </row>
    <row x14ac:dyDescent="0.25" r="33" customHeight="1" ht="17.25">
      <c r="A33" s="5" t="s">
        <v>89</v>
      </c>
      <c r="B33" s="140" t="s">
        <v>146</v>
      </c>
      <c r="C33" s="3"/>
      <c r="D33" s="183">
        <f>COUNTIF(A:A, "CENG-3310*")</f>
      </c>
      <c r="E33" s="184" t="s">
        <v>149</v>
      </c>
      <c r="F33" s="187">
        <f>COUNTIF('6a'!$B$1:$K$1, "CENG-3310*")</f>
      </c>
      <c r="G33" s="185">
        <f>COUNTIF('6b'!$B$1:$H$1, "CENG-3310*")</f>
      </c>
      <c r="H33" s="185">
        <f>COUNTIF('6c'!$B$1:$K$1, "CENG-3310*")</f>
      </c>
      <c r="I33" s="185">
        <f>COUNTIF('6d'!$B$1:$D$1, "CENG-3310*")</f>
      </c>
      <c r="J33" s="188">
        <f>COUNTIFS('6e'!$B$1:$M$1, "CENG-3310*")</f>
      </c>
      <c r="K33" s="188">
        <f>COUNTIFS('6f'!$B$1:$D$1, "CENG-3310*")</f>
      </c>
      <c r="L33" s="182">
        <f>SUM(F33:K33)</f>
      </c>
      <c r="M33" s="3"/>
      <c r="N33" s="3"/>
      <c r="O33" s="3"/>
      <c r="P33" s="3"/>
      <c r="Q33" s="3"/>
      <c r="R33" s="3"/>
      <c r="S33" s="3"/>
      <c r="T33" s="3"/>
      <c r="U33" s="3"/>
    </row>
    <row x14ac:dyDescent="0.25" r="34" customHeight="1" ht="17.25">
      <c r="A34" s="5" t="s">
        <v>78</v>
      </c>
      <c r="B34" s="140" t="s">
        <v>125</v>
      </c>
      <c r="C34" s="3"/>
      <c r="D34" s="183">
        <f>COUNTIF(A:A, "CENG-4320*")</f>
      </c>
      <c r="E34" s="184" t="s">
        <v>150</v>
      </c>
      <c r="F34" s="187">
        <f>COUNTIF('6a'!$B$1:$K$1, "CENG-4320*")</f>
      </c>
      <c r="G34" s="185">
        <f>COUNTIF('6b'!$B$1:$H$1, "CENG-4320*")</f>
      </c>
      <c r="H34" s="185">
        <f>COUNTIF('6c'!$B$1:$K$1, "CENG-4320*")</f>
      </c>
      <c r="I34" s="185">
        <f>COUNTIF('6d'!$B$1:$D$1, "CENG-4320*")</f>
      </c>
      <c r="J34" s="188">
        <f>COUNTIFS('6e'!$B$1:$M$1, "CENG-4320*")</f>
      </c>
      <c r="K34" s="188">
        <f>COUNTIFS('6f'!$B$1:$D$1, "CENG-4320*")</f>
      </c>
      <c r="L34" s="182">
        <f>SUM(F34:K34)</f>
      </c>
      <c r="M34" s="3"/>
      <c r="N34" s="3"/>
      <c r="O34" s="3"/>
      <c r="P34" s="3"/>
      <c r="Q34" s="3"/>
      <c r="R34" s="3"/>
      <c r="S34" s="3"/>
      <c r="T34" s="3"/>
      <c r="U34" s="3"/>
    </row>
    <row x14ac:dyDescent="0.25" r="35" customHeight="1" ht="17.25">
      <c r="A35" s="5" t="s">
        <v>79</v>
      </c>
      <c r="B35" s="140" t="s">
        <v>125</v>
      </c>
      <c r="C35" s="3"/>
      <c r="D35" s="183">
        <f>COUNTIF(A:A, "CHEM-1520*")</f>
      </c>
      <c r="E35" s="184" t="s">
        <v>151</v>
      </c>
      <c r="F35" s="189">
        <f>COUNTIF('6a'!$B$1:$K$1, "CHEM-1520*")</f>
      </c>
      <c r="G35" s="185">
        <f>COUNTIF('6b'!$B$1:$H$1, "CHEM-1520*")</f>
      </c>
      <c r="H35" s="185">
        <f>COUNTIF('6c'!$B$1:$K$1, "CHEM-1520*")</f>
      </c>
      <c r="I35" s="185">
        <f>COUNTIF('6d'!$B$1:$D$1, "CHEM-1520*")</f>
      </c>
      <c r="J35" s="188">
        <f>COUNTIFS('6e'!$B$1:$M$1, "CHEM-1520*")</f>
      </c>
      <c r="K35" s="188">
        <f>COUNTIFS('6f'!$B$1:$D$1, "CHEM-1520*")</f>
      </c>
      <c r="L35" s="182">
        <f>SUM(F35:K35)</f>
      </c>
      <c r="M35" s="3"/>
      <c r="N35" s="3"/>
      <c r="O35" s="3"/>
      <c r="P35" s="3"/>
      <c r="Q35" s="3"/>
      <c r="R35" s="3"/>
      <c r="S35" s="3"/>
      <c r="T35" s="3"/>
      <c r="U35" s="3"/>
    </row>
    <row x14ac:dyDescent="0.25" r="36" customHeight="1" ht="17.25">
      <c r="A36" s="5" t="s">
        <v>80</v>
      </c>
      <c r="B36" s="140" t="s">
        <v>125</v>
      </c>
      <c r="C36" s="3"/>
      <c r="D36" s="183">
        <f>COUNTIF(A:A, "CMNS-1290*")</f>
      </c>
      <c r="E36" s="184" t="s">
        <v>152</v>
      </c>
      <c r="F36" s="189">
        <f>COUNTIF('6a'!$B$1:$K$1, "CMNS-1290*")</f>
      </c>
      <c r="G36" s="185">
        <f>COUNTIF('6b'!$B$1:$H$1, "CMNS-1290*")</f>
      </c>
      <c r="H36" s="185">
        <f>COUNTIF('6c'!$B$1:$K$1, "CMNS-1290*")</f>
      </c>
      <c r="I36" s="185">
        <f>COUNTIF('6d'!$B$1:$D$1, "CMNS-1290*")</f>
      </c>
      <c r="J36" s="188">
        <f>COUNTIFS('6e'!$B$1:$M$1, "CMNS-1290*")</f>
      </c>
      <c r="K36" s="188">
        <f>COUNTIFS('6f'!$B$1:$D$1, "CMNS-1290*")</f>
      </c>
      <c r="L36" s="182">
        <f>SUM(F36:K36)</f>
      </c>
      <c r="M36" s="3"/>
      <c r="N36" s="3"/>
      <c r="O36" s="3"/>
      <c r="P36" s="3"/>
      <c r="Q36" s="3"/>
      <c r="R36" s="3"/>
      <c r="S36" s="3"/>
      <c r="T36" s="3"/>
      <c r="U36" s="3"/>
    </row>
    <row x14ac:dyDescent="0.25" r="37" customHeight="1" ht="17.25">
      <c r="A37" s="5" t="s">
        <v>81</v>
      </c>
      <c r="B37" s="147" t="s">
        <v>125</v>
      </c>
      <c r="C37" s="3"/>
      <c r="D37" s="183">
        <f>COUNTIF(A:A, "COMP-3410*")</f>
      </c>
      <c r="E37" s="184" t="s">
        <v>153</v>
      </c>
      <c r="F37" s="185">
        <f>COUNTIF('6a'!$B$1:$K$1, "COMP-3410*")</f>
      </c>
      <c r="G37" s="185">
        <f>COUNTIF('6b'!$B$1:$H$1, "COMP-3410*")</f>
      </c>
      <c r="H37" s="185">
        <f>COUNTIF('6c'!$B$1:$K$1, "COMP-3410*")</f>
      </c>
      <c r="I37" s="185">
        <f>COUNTIF('6d'!$B$1:$D$1, "COMP-3410*")</f>
      </c>
      <c r="J37" s="188">
        <f>COUNTIFS('6e'!$B$1:$M$1, "COMP-3410*")</f>
      </c>
      <c r="K37" s="188">
        <f>COUNTIFS('6f'!$B$1:$D$1, "COMP-3410*")</f>
      </c>
      <c r="L37" s="182">
        <f>SUM(F37:K37)</f>
      </c>
      <c r="M37" s="3"/>
      <c r="N37" s="3"/>
      <c r="O37" s="3"/>
      <c r="P37" s="3"/>
      <c r="Q37" s="3"/>
      <c r="R37" s="3"/>
      <c r="S37" s="3"/>
      <c r="T37" s="3"/>
      <c r="U37" s="3"/>
    </row>
    <row x14ac:dyDescent="0.25" r="38" customHeight="1" ht="17.25">
      <c r="A38" s="5" t="s">
        <v>77</v>
      </c>
      <c r="B38" s="147" t="s">
        <v>125</v>
      </c>
      <c r="C38" s="3"/>
      <c r="D38" s="183">
        <f>COUNTIF(A:A, "COMP-3610*")</f>
      </c>
      <c r="E38" s="184" t="s">
        <v>154</v>
      </c>
      <c r="F38" s="185">
        <f>COUNTIF('6a'!$B$1:$K$1, "COMP-3610*")</f>
      </c>
      <c r="G38" s="185">
        <f>COUNTIF('6b'!$B$1:$H$1, "COMP-3610*")</f>
      </c>
      <c r="H38" s="185">
        <f>COUNTIF('6c'!$B$1:$K$1, "COMP-3610*")</f>
      </c>
      <c r="I38" s="185">
        <f>COUNTIF('6d'!$B$1:$D$1, "COMP-3610*")</f>
      </c>
      <c r="J38" s="188">
        <f>COUNTIFS('6e'!$B$1:$M$1, "COMP-3610*")</f>
      </c>
      <c r="K38" s="188">
        <f>COUNTIFS('6f'!$B$1:$D$1, "COMP-3610*")</f>
      </c>
      <c r="L38" s="182">
        <f>SUM(F38:K38)</f>
      </c>
      <c r="M38" s="3"/>
      <c r="N38" s="3"/>
      <c r="O38" s="3"/>
      <c r="P38" s="3"/>
      <c r="Q38" s="3"/>
      <c r="R38" s="3"/>
      <c r="S38" s="3"/>
      <c r="T38" s="3"/>
      <c r="U38" s="3"/>
    </row>
    <row x14ac:dyDescent="0.25" r="39" customHeight="1" ht="17.25">
      <c r="A39" s="5" t="s">
        <v>82</v>
      </c>
      <c r="B39" s="147" t="s">
        <v>125</v>
      </c>
      <c r="C39" s="3"/>
      <c r="D39" s="183">
        <f>COUNTIF(A:A, "EENG-3010*")</f>
      </c>
      <c r="E39" s="184" t="s">
        <v>155</v>
      </c>
      <c r="F39" s="180">
        <f>COUNTIF('6a'!$B$1:$K$1, "EENG-3010*")</f>
      </c>
      <c r="G39" s="185">
        <f>COUNTIF('6b'!$B$1:$H$1, "EENG-3010*")</f>
      </c>
      <c r="H39" s="185">
        <f>COUNTIF('6c'!$B$1:$K$1, "EENG-3010*")</f>
      </c>
      <c r="I39" s="185">
        <f>COUNTIF('6d'!$B$1:$D$1, "EENG-3010*")</f>
      </c>
      <c r="J39" s="188">
        <f>COUNTIFS('6e'!$B$1:$M$1, "EENG-3010*")</f>
      </c>
      <c r="K39" s="188">
        <f>COUNTIFS('6f'!$B$1:$D$1, "EENG-3010*")</f>
      </c>
      <c r="L39" s="182">
        <f>SUM(F39:K39)</f>
      </c>
      <c r="M39" s="3"/>
      <c r="N39" s="3"/>
      <c r="O39" s="3"/>
      <c r="P39" s="3"/>
      <c r="Q39" s="3"/>
      <c r="R39" s="3"/>
      <c r="S39" s="3"/>
      <c r="T39" s="3"/>
      <c r="U39" s="3"/>
    </row>
    <row x14ac:dyDescent="0.25" r="40" customHeight="1" ht="17.25">
      <c r="A40" s="5" t="s">
        <v>76</v>
      </c>
      <c r="B40" s="147" t="s">
        <v>125</v>
      </c>
      <c r="C40" s="3"/>
      <c r="D40" s="183">
        <f>COUNTIF(A:A, "ENGL-1100*")</f>
      </c>
      <c r="E40" s="184" t="s">
        <v>156</v>
      </c>
      <c r="F40" s="180">
        <f>COUNTIF('6a'!$B$1:$K$1, "ENGL-1100*")</f>
      </c>
      <c r="G40" s="185">
        <f>COUNTIF('6b'!$B$1:$H$1, "ENGL-1100*")</f>
      </c>
      <c r="H40" s="185">
        <f>COUNTIF('6c'!$B$1:$K$1, "ENGL-1100*")</f>
      </c>
      <c r="I40" s="185">
        <f>COUNTIF('6d'!$B$1:$D$1, "ENGL-1100*")</f>
      </c>
      <c r="J40" s="188">
        <f>COUNTIFS('6e'!$B$1:$M$1, "ENGL-1100*")</f>
      </c>
      <c r="K40" s="188">
        <f>COUNTIFS('6f'!$B$1:$D$1, "ENGL-1100*")</f>
      </c>
      <c r="L40" s="182">
        <f>SUM(F40:K40)</f>
      </c>
      <c r="M40" s="3"/>
      <c r="N40" s="3"/>
      <c r="O40" s="3"/>
      <c r="P40" s="3"/>
      <c r="Q40" s="3"/>
      <c r="R40" s="3"/>
      <c r="S40" s="3"/>
      <c r="T40" s="3"/>
      <c r="U40" s="3"/>
    </row>
    <row x14ac:dyDescent="0.25" r="41" customHeight="1" ht="17.25">
      <c r="A41" s="5" t="s">
        <v>75</v>
      </c>
      <c r="B41" s="140" t="s">
        <v>125</v>
      </c>
      <c r="C41" s="3"/>
      <c r="D41" s="183">
        <f>COUNTIF(A:A, "ENGR-1100*")</f>
      </c>
      <c r="E41" s="184" t="s">
        <v>157</v>
      </c>
      <c r="F41" s="180">
        <f>COUNTIF('6a'!$B$1:$K$1, "ENGR-1100*")</f>
      </c>
      <c r="G41" s="185">
        <f>COUNTIF('6b'!$B$1:$H$1, "ENGR-1100*")</f>
      </c>
      <c r="H41" s="185">
        <f>COUNTIF('6c'!$B$1:$K$1, "ENGR-1100*")</f>
      </c>
      <c r="I41" s="185">
        <f>COUNTIF('6d'!$B$1:$D$1, "ENGR-1100*")</f>
      </c>
      <c r="J41" s="188">
        <f>COUNTIFS('6e'!$B$1:$M$1, "ENGR-1100*")</f>
      </c>
      <c r="K41" s="188">
        <f>COUNTIFS('6f'!$B$1:$D$1, "ENGR-1100*")</f>
      </c>
      <c r="L41" s="182">
        <f>SUM(F41:K41)</f>
      </c>
      <c r="M41" s="3"/>
      <c r="N41" s="3"/>
      <c r="O41" s="3"/>
      <c r="P41" s="3"/>
      <c r="Q41" s="3"/>
      <c r="R41" s="3"/>
      <c r="S41" s="3"/>
      <c r="T41" s="3"/>
      <c r="U41" s="3"/>
    </row>
    <row x14ac:dyDescent="0.25" r="42" customHeight="1" ht="17.25">
      <c r="A42" s="5" t="s">
        <v>83</v>
      </c>
      <c r="B42" s="140" t="s">
        <v>125</v>
      </c>
      <c r="C42" s="3"/>
      <c r="D42" s="183">
        <f>COUNTIF(A:A, "ENGR-1200*")</f>
      </c>
      <c r="E42" s="184" t="s">
        <v>158</v>
      </c>
      <c r="F42" s="180">
        <f>COUNTIF('6a'!$B$1:$K$1, "ENGR-1200*")</f>
      </c>
      <c r="G42" s="185">
        <f>COUNTIF('6b'!$B$1:$H$1, "ENGR-1200*")</f>
      </c>
      <c r="H42" s="185">
        <f>COUNTIF('6c'!$B$1:$K$1, "ENGR-1200*")</f>
      </c>
      <c r="I42" s="185">
        <f>COUNTIF('6d'!$B$1:$D$1, "ENGR-1200*")</f>
      </c>
      <c r="J42" s="188">
        <f>COUNTIFS('6e'!$B$1:$M$1, "ENGR-1200*")</f>
      </c>
      <c r="K42" s="188">
        <f>COUNTIFS('6f'!$B$1:$D$1, "ENGR-1200*")</f>
      </c>
      <c r="L42" s="182">
        <f>SUM(F42:K42)</f>
      </c>
      <c r="M42" s="3"/>
      <c r="N42" s="3"/>
      <c r="O42" s="3"/>
      <c r="P42" s="3"/>
      <c r="Q42" s="3"/>
      <c r="R42" s="3"/>
      <c r="S42" s="3"/>
      <c r="T42" s="3"/>
      <c r="U42" s="3"/>
    </row>
    <row x14ac:dyDescent="0.25" r="43" customHeight="1" ht="17.25">
      <c r="A43" s="5" t="s">
        <v>84</v>
      </c>
      <c r="B43" s="140" t="s">
        <v>125</v>
      </c>
      <c r="C43" s="3"/>
      <c r="D43" s="183">
        <f>COUNTIF(A:A, "ENGR-2000*")</f>
      </c>
      <c r="E43" s="184" t="s">
        <v>159</v>
      </c>
      <c r="F43" s="180">
        <f>COUNTIF('6a'!$B$1:$K$1, "ENGR-2000*")</f>
      </c>
      <c r="G43" s="185">
        <f>COUNTIF('6b'!$B$1:$H$1, "ENGR-2000*")</f>
      </c>
      <c r="H43" s="185">
        <f>COUNTIF('6c'!$B$1:$K$1, "ENGR-2000*")</f>
      </c>
      <c r="I43" s="185">
        <f>COUNTIF('6d'!$B$1:$D$1, "ENGR-2000*")</f>
      </c>
      <c r="J43" s="188">
        <f>COUNTIFS('6e'!$B$1:$M$1, "ENGR-2000*")</f>
      </c>
      <c r="K43" s="188">
        <f>COUNTIFS('6f'!$B$1:$D$1, "ENGR-2000*")</f>
      </c>
      <c r="L43" s="182">
        <f>SUM(F43:K43)</f>
      </c>
      <c r="M43" s="3"/>
      <c r="N43" s="3"/>
      <c r="O43" s="3"/>
      <c r="P43" s="3"/>
      <c r="Q43" s="3"/>
      <c r="R43" s="3"/>
      <c r="S43" s="3"/>
      <c r="T43" s="3"/>
      <c r="U43" s="3"/>
    </row>
    <row x14ac:dyDescent="0.25" r="44" customHeight="1" ht="17.25">
      <c r="A44" s="5" t="s">
        <v>85</v>
      </c>
      <c r="B44" s="140" t="s">
        <v>125</v>
      </c>
      <c r="C44" s="3"/>
      <c r="D44" s="183">
        <f>COUNTIF(A:A, "ENGR-2200*")</f>
      </c>
      <c r="E44" s="184" t="s">
        <v>160</v>
      </c>
      <c r="F44" s="180">
        <f>COUNTIF('6a'!$B$1:$K$1, "ENGR-2200*")</f>
      </c>
      <c r="G44" s="185">
        <f>COUNTIF('6b'!$B$1:$H$1, "ENGR-2200*")</f>
      </c>
      <c r="H44" s="185">
        <f>COUNTIF('6c'!$B$1:$K$1, "ENGR-2200*")</f>
      </c>
      <c r="I44" s="185">
        <f>COUNTIF('6d'!$B$1:$D$1, "ENGR-2200*")</f>
      </c>
      <c r="J44" s="188">
        <f>COUNTIFS('6e'!$B$1:$M$1, "ENGR-2200*")</f>
      </c>
      <c r="K44" s="188">
        <f>COUNTIFS('6f'!$B$1:$D$1, "ENGR-2200*")</f>
      </c>
      <c r="L44" s="182">
        <f>SUM(F44:K44)</f>
      </c>
      <c r="M44" s="3"/>
      <c r="N44" s="3"/>
      <c r="O44" s="3"/>
      <c r="P44" s="3"/>
      <c r="Q44" s="3"/>
      <c r="R44" s="3"/>
      <c r="S44" s="3"/>
      <c r="T44" s="3"/>
      <c r="U44" s="3"/>
    </row>
    <row x14ac:dyDescent="0.25" r="45" customHeight="1" ht="17.25">
      <c r="A45" s="5" t="s">
        <v>86</v>
      </c>
      <c r="B45" s="140" t="s">
        <v>125</v>
      </c>
      <c r="C45" s="3"/>
      <c r="D45" s="183">
        <f>COUNTIF(A:A, "ENGR-2300*")</f>
      </c>
      <c r="E45" s="184" t="s">
        <v>161</v>
      </c>
      <c r="F45" s="180">
        <f>COUNTIF('6a'!$B$1:$K$1, "ENGR-2300*")</f>
      </c>
      <c r="G45" s="185">
        <f>COUNTIF('6b'!$B$1:$H$1, "ENGR-2300*")</f>
      </c>
      <c r="H45" s="185">
        <f>COUNTIF('6c'!$B$1:$K$1, "ENGR-2300*")</f>
      </c>
      <c r="I45" s="185">
        <f>COUNTIF('6d'!$B$1:$D$1, "ENGR-2300*")</f>
      </c>
      <c r="J45" s="188">
        <f>COUNTIFS('6e'!$B$1:$M$1, "ENGR-2300*")</f>
      </c>
      <c r="K45" s="188">
        <f>COUNTIFS('6f'!$B$1:$D$1, "ENGR-2300*")</f>
      </c>
      <c r="L45" s="182">
        <f>SUM(F45:K45)</f>
      </c>
      <c r="M45" s="3"/>
      <c r="N45" s="3"/>
      <c r="O45" s="3"/>
      <c r="P45" s="3"/>
      <c r="Q45" s="3"/>
      <c r="R45" s="3"/>
      <c r="S45" s="3"/>
      <c r="T45" s="3"/>
      <c r="U45" s="3"/>
    </row>
    <row x14ac:dyDescent="0.25" r="46" customHeight="1" ht="17.25">
      <c r="A46" s="5" t="s">
        <v>39</v>
      </c>
      <c r="B46" s="140" t="s">
        <v>126</v>
      </c>
      <c r="C46" s="3"/>
      <c r="D46" s="183">
        <f>COUNTIF(A:A, "ENGR-2400*")</f>
      </c>
      <c r="E46" s="184" t="s">
        <v>162</v>
      </c>
      <c r="F46" s="180">
        <f>COUNTIF('6a'!$B$1:$K$1, "ENGR-2400*")</f>
      </c>
      <c r="G46" s="185">
        <f>COUNTIF('6b'!$B$1:$H$1, "ENGR-2400*")</f>
      </c>
      <c r="H46" s="185">
        <f>COUNTIF('6c'!$B$1:$K$1, "ENGR-2400*")</f>
      </c>
      <c r="I46" s="185">
        <f>COUNTIF('6d'!$B$1:$D$1, "ENGR-2400*")</f>
      </c>
      <c r="J46" s="188">
        <f>COUNTIFS('6e'!$B$1:$M$1, "ENGR-2400*")</f>
      </c>
      <c r="K46" s="188">
        <f>COUNTIFS('6f'!$B$1:$D$1, "ENGR-2400*")</f>
      </c>
      <c r="L46" s="182">
        <f>SUM(F46:K46)</f>
      </c>
      <c r="M46" s="3"/>
      <c r="N46" s="3"/>
      <c r="O46" s="3"/>
      <c r="P46" s="3"/>
      <c r="Q46" s="3"/>
      <c r="R46" s="3"/>
      <c r="S46" s="3"/>
      <c r="T46" s="3"/>
      <c r="U46" s="3"/>
    </row>
    <row x14ac:dyDescent="0.25" r="47" customHeight="1" ht="17.25">
      <c r="A47" s="5" t="s">
        <v>40</v>
      </c>
      <c r="B47" s="147" t="s">
        <v>126</v>
      </c>
      <c r="C47" s="3"/>
      <c r="D47" s="183">
        <f>COUNTIF(A:A, "ENGR-3300*")</f>
      </c>
      <c r="E47" s="184" t="s">
        <v>163</v>
      </c>
      <c r="F47" s="180">
        <f>COUNTIF('6a'!$B$1:$K$1, "ENGR-4300*")</f>
      </c>
      <c r="G47" s="185">
        <f>COUNTIF('6b'!$B$1:$H$1, "ENGR-3300*")</f>
      </c>
      <c r="H47" s="185">
        <f>COUNTIF('6c'!$B$1:$K$1, "ENGR-3300*")</f>
      </c>
      <c r="I47" s="185">
        <f>COUNTIF('6d'!$B$1:$D$1, "ENGR-3300*")</f>
      </c>
      <c r="J47" s="188">
        <f>COUNTIFS('6e'!$B$1:$M$1, "ENGR-3300*")</f>
      </c>
      <c r="K47" s="188">
        <f>COUNTIFS('6f'!$B$1:$D$1, "ENGR-3300*")</f>
      </c>
      <c r="L47" s="182">
        <f>SUM(F47:K47)</f>
      </c>
      <c r="M47" s="3"/>
      <c r="N47" s="3"/>
      <c r="O47" s="3"/>
      <c r="P47" s="3"/>
      <c r="Q47" s="3"/>
      <c r="R47" s="3"/>
      <c r="S47" s="3"/>
      <c r="T47" s="3"/>
      <c r="U47" s="3"/>
    </row>
    <row x14ac:dyDescent="0.25" r="48" customHeight="1" ht="17.25">
      <c r="A48" s="5" t="s">
        <v>41</v>
      </c>
      <c r="B48" s="147" t="s">
        <v>126</v>
      </c>
      <c r="C48" s="3"/>
      <c r="D48" s="183">
        <f>COUNTIF(A:A, "EPHY-1170*")</f>
      </c>
      <c r="E48" s="190" t="s">
        <v>164</v>
      </c>
      <c r="F48" s="191">
        <f>COUNTIF('6a'!$B$1:$K$1, "EPHY-1170*")</f>
      </c>
      <c r="G48" s="185">
        <f>COUNTIF('6b'!$B$1:$H$1, "EPHY-1170*")</f>
      </c>
      <c r="H48" s="185">
        <f>COUNTIF('6c'!$B$1:$K$1, "EPHY-1170*")</f>
      </c>
      <c r="I48" s="185">
        <f>COUNTIF('6d'!$B$1:$D$1, "EPHY-1170*")</f>
      </c>
      <c r="J48" s="188">
        <f>COUNTIFS('6e'!$B$1:$M$1, "EPHY-1170*")</f>
      </c>
      <c r="K48" s="188">
        <f>COUNTIFS('6f'!$B$1:$D$1, "EPHY-1170*")</f>
      </c>
      <c r="L48" s="182">
        <f>SUM(F48:K48)</f>
      </c>
      <c r="M48" s="3"/>
      <c r="N48" s="3"/>
      <c r="O48" s="3"/>
      <c r="P48" s="3"/>
      <c r="Q48" s="3"/>
      <c r="R48" s="3"/>
      <c r="S48" s="3"/>
      <c r="T48" s="3"/>
      <c r="U48" s="3"/>
    </row>
    <row x14ac:dyDescent="0.25" r="49" customHeight="1" ht="16.5">
      <c r="A49" s="126"/>
      <c r="B49" s="3"/>
      <c r="C49" s="127"/>
      <c r="D49" s="183">
        <f>COUNTIF(A:A, "EPHY-1270*")</f>
      </c>
      <c r="E49" s="184" t="s">
        <v>165</v>
      </c>
      <c r="F49" s="192">
        <f>COUNTIF('6a'!$B$1:$K$1, "EPHY-1270*")</f>
      </c>
      <c r="G49" s="185">
        <f>COUNTIF('6b'!$B$1:$H$1, "EPHY-1270*")</f>
      </c>
      <c r="H49" s="185">
        <f>COUNTIF('6c'!$B$1:$K$1, "EPHY-1270*")</f>
      </c>
      <c r="I49" s="185">
        <f>COUNTIF('6d'!$B$1:$D$1, "EPHY-1270*")</f>
      </c>
      <c r="J49" s="188">
        <f>COUNTIFS('6e'!$B$1:$M$1, "EPHY-1270*")</f>
      </c>
      <c r="K49" s="188">
        <f>COUNTIFS('6f'!$B$1:$D$1, "EPHY-1270*")</f>
      </c>
      <c r="L49" s="182">
        <f>SUM(F49:K49)</f>
      </c>
      <c r="M49" s="3"/>
      <c r="N49" s="3"/>
      <c r="O49" s="3"/>
      <c r="P49" s="3"/>
      <c r="Q49" s="3"/>
      <c r="R49" s="3"/>
      <c r="S49" s="3"/>
      <c r="T49" s="3"/>
      <c r="U49" s="3"/>
    </row>
    <row x14ac:dyDescent="0.25" r="50" customHeight="1" ht="19.5">
      <c r="A50" s="126"/>
      <c r="B50" s="3"/>
      <c r="C50" s="127"/>
      <c r="D50" s="183">
        <f>COUNTIF(A:A, "EPHY-1700*")</f>
      </c>
      <c r="E50" s="184" t="s">
        <v>166</v>
      </c>
      <c r="F50" s="193">
        <f>COUNTIF('6a'!$B$1:$K$1, "EPHY-1700*")</f>
      </c>
      <c r="G50" s="185">
        <f>COUNTIF('6b'!$B$1:$H$1, "EPHY-1700*")</f>
      </c>
      <c r="H50" s="185">
        <f>COUNTIF('6c'!$B$1:$K$1, "EPHY-1700*")</f>
      </c>
      <c r="I50" s="185">
        <f>COUNTIF('6d'!$B$1:$D$1, "EPHY-1700*")</f>
      </c>
      <c r="J50" s="188">
        <f>COUNTIFS('6e'!$B$1:$M$1, "EPHY-1700*")</f>
      </c>
      <c r="K50" s="188">
        <f>COUNTIFS('6f'!$B$1:$D$1, "EPHY1700*")</f>
      </c>
      <c r="L50" s="182">
        <f>SUM(F50:K50)</f>
      </c>
      <c r="M50" s="3"/>
      <c r="N50" s="3"/>
      <c r="O50" s="3"/>
      <c r="P50" s="3"/>
      <c r="Q50" s="3"/>
      <c r="R50" s="3"/>
      <c r="S50" s="3"/>
      <c r="T50" s="3"/>
      <c r="U50" s="3"/>
    </row>
    <row x14ac:dyDescent="0.25" r="51" customHeight="1" ht="19.5">
      <c r="A51" s="126"/>
      <c r="B51" s="3"/>
      <c r="C51" s="127"/>
      <c r="D51" s="183">
        <f>COUNTIF(A:A, "EPHY-2200*")</f>
      </c>
      <c r="E51" s="184" t="s">
        <v>167</v>
      </c>
      <c r="F51" s="185">
        <f>COUNTIF('6a'!$B$1:$K$1, "EPHY-2200*")</f>
      </c>
      <c r="G51" s="185">
        <f>COUNTIF('6b'!$B$1:$H$1, "EPHY-2200*")</f>
      </c>
      <c r="H51" s="185">
        <f>COUNTIF('6c'!$B$1:$K$1, "EPHY-2200*")</f>
      </c>
      <c r="I51" s="185">
        <f>COUNTIF('6d'!$B$1:$D$1, "EPHY-2200*")</f>
      </c>
      <c r="J51" s="188">
        <f>COUNTIFS('6e'!$B$1:$M$1, "EPHY-2200*")</f>
      </c>
      <c r="K51" s="188">
        <f>COUNTIFS('6f'!$B$1:$D$1, "EPHY-2200*")</f>
      </c>
      <c r="L51" s="182">
        <f>SUM(F51:K51)</f>
      </c>
      <c r="M51" s="3"/>
      <c r="N51" s="3"/>
      <c r="O51" s="3"/>
      <c r="P51" s="3"/>
      <c r="Q51" s="3"/>
      <c r="R51" s="3"/>
      <c r="S51" s="3"/>
      <c r="T51" s="3"/>
      <c r="U51" s="3"/>
    </row>
    <row x14ac:dyDescent="0.25" r="52" customHeight="1" ht="19.5">
      <c r="A52" s="126"/>
      <c r="B52" s="3"/>
      <c r="C52" s="127"/>
      <c r="D52" s="183">
        <f>COUNTIF(A:A, "EPHY-2300*")</f>
      </c>
      <c r="E52" s="194" t="s">
        <v>168</v>
      </c>
      <c r="F52" s="180">
        <f>COUNTIF('6a'!$B$1:$K$1, "EPHY-2300*")</f>
      </c>
      <c r="G52" s="185">
        <f>COUNTIF('6b'!$B$1:$H$1, "EPHY-2300*")</f>
      </c>
      <c r="H52" s="185">
        <f>COUNTIF('6c'!$B$1:$K$1, "EPHY-2300*")</f>
      </c>
      <c r="I52" s="185">
        <f>COUNTIF('6d'!$B$1:$D$1, "EPHY-2300*")</f>
      </c>
      <c r="J52" s="188">
        <f>COUNTIFS('6e'!$B$1:$M$1, "EPHY-2300*")</f>
      </c>
      <c r="K52" s="188">
        <f>COUNTIFS('6f'!$B$1:$D$1, "EPHY-2300*")</f>
      </c>
      <c r="L52" s="182">
        <f>SUM(F52:K52)</f>
      </c>
      <c r="M52" s="3"/>
      <c r="N52" s="3"/>
      <c r="O52" s="3"/>
      <c r="P52" s="3"/>
      <c r="Q52" s="3"/>
      <c r="R52" s="3"/>
      <c r="S52" s="3"/>
      <c r="T52" s="3"/>
      <c r="U52" s="3"/>
    </row>
    <row x14ac:dyDescent="0.25" r="53" customHeight="1" ht="19.5">
      <c r="A53" s="126"/>
      <c r="B53" s="3"/>
      <c r="C53" s="127"/>
      <c r="D53" s="183">
        <f>COUNTIF(A:A, "MATH-1130*")</f>
      </c>
      <c r="E53" s="195" t="s">
        <v>169</v>
      </c>
      <c r="F53" s="185">
        <f>COUNTIF('6a'!$B$1:$K$1, "MATH-1130*")</f>
      </c>
      <c r="G53" s="185">
        <f>COUNTIF('6b'!$B$1:$H$1, "MATH-1130*")</f>
      </c>
      <c r="H53" s="185">
        <f>COUNTIF('6c'!$B$1:$K$1, "MATH-1130*")</f>
      </c>
      <c r="I53" s="185">
        <f>COUNTIF('6d'!$B$1:$D$1, "MATH-1130*")</f>
      </c>
      <c r="J53" s="188">
        <f>COUNTIFS('6e'!$B$1:$M$1, "MATH-1130*")</f>
      </c>
      <c r="K53" s="188">
        <f>COUNTIFS('6f'!$B$1:$D$1, "MATH-1130*")</f>
      </c>
      <c r="L53" s="182">
        <f>SUM(F53:K53)</f>
      </c>
      <c r="M53" s="3"/>
      <c r="N53" s="3"/>
      <c r="O53" s="3"/>
      <c r="P53" s="3"/>
      <c r="Q53" s="3"/>
      <c r="R53" s="3"/>
      <c r="S53" s="3"/>
      <c r="T53" s="3"/>
      <c r="U53" s="3"/>
    </row>
    <row x14ac:dyDescent="0.25" r="54" customHeight="1" ht="19.5">
      <c r="A54" s="126"/>
      <c r="B54" s="3"/>
      <c r="C54" s="127"/>
      <c r="D54" s="183">
        <f>COUNTIF(A:A, "MATH-1230*")</f>
      </c>
      <c r="E54" s="184" t="s">
        <v>170</v>
      </c>
      <c r="F54" s="185">
        <f>COUNTIF('6a'!$B$1:$K$1, "MATH-1230*")</f>
      </c>
      <c r="G54" s="185">
        <f>COUNTIF('6b'!$B$1:$H$1, "MATH-1230*")</f>
      </c>
      <c r="H54" s="185">
        <f>COUNTIF('6c'!$B$1:$K$1, "MATH-1230*")</f>
      </c>
      <c r="I54" s="185">
        <f>COUNTIF('6d'!$B$1:$D$1, "MATH-1230*")</f>
      </c>
      <c r="J54" s="188">
        <f>COUNTIFS('6e'!$B$1:$M$1, "MATH-1230*")</f>
      </c>
      <c r="K54" s="188">
        <f>COUNTIFS('6f'!$B$1:$D$1, "MATH-1230*")</f>
      </c>
      <c r="L54" s="182">
        <f>SUM(F54:K54)</f>
      </c>
      <c r="M54" s="3"/>
      <c r="N54" s="3"/>
      <c r="O54" s="3"/>
      <c r="P54" s="3"/>
      <c r="Q54" s="3"/>
      <c r="R54" s="3"/>
      <c r="S54" s="3"/>
      <c r="T54" s="3"/>
      <c r="U54" s="3"/>
    </row>
    <row x14ac:dyDescent="0.25" r="55" customHeight="1" ht="19.5">
      <c r="A55" s="126"/>
      <c r="B55" s="3"/>
      <c r="C55" s="127"/>
      <c r="D55" s="183">
        <f>COUNTIF(A:A, "MATH-1300*")</f>
      </c>
      <c r="E55" s="194" t="s">
        <v>171</v>
      </c>
      <c r="F55" s="185">
        <f>COUNTIF('6a'!$B$1:$K$1, "MATH-1300*")</f>
      </c>
      <c r="G55" s="185">
        <f>COUNTIF('6b'!$B$1:$H$1, "MATH-1300*")</f>
      </c>
      <c r="H55" s="185">
        <f>COUNTIF('6c'!$B$1:$K$1, "MATH-1300*")</f>
      </c>
      <c r="I55" s="185">
        <f>COUNTIF('6d'!$B$1:$D$1, "MATH-1300*")</f>
      </c>
      <c r="J55" s="188">
        <f>COUNTIFS('6e'!$B$1:$M$1, "MATH-1300*")</f>
      </c>
      <c r="K55" s="188">
        <f>COUNTIFS('6f'!$B$1:$D$1, "MATH-1300*")</f>
      </c>
      <c r="L55" s="182">
        <f>SUM(F55:K55)</f>
      </c>
      <c r="M55" s="3"/>
      <c r="N55" s="3"/>
      <c r="O55" s="3"/>
      <c r="P55" s="3"/>
      <c r="Q55" s="3"/>
      <c r="R55" s="3"/>
      <c r="S55" s="3"/>
      <c r="T55" s="3"/>
      <c r="U55" s="3"/>
    </row>
    <row x14ac:dyDescent="0.25" r="56" customHeight="1" ht="19.5">
      <c r="A56" s="126"/>
      <c r="B56" s="3"/>
      <c r="C56" s="127"/>
      <c r="D56" s="183">
        <f>COUNTIF(A:A, "MATH-1700*")</f>
      </c>
      <c r="E56" s="195" t="s">
        <v>172</v>
      </c>
      <c r="F56" s="185">
        <f>COUNTIF('6a'!$B$1:$K$1, "MATH-1700*")</f>
      </c>
      <c r="G56" s="185">
        <f>COUNTIF('6b'!$B$1:$H$1, "MATH-1700*")</f>
      </c>
      <c r="H56" s="185">
        <f>COUNTIF('6c'!$B$1:$K$1, "MATH-1700*")</f>
      </c>
      <c r="I56" s="185">
        <f>COUNTIF('6d'!$B$1:$D$1, "MATH-1700*")</f>
      </c>
      <c r="J56" s="188">
        <f>COUNTIFS('6e'!$B$1:$M$1, "MATH-1700*")</f>
      </c>
      <c r="K56" s="188">
        <f>COUNTIFS('6f'!$B$1:$D$1, "MATH-1700*")</f>
      </c>
      <c r="L56" s="182">
        <f>SUM(F56:K56)</f>
      </c>
      <c r="M56" s="3"/>
      <c r="N56" s="3"/>
      <c r="O56" s="3"/>
      <c r="P56" s="3"/>
      <c r="Q56" s="3"/>
      <c r="R56" s="3"/>
      <c r="S56" s="3"/>
      <c r="T56" s="3"/>
      <c r="U56" s="3"/>
    </row>
    <row x14ac:dyDescent="0.25" r="57" customHeight="1" ht="19.5">
      <c r="A57" s="126"/>
      <c r="B57" s="3"/>
      <c r="C57" s="127"/>
      <c r="D57" s="183">
        <f>COUNTIF(A:A, "PHYS-2150*")</f>
      </c>
      <c r="E57" s="195" t="s">
        <v>173</v>
      </c>
      <c r="F57" s="185">
        <f>COUNTIF('6a'!$B$1:$K$1, "PHYS-2150*")</f>
      </c>
      <c r="G57" s="185">
        <f>COUNTIF('6b'!$B$1:$H$1, "PHYS-2150*")</f>
      </c>
      <c r="H57" s="185">
        <f>COUNTIF('6c'!$B$1:$K$1, "PHYS-2150*")</f>
      </c>
      <c r="I57" s="185">
        <f>COUNTIF('6d'!$B$1:$D$1, "PHYS-2150*")</f>
      </c>
      <c r="J57" s="188">
        <f>COUNTIFS('6e'!$B$1:$M$1, "PHYS-2150*")</f>
      </c>
      <c r="K57" s="188">
        <f>COUNTIFS('6f'!$B$1:$D$1, "PHYS-2150*")</f>
      </c>
      <c r="L57" s="182">
        <f>SUM(F57:K57)</f>
      </c>
      <c r="M57" s="3"/>
      <c r="N57" s="3"/>
      <c r="O57" s="3"/>
      <c r="P57" s="3"/>
      <c r="Q57" s="3"/>
      <c r="R57" s="3"/>
      <c r="S57" s="3"/>
      <c r="T57" s="3"/>
      <c r="U57" s="3"/>
    </row>
    <row x14ac:dyDescent="0.25" r="58" customHeight="1" ht="19.5">
      <c r="A58" s="126"/>
      <c r="B58" s="3"/>
      <c r="C58" s="127"/>
      <c r="D58" s="183">
        <f>COUNTIF(A:A, "SENG-1110*")</f>
      </c>
      <c r="E58" s="195" t="s">
        <v>174</v>
      </c>
      <c r="F58" s="185">
        <f>COUNTIF('6a'!$B$1:$K$1, "SENG-1110*")</f>
      </c>
      <c r="G58" s="185">
        <f>COUNTIF('6b'!$B$1:$H$1, "SENG-1110*")</f>
      </c>
      <c r="H58" s="185">
        <f>COUNTIF('6c'!$B$1:$K$1, "SENG-1110*")</f>
      </c>
      <c r="I58" s="185">
        <f>COUNTIF('6d'!$B$1:$D$1, "SENG-1110*")</f>
      </c>
      <c r="J58" s="188">
        <f>COUNTIFS('6e'!$B$1:$M$1, "SENG-1110*")</f>
      </c>
      <c r="K58" s="188">
        <f>COUNTIFS('6f'!$B$1:$D$1, "SENG-1110*")</f>
      </c>
      <c r="L58" s="182">
        <f>SUM(F58:K58)</f>
      </c>
      <c r="M58" s="3"/>
      <c r="N58" s="3"/>
      <c r="O58" s="3"/>
      <c r="P58" s="3"/>
      <c r="Q58" s="3"/>
      <c r="R58" s="3"/>
      <c r="S58" s="3"/>
      <c r="T58" s="3"/>
      <c r="U58" s="3"/>
    </row>
    <row x14ac:dyDescent="0.25" r="59" customHeight="1" ht="19.5">
      <c r="A59" s="126"/>
      <c r="B59" s="3"/>
      <c r="C59" s="127"/>
      <c r="D59" s="183">
        <f>COUNTIF(A:A, "SENG-1210*")</f>
      </c>
      <c r="E59" s="196" t="s">
        <v>175</v>
      </c>
      <c r="F59" s="187">
        <f>COUNTIF('6a'!$B$1:$K$1, "SENG-1210*")</f>
      </c>
      <c r="G59" s="185">
        <f>COUNTIF('6b'!$B$1:$H$1, "SENG-1210*")</f>
      </c>
      <c r="H59" s="185">
        <f>COUNTIF('6c'!$B$1:$K$1, "SENG-1210*")</f>
      </c>
      <c r="I59" s="185">
        <f>COUNTIF('6d'!$B$1:$D$1, "SENG-1210*")</f>
      </c>
      <c r="J59" s="188">
        <f>COUNTIFS('6e'!$B$1:$M$1, "SENG-1210*")</f>
      </c>
      <c r="K59" s="188">
        <f>COUNTIFS('6f'!$B$1:$D$1, "SENG-1210*")</f>
      </c>
      <c r="L59" s="182">
        <f>SUM(F59:K59)</f>
      </c>
      <c r="M59" s="3"/>
      <c r="N59" s="3"/>
      <c r="O59" s="3"/>
      <c r="P59" s="3"/>
      <c r="Q59" s="3"/>
      <c r="R59" s="3"/>
      <c r="S59" s="3"/>
      <c r="T59" s="3"/>
      <c r="U59" s="3"/>
    </row>
    <row x14ac:dyDescent="0.25" r="60" customHeight="1" ht="19.5">
      <c r="A60" s="126"/>
      <c r="B60" s="3"/>
      <c r="C60" s="127"/>
      <c r="D60" s="183">
        <f>COUNTIF(A:A, "SENG-3110*")</f>
      </c>
      <c r="E60" s="184" t="s">
        <v>176</v>
      </c>
      <c r="F60" s="185">
        <f>COUNTIF('6a'!$B$1:$K$1, "SENG-3110*")</f>
      </c>
      <c r="G60" s="185">
        <f>COUNTIF('6b'!$B$1:$H$1, "SENG-3110*")</f>
      </c>
      <c r="H60" s="185">
        <f>COUNTIF('6c'!$B$1:$K$1, "SENG-3110*")</f>
      </c>
      <c r="I60" s="185">
        <f>COUNTIF('6d'!$B$1:$D$1, "SENG-3110*")</f>
      </c>
      <c r="J60" s="188">
        <f>COUNTIFS('6e'!$B$1:$M$1, "SENG-3110*")</f>
      </c>
      <c r="K60" s="188">
        <f>COUNTIFS('6f'!$B$1:$D$1, "SENG-3110*")</f>
      </c>
      <c r="L60" s="182">
        <f>SUM(F60:K60)</f>
      </c>
      <c r="M60" s="3"/>
      <c r="N60" s="3"/>
      <c r="O60" s="3"/>
      <c r="P60" s="3"/>
      <c r="Q60" s="3"/>
      <c r="R60" s="3"/>
      <c r="S60" s="3"/>
      <c r="T60" s="3"/>
      <c r="U60" s="3"/>
    </row>
    <row x14ac:dyDescent="0.25" r="61" customHeight="1" ht="19.5">
      <c r="A61" s="126"/>
      <c r="B61" s="3"/>
      <c r="C61" s="127"/>
      <c r="D61" s="183">
        <f>COUNTIF(A:A, "SENG-3120*")</f>
      </c>
      <c r="E61" s="184" t="s">
        <v>12</v>
      </c>
      <c r="F61" s="185">
        <f>COUNTIF('6a'!$B$1:$K$1, "SENG-3120*")</f>
      </c>
      <c r="G61" s="185">
        <f>COUNTIF('6b'!$B$1:$H$1, "SENG-3120*")</f>
      </c>
      <c r="H61" s="185">
        <f>COUNTIF('6c'!$B$1:$K$1, "SENG-3120*")</f>
      </c>
      <c r="I61" s="185">
        <f>COUNTIF('6d'!$B$1:$D$1, "SENG-3120*")</f>
      </c>
      <c r="J61" s="188">
        <f>COUNTIFS('6e'!$B$1:$M$1, "SENG-3120*")</f>
      </c>
      <c r="K61" s="188">
        <f>COUNTIFS('6f'!$B$1:$D$1, "SENG-3120*")</f>
      </c>
      <c r="L61" s="182">
        <f>SUM(F61:K61)</f>
      </c>
      <c r="M61" s="3"/>
      <c r="N61" s="3"/>
      <c r="O61" s="3"/>
      <c r="P61" s="3"/>
      <c r="Q61" s="3"/>
      <c r="R61" s="3"/>
      <c r="S61" s="3"/>
      <c r="T61" s="3"/>
      <c r="U61" s="3"/>
    </row>
    <row x14ac:dyDescent="0.25" r="62" customHeight="1" ht="19.5">
      <c r="A62" s="126"/>
      <c r="B62" s="3"/>
      <c r="C62" s="141"/>
      <c r="D62" s="183">
        <f>COUNTIF(A:A, "SENG-3130*")</f>
      </c>
      <c r="E62" s="184" t="s">
        <v>9</v>
      </c>
      <c r="F62" s="185">
        <f>COUNTIF('6a'!$B$1:$K$1, "SENG-3130*")</f>
      </c>
      <c r="G62" s="185">
        <f>COUNTIF('6b'!$B$1:$H$1, "SENG-3130*")</f>
      </c>
      <c r="H62" s="185">
        <f>COUNTIF('6c'!$B$1:$K$1, "SENG-3130*")</f>
      </c>
      <c r="I62" s="185">
        <f>COUNTIF('6d'!$B$1:$D$1, "SENG-3130*")</f>
      </c>
      <c r="J62" s="188">
        <f>COUNTIFS('6e'!$B$1:$M$1, "SENG-3130*")</f>
      </c>
      <c r="K62" s="188">
        <f>COUNTIFS('6f'!$B$1:$D$1, "SENG-3130*")</f>
      </c>
      <c r="L62" s="182">
        <f>SUM(F62:K62)</f>
      </c>
      <c r="M62" s="172"/>
      <c r="N62" s="3"/>
      <c r="O62" s="3"/>
      <c r="P62" s="3"/>
      <c r="Q62" s="3"/>
      <c r="R62" s="3"/>
      <c r="S62" s="3"/>
      <c r="T62" s="3"/>
      <c r="U62" s="3"/>
    </row>
    <row x14ac:dyDescent="0.25" r="63" customHeight="1" ht="19.5">
      <c r="A63" s="126"/>
      <c r="B63" s="3"/>
      <c r="C63" s="141"/>
      <c r="D63" s="183">
        <f>COUNTIF(A:A, "SENG-3210*")</f>
      </c>
      <c r="E63" s="184" t="s">
        <v>177</v>
      </c>
      <c r="F63" s="185">
        <f>COUNTIF('6a'!$B$1:$K$1, "SENG-3210*")</f>
      </c>
      <c r="G63" s="185">
        <f>COUNTIF('6b'!$B$1:$H$1, "SENG-3210*")</f>
      </c>
      <c r="H63" s="185">
        <f>COUNTIF('6c'!$B$1:$K$1, "SENG-3210*")</f>
      </c>
      <c r="I63" s="185">
        <f>COUNTIF('6d'!$B$1:$D$1, "SENG-3210*")</f>
      </c>
      <c r="J63" s="188">
        <f>COUNTIFS('6e'!$B$1:$M$1, "SENG-3210*")</f>
      </c>
      <c r="K63" s="188">
        <f>COUNTIFS('6f'!$B$1:$D$1, "SENG-3210*")</f>
      </c>
      <c r="L63" s="182">
        <f>SUM(F63:K63)</f>
      </c>
      <c r="M63" s="172"/>
      <c r="N63" s="3"/>
      <c r="O63" s="3"/>
      <c r="P63" s="3"/>
      <c r="Q63" s="3"/>
      <c r="R63" s="3"/>
      <c r="S63" s="3"/>
      <c r="T63" s="3"/>
      <c r="U63" s="3"/>
    </row>
    <row x14ac:dyDescent="0.25" r="64" customHeight="1" ht="19.5">
      <c r="A64" s="126"/>
      <c r="B64" s="3"/>
      <c r="C64" s="141"/>
      <c r="D64" s="183">
        <f>COUNTIF(A:A, "SENG-4100*")</f>
      </c>
      <c r="E64" s="184" t="s">
        <v>178</v>
      </c>
      <c r="F64" s="185">
        <f>COUNTIF('6a'!$B$1:$K$1, "SENG-4100*")</f>
      </c>
      <c r="G64" s="185">
        <f>COUNTIF('6b'!$B$1:$H$1, "SENG-4100*")</f>
      </c>
      <c r="H64" s="185">
        <f>COUNTIF('6c'!$B$1:$K$1, "SENG-4100*")</f>
      </c>
      <c r="I64" s="185">
        <f>COUNTIF('6d'!$B$1:$D$1, "SENG-4100*")</f>
      </c>
      <c r="J64" s="188">
        <f>COUNTIFS('6e'!$B$1:$M$1, "SENG-4100*")</f>
      </c>
      <c r="K64" s="188">
        <f>COUNTIFS('6f'!$B$1:$D$1, "SENG-4100*")</f>
      </c>
      <c r="L64" s="182">
        <f>SUM(F64:K64)</f>
      </c>
      <c r="M64" s="172"/>
      <c r="N64" s="3"/>
      <c r="O64" s="3"/>
      <c r="P64" s="3"/>
      <c r="Q64" s="3"/>
      <c r="R64" s="3"/>
      <c r="S64" s="3"/>
      <c r="T64" s="3"/>
      <c r="U64" s="3"/>
    </row>
    <row x14ac:dyDescent="0.25" r="65" customHeight="1" ht="19.5">
      <c r="A65" s="126"/>
      <c r="B65" s="3"/>
      <c r="C65" s="141"/>
      <c r="D65" s="183">
        <f>COUNTIF(A:A, "SENG-4110*")</f>
      </c>
      <c r="E65" s="179" t="s">
        <v>179</v>
      </c>
      <c r="F65" s="197">
        <f>COUNTIF('6a'!$B$1:$K$1, "SENG-4110*")</f>
      </c>
      <c r="G65" s="185">
        <f>COUNTIF('6b'!$B$1:$H$1, "SENG-4110*")</f>
      </c>
      <c r="H65" s="185">
        <f>COUNTIF('6c'!$B$1:$K$1, "SENG-4110*")</f>
      </c>
      <c r="I65" s="185">
        <f>COUNTIF('6d'!$B$1:$D$1, "SENG-4110*")</f>
      </c>
      <c r="J65" s="188">
        <f>COUNTIFS('6e'!$B$1:$M$1, "SENG-4110*")</f>
      </c>
      <c r="K65" s="188">
        <f>COUNTIFS('6f'!$B$1:$D$1, "SENG-4110*")</f>
      </c>
      <c r="L65" s="182">
        <f>SUM(F65:K65)</f>
      </c>
      <c r="M65" s="172"/>
      <c r="N65" s="3"/>
      <c r="O65" s="3"/>
      <c r="P65" s="3"/>
      <c r="Q65" s="3"/>
      <c r="R65" s="3"/>
      <c r="S65" s="3"/>
      <c r="T65" s="3"/>
      <c r="U65" s="3"/>
    </row>
    <row x14ac:dyDescent="0.25" r="66" customHeight="1" ht="19.5">
      <c r="A66" s="126"/>
      <c r="B66" s="3"/>
      <c r="C66" s="141"/>
      <c r="D66" s="183">
        <f>COUNTIF(A:A, "SENG-4120*")</f>
      </c>
      <c r="E66" s="179" t="s">
        <v>180</v>
      </c>
      <c r="F66" s="197">
        <f>COUNTIF('6a'!$B$1:$K$1, "SENG-4120*")</f>
      </c>
      <c r="G66" s="185">
        <f>COUNTIF('6b'!$B$1:$H$1, "SENG-4120*")</f>
      </c>
      <c r="H66" s="185">
        <f>COUNTIF('6c'!$B$1:$K$1, "SENG-4120*")</f>
      </c>
      <c r="I66" s="185">
        <f>COUNTIF('6d'!$B$1:$D$1, "SENG-4120*")</f>
      </c>
      <c r="J66" s="188">
        <f>COUNTIFS('6e'!$B$1:$M$1, "SENG-4120*")</f>
      </c>
      <c r="K66" s="188">
        <f>COUNTIFS('6f'!$B$1:$D$1, "SENG-4120*")</f>
      </c>
      <c r="L66" s="182">
        <f>SUM(F66:K66)</f>
      </c>
      <c r="M66" s="172"/>
      <c r="N66" s="3"/>
      <c r="O66" s="3"/>
      <c r="P66" s="3"/>
      <c r="Q66" s="3"/>
      <c r="R66" s="3"/>
      <c r="S66" s="3"/>
      <c r="T66" s="3"/>
      <c r="U66" s="3"/>
    </row>
    <row x14ac:dyDescent="0.25" r="67" customHeight="1" ht="19.5">
      <c r="A67" s="126"/>
      <c r="B67" s="3"/>
      <c r="C67" s="141"/>
      <c r="D67" s="183">
        <f>COUNTIF(A:A, "SENG-4130*")</f>
      </c>
      <c r="E67" s="184" t="s">
        <v>181</v>
      </c>
      <c r="F67" s="198">
        <f>COUNTIF('6a'!$B$1:$K$1, "SENG-4130*")</f>
      </c>
      <c r="G67" s="185">
        <f>COUNTIF('6b'!$B$1:$H$1, "SENG-4130*")</f>
      </c>
      <c r="H67" s="185">
        <f>COUNTIF('6c'!$B$1:$K$1, "SENG-4130*")</f>
      </c>
      <c r="I67" s="185">
        <f>COUNTIF('6d'!$B$1:$D$1, "SENG-4130*")</f>
      </c>
      <c r="J67" s="188">
        <f>COUNTIFS('6e'!$B$1:$M$1, "SENG-4130*")</f>
      </c>
      <c r="K67" s="188">
        <f>COUNTIFS('6f'!$B$1:$D$1, "SENG-4130*")</f>
      </c>
      <c r="L67" s="182">
        <f>SUM(F67:K67)</f>
      </c>
      <c r="M67" s="172"/>
      <c r="N67" s="3"/>
      <c r="O67" s="3"/>
      <c r="P67" s="3"/>
      <c r="Q67" s="3"/>
      <c r="R67" s="3"/>
      <c r="S67" s="3"/>
      <c r="T67" s="3"/>
      <c r="U67" s="3"/>
    </row>
    <row x14ac:dyDescent="0.25" r="68" customHeight="1" ht="19.5">
      <c r="A68" s="126"/>
      <c r="B68" s="3"/>
      <c r="C68" s="141"/>
      <c r="D68" s="183">
        <f>COUNTIF(A:A, "SENG-4140*")</f>
      </c>
      <c r="E68" s="184" t="s">
        <v>182</v>
      </c>
      <c r="F68" s="198">
        <f>COUNTIF('6a'!$B$1:$K$1, "SENG-4140*")</f>
      </c>
      <c r="G68" s="185">
        <f>COUNTIF('6b'!$B$1:$H$1, "SENG-4140*")</f>
      </c>
      <c r="H68" s="185">
        <f>COUNTIF('6c'!$B$1:$K$1, "SENG-4140*")</f>
      </c>
      <c r="I68" s="185">
        <f>COUNTIF('6d'!$B$1:$D$1, "SENG-4140*")</f>
      </c>
      <c r="J68" s="188">
        <f>COUNTIFS('6e'!$B$1:$M$1, "SENG-4140*")</f>
      </c>
      <c r="K68" s="188">
        <f>COUNTIFS('6f'!$B$1:$D$1, "SENG-4140*")</f>
      </c>
      <c r="L68" s="182">
        <f>SUM(F68:K68)</f>
      </c>
      <c r="M68" s="172"/>
      <c r="N68" s="3"/>
      <c r="O68" s="3"/>
      <c r="P68" s="3"/>
      <c r="Q68" s="3"/>
      <c r="R68" s="3"/>
      <c r="S68" s="3"/>
      <c r="T68" s="3"/>
      <c r="U68" s="3"/>
    </row>
    <row x14ac:dyDescent="0.25" r="69" customHeight="1" ht="19.5">
      <c r="A69" s="126"/>
      <c r="B69" s="3"/>
      <c r="C69" s="141"/>
      <c r="D69" s="183">
        <f>COUNTIF(A:A, "SENG-4220*")</f>
      </c>
      <c r="E69" s="184" t="s">
        <v>183</v>
      </c>
      <c r="F69" s="198">
        <f>COUNTIF('6a'!$B$1:$K$1, "SENG-4220*")</f>
      </c>
      <c r="G69" s="185">
        <f>COUNTIF('6b'!$B$1:$H$1, "SENG-4220*")</f>
      </c>
      <c r="H69" s="185">
        <f>COUNTIF('6c'!$B$1:$K$1, "SENG-4220*")</f>
      </c>
      <c r="I69" s="185">
        <f>COUNTIF('6d'!$B$1:$D$1, "SENG-4220*")</f>
      </c>
      <c r="J69" s="188">
        <f>COUNTIFS('6e'!$B$1:$M$1, "SENG-4220*")</f>
      </c>
      <c r="K69" s="188">
        <f>COUNTIFS('6f'!$B$1:$D$1, "SENG-4220*")</f>
      </c>
      <c r="L69" s="182">
        <f>SUM(F69:K69)</f>
      </c>
      <c r="M69" s="172"/>
      <c r="N69" s="3"/>
      <c r="O69" s="3"/>
      <c r="P69" s="3"/>
      <c r="Q69" s="3"/>
      <c r="R69" s="3"/>
      <c r="S69" s="3"/>
      <c r="T69" s="3"/>
      <c r="U69" s="3"/>
    </row>
    <row x14ac:dyDescent="0.25" r="70" customHeight="1" ht="19.5">
      <c r="A70" s="126"/>
      <c r="B70" s="3"/>
      <c r="C70" s="141"/>
      <c r="D70" s="183">
        <f>COUNTIF(A:A, "SENG-4230*")</f>
      </c>
      <c r="E70" s="184" t="s">
        <v>184</v>
      </c>
      <c r="F70" s="198">
        <f>COUNTIF('6a'!$B$1:$K$1, "SENG-4230*")</f>
      </c>
      <c r="G70" s="185">
        <f>COUNTIF('6b'!$B$1:$H$1, "SENG-4230*")</f>
      </c>
      <c r="H70" s="185">
        <f>COUNTIF('6c'!$B$1:$K$1, "SENG-4230*")</f>
      </c>
      <c r="I70" s="185">
        <f>COUNTIF('6d'!$B$1:$D$1, "SENG-4230*")</f>
      </c>
      <c r="J70" s="188">
        <f>COUNTIFS('6e'!$B$1:$M$1, "SENG-4230*")</f>
      </c>
      <c r="K70" s="188">
        <f>COUNTIFS('6f'!$B$1:$D$1, "SENG-4230*")</f>
      </c>
      <c r="L70" s="182">
        <f>SUM(F70:K70)</f>
      </c>
      <c r="M70" s="172"/>
      <c r="N70" s="3"/>
      <c r="O70" s="3"/>
      <c r="P70" s="3"/>
      <c r="Q70" s="3"/>
      <c r="R70" s="3"/>
      <c r="S70" s="3"/>
      <c r="T70" s="3"/>
      <c r="U70" s="3"/>
    </row>
    <row x14ac:dyDescent="0.25" r="71" customHeight="1" ht="19.5">
      <c r="A71" s="126"/>
      <c r="B71" s="3"/>
      <c r="C71" s="141"/>
      <c r="D71" s="183">
        <f>COUNTIF(A:A, "SENG-4610*")</f>
      </c>
      <c r="E71" s="184" t="s">
        <v>185</v>
      </c>
      <c r="F71" s="198">
        <f>COUNTIF('6a'!$B$1:$K$1, "SENG-4610*")</f>
      </c>
      <c r="G71" s="185">
        <f>COUNTIF('6b'!$B$1:$H$1, "SENG-4610*")</f>
      </c>
      <c r="H71" s="185">
        <f>COUNTIF('6c'!$B$1:$K$1, "SENG-4610*")</f>
      </c>
      <c r="I71" s="185">
        <f>COUNTIF('6d'!$B$1:$D$1, "SENG-4610*")</f>
      </c>
      <c r="J71" s="188">
        <f>COUNTIFS('6e'!$B$1:$M$1, "SENG-4610*")</f>
      </c>
      <c r="K71" s="188">
        <f>COUNTIFS('6f'!$B$1:$D$1, "SENG-4610*")</f>
      </c>
      <c r="L71" s="182">
        <f>SUM(F71:K71)</f>
      </c>
      <c r="M71" s="172"/>
      <c r="N71" s="3"/>
      <c r="O71" s="3"/>
      <c r="P71" s="3"/>
      <c r="Q71" s="3"/>
      <c r="R71" s="3"/>
      <c r="S71" s="3"/>
      <c r="T71" s="3"/>
      <c r="U71" s="3"/>
    </row>
    <row x14ac:dyDescent="0.25" r="72" customHeight="1" ht="19.5">
      <c r="A72" s="126"/>
      <c r="B72" s="3"/>
      <c r="C72" s="141"/>
      <c r="D72" s="183">
        <f>COUNTIF(A:A, "SENG-4620*")</f>
      </c>
      <c r="E72" s="184" t="s">
        <v>186</v>
      </c>
      <c r="F72" s="198">
        <f>COUNTIF('6a'!$B$1:$K$1, "SENG-4620*")</f>
      </c>
      <c r="G72" s="185">
        <f>COUNTIF('6b'!$B$1:$H$1, "SENG-4620*")</f>
      </c>
      <c r="H72" s="185">
        <f>COUNTIF('6c'!$B$1:$K$1, "SENG-4620*")</f>
      </c>
      <c r="I72" s="185">
        <f>COUNTIF('6d'!$B$1:$D$1, "SENG-4620*")</f>
      </c>
      <c r="J72" s="188">
        <f>COUNTIFS('6e'!$B$1:$M$1, "SENG-4620*")</f>
      </c>
      <c r="K72" s="188">
        <f>COUNTIFS('6f'!$B$1:$D$1, "SENG-4620*")</f>
      </c>
      <c r="L72" s="182">
        <f>SUM(F72:K72)</f>
      </c>
      <c r="M72" s="172"/>
      <c r="N72" s="3"/>
      <c r="O72" s="3"/>
      <c r="P72" s="3"/>
      <c r="Q72" s="3"/>
      <c r="R72" s="3"/>
      <c r="S72" s="3"/>
      <c r="T72" s="3"/>
      <c r="U72" s="3"/>
    </row>
    <row x14ac:dyDescent="0.25" r="73" customHeight="1" ht="19.5">
      <c r="A73" s="126"/>
      <c r="B73" s="3"/>
      <c r="C73" s="141"/>
      <c r="D73" s="183">
        <f>COUNTIF(A:A, "SENG-4630*")</f>
      </c>
      <c r="E73" s="184" t="s">
        <v>187</v>
      </c>
      <c r="F73" s="198">
        <f>COUNTIF('6a'!$B$1:$K$1, "SENG-4630*")</f>
      </c>
      <c r="G73" s="185">
        <f>COUNTIF('6b'!$B$1:$H$1, "SENG-4630*")</f>
      </c>
      <c r="H73" s="185">
        <f>COUNTIF('6c'!$B$1:$K$1, "SENG-4630*")</f>
      </c>
      <c r="I73" s="185">
        <f>COUNTIF('6d'!$B$1:$D$1, "SENG-4630*")</f>
      </c>
      <c r="J73" s="188">
        <f>COUNTIFS('6e'!$B$1:$M$1, "SENG-4630*")</f>
      </c>
      <c r="K73" s="188">
        <f>COUNTIFS('6f'!$B$1:$D$1, "SENG-4630*")</f>
      </c>
      <c r="L73" s="182">
        <f>SUM(F73:K73)</f>
      </c>
      <c r="M73" s="172"/>
      <c r="N73" s="3"/>
      <c r="O73" s="3"/>
      <c r="P73" s="3"/>
      <c r="Q73" s="3"/>
      <c r="R73" s="3"/>
      <c r="S73" s="3"/>
      <c r="T73" s="3"/>
      <c r="U73" s="3"/>
    </row>
    <row x14ac:dyDescent="0.25" r="74" customHeight="1" ht="19.5">
      <c r="A74" s="126"/>
      <c r="B74" s="3"/>
      <c r="C74" s="141"/>
      <c r="D74" s="183">
        <f>COUNTIF(A:A, "SENG-4640*")</f>
      </c>
      <c r="E74" s="184" t="s">
        <v>188</v>
      </c>
      <c r="F74" s="198">
        <f>COUNTIF('6a'!$B$1:$K$1, "SENG-4640*")</f>
      </c>
      <c r="G74" s="185">
        <f>COUNTIF('6b'!$B$1:$H$1, "SENG-4640*")</f>
      </c>
      <c r="H74" s="185">
        <f>COUNTIF('6c'!$B$1:$K$1, "SENG-4640*")</f>
      </c>
      <c r="I74" s="185">
        <f>COUNTIF('6d'!$B$1:$D$1, "SENG-4640*")</f>
      </c>
      <c r="J74" s="188">
        <f>COUNTIFS('6e'!$B$1:$M$1, "SENG-4640*")</f>
      </c>
      <c r="K74" s="188">
        <f>COUNTIFS('6f'!$B$1:$D$1, "SENG-4640*")</f>
      </c>
      <c r="L74" s="182">
        <f>SUM(F74:K74)</f>
      </c>
      <c r="M74" s="172"/>
      <c r="N74" s="3"/>
      <c r="O74" s="3"/>
      <c r="P74" s="3"/>
      <c r="Q74" s="3"/>
      <c r="R74" s="3"/>
      <c r="S74" s="3"/>
      <c r="T74" s="3"/>
      <c r="U74" s="3"/>
    </row>
    <row x14ac:dyDescent="0.25" r="75" customHeight="1" ht="19.5">
      <c r="A75" s="126"/>
      <c r="B75" s="3"/>
      <c r="C75" s="141"/>
      <c r="D75" s="183">
        <f>COUNTIF(A:A, "SENG-4650*")</f>
      </c>
      <c r="E75" s="184" t="s">
        <v>189</v>
      </c>
      <c r="F75" s="198">
        <f>COUNTIF('6a'!$B$1:$K$1, "SENG-4650*")</f>
      </c>
      <c r="G75" s="185">
        <f>COUNTIF('6b'!$B$1:$H$1, "SENG-4650*")</f>
      </c>
      <c r="H75" s="185">
        <f>COUNTIF('6c'!$B$1:$K$1, "SENG-4650*")</f>
      </c>
      <c r="I75" s="185">
        <f>COUNTIF('6d'!$B$1:$D$1, "SENG-4650*")</f>
      </c>
      <c r="J75" s="188">
        <f>COUNTIFS('6e'!$B$1:$M$1, "SENG-4650*")</f>
      </c>
      <c r="K75" s="188">
        <f>COUNTIFS('6f'!$B$1:$D$1, "SENG-4650*")</f>
      </c>
      <c r="L75" s="182">
        <f>SUM(F75:K75)</f>
      </c>
      <c r="M75" s="172"/>
      <c r="N75" s="3"/>
      <c r="O75" s="3"/>
      <c r="P75" s="3"/>
      <c r="Q75" s="3"/>
      <c r="R75" s="3"/>
      <c r="S75" s="3"/>
      <c r="T75" s="3"/>
      <c r="U75" s="3"/>
    </row>
    <row x14ac:dyDescent="0.25" r="76" customHeight="1" ht="19.5">
      <c r="A76" s="126"/>
      <c r="B76" s="3"/>
      <c r="C76" s="141"/>
      <c r="D76" s="183">
        <f>COUNTIF(A:A, "SENG-4660*")</f>
      </c>
      <c r="E76" s="184" t="s">
        <v>190</v>
      </c>
      <c r="F76" s="198">
        <f>COUNTIF('6a'!$B$1:$K$1, "SENG-4660*")</f>
      </c>
      <c r="G76" s="185">
        <f>COUNTIF('6b'!$B$1:$H$1, "SENG-4660*")</f>
      </c>
      <c r="H76" s="185">
        <f>COUNTIF('6c'!$B$1:$K$1, "SENG-4660*")</f>
      </c>
      <c r="I76" s="185">
        <f>COUNTIF('6d'!$B$1:$D$1, "SENG-4660*")</f>
      </c>
      <c r="J76" s="188">
        <f>COUNTIFS('6e'!$B$1:$M$1, "SENG-4660*")</f>
      </c>
      <c r="K76" s="188">
        <f>COUNTIFS('6f'!$B$1:$D$1, "SENG-4660*")</f>
      </c>
      <c r="L76" s="182">
        <f>SUM(F76:K76)</f>
      </c>
      <c r="M76" s="172"/>
      <c r="N76" s="3"/>
      <c r="O76" s="3"/>
      <c r="P76" s="3"/>
      <c r="Q76" s="3"/>
      <c r="R76" s="3"/>
      <c r="S76" s="3"/>
      <c r="T76" s="3"/>
      <c r="U76" s="3"/>
    </row>
    <row x14ac:dyDescent="0.25" r="77" customHeight="1" ht="19.5">
      <c r="A77" s="126"/>
      <c r="B77" s="3"/>
      <c r="C77" s="141"/>
      <c r="D77" s="183">
        <f>COUNTIF(A:A, "STAT-2230*")</f>
      </c>
      <c r="E77" s="184" t="s">
        <v>191</v>
      </c>
      <c r="F77" s="185">
        <f>COUNTIF('6a'!$B$1:$K$1, "STAT-2230*")</f>
      </c>
      <c r="G77" s="185">
        <f>COUNTIF('6b'!$B$1:$H$1, "STAT-2230*")</f>
      </c>
      <c r="H77" s="185">
        <f>COUNTIF('6c'!$B$1:$K$1, "STAT-2230*")</f>
      </c>
      <c r="I77" s="185">
        <f>COUNTIF('6d'!$B$1:$D$1, "STAT-2230*")</f>
      </c>
      <c r="J77" s="188">
        <f>COUNTIFS('6e'!$B$1:$M$1, "STAT-2230*")</f>
      </c>
      <c r="K77" s="188">
        <f>COUNTIFS('6f'!$B$1:$D$1, "STAT-2230*")</f>
      </c>
      <c r="L77" s="182">
        <f>SUM(F77:K77)</f>
      </c>
      <c r="M77" s="172"/>
      <c r="N77" s="3"/>
      <c r="O77" s="3"/>
      <c r="P77" s="3"/>
      <c r="Q77" s="3"/>
      <c r="R77" s="3"/>
      <c r="S77" s="3"/>
      <c r="T77" s="3"/>
      <c r="U77" s="3"/>
    </row>
    <row x14ac:dyDescent="0.25" r="78" customHeight="1" ht="19.5">
      <c r="A78" s="126"/>
      <c r="B78" s="3"/>
      <c r="C78" s="141"/>
      <c r="D78" s="199">
        <f>SUM(D29:D77)</f>
      </c>
      <c r="E78" s="184" t="s">
        <v>192</v>
      </c>
      <c r="F78" s="200">
        <f>SUM(F29:F77)</f>
      </c>
      <c r="G78" s="200">
        <f>SUM(G29:G77)</f>
      </c>
      <c r="H78" s="200">
        <f>SUM(H29:H77)</f>
      </c>
      <c r="I78" s="200">
        <f>SUM(I29:I77)</f>
      </c>
      <c r="J78" s="200">
        <f>SUM(J29:J77)</f>
      </c>
      <c r="K78" s="200">
        <f>SUM(K29:K77)</f>
      </c>
      <c r="L78" s="201">
        <f>SUM(L29:L77)</f>
      </c>
      <c r="M78" s="172"/>
      <c r="N78" s="3"/>
      <c r="O78" s="3"/>
      <c r="P78" s="3"/>
      <c r="Q78" s="3"/>
      <c r="R78" s="3"/>
      <c r="S78" s="3"/>
      <c r="T78" s="3"/>
      <c r="U78" s="3"/>
    </row>
    <row x14ac:dyDescent="0.25" r="79" customHeight="1" ht="19.5">
      <c r="A79" s="126"/>
      <c r="B79" s="3"/>
      <c r="C79" s="141"/>
      <c r="D79" s="3"/>
      <c r="E79" s="3"/>
      <c r="F79" s="3"/>
      <c r="G79" s="3"/>
      <c r="H79" s="3"/>
      <c r="I79" s="3"/>
      <c r="J79" s="3"/>
      <c r="K79" s="3"/>
      <c r="L79" s="3"/>
      <c r="M79" s="172"/>
      <c r="N79" s="3"/>
      <c r="O79" s="3"/>
      <c r="P79" s="3"/>
      <c r="Q79" s="3"/>
      <c r="R79" s="3"/>
      <c r="S79" s="3"/>
      <c r="T79" s="3"/>
      <c r="U79" s="3"/>
    </row>
    <row x14ac:dyDescent="0.25" r="80" customHeight="1" ht="19.5">
      <c r="A80" s="126"/>
      <c r="B80" s="3"/>
      <c r="C80" s="141"/>
      <c r="D80" s="3"/>
      <c r="E80" s="3"/>
      <c r="F80" s="3"/>
      <c r="G80" s="3"/>
      <c r="H80" s="3"/>
      <c r="I80" s="3"/>
      <c r="J80" s="3"/>
      <c r="K80" s="3"/>
      <c r="L80" s="3"/>
      <c r="M80" s="172"/>
      <c r="N80" s="3"/>
      <c r="O80" s="3"/>
      <c r="P80" s="3"/>
      <c r="Q80" s="3"/>
      <c r="R80" s="3"/>
      <c r="S80" s="3"/>
      <c r="T80" s="3"/>
      <c r="U80" s="3"/>
    </row>
    <row x14ac:dyDescent="0.25" r="81" customHeight="1" ht="19.5">
      <c r="A81" s="126"/>
      <c r="B81" s="3"/>
      <c r="C81" s="141"/>
      <c r="D81" s="3"/>
      <c r="E81" s="172"/>
      <c r="F81" s="172"/>
      <c r="G81" s="172"/>
      <c r="H81" s="172"/>
      <c r="I81" s="172"/>
      <c r="J81" s="172"/>
      <c r="K81" s="172"/>
      <c r="L81" s="172"/>
      <c r="M81" s="172"/>
      <c r="N81" s="3"/>
      <c r="O81" s="3"/>
      <c r="P81" s="3"/>
      <c r="Q81" s="3"/>
      <c r="R81" s="3"/>
      <c r="S81" s="3"/>
      <c r="T81" s="3"/>
      <c r="U81" s="3"/>
    </row>
    <row x14ac:dyDescent="0.25" r="82" customHeight="1" ht="19.5">
      <c r="A82" s="126"/>
      <c r="B82" s="3"/>
      <c r="C82" s="141"/>
      <c r="D82" s="3"/>
      <c r="E82" s="172"/>
      <c r="F82" s="172"/>
      <c r="G82" s="172"/>
      <c r="H82" s="172"/>
      <c r="I82" s="172"/>
      <c r="J82" s="172"/>
      <c r="K82" s="172"/>
      <c r="L82" s="172"/>
      <c r="M82" s="172"/>
      <c r="N82" s="3"/>
      <c r="O82" s="3"/>
      <c r="P82" s="3"/>
      <c r="Q82" s="3"/>
      <c r="R82" s="3"/>
      <c r="S82" s="3"/>
      <c r="T82" s="3"/>
      <c r="U82" s="3"/>
    </row>
  </sheetData>
  <mergeCells count="4">
    <mergeCell ref="E1:N1"/>
    <mergeCell ref="E3:L3"/>
    <mergeCell ref="O3:U3"/>
    <mergeCell ref="O6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65"/>
  <sheetViews>
    <sheetView workbookViewId="0" tabSelected="1"/>
  </sheetViews>
  <sheetFormatPr defaultRowHeight="15" x14ac:dyDescent="0.25"/>
  <cols>
    <col min="1" max="1" style="64" width="44.86214285714286" customWidth="1" bestFit="1"/>
    <col min="2" max="2" style="123" width="18.862142857142857" customWidth="1" bestFit="1"/>
    <col min="3" max="3" style="66" width="15.862142857142858" customWidth="1" bestFit="1"/>
    <col min="4" max="4" style="124" width="14.862142857142858" customWidth="1" bestFit="1"/>
    <col min="5" max="5" style="124" width="17.719285714285714" customWidth="1" bestFit="1"/>
    <col min="6" max="6" style="124" width="14.862142857142858" customWidth="1" bestFit="1"/>
    <col min="7" max="7" style="124" width="14.862142857142858" customWidth="1" bestFit="1"/>
    <col min="8" max="8" style="15" width="17.719285714285714" customWidth="1" bestFit="1"/>
    <col min="9" max="9" style="15" width="14.862142857142858" customWidth="1" bestFit="1"/>
    <col min="10" max="10" style="15" width="14.862142857142858" customWidth="1" bestFit="1"/>
    <col min="11" max="11" style="15" width="15.290714285714287" customWidth="1" bestFit="1"/>
    <col min="12" max="12" style="125" width="9.290714285714287" customWidth="1" bestFit="1"/>
    <col min="13" max="13" style="15" width="14.147857142857141" customWidth="1" bestFit="1"/>
    <col min="14" max="14" style="15" width="14.147857142857141" customWidth="1" bestFit="1"/>
    <col min="15" max="15" style="15" width="14.147857142857141" customWidth="1" bestFit="1"/>
    <col min="16" max="16" style="15" width="14.147857142857141" customWidth="1" bestFit="1"/>
  </cols>
  <sheetData>
    <row x14ac:dyDescent="0.25" r="1" customHeight="1" ht="19.5">
      <c r="A1" s="16" t="s">
        <v>38</v>
      </c>
      <c r="B1" s="106" t="s">
        <v>107</v>
      </c>
      <c r="C1" s="68" t="s">
        <v>108</v>
      </c>
      <c r="D1" s="107" t="s">
        <v>109</v>
      </c>
      <c r="E1" s="108" t="s">
        <v>110</v>
      </c>
      <c r="F1" s="107" t="s">
        <v>111</v>
      </c>
      <c r="G1" s="106" t="s">
        <v>112</v>
      </c>
      <c r="H1" s="67" t="s">
        <v>113</v>
      </c>
      <c r="I1" s="67" t="s">
        <v>114</v>
      </c>
      <c r="J1" s="67" t="s">
        <v>115</v>
      </c>
      <c r="K1" s="67" t="s">
        <v>116</v>
      </c>
      <c r="L1" s="68">
        <f>COUNTA(B1:K1)</f>
      </c>
      <c r="M1" s="3"/>
      <c r="N1" s="3"/>
      <c r="O1" s="3"/>
      <c r="P1" s="3"/>
    </row>
    <row x14ac:dyDescent="0.25" r="2" customHeight="1" ht="32.25">
      <c r="A2" s="21" t="s">
        <v>42</v>
      </c>
      <c r="B2" s="109" t="s">
        <v>117</v>
      </c>
      <c r="C2" s="110"/>
      <c r="D2" s="109" t="s">
        <v>117</v>
      </c>
      <c r="E2" s="109" t="s">
        <v>117</v>
      </c>
      <c r="F2" s="109" t="s">
        <v>117</v>
      </c>
      <c r="G2" s="109" t="s">
        <v>117</v>
      </c>
      <c r="H2" s="110"/>
      <c r="I2" s="110"/>
      <c r="J2" s="110"/>
      <c r="K2" s="110"/>
      <c r="L2" s="68">
        <f>COUNTIF(B2:K2, "&lt;&gt;")</f>
      </c>
      <c r="M2" s="3"/>
      <c r="N2" s="3"/>
      <c r="O2" s="3"/>
      <c r="P2" s="3"/>
    </row>
    <row x14ac:dyDescent="0.25" r="3" customHeight="1" ht="19.5">
      <c r="A3" s="23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5"/>
      <c r="M3" s="3"/>
      <c r="N3" s="3"/>
      <c r="O3" s="3"/>
      <c r="P3" s="27" t="s">
        <v>22</v>
      </c>
    </row>
    <row x14ac:dyDescent="0.25" r="4" customHeight="1" ht="19.5">
      <c r="A4" s="23">
        <v>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111"/>
      <c r="M4" s="3"/>
      <c r="N4" s="3"/>
      <c r="O4" s="3"/>
      <c r="P4" s="27" t="s">
        <v>43</v>
      </c>
    </row>
    <row x14ac:dyDescent="0.25" r="5" customHeight="1" ht="19.5">
      <c r="A5" s="23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111"/>
      <c r="M5" s="3"/>
      <c r="N5" s="3"/>
      <c r="O5" s="3"/>
      <c r="P5" s="27" t="s">
        <v>44</v>
      </c>
    </row>
    <row x14ac:dyDescent="0.25" r="6" customHeight="1" ht="19.5">
      <c r="A6" s="23">
        <v>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111"/>
      <c r="M6" s="3"/>
      <c r="N6" s="3"/>
      <c r="O6" s="3"/>
      <c r="P6" s="27" t="s">
        <v>45</v>
      </c>
    </row>
    <row x14ac:dyDescent="0.25" r="7" customHeight="1" ht="19.5">
      <c r="A7" s="23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111"/>
      <c r="M7" s="3"/>
      <c r="N7" s="3"/>
      <c r="O7" s="3"/>
      <c r="P7" s="27" t="s">
        <v>46</v>
      </c>
    </row>
    <row x14ac:dyDescent="0.25" r="8" customHeight="1" ht="19.5">
      <c r="A8" s="23">
        <v>6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111"/>
      <c r="M8" s="3"/>
      <c r="N8" s="3"/>
      <c r="O8" s="3"/>
      <c r="P8" s="27" t="s">
        <v>47</v>
      </c>
    </row>
    <row x14ac:dyDescent="0.25" r="9" customHeight="1" ht="19.5">
      <c r="A9" s="23">
        <v>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111"/>
      <c r="M9" s="3"/>
      <c r="N9" s="3"/>
      <c r="O9" s="3"/>
      <c r="P9" s="27" t="s">
        <v>48</v>
      </c>
    </row>
    <row x14ac:dyDescent="0.25" r="10" customHeight="1" ht="19.5">
      <c r="A10" s="23">
        <v>8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111"/>
      <c r="M10" s="3"/>
      <c r="N10" s="3"/>
      <c r="O10" s="3"/>
      <c r="P10" s="3"/>
    </row>
    <row x14ac:dyDescent="0.25" r="11" customHeight="1" ht="19.5">
      <c r="A11" s="23">
        <v>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111"/>
      <c r="M11" s="3"/>
      <c r="N11" s="3"/>
      <c r="O11" s="3"/>
      <c r="P11" s="3"/>
    </row>
    <row x14ac:dyDescent="0.25" r="12" customHeight="1" ht="19.5">
      <c r="A12" s="23">
        <v>10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111"/>
      <c r="M12" s="3"/>
      <c r="N12" s="3"/>
      <c r="O12" s="3"/>
      <c r="P12" s="3"/>
    </row>
    <row x14ac:dyDescent="0.25" r="13" customHeight="1" ht="19.5">
      <c r="A13" s="23">
        <v>11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111"/>
      <c r="M13" s="3"/>
      <c r="N13" s="3"/>
      <c r="O13" s="3"/>
      <c r="P13" s="3"/>
    </row>
    <row x14ac:dyDescent="0.25" r="14" customHeight="1" ht="19.5">
      <c r="A14" s="23">
        <v>12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111"/>
      <c r="M14" s="3"/>
      <c r="N14" s="3"/>
      <c r="O14" s="3"/>
      <c r="P14" s="3"/>
    </row>
    <row x14ac:dyDescent="0.25" r="15" customHeight="1" ht="19.5">
      <c r="A15" s="23">
        <v>13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111"/>
      <c r="M15" s="3"/>
      <c r="N15" s="3"/>
      <c r="O15" s="3"/>
      <c r="P15" s="3"/>
    </row>
    <row x14ac:dyDescent="0.25" r="16" customHeight="1" ht="19.5">
      <c r="A16" s="23">
        <v>14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111"/>
      <c r="M16" s="3"/>
      <c r="N16" s="3"/>
      <c r="O16" s="3"/>
      <c r="P16" s="3"/>
    </row>
    <row x14ac:dyDescent="0.25" r="17" customHeight="1" ht="19.5">
      <c r="A17" s="23">
        <v>15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111"/>
      <c r="M17" s="3"/>
      <c r="N17" s="3"/>
      <c r="O17" s="3"/>
      <c r="P17" s="3"/>
    </row>
    <row x14ac:dyDescent="0.25" r="18" customHeight="1" ht="19.5">
      <c r="A18" s="23">
        <v>16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111"/>
      <c r="M18" s="3"/>
      <c r="N18" s="3"/>
      <c r="O18" s="3"/>
      <c r="P18" s="3"/>
    </row>
    <row x14ac:dyDescent="0.25" r="19" customHeight="1" ht="19.5">
      <c r="A19" s="23">
        <v>17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111"/>
      <c r="M19" s="3"/>
      <c r="N19" s="3"/>
      <c r="O19" s="3"/>
      <c r="P19" s="3"/>
    </row>
    <row x14ac:dyDescent="0.25" r="20" customHeight="1" ht="19.5">
      <c r="A20" s="23">
        <v>18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111"/>
      <c r="M20" s="3"/>
      <c r="N20" s="3"/>
      <c r="O20" s="3"/>
      <c r="P20" s="3"/>
    </row>
    <row x14ac:dyDescent="0.25" r="21" customHeight="1" ht="19.5">
      <c r="A21" s="23">
        <v>19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111"/>
      <c r="M21" s="3"/>
      <c r="N21" s="3"/>
      <c r="O21" s="3"/>
      <c r="P21" s="3"/>
    </row>
    <row x14ac:dyDescent="0.25" r="22" customHeight="1" ht="19.5">
      <c r="A22" s="101">
        <v>20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111"/>
      <c r="M22" s="3"/>
      <c r="N22" s="3"/>
      <c r="O22" s="3"/>
      <c r="P22" s="3"/>
    </row>
    <row x14ac:dyDescent="0.25" r="23" customHeight="1" ht="19.5">
      <c r="A23" s="101">
        <v>21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11"/>
      <c r="M23" s="3"/>
      <c r="N23" s="3"/>
      <c r="O23" s="3"/>
      <c r="P23" s="3"/>
    </row>
    <row x14ac:dyDescent="0.25" r="24" customHeight="1" ht="19.5">
      <c r="A24" s="23">
        <v>22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111"/>
      <c r="M24" s="3"/>
      <c r="N24" s="3"/>
      <c r="O24" s="3"/>
      <c r="P24" s="3"/>
    </row>
    <row x14ac:dyDescent="0.25" r="25" customHeight="1" ht="19.5">
      <c r="A25" s="23">
        <v>23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111"/>
      <c r="M25" s="3"/>
      <c r="N25" s="3"/>
      <c r="O25" s="3"/>
      <c r="P25" s="3"/>
    </row>
    <row x14ac:dyDescent="0.25" r="26" customHeight="1" ht="19.5">
      <c r="A26" s="23">
        <v>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111"/>
      <c r="M26" s="3"/>
      <c r="N26" s="3"/>
      <c r="O26" s="3"/>
      <c r="P26" s="3"/>
    </row>
    <row x14ac:dyDescent="0.25" r="27" customHeight="1" ht="19.5">
      <c r="A27" s="23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111"/>
      <c r="M27" s="3"/>
      <c r="N27" s="3"/>
      <c r="O27" s="3"/>
      <c r="P27" s="3"/>
    </row>
    <row x14ac:dyDescent="0.25" r="28" customHeight="1" ht="19.5">
      <c r="A28" s="101">
        <v>26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111"/>
      <c r="M28" s="3"/>
      <c r="N28" s="3"/>
      <c r="O28" s="3"/>
      <c r="P28" s="3"/>
    </row>
    <row x14ac:dyDescent="0.25" r="29" customHeight="1" ht="19.5">
      <c r="A29" s="101">
        <v>27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111"/>
      <c r="M29" s="3"/>
      <c r="N29" s="3"/>
      <c r="O29" s="3"/>
      <c r="P29" s="3"/>
    </row>
    <row x14ac:dyDescent="0.25" r="30" customHeight="1" ht="19.5">
      <c r="A30" s="23">
        <v>28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111"/>
      <c r="M30" s="3"/>
      <c r="N30" s="3"/>
      <c r="O30" s="3"/>
      <c r="P30" s="3"/>
    </row>
    <row x14ac:dyDescent="0.25" r="31" customHeight="1" ht="19.5">
      <c r="A31" s="23">
        <v>29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111"/>
      <c r="M31" s="3"/>
      <c r="N31" s="3"/>
      <c r="O31" s="3"/>
      <c r="P31" s="3"/>
    </row>
    <row x14ac:dyDescent="0.25" r="32" customHeight="1" ht="19.5">
      <c r="A32" s="23">
        <v>30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111"/>
      <c r="M32" s="3"/>
      <c r="N32" s="3"/>
      <c r="O32" s="3"/>
      <c r="P32" s="3"/>
    </row>
    <row x14ac:dyDescent="0.25" r="33" customHeight="1" ht="19.5">
      <c r="A33" s="23">
        <v>31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111"/>
      <c r="M33" s="3"/>
      <c r="N33" s="3"/>
      <c r="O33" s="3"/>
      <c r="P33" s="3"/>
    </row>
    <row x14ac:dyDescent="0.25" r="34" customHeight="1" ht="19.5">
      <c r="A34" s="23">
        <v>32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111"/>
      <c r="M34" s="3"/>
      <c r="N34" s="3"/>
      <c r="O34" s="3"/>
      <c r="P34" s="3"/>
    </row>
    <row x14ac:dyDescent="0.25" r="35" customHeight="1" ht="19.5">
      <c r="A35" s="101">
        <v>33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111"/>
      <c r="M35" s="3"/>
      <c r="N35" s="3"/>
      <c r="O35" s="3"/>
      <c r="P35" s="3"/>
    </row>
    <row x14ac:dyDescent="0.25" r="36" customHeight="1" ht="19.5">
      <c r="A36" s="101">
        <v>34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111"/>
      <c r="M36" s="3"/>
      <c r="N36" s="3"/>
      <c r="O36" s="3"/>
      <c r="P36" s="3"/>
    </row>
    <row x14ac:dyDescent="0.25" r="37" customHeight="1" ht="19.5">
      <c r="A37" s="23">
        <v>35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111"/>
      <c r="M37" s="3"/>
      <c r="N37" s="3"/>
      <c r="O37" s="3"/>
      <c r="P37" s="3"/>
    </row>
    <row x14ac:dyDescent="0.25" r="38" customHeight="1" ht="19.5">
      <c r="A38" s="23">
        <v>36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111"/>
      <c r="M38" s="3"/>
      <c r="N38" s="3"/>
      <c r="O38" s="3"/>
      <c r="P38" s="3"/>
    </row>
    <row x14ac:dyDescent="0.25" r="39" customHeight="1" ht="19.5">
      <c r="A39" s="23">
        <v>37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111"/>
      <c r="M39" s="3"/>
      <c r="N39" s="3"/>
      <c r="O39" s="3"/>
      <c r="P39" s="3"/>
    </row>
    <row x14ac:dyDescent="0.25" r="40" customHeight="1" ht="19.5">
      <c r="A40" s="23">
        <v>38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111"/>
      <c r="M40" s="3"/>
      <c r="N40" s="3"/>
      <c r="O40" s="3"/>
      <c r="P40" s="3"/>
    </row>
    <row x14ac:dyDescent="0.25" r="41" customHeight="1" ht="19.5">
      <c r="A41" s="101">
        <v>39</v>
      </c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11"/>
      <c r="M41" s="3"/>
      <c r="N41" s="3"/>
      <c r="O41" s="3"/>
      <c r="P41" s="3"/>
    </row>
    <row x14ac:dyDescent="0.25" r="42" customHeight="1" ht="15.75">
      <c r="A42" s="101">
        <v>40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12"/>
      <c r="M42" s="3"/>
      <c r="N42" s="3"/>
      <c r="O42" s="3"/>
      <c r="P42" s="3"/>
    </row>
    <row x14ac:dyDescent="0.25" r="43" customHeight="1" ht="15.75">
      <c r="A43" s="86" t="s">
        <v>49</v>
      </c>
      <c r="B43" s="31">
        <f>AVERAGE(B3:B42)</f>
      </c>
      <c r="C43" s="31">
        <f>AVERAGE(C3:C42)</f>
      </c>
      <c r="D43" s="31">
        <f>AVERAGE(D3:D42)</f>
      </c>
      <c r="E43" s="31">
        <f>AVERAGE(E3:E42)</f>
      </c>
      <c r="F43" s="31">
        <f>AVERAGE(F3:F42)</f>
      </c>
      <c r="G43" s="31">
        <f>AVERAGE(G3:G42)</f>
      </c>
      <c r="H43" s="31">
        <f>AVERAGE(H3:H42)</f>
      </c>
      <c r="I43" s="31">
        <f>AVERAGE(I3:I42)</f>
      </c>
      <c r="J43" s="31">
        <f>AVERAGE(J3:J42)</f>
      </c>
      <c r="K43" s="31">
        <f>AVERAGE(K3:K42)</f>
      </c>
      <c r="L43" s="32"/>
      <c r="M43" s="3"/>
      <c r="N43" s="3"/>
      <c r="O43" s="3"/>
      <c r="P43" s="3"/>
    </row>
    <row x14ac:dyDescent="0.25" r="44" customHeight="1" ht="19.5">
      <c r="A44" s="33" t="s">
        <v>50</v>
      </c>
      <c r="B44" s="24">
        <f>AVERAGEIF(B43:K43, "&lt;&gt;#DIV/0!")</f>
      </c>
      <c r="C44" s="24"/>
      <c r="D44" s="24"/>
      <c r="E44" s="24"/>
      <c r="F44" s="24"/>
      <c r="G44" s="24"/>
      <c r="H44" s="24"/>
      <c r="I44" s="24"/>
      <c r="J44" s="24"/>
      <c r="K44" s="24"/>
      <c r="L44" s="34"/>
      <c r="M44" s="3"/>
      <c r="N44" s="3"/>
      <c r="O44" s="3"/>
      <c r="P44" s="3"/>
    </row>
    <row x14ac:dyDescent="0.25" r="45" customHeight="1" ht="19.5">
      <c r="A45" s="33" t="s">
        <v>51</v>
      </c>
      <c r="B45" s="34">
        <f>COUNTIF(B3:B42, "&lt;&gt;")</f>
      </c>
      <c r="C45" s="34">
        <f>COUNTIF(C3:C42, "&lt;&gt;")</f>
      </c>
      <c r="D45" s="34">
        <f>COUNTIF(D3:D42, "&lt;&gt;")</f>
      </c>
      <c r="E45" s="34">
        <f>COUNTIF(E3:E42, "&lt;&gt;")</f>
      </c>
      <c r="F45" s="34">
        <f>COUNTIF(F3:F42, "&lt;&gt;")</f>
      </c>
      <c r="G45" s="34">
        <f>COUNTIF(G3:G42, "&lt;&gt;")</f>
      </c>
      <c r="H45" s="34">
        <f>COUNTIF(H3:H42, "&lt;&gt;")</f>
      </c>
      <c r="I45" s="34">
        <f>COUNTIF(I3:I42, "&lt;&gt;")</f>
      </c>
      <c r="J45" s="34">
        <f>COUNTIF(J3:J42, "&lt;&gt;")</f>
      </c>
      <c r="K45" s="34">
        <f>COUNTIF(K3:K42, "&lt;&gt;")</f>
      </c>
      <c r="L45" s="48"/>
      <c r="M45" s="3"/>
      <c r="N45" s="3"/>
      <c r="O45" s="3"/>
      <c r="P45" s="3"/>
    </row>
    <row x14ac:dyDescent="0.25" r="46" customHeight="1" ht="19.5">
      <c r="A46" s="20"/>
      <c r="B46" s="113"/>
      <c r="C46" s="36"/>
      <c r="D46" s="114"/>
      <c r="E46" s="114"/>
      <c r="F46" s="114"/>
      <c r="G46" s="114"/>
      <c r="H46" s="3"/>
      <c r="I46" s="3"/>
      <c r="J46" s="3"/>
      <c r="K46" s="3"/>
      <c r="L46" s="115"/>
      <c r="M46" s="3"/>
      <c r="N46" s="3"/>
      <c r="O46" s="3"/>
      <c r="P46" s="3"/>
    </row>
    <row x14ac:dyDescent="0.25" r="47" customHeight="1" ht="19.5">
      <c r="A47" s="20"/>
      <c r="B47" s="116" t="s">
        <v>52</v>
      </c>
      <c r="C47" s="38" t="s">
        <v>53</v>
      </c>
      <c r="D47" s="117" t="s">
        <v>54</v>
      </c>
      <c r="E47" s="117" t="s">
        <v>55</v>
      </c>
      <c r="F47" s="117" t="s">
        <v>56</v>
      </c>
      <c r="G47" s="117" t="s">
        <v>57</v>
      </c>
      <c r="H47" s="39" t="s">
        <v>58</v>
      </c>
      <c r="I47" s="39" t="s">
        <v>59</v>
      </c>
      <c r="J47" s="3"/>
      <c r="K47" s="3"/>
      <c r="L47" s="115"/>
      <c r="M47" s="3"/>
      <c r="N47" s="3"/>
      <c r="O47" s="3"/>
      <c r="P47" s="3"/>
    </row>
    <row x14ac:dyDescent="0.25" r="48" customHeight="1" ht="19.5">
      <c r="A48" s="40" t="s">
        <v>60</v>
      </c>
      <c r="B48" s="41">
        <f>COUNTIF($E$2, "A")</f>
      </c>
      <c r="C48" s="41">
        <f>COUNTIF($E$2, "Q")</f>
      </c>
      <c r="D48" s="41">
        <f>COUNTIF($E$2, "M")</f>
      </c>
      <c r="E48" s="41">
        <f>COUNTIF($E$2, "F")</f>
      </c>
      <c r="F48" s="41">
        <f>COUNTIF($E$2, "P")</f>
      </c>
      <c r="G48" s="41">
        <f>COUNTIF($E$2, "L")</f>
      </c>
      <c r="H48" s="41">
        <f>COUNTIF($E$2, "OT")</f>
      </c>
      <c r="I48" s="22">
        <f>SUM(B48:H48)</f>
      </c>
      <c r="J48" s="3"/>
      <c r="K48" s="3"/>
      <c r="L48" s="115"/>
      <c r="M48" s="3"/>
      <c r="N48" s="3"/>
      <c r="O48" s="3"/>
      <c r="P48" s="3"/>
    </row>
    <row x14ac:dyDescent="0.25" r="49" customHeight="1" ht="19.5">
      <c r="A49" s="43" t="s">
        <v>61</v>
      </c>
      <c r="B49" s="41">
        <f>COUNTIF($B$2, "A") + COUNTIF($G$2, "A")</f>
      </c>
      <c r="C49" s="41">
        <f>COUNTIF($B$2, "Q") + COUNTIF($G$2, "Q")</f>
      </c>
      <c r="D49" s="41">
        <f>COUNTIF($B$2, "M") + COUNTIF($G$2, "M")</f>
      </c>
      <c r="E49" s="41">
        <f>COUNTIF($B$2, "F") + COUNTIF($G$2, "F")</f>
      </c>
      <c r="F49" s="41">
        <f>COUNTIF($B$2, "P") + COUNTIF($G$2, "P")</f>
      </c>
      <c r="G49" s="41">
        <f>COUNTIF($B$2, "L") + COUNTIF($G$2, "L")</f>
      </c>
      <c r="H49" s="41">
        <f>COUNTIF($B$2, "OT") + COUNTIF($G$2, "OT")</f>
      </c>
      <c r="I49" s="22">
        <f>SUM(B49:H49)</f>
      </c>
      <c r="J49" s="3"/>
      <c r="K49" s="3"/>
      <c r="L49" s="115"/>
      <c r="M49" s="3"/>
      <c r="N49" s="3"/>
      <c r="O49" s="3"/>
      <c r="P49" s="3"/>
    </row>
    <row x14ac:dyDescent="0.25" r="50" customHeight="1" ht="19.5">
      <c r="A50" s="44" t="s">
        <v>62</v>
      </c>
      <c r="B50" s="41">
        <f>COUNTIF($F$2:$K$2, "A") + COUNTIF($C$2:$D$2, "A")</f>
      </c>
      <c r="C50" s="41">
        <f>COUNTIF($F$2:$K$2, "Q") + COUNTIF($C$2:$D$2, "Q")</f>
      </c>
      <c r="D50" s="41">
        <f>COUNTIF($F$2:$K$2, "M") + COUNTIF($C$2:$D$2, "M")</f>
      </c>
      <c r="E50" s="41">
        <f>COUNTIF($F$2:$K$2, "F") + COUNTIF($C$2:$D$2, "F")</f>
      </c>
      <c r="F50" s="41">
        <f>COUNTIF($F$2:$K$2, "P") + COUNTIF($C$2:$D$2, "P")</f>
      </c>
      <c r="G50" s="41">
        <f>COUNTIF($F$2:$K$2, "L") + COUNTIF($C$2:$D$2, "L")</f>
      </c>
      <c r="H50" s="41">
        <f>COUNTIF($F$2:$K$2, "OT") + COUNTIF($C$2:$D$2, "OT")</f>
      </c>
      <c r="I50" s="22">
        <f>SUM(B50:H50)</f>
      </c>
      <c r="J50" s="3"/>
      <c r="K50" s="3"/>
      <c r="L50" s="115"/>
      <c r="M50" s="3"/>
      <c r="N50" s="3"/>
      <c r="O50" s="3"/>
      <c r="P50" s="3"/>
    </row>
    <row x14ac:dyDescent="0.25" r="51" customHeight="1" ht="19.5">
      <c r="A51" s="37" t="s">
        <v>59</v>
      </c>
      <c r="B51" s="118">
        <f>SUM(B48:B50)</f>
      </c>
      <c r="C51" s="22">
        <f>SUM(C48:C50)</f>
      </c>
      <c r="D51" s="118">
        <f>SUM(D48:D50)</f>
      </c>
      <c r="E51" s="118">
        <f>SUM(E48:E50)</f>
      </c>
      <c r="F51" s="118">
        <f>SUM(F48:F50)</f>
      </c>
      <c r="G51" s="118">
        <f>SUM(G48:G50)</f>
      </c>
      <c r="H51" s="45">
        <f>SUM(H48:H50)</f>
      </c>
      <c r="I51" s="45">
        <f>SUM(B51:H51)</f>
      </c>
      <c r="J51" s="3"/>
      <c r="K51" s="3"/>
      <c r="L51" s="115"/>
      <c r="M51" s="3"/>
      <c r="N51" s="3"/>
      <c r="O51" s="3"/>
      <c r="P51" s="3"/>
    </row>
    <row x14ac:dyDescent="0.25" r="52" customHeight="1" ht="19.5">
      <c r="A52" s="20"/>
      <c r="B52" s="113"/>
      <c r="C52" s="36"/>
      <c r="D52" s="114"/>
      <c r="E52" s="114"/>
      <c r="F52" s="114"/>
      <c r="G52" s="114"/>
      <c r="H52" s="3"/>
      <c r="I52" s="3"/>
      <c r="J52" s="3"/>
      <c r="K52" s="3"/>
      <c r="L52" s="115"/>
      <c r="M52" s="3"/>
      <c r="N52" s="3"/>
      <c r="O52" s="3"/>
      <c r="P52" s="3"/>
    </row>
    <row x14ac:dyDescent="0.25" r="53" customHeight="1" ht="18.75">
      <c r="A53" s="104" t="s">
        <v>63</v>
      </c>
      <c r="B53" s="47"/>
      <c r="C53" s="47"/>
      <c r="D53" s="47"/>
      <c r="E53" s="47"/>
      <c r="F53" s="47"/>
      <c r="G53" s="47"/>
      <c r="H53" s="48"/>
      <c r="I53" s="48"/>
      <c r="J53" s="48"/>
      <c r="K53" s="48"/>
      <c r="L53" s="115"/>
      <c r="M53" s="3"/>
      <c r="N53" s="3"/>
      <c r="O53" s="3"/>
      <c r="P53" s="3"/>
    </row>
    <row x14ac:dyDescent="0.25" r="54" customHeight="1" ht="16.5">
      <c r="A54" s="93" t="s">
        <v>64</v>
      </c>
      <c r="B54" s="106" t="s">
        <v>107</v>
      </c>
      <c r="C54" s="68" t="s">
        <v>108</v>
      </c>
      <c r="D54" s="107" t="s">
        <v>109</v>
      </c>
      <c r="E54" s="108" t="s">
        <v>110</v>
      </c>
      <c r="F54" s="107" t="s">
        <v>111</v>
      </c>
      <c r="G54" s="106" t="s">
        <v>112</v>
      </c>
      <c r="H54" s="67" t="s">
        <v>113</v>
      </c>
      <c r="I54" s="67" t="s">
        <v>114</v>
      </c>
      <c r="J54" s="67" t="s">
        <v>115</v>
      </c>
      <c r="K54" s="67" t="s">
        <v>116</v>
      </c>
      <c r="L54" s="119" t="s">
        <v>49</v>
      </c>
      <c r="M54" s="3"/>
      <c r="N54" s="3"/>
      <c r="O54" s="3"/>
      <c r="P54" s="3"/>
    </row>
    <row x14ac:dyDescent="0.25" r="55" customHeight="1" ht="16.5">
      <c r="A55" s="95" t="s">
        <v>65</v>
      </c>
      <c r="B55" s="52">
        <f>(COUNTIF(B3:B42, "&lt;=59%"))/B45</f>
      </c>
      <c r="C55" s="52">
        <f>(COUNTIF(C3:C42, "&lt;=59%"))/C45</f>
      </c>
      <c r="D55" s="52">
        <f>(COUNTIF(D3:D42, "&lt;=59%"))/D45</f>
      </c>
      <c r="E55" s="52">
        <f>(COUNTIF(E3:E42, "&lt;=59%"))/E45</f>
      </c>
      <c r="F55" s="52">
        <f>(COUNTIF(F3:F42, "&lt;=59%"))/F45</f>
      </c>
      <c r="G55" s="52">
        <f>(COUNTIF(G3:G42, "&lt;=59%"))/G45</f>
      </c>
      <c r="H55" s="52">
        <f>(COUNTIF(H3:H42, "&lt;=59%"))/H45</f>
      </c>
      <c r="I55" s="52">
        <f>(COUNTIF(I3:I42, "&lt;=59%"))/I45</f>
      </c>
      <c r="J55" s="52">
        <f>(COUNTIF(J3:J42, "&lt;=59%"))/J45</f>
      </c>
      <c r="K55" s="52">
        <f>(COUNTIF(K3:K42, "&lt;=59%"))/K45</f>
      </c>
      <c r="L55" s="53">
        <f>AVERAGEIF(B55:K55, "&lt;&gt;#DIV/0!")</f>
      </c>
      <c r="M55" s="3"/>
      <c r="N55" s="3"/>
      <c r="O55" s="3"/>
      <c r="P55" s="3"/>
    </row>
    <row x14ac:dyDescent="0.25" r="56" customHeight="1" ht="16.5">
      <c r="A56" s="96" t="s">
        <v>66</v>
      </c>
      <c r="B56" s="52">
        <f>(COUNTIFS(B3:B42, "&gt;= 60%", B3:B42, "&lt;=69%" ))/B45</f>
      </c>
      <c r="C56" s="52">
        <f>(COUNTIFS(C3:C42, "&gt;= 60%", C3:C42, "&lt;=69%" ))/C45</f>
      </c>
      <c r="D56" s="52">
        <f>(COUNTIFS(D3:D42, "&gt;= 60%", D3:D42, "&lt;=69%" ))/D45</f>
      </c>
      <c r="E56" s="52">
        <f>(COUNTIFS(E3:E42, "&gt;= 60%", E3:E42, "&lt;=69%" ))/E45</f>
      </c>
      <c r="F56" s="52">
        <f>(COUNTIFS(F3:F42, "&gt;= 60%", F3:F42, "&lt;=69%" ))/F45</f>
      </c>
      <c r="G56" s="52">
        <f>(COUNTIFS(G3:G42, "&gt;= 60%", G3:G42, "&lt;=69%" ))/G45</f>
      </c>
      <c r="H56" s="52">
        <f>(COUNTIFS(H3:H42, "&gt;= 60%", H3:H42, "&lt;=69%" ))/H45</f>
      </c>
      <c r="I56" s="52">
        <f>(COUNTIFS(I3:I42, "&gt;= 60%", I3:I42, "&lt;=69%" ))/I45</f>
      </c>
      <c r="J56" s="52">
        <f>(COUNTIFS(J3:J42, "&gt;= 60%", J3:J42, "&lt;=69%" ))/J45</f>
      </c>
      <c r="K56" s="52">
        <f>(COUNTIFS(K3:K42, "&gt;= 60%", K3:K42, "&lt;=69%" ))/K45</f>
      </c>
      <c r="L56" s="53">
        <f>AVERAGEIF(B56:K56, "&lt;&gt;#DIV/0!")</f>
      </c>
      <c r="M56" s="3"/>
      <c r="N56" s="3"/>
      <c r="O56" s="3"/>
      <c r="P56" s="3"/>
    </row>
    <row x14ac:dyDescent="0.25" r="57" customHeight="1" ht="16.5">
      <c r="A57" s="97" t="s">
        <v>67</v>
      </c>
      <c r="B57" s="52">
        <f>(COUNTIFS(B3:B42, "&gt;= 70%", B3:B42, "&lt;=79%" ))/B45</f>
      </c>
      <c r="C57" s="52">
        <f>(COUNTIFS(C3:C42, "&gt;= 70%", C3:C42, "&lt;=79%" ))/C45</f>
      </c>
      <c r="D57" s="52">
        <f>(COUNTIFS(D3:D42, "&gt;= 70%", D3:D42, "&lt;=79%" ))/D45</f>
      </c>
      <c r="E57" s="52">
        <f>(COUNTIFS(E3:E42, "&gt;= 70%", E3:E42, "&lt;=79%" ))/E45</f>
      </c>
      <c r="F57" s="52">
        <f>(COUNTIFS(F3:F42, "&gt;= 70%", F3:F42, "&lt;=79%" ))/F45</f>
      </c>
      <c r="G57" s="52">
        <f>(COUNTIFS(G3:G42, "&gt;= 70%", G3:G42, "&lt;=79%" ))/G45</f>
      </c>
      <c r="H57" s="52">
        <f>(COUNTIFS(H3:H42, "&gt;= 70%", H3:H42, "&lt;=79%" ))/H45</f>
      </c>
      <c r="I57" s="52">
        <f>(COUNTIFS(I3:I42, "&gt;= 70%", I3:I42, "&lt;=79%" ))/I45</f>
      </c>
      <c r="J57" s="52">
        <f>(COUNTIFS(J3:J42, "&gt;= 70%", J3:J42, "&lt;=79%" ))/J45</f>
      </c>
      <c r="K57" s="52">
        <f>(COUNTIFS(K3:K42, "&gt;= 70%", K3:K42, "&lt;=79%" ))/K45</f>
      </c>
      <c r="L57" s="53">
        <f>AVERAGEIF(B57:K57, "&lt;&gt;#DIV/0!")</f>
      </c>
      <c r="M57" s="3"/>
      <c r="N57" s="3"/>
      <c r="O57" s="3"/>
      <c r="P57" s="3"/>
    </row>
    <row x14ac:dyDescent="0.25" r="58" customHeight="1" ht="16.5">
      <c r="A58" s="98" t="s">
        <v>68</v>
      </c>
      <c r="B58" s="52">
        <f>(COUNTIF(B3:B42,"&gt;= 80%")/B45)</f>
      </c>
      <c r="C58" s="52">
        <f>(COUNTIF(C3:C42,"&gt;= 80%")/C45)</f>
      </c>
      <c r="D58" s="52">
        <f>(COUNTIF(D3:D42,"&gt;= 80%")/D45)</f>
      </c>
      <c r="E58" s="52">
        <f>(COUNTIF(E3:E42,"&gt;= 80%")/E45)</f>
      </c>
      <c r="F58" s="52">
        <f>(COUNTIF(F3:F42,"&gt;= 80%")/F45)</f>
      </c>
      <c r="G58" s="52">
        <f>(COUNTIF(G3:G42,"&gt;= 80%")/G45)</f>
      </c>
      <c r="H58" s="52">
        <f>(COUNTIF(H3:H42,"&gt;= 80%")/H45)</f>
      </c>
      <c r="I58" s="52">
        <f>(COUNTIF(I3:I42,"&gt;= 80%")/I45)</f>
      </c>
      <c r="J58" s="52">
        <f>(COUNTIF(J3:J42,"&gt;= 80%")/J45)</f>
      </c>
      <c r="K58" s="52">
        <f>(COUNTIF(K3:K42,"&gt;= 80%")/K45)</f>
      </c>
      <c r="L58" s="53">
        <f>AVERAGEIF(B58:K58, "&lt;&gt;#DIV/0!")</f>
      </c>
      <c r="M58" s="3"/>
      <c r="N58" s="3"/>
      <c r="O58" s="3"/>
      <c r="P58" s="3"/>
    </row>
    <row x14ac:dyDescent="0.25" r="59" customHeight="1" ht="15.75">
      <c r="A59" s="120"/>
      <c r="B59" s="58">
        <f>SUMIF(B55:B58, "&lt;&gt;#DIV/0!")</f>
      </c>
      <c r="C59" s="121">
        <f>SUMIF(C55:C58, "&lt;&gt;#DIV/0!")</f>
      </c>
      <c r="D59" s="121">
        <f>SUMIF(D55:D58, "&lt;&gt;#DIV/0!")</f>
      </c>
      <c r="E59" s="121">
        <f>SUMIF(E55:E58, "&lt;&gt;#DIV/0!")</f>
      </c>
      <c r="F59" s="121">
        <f>SUMIF(F55:F58, "&lt;&gt;#DIV/0!")</f>
      </c>
      <c r="G59" s="121">
        <f>SUMIF(G55:G58, "&lt;&gt;#DIV/0!")</f>
      </c>
      <c r="H59" s="121">
        <f>SUMIF(H55:H58, "&lt;&gt;#DIV/0!")</f>
      </c>
      <c r="I59" s="121">
        <f>SUMIF(I55:I58, "&lt;&gt;#DIV/0!")</f>
      </c>
      <c r="J59" s="121">
        <f>SUMIF(J55:J58, "&lt;&gt;#DIV/0!")</f>
      </c>
      <c r="K59" s="121">
        <f>SUMIF(K55:K58, "&lt;&gt;#DIV/0!")</f>
      </c>
      <c r="L59" s="53">
        <f>AVERAGEIF(B59:K59, "&lt;&gt;#DIV/0!")</f>
      </c>
      <c r="M59" s="3"/>
      <c r="N59" s="3"/>
      <c r="O59" s="3"/>
      <c r="P59" s="3"/>
    </row>
    <row x14ac:dyDescent="0.25" r="60" customHeight="1" ht="15.75">
      <c r="A60" s="20"/>
      <c r="B60" s="113"/>
      <c r="C60" s="36"/>
      <c r="D60" s="114"/>
      <c r="E60" s="114"/>
      <c r="F60" s="114"/>
      <c r="G60" s="114"/>
      <c r="H60" s="3"/>
      <c r="I60" s="3"/>
      <c r="J60" s="3"/>
      <c r="K60" s="3"/>
      <c r="L60" s="115"/>
      <c r="M60" s="3"/>
      <c r="N60" s="3"/>
      <c r="O60" s="3"/>
      <c r="P60" s="3"/>
    </row>
    <row x14ac:dyDescent="0.25" r="61" customHeight="1" ht="15.75">
      <c r="A61" s="60"/>
      <c r="B61" s="120" t="s">
        <v>69</v>
      </c>
      <c r="C61" s="62" t="s">
        <v>70</v>
      </c>
      <c r="D61" s="114"/>
      <c r="E61" s="114"/>
      <c r="F61" s="114"/>
      <c r="G61" s="114"/>
      <c r="H61" s="3"/>
      <c r="I61" s="3"/>
      <c r="J61" s="3"/>
      <c r="K61" s="3"/>
      <c r="L61" s="115"/>
      <c r="M61" s="3"/>
      <c r="N61" s="3"/>
      <c r="O61" s="3"/>
      <c r="P61" s="3"/>
    </row>
    <row x14ac:dyDescent="0.25" r="62" customHeight="1" ht="16.5">
      <c r="A62" s="122" t="s">
        <v>68</v>
      </c>
      <c r="B62" s="120" t="s">
        <v>71</v>
      </c>
      <c r="C62" s="62">
        <v>100</v>
      </c>
      <c r="D62" s="114"/>
      <c r="E62" s="114"/>
      <c r="F62" s="114"/>
      <c r="G62" s="114"/>
      <c r="H62" s="3"/>
      <c r="I62" s="3"/>
      <c r="J62" s="3"/>
      <c r="K62" s="3"/>
      <c r="L62" s="115"/>
      <c r="M62" s="3"/>
      <c r="N62" s="3"/>
      <c r="O62" s="3"/>
      <c r="P62" s="3"/>
    </row>
    <row x14ac:dyDescent="0.25" r="63" customHeight="1" ht="16.5">
      <c r="A63" s="122" t="s">
        <v>67</v>
      </c>
      <c r="B63" s="120" t="s">
        <v>72</v>
      </c>
      <c r="C63" s="62">
        <v>79</v>
      </c>
      <c r="D63" s="114"/>
      <c r="E63" s="114"/>
      <c r="F63" s="114"/>
      <c r="G63" s="114"/>
      <c r="H63" s="3"/>
      <c r="I63" s="3"/>
      <c r="J63" s="3"/>
      <c r="K63" s="3"/>
      <c r="L63" s="115"/>
      <c r="M63" s="3"/>
      <c r="N63" s="3"/>
      <c r="O63" s="3"/>
      <c r="P63" s="3"/>
    </row>
    <row x14ac:dyDescent="0.25" r="64" customHeight="1" ht="16.5">
      <c r="A64" s="122" t="s">
        <v>66</v>
      </c>
      <c r="B64" s="120" t="s">
        <v>73</v>
      </c>
      <c r="C64" s="62">
        <v>69</v>
      </c>
      <c r="D64" s="114"/>
      <c r="E64" s="114"/>
      <c r="F64" s="114"/>
      <c r="G64" s="114"/>
      <c r="H64" s="3"/>
      <c r="I64" s="3"/>
      <c r="J64" s="3"/>
      <c r="K64" s="3"/>
      <c r="L64" s="115"/>
      <c r="M64" s="3"/>
      <c r="N64" s="3"/>
      <c r="O64" s="3"/>
      <c r="P64" s="3"/>
    </row>
    <row x14ac:dyDescent="0.25" r="65" customHeight="1" ht="16.5">
      <c r="A65" s="122" t="s">
        <v>65</v>
      </c>
      <c r="B65" s="120" t="s">
        <v>74</v>
      </c>
      <c r="C65" s="62">
        <v>59</v>
      </c>
      <c r="D65" s="114"/>
      <c r="E65" s="114"/>
      <c r="F65" s="114"/>
      <c r="G65" s="114"/>
      <c r="H65" s="3"/>
      <c r="I65" s="3"/>
      <c r="J65" s="3"/>
      <c r="K65" s="3"/>
      <c r="L65" s="115"/>
      <c r="M65" s="3"/>
      <c r="N65" s="3"/>
      <c r="O65" s="3"/>
      <c r="P65" s="3"/>
    </row>
  </sheetData>
  <mergeCells count="1">
    <mergeCell ref="L3:L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5"/>
  <sheetViews>
    <sheetView workbookViewId="0"/>
  </sheetViews>
  <sheetFormatPr defaultRowHeight="15" x14ac:dyDescent="0.25"/>
  <cols>
    <col min="1" max="1" style="64" width="44.86214285714286" customWidth="1" bestFit="1"/>
    <col min="2" max="2" style="82" width="18.862142857142857" customWidth="1" bestFit="1"/>
    <col min="3" max="3" style="66" width="15.005" customWidth="1" bestFit="1"/>
    <col min="4" max="4" style="15" width="15.862142857142858" customWidth="1" bestFit="1"/>
    <col min="5" max="5" style="15" width="17.719285714285714" customWidth="1" bestFit="1"/>
    <col min="6" max="6" style="15" width="15.43357142857143" customWidth="1" bestFit="1"/>
    <col min="7" max="7" style="15" width="15.43357142857143" customWidth="1" bestFit="1"/>
    <col min="8" max="8" style="15" width="15.43357142857143" customWidth="1" bestFit="1"/>
    <col min="9" max="9" style="15" width="16.719285714285714" customWidth="1" bestFit="1"/>
    <col min="10" max="10" style="15" width="14.147857142857141" customWidth="1" bestFit="1"/>
    <col min="11" max="11" style="15" width="14.147857142857141" customWidth="1" bestFit="1"/>
    <col min="12" max="12" style="15" width="16.576428571428572" customWidth="1" bestFit="1"/>
  </cols>
  <sheetData>
    <row x14ac:dyDescent="0.25" r="1" customHeight="1" ht="15">
      <c r="A1" s="16" t="s">
        <v>38</v>
      </c>
      <c r="B1" s="70" t="s">
        <v>100</v>
      </c>
      <c r="C1" s="18" t="s">
        <v>101</v>
      </c>
      <c r="D1" s="69" t="s">
        <v>102</v>
      </c>
      <c r="E1" s="67" t="s">
        <v>103</v>
      </c>
      <c r="F1" s="67" t="s">
        <v>104</v>
      </c>
      <c r="G1" s="67" t="s">
        <v>105</v>
      </c>
      <c r="H1" s="67" t="s">
        <v>106</v>
      </c>
      <c r="I1" s="71">
        <f>COUNTA(B1:G1)</f>
      </c>
      <c r="J1" s="3"/>
      <c r="K1" s="3"/>
      <c r="L1" s="3"/>
    </row>
    <row x14ac:dyDescent="0.25" r="2" customHeight="1" ht="30">
      <c r="A2" s="21" t="s">
        <v>42</v>
      </c>
      <c r="B2" s="72"/>
      <c r="C2" s="22"/>
      <c r="D2" s="72"/>
      <c r="E2" s="72"/>
      <c r="F2" s="72"/>
      <c r="G2" s="72"/>
      <c r="H2" s="72"/>
      <c r="I2" s="71">
        <f>COUNTIF(B2:H2, "&lt;&gt;")</f>
      </c>
      <c r="J2" s="3"/>
      <c r="K2" s="3"/>
      <c r="L2" s="3"/>
    </row>
    <row x14ac:dyDescent="0.25" r="3" customHeight="1" ht="19.5">
      <c r="A3" s="23">
        <v>1</v>
      </c>
      <c r="B3" s="24"/>
      <c r="C3" s="24"/>
      <c r="D3" s="24"/>
      <c r="E3" s="24"/>
      <c r="F3" s="24"/>
      <c r="G3" s="24"/>
      <c r="H3" s="73"/>
      <c r="I3" s="25"/>
      <c r="J3" s="3"/>
      <c r="K3" s="3"/>
      <c r="L3" s="3"/>
    </row>
    <row x14ac:dyDescent="0.25" r="4" customHeight="1" ht="19.5">
      <c r="A4" s="23">
        <v>2</v>
      </c>
      <c r="B4" s="24"/>
      <c r="C4" s="24"/>
      <c r="D4" s="24"/>
      <c r="E4" s="24"/>
      <c r="F4" s="24"/>
      <c r="G4" s="24"/>
      <c r="H4" s="74"/>
      <c r="I4" s="75"/>
      <c r="J4" s="3"/>
      <c r="K4" s="3"/>
      <c r="L4" s="27" t="s">
        <v>22</v>
      </c>
    </row>
    <row x14ac:dyDescent="0.25" r="5" customHeight="1" ht="19.5">
      <c r="A5" s="23">
        <v>3</v>
      </c>
      <c r="B5" s="24"/>
      <c r="C5" s="24"/>
      <c r="D5" s="24"/>
      <c r="E5" s="24"/>
      <c r="F5" s="24"/>
      <c r="G5" s="24"/>
      <c r="H5" s="74"/>
      <c r="I5" s="75"/>
      <c r="J5" s="3"/>
      <c r="K5" s="3"/>
      <c r="L5" s="27" t="s">
        <v>43</v>
      </c>
    </row>
    <row x14ac:dyDescent="0.25" r="6" customHeight="1" ht="19.5">
      <c r="A6" s="23">
        <v>4</v>
      </c>
      <c r="B6" s="24"/>
      <c r="C6" s="24"/>
      <c r="D6" s="24"/>
      <c r="E6" s="24"/>
      <c r="F6" s="24"/>
      <c r="G6" s="24"/>
      <c r="H6" s="74"/>
      <c r="I6" s="75"/>
      <c r="J6" s="3"/>
      <c r="K6" s="3"/>
      <c r="L6" s="27" t="s">
        <v>44</v>
      </c>
    </row>
    <row x14ac:dyDescent="0.25" r="7" customHeight="1" ht="19.5">
      <c r="A7" s="23">
        <v>5</v>
      </c>
      <c r="B7" s="24"/>
      <c r="C7" s="24"/>
      <c r="D7" s="24"/>
      <c r="E7" s="24"/>
      <c r="F7" s="24"/>
      <c r="G7" s="24"/>
      <c r="H7" s="74"/>
      <c r="I7" s="75"/>
      <c r="J7" s="3"/>
      <c r="K7" s="3"/>
      <c r="L7" s="27" t="s">
        <v>45</v>
      </c>
    </row>
    <row x14ac:dyDescent="0.25" r="8" customHeight="1" ht="19.5">
      <c r="A8" s="23">
        <v>6</v>
      </c>
      <c r="B8" s="24"/>
      <c r="C8" s="24"/>
      <c r="D8" s="24"/>
      <c r="E8" s="24"/>
      <c r="F8" s="24"/>
      <c r="G8" s="24"/>
      <c r="H8" s="74"/>
      <c r="I8" s="75"/>
      <c r="J8" s="3"/>
      <c r="K8" s="3"/>
      <c r="L8" s="27" t="s">
        <v>46</v>
      </c>
    </row>
    <row x14ac:dyDescent="0.25" r="9" customHeight="1" ht="19.5">
      <c r="A9" s="23">
        <v>7</v>
      </c>
      <c r="B9" s="24"/>
      <c r="C9" s="24"/>
      <c r="D9" s="24"/>
      <c r="E9" s="24"/>
      <c r="F9" s="24"/>
      <c r="G9" s="24"/>
      <c r="H9" s="74"/>
      <c r="I9" s="75"/>
      <c r="J9" s="3"/>
      <c r="K9" s="3"/>
      <c r="L9" s="27" t="s">
        <v>47</v>
      </c>
    </row>
    <row x14ac:dyDescent="0.25" r="10" customHeight="1" ht="19.5">
      <c r="A10" s="23">
        <v>8</v>
      </c>
      <c r="B10" s="24"/>
      <c r="C10" s="24"/>
      <c r="D10" s="24"/>
      <c r="E10" s="24"/>
      <c r="F10" s="24"/>
      <c r="G10" s="24"/>
      <c r="H10" s="74"/>
      <c r="I10" s="75"/>
      <c r="J10" s="3"/>
      <c r="K10" s="3"/>
      <c r="L10" s="27" t="s">
        <v>48</v>
      </c>
    </row>
    <row x14ac:dyDescent="0.25" r="11" customHeight="1" ht="19.5">
      <c r="A11" s="23">
        <v>9</v>
      </c>
      <c r="B11" s="24"/>
      <c r="C11" s="24"/>
      <c r="D11" s="24"/>
      <c r="E11" s="24"/>
      <c r="F11" s="24"/>
      <c r="G11" s="24"/>
      <c r="H11" s="74"/>
      <c r="I11" s="75"/>
      <c r="J11" s="3"/>
      <c r="K11" s="3"/>
      <c r="L11" s="3"/>
    </row>
    <row x14ac:dyDescent="0.25" r="12" customHeight="1" ht="19.5">
      <c r="A12" s="23">
        <v>10</v>
      </c>
      <c r="B12" s="24"/>
      <c r="C12" s="24"/>
      <c r="D12" s="24"/>
      <c r="E12" s="24"/>
      <c r="F12" s="24"/>
      <c r="G12" s="24"/>
      <c r="H12" s="74"/>
      <c r="I12" s="75"/>
      <c r="J12" s="3"/>
      <c r="K12" s="3"/>
      <c r="L12" s="3"/>
    </row>
    <row x14ac:dyDescent="0.25" r="13" customHeight="1" ht="19.5">
      <c r="A13" s="23">
        <v>11</v>
      </c>
      <c r="B13" s="24"/>
      <c r="C13" s="24"/>
      <c r="D13" s="24"/>
      <c r="E13" s="24"/>
      <c r="F13" s="24"/>
      <c r="G13" s="24"/>
      <c r="H13" s="74"/>
      <c r="I13" s="75"/>
      <c r="J13" s="3"/>
      <c r="K13" s="3"/>
      <c r="L13" s="3"/>
    </row>
    <row x14ac:dyDescent="0.25" r="14" customHeight="1" ht="19.5">
      <c r="A14" s="23">
        <v>12</v>
      </c>
      <c r="B14" s="24"/>
      <c r="C14" s="24"/>
      <c r="D14" s="24"/>
      <c r="E14" s="24"/>
      <c r="F14" s="24"/>
      <c r="G14" s="24"/>
      <c r="H14" s="74"/>
      <c r="I14" s="75"/>
      <c r="J14" s="3"/>
      <c r="K14" s="3"/>
      <c r="L14" s="3"/>
    </row>
    <row x14ac:dyDescent="0.25" r="15" customHeight="1" ht="19.5">
      <c r="A15" s="23">
        <v>13</v>
      </c>
      <c r="B15" s="24"/>
      <c r="C15" s="24"/>
      <c r="D15" s="24"/>
      <c r="E15" s="24"/>
      <c r="F15" s="24"/>
      <c r="G15" s="24"/>
      <c r="H15" s="74"/>
      <c r="I15" s="75"/>
      <c r="J15" s="3"/>
      <c r="K15" s="3"/>
      <c r="L15" s="3"/>
    </row>
    <row x14ac:dyDescent="0.25" r="16" customHeight="1" ht="19.5">
      <c r="A16" s="23">
        <v>14</v>
      </c>
      <c r="B16" s="24"/>
      <c r="C16" s="24"/>
      <c r="D16" s="24"/>
      <c r="E16" s="24"/>
      <c r="F16" s="24"/>
      <c r="G16" s="24"/>
      <c r="H16" s="74"/>
      <c r="I16" s="75"/>
      <c r="J16" s="3"/>
      <c r="K16" s="3"/>
      <c r="L16" s="3"/>
    </row>
    <row x14ac:dyDescent="0.25" r="17" customHeight="1" ht="19.5">
      <c r="A17" s="23">
        <v>15</v>
      </c>
      <c r="B17" s="24"/>
      <c r="C17" s="24"/>
      <c r="D17" s="24"/>
      <c r="E17" s="24"/>
      <c r="F17" s="24"/>
      <c r="G17" s="24"/>
      <c r="H17" s="74"/>
      <c r="I17" s="75"/>
      <c r="J17" s="3"/>
      <c r="K17" s="3"/>
      <c r="L17" s="3"/>
    </row>
    <row x14ac:dyDescent="0.25" r="18" customHeight="1" ht="19.5">
      <c r="A18" s="23">
        <v>16</v>
      </c>
      <c r="B18" s="24"/>
      <c r="C18" s="24"/>
      <c r="D18" s="24"/>
      <c r="E18" s="24"/>
      <c r="F18" s="24"/>
      <c r="G18" s="24"/>
      <c r="H18" s="74"/>
      <c r="I18" s="75"/>
      <c r="J18" s="3"/>
      <c r="K18" s="3"/>
      <c r="L18" s="3"/>
    </row>
    <row x14ac:dyDescent="0.25" r="19" customHeight="1" ht="19.5">
      <c r="A19" s="23">
        <v>17</v>
      </c>
      <c r="B19" s="24"/>
      <c r="C19" s="24"/>
      <c r="D19" s="24"/>
      <c r="E19" s="24"/>
      <c r="F19" s="24"/>
      <c r="G19" s="24"/>
      <c r="H19" s="74"/>
      <c r="I19" s="75"/>
      <c r="J19" s="3"/>
      <c r="K19" s="3"/>
      <c r="L19" s="3"/>
    </row>
    <row x14ac:dyDescent="0.25" r="20" customHeight="1" ht="19.5">
      <c r="A20" s="23">
        <v>18</v>
      </c>
      <c r="B20" s="24"/>
      <c r="C20" s="24"/>
      <c r="D20" s="24"/>
      <c r="E20" s="24"/>
      <c r="F20" s="24"/>
      <c r="G20" s="24"/>
      <c r="H20" s="74"/>
      <c r="I20" s="75"/>
      <c r="J20" s="3"/>
      <c r="K20" s="3"/>
      <c r="L20" s="3"/>
    </row>
    <row x14ac:dyDescent="0.25" r="21" customHeight="1" ht="19.5">
      <c r="A21" s="23">
        <v>19</v>
      </c>
      <c r="B21" s="24"/>
      <c r="C21" s="24"/>
      <c r="D21" s="24"/>
      <c r="E21" s="24"/>
      <c r="F21" s="24"/>
      <c r="G21" s="24"/>
      <c r="H21" s="74"/>
      <c r="I21" s="75"/>
      <c r="J21" s="3"/>
      <c r="K21" s="3"/>
      <c r="L21" s="3"/>
    </row>
    <row x14ac:dyDescent="0.25" r="22" customHeight="1" ht="19.5">
      <c r="A22" s="23">
        <v>20</v>
      </c>
      <c r="B22" s="24"/>
      <c r="C22" s="24"/>
      <c r="D22" s="24"/>
      <c r="E22" s="24"/>
      <c r="F22" s="24"/>
      <c r="G22" s="24"/>
      <c r="H22" s="74"/>
      <c r="I22" s="75"/>
      <c r="J22" s="3"/>
      <c r="K22" s="3"/>
      <c r="L22" s="3"/>
    </row>
    <row x14ac:dyDescent="0.25" r="23" customHeight="1" ht="19.5">
      <c r="A23" s="101">
        <v>21</v>
      </c>
      <c r="B23" s="24"/>
      <c r="C23" s="24"/>
      <c r="D23" s="24"/>
      <c r="E23" s="24"/>
      <c r="F23" s="24"/>
      <c r="G23" s="24"/>
      <c r="H23" s="74"/>
      <c r="I23" s="75"/>
      <c r="J23" s="3"/>
      <c r="K23" s="3"/>
      <c r="L23" s="3"/>
    </row>
    <row x14ac:dyDescent="0.25" r="24" customHeight="1" ht="19.5">
      <c r="A24" s="101">
        <v>22</v>
      </c>
      <c r="B24" s="24"/>
      <c r="C24" s="24"/>
      <c r="D24" s="24"/>
      <c r="E24" s="24"/>
      <c r="F24" s="24"/>
      <c r="G24" s="24"/>
      <c r="H24" s="74"/>
      <c r="I24" s="75"/>
      <c r="J24" s="3"/>
      <c r="K24" s="3"/>
      <c r="L24" s="3"/>
    </row>
    <row x14ac:dyDescent="0.25" r="25" customHeight="1" ht="19.5">
      <c r="A25" s="101">
        <v>23</v>
      </c>
      <c r="B25" s="24"/>
      <c r="C25" s="24"/>
      <c r="D25" s="24"/>
      <c r="E25" s="24"/>
      <c r="F25" s="24"/>
      <c r="G25" s="24"/>
      <c r="H25" s="74"/>
      <c r="I25" s="75"/>
      <c r="J25" s="3"/>
      <c r="K25" s="3"/>
      <c r="L25" s="3"/>
    </row>
    <row x14ac:dyDescent="0.25" r="26" customHeight="1" ht="19.5">
      <c r="A26" s="101">
        <v>24</v>
      </c>
      <c r="B26" s="24"/>
      <c r="C26" s="24"/>
      <c r="D26" s="24"/>
      <c r="E26" s="24"/>
      <c r="F26" s="24"/>
      <c r="G26" s="24"/>
      <c r="H26" s="74"/>
      <c r="I26" s="75"/>
      <c r="J26" s="3"/>
      <c r="K26" s="3"/>
      <c r="L26" s="3"/>
    </row>
    <row x14ac:dyDescent="0.25" r="27" customHeight="1" ht="19.5">
      <c r="A27" s="101">
        <v>25</v>
      </c>
      <c r="B27" s="24"/>
      <c r="C27" s="24"/>
      <c r="D27" s="24"/>
      <c r="E27" s="24"/>
      <c r="F27" s="24"/>
      <c r="G27" s="24"/>
      <c r="H27" s="74"/>
      <c r="I27" s="75"/>
      <c r="J27" s="3"/>
      <c r="K27" s="3"/>
      <c r="L27" s="3"/>
    </row>
    <row x14ac:dyDescent="0.25" r="28" customHeight="1" ht="19.5">
      <c r="A28" s="101">
        <v>26</v>
      </c>
      <c r="B28" s="24"/>
      <c r="C28" s="24"/>
      <c r="D28" s="24"/>
      <c r="E28" s="24"/>
      <c r="F28" s="24"/>
      <c r="G28" s="24"/>
      <c r="H28" s="74"/>
      <c r="I28" s="75"/>
      <c r="J28" s="3"/>
      <c r="K28" s="3"/>
      <c r="L28" s="3"/>
    </row>
    <row x14ac:dyDescent="0.25" r="29" customHeight="1" ht="19.5">
      <c r="A29" s="101">
        <v>27</v>
      </c>
      <c r="B29" s="24"/>
      <c r="C29" s="24"/>
      <c r="D29" s="24"/>
      <c r="E29" s="24"/>
      <c r="F29" s="24"/>
      <c r="G29" s="24"/>
      <c r="H29" s="74"/>
      <c r="I29" s="75"/>
      <c r="J29" s="3"/>
      <c r="K29" s="3"/>
      <c r="L29" s="3"/>
    </row>
    <row x14ac:dyDescent="0.25" r="30" customHeight="1" ht="19.5">
      <c r="A30" s="101">
        <v>28</v>
      </c>
      <c r="B30" s="24"/>
      <c r="C30" s="24"/>
      <c r="D30" s="24"/>
      <c r="E30" s="24"/>
      <c r="F30" s="24"/>
      <c r="G30" s="24"/>
      <c r="H30" s="74"/>
      <c r="I30" s="75"/>
      <c r="J30" s="3"/>
      <c r="K30" s="3"/>
      <c r="L30" s="3"/>
    </row>
    <row x14ac:dyDescent="0.25" r="31" customHeight="1" ht="19.5">
      <c r="A31" s="101">
        <v>29</v>
      </c>
      <c r="B31" s="24"/>
      <c r="C31" s="24"/>
      <c r="D31" s="24"/>
      <c r="E31" s="24"/>
      <c r="F31" s="24"/>
      <c r="G31" s="24"/>
      <c r="H31" s="74"/>
      <c r="I31" s="75"/>
      <c r="J31" s="3"/>
      <c r="K31" s="3"/>
      <c r="L31" s="3"/>
    </row>
    <row x14ac:dyDescent="0.25" r="32" customHeight="1" ht="19.5">
      <c r="A32" s="101">
        <v>30</v>
      </c>
      <c r="B32" s="24"/>
      <c r="C32" s="24"/>
      <c r="D32" s="24"/>
      <c r="E32" s="24"/>
      <c r="F32" s="24"/>
      <c r="G32" s="24"/>
      <c r="H32" s="74"/>
      <c r="I32" s="75"/>
      <c r="J32" s="3"/>
      <c r="K32" s="3"/>
      <c r="L32" s="3"/>
    </row>
    <row x14ac:dyDescent="0.25" r="33" customHeight="1" ht="19.5">
      <c r="A33" s="101">
        <v>31</v>
      </c>
      <c r="B33" s="24"/>
      <c r="C33" s="24"/>
      <c r="D33" s="24"/>
      <c r="E33" s="24"/>
      <c r="F33" s="24"/>
      <c r="G33" s="24"/>
      <c r="H33" s="74"/>
      <c r="I33" s="75"/>
      <c r="J33" s="3"/>
      <c r="K33" s="3"/>
      <c r="L33" s="3"/>
    </row>
    <row x14ac:dyDescent="0.25" r="34" customHeight="1" ht="19.5">
      <c r="A34" s="101">
        <v>32</v>
      </c>
      <c r="B34" s="24"/>
      <c r="C34" s="24"/>
      <c r="D34" s="24"/>
      <c r="E34" s="24"/>
      <c r="F34" s="24"/>
      <c r="G34" s="24"/>
      <c r="H34" s="74"/>
      <c r="I34" s="75"/>
      <c r="J34" s="3"/>
      <c r="K34" s="3"/>
      <c r="L34" s="3"/>
    </row>
    <row x14ac:dyDescent="0.25" r="35" customHeight="1" ht="19.5">
      <c r="A35" s="101">
        <v>33</v>
      </c>
      <c r="B35" s="24"/>
      <c r="C35" s="24"/>
      <c r="D35" s="24"/>
      <c r="E35" s="24"/>
      <c r="F35" s="24"/>
      <c r="G35" s="24"/>
      <c r="H35" s="74"/>
      <c r="I35" s="75"/>
      <c r="J35" s="3"/>
      <c r="K35" s="3"/>
      <c r="L35" s="3"/>
    </row>
    <row x14ac:dyDescent="0.25" r="36" customHeight="1" ht="19.5">
      <c r="A36" s="101">
        <v>34</v>
      </c>
      <c r="B36" s="24"/>
      <c r="C36" s="24"/>
      <c r="D36" s="24"/>
      <c r="E36" s="24"/>
      <c r="F36" s="24"/>
      <c r="G36" s="24"/>
      <c r="H36" s="74"/>
      <c r="I36" s="75"/>
      <c r="J36" s="3"/>
      <c r="K36" s="3"/>
      <c r="L36" s="3"/>
    </row>
    <row x14ac:dyDescent="0.25" r="37" customHeight="1" ht="19.5">
      <c r="A37" s="101">
        <v>35</v>
      </c>
      <c r="B37" s="24"/>
      <c r="C37" s="24"/>
      <c r="D37" s="24"/>
      <c r="E37" s="24"/>
      <c r="F37" s="24"/>
      <c r="G37" s="24"/>
      <c r="H37" s="74"/>
      <c r="I37" s="75"/>
      <c r="J37" s="3"/>
      <c r="K37" s="3"/>
      <c r="L37" s="3"/>
    </row>
    <row x14ac:dyDescent="0.25" r="38" customHeight="1" ht="19.5">
      <c r="A38" s="101">
        <v>36</v>
      </c>
      <c r="B38" s="24"/>
      <c r="C38" s="24"/>
      <c r="D38" s="24"/>
      <c r="E38" s="24"/>
      <c r="F38" s="24"/>
      <c r="G38" s="24"/>
      <c r="H38" s="74"/>
      <c r="I38" s="75"/>
      <c r="J38" s="3"/>
      <c r="K38" s="3"/>
      <c r="L38" s="3"/>
    </row>
    <row x14ac:dyDescent="0.25" r="39" customHeight="1" ht="19.5">
      <c r="A39" s="101">
        <v>37</v>
      </c>
      <c r="B39" s="24"/>
      <c r="C39" s="24"/>
      <c r="D39" s="24"/>
      <c r="E39" s="24"/>
      <c r="F39" s="24"/>
      <c r="G39" s="24"/>
      <c r="H39" s="74"/>
      <c r="I39" s="75"/>
      <c r="J39" s="3"/>
      <c r="K39" s="3"/>
      <c r="L39" s="3"/>
    </row>
    <row x14ac:dyDescent="0.25" r="40" customHeight="1" ht="19.5">
      <c r="A40" s="101">
        <v>38</v>
      </c>
      <c r="B40" s="24"/>
      <c r="C40" s="24"/>
      <c r="D40" s="24"/>
      <c r="E40" s="24"/>
      <c r="F40" s="24"/>
      <c r="G40" s="24"/>
      <c r="H40" s="74"/>
      <c r="I40" s="75"/>
      <c r="J40" s="3"/>
      <c r="K40" s="3"/>
      <c r="L40" s="3"/>
    </row>
    <row x14ac:dyDescent="0.25" r="41" customHeight="1" ht="19.5">
      <c r="A41" s="101">
        <v>39</v>
      </c>
      <c r="B41" s="24"/>
      <c r="C41" s="24"/>
      <c r="D41" s="24"/>
      <c r="E41" s="24"/>
      <c r="F41" s="24"/>
      <c r="G41" s="24"/>
      <c r="H41" s="74"/>
      <c r="I41" s="75"/>
      <c r="J41" s="3"/>
      <c r="K41" s="3"/>
      <c r="L41" s="3"/>
    </row>
    <row x14ac:dyDescent="0.25" r="42" customHeight="1" ht="15.75">
      <c r="A42" s="101">
        <v>40</v>
      </c>
      <c r="B42" s="24"/>
      <c r="C42" s="24"/>
      <c r="D42" s="24"/>
      <c r="E42" s="24"/>
      <c r="F42" s="24"/>
      <c r="G42" s="24"/>
      <c r="H42" s="74"/>
      <c r="I42" s="76"/>
      <c r="J42" s="3"/>
      <c r="K42" s="3"/>
      <c r="L42" s="3"/>
    </row>
    <row x14ac:dyDescent="0.25" r="43" customHeight="1" ht="15.75">
      <c r="A43" s="86" t="s">
        <v>49</v>
      </c>
      <c r="B43" s="31">
        <f>AVERAGE(B3:B42)</f>
      </c>
      <c r="C43" s="31">
        <f>AVERAGE(C3:C42)</f>
      </c>
      <c r="D43" s="31">
        <f>AVERAGE(D3:D42)</f>
      </c>
      <c r="E43" s="31">
        <f>AVERAGE(E3:E42)</f>
      </c>
      <c r="F43" s="31">
        <f>AVERAGE(F3:F42)</f>
      </c>
      <c r="G43" s="31">
        <f>AVERAGE(G3:G42)</f>
      </c>
      <c r="H43" s="31">
        <f>AVERAGE(H3:H42)</f>
      </c>
      <c r="I43" s="32"/>
      <c r="J43" s="3"/>
      <c r="K43" s="3"/>
      <c r="L43" s="3"/>
    </row>
    <row x14ac:dyDescent="0.25" r="44" customHeight="1" ht="19.5">
      <c r="A44" s="33" t="s">
        <v>50</v>
      </c>
      <c r="B44" s="24">
        <f>AVERAGEIF(B43:H43, "&lt;&gt;#DIV/0!")</f>
      </c>
      <c r="C44" s="24"/>
      <c r="D44" s="24"/>
      <c r="E44" s="24"/>
      <c r="F44" s="24"/>
      <c r="G44" s="24"/>
      <c r="H44" s="24"/>
      <c r="I44" s="102"/>
      <c r="J44" s="3"/>
      <c r="K44" s="3"/>
      <c r="L44" s="3"/>
    </row>
    <row x14ac:dyDescent="0.25" r="45" customHeight="1" ht="19.5">
      <c r="A45" s="33" t="s">
        <v>51</v>
      </c>
      <c r="B45" s="34">
        <f>COUNTIF(B3:B42, "&lt;&gt;")</f>
      </c>
      <c r="C45" s="34">
        <f>COUNTIF(C3:C42, "&lt;&gt;")</f>
      </c>
      <c r="D45" s="34">
        <f>COUNTIF(D3:D42, "&lt;&gt;")</f>
      </c>
      <c r="E45" s="34">
        <f>COUNTIF(E3:E42, "&lt;&gt;")</f>
      </c>
      <c r="F45" s="34">
        <f>COUNTIF(F3:F42, "&lt;&gt;")</f>
      </c>
      <c r="G45" s="34">
        <f>COUNTIF(G3:G42, "&lt;&gt;")</f>
      </c>
      <c r="H45" s="34">
        <f>COUNTIF(H3:H42, "&lt;&gt;")</f>
      </c>
      <c r="I45" s="102"/>
      <c r="J45" s="3"/>
      <c r="K45" s="3"/>
      <c r="L45" s="3"/>
    </row>
    <row x14ac:dyDescent="0.25" r="46" customHeight="1" ht="19.5">
      <c r="A46" s="20"/>
      <c r="B46" s="77"/>
      <c r="C46" s="36"/>
      <c r="D46" s="3"/>
      <c r="E46" s="3"/>
      <c r="F46" s="3"/>
      <c r="G46" s="3"/>
      <c r="H46" s="3"/>
      <c r="I46" s="3"/>
      <c r="J46" s="3"/>
      <c r="K46" s="3"/>
      <c r="L46" s="3"/>
    </row>
    <row x14ac:dyDescent="0.25" r="47" customHeight="1" ht="19.5">
      <c r="A47" s="20"/>
      <c r="B47" s="90" t="s">
        <v>52</v>
      </c>
      <c r="C47" s="38" t="s">
        <v>53</v>
      </c>
      <c r="D47" s="39" t="s">
        <v>54</v>
      </c>
      <c r="E47" s="39" t="s">
        <v>55</v>
      </c>
      <c r="F47" s="39" t="s">
        <v>56</v>
      </c>
      <c r="G47" s="39" t="s">
        <v>57</v>
      </c>
      <c r="H47" s="39" t="s">
        <v>58</v>
      </c>
      <c r="I47" s="39" t="s">
        <v>59</v>
      </c>
      <c r="J47" s="3"/>
      <c r="K47" s="3"/>
      <c r="L47" s="3"/>
    </row>
    <row x14ac:dyDescent="0.25" r="48" customHeight="1" ht="19.5">
      <c r="A48" s="40" t="s">
        <v>60</v>
      </c>
      <c r="B48" s="42">
        <f>COUNTIF($B$2:$C$2, "A")</f>
      </c>
      <c r="C48" s="41">
        <f>COUNTIF($B$2:$C$2, "Q")</f>
      </c>
      <c r="D48" s="42">
        <f>COUNTIF($B$2:$C$2, "M")</f>
      </c>
      <c r="E48" s="42">
        <f>COUNTIF($B$2:$C$2, "F")</f>
      </c>
      <c r="F48" s="42">
        <f>COUNTIF($B$2:$C$2, "P")</f>
      </c>
      <c r="G48" s="42">
        <f>COUNTIF($B$2:$C$2, "L")</f>
      </c>
      <c r="H48" s="42">
        <f>COUNTIF($B$2:$C$2, "OT")</f>
      </c>
      <c r="I48" s="45">
        <f>SUM(B48:H48)</f>
      </c>
      <c r="J48" s="3"/>
      <c r="K48" s="3"/>
      <c r="L48" s="3"/>
    </row>
    <row x14ac:dyDescent="0.25" r="49" customHeight="1" ht="19.5">
      <c r="A49" s="43" t="s">
        <v>61</v>
      </c>
      <c r="B49" s="42">
        <f>COUNTIF($D$2, "A")</f>
      </c>
      <c r="C49" s="41">
        <f>COUNTIF($D$2, "Q")</f>
      </c>
      <c r="D49" s="42">
        <f>COUNTIF($D$2, "M")</f>
      </c>
      <c r="E49" s="42">
        <f>COUNTIF($D$2, "F")</f>
      </c>
      <c r="F49" s="42">
        <f>COUNTIF($D$2, "P")</f>
      </c>
      <c r="G49" s="42">
        <f>COUNTIF($D$2, "L")</f>
      </c>
      <c r="H49" s="42">
        <f>COUNTIF($D$2, "OT")</f>
      </c>
      <c r="I49" s="45">
        <f>SUM(B49:H49)</f>
      </c>
      <c r="J49" s="3"/>
      <c r="K49" s="3"/>
      <c r="L49" s="3"/>
    </row>
    <row x14ac:dyDescent="0.25" r="50" customHeight="1" ht="19.5">
      <c r="A50" s="44" t="s">
        <v>62</v>
      </c>
      <c r="B50" s="42">
        <f>COUNTIF($E$2:$H$2, "A")</f>
      </c>
      <c r="C50" s="41">
        <f>COUNTIF($E$2:$H$2, "Q")</f>
      </c>
      <c r="D50" s="42">
        <f>COUNTIF($E$2:$H$2, "M")</f>
      </c>
      <c r="E50" s="42">
        <f>COUNTIF($E$2:$H$2, "F")</f>
      </c>
      <c r="F50" s="42">
        <f>COUNTIF($E$2:$H$2, "P")</f>
      </c>
      <c r="G50" s="42">
        <f>COUNTIF($E$2:$H$2, "L")</f>
      </c>
      <c r="H50" s="42">
        <f>COUNTIF($E$2:$H$2, "OT")</f>
      </c>
      <c r="I50" s="45">
        <f>SUM(B50:H50)</f>
      </c>
      <c r="J50" s="3"/>
      <c r="K50" s="3"/>
      <c r="L50" s="3"/>
    </row>
    <row x14ac:dyDescent="0.25" r="51" customHeight="1" ht="19.5">
      <c r="A51" s="37" t="s">
        <v>59</v>
      </c>
      <c r="B51" s="45">
        <f>SUM(B48:B50)</f>
      </c>
      <c r="C51" s="22">
        <f>SUM(C48:C50)</f>
      </c>
      <c r="D51" s="45">
        <f>SUM(D48:D50)</f>
      </c>
      <c r="E51" s="45">
        <f>SUM(E48:E50)</f>
      </c>
      <c r="F51" s="45">
        <f>SUM(F48:F50)</f>
      </c>
      <c r="G51" s="45">
        <f>SUM(G48:G50)</f>
      </c>
      <c r="H51" s="45">
        <f>SUM(H48:H50)</f>
      </c>
      <c r="I51" s="45">
        <f>SUM(B51:H51)</f>
      </c>
      <c r="J51" s="3"/>
      <c r="K51" s="3"/>
      <c r="L51" s="3"/>
    </row>
    <row x14ac:dyDescent="0.25" r="52" customHeight="1" ht="19.5">
      <c r="A52" s="87"/>
      <c r="B52" s="79"/>
      <c r="C52" s="103"/>
      <c r="D52" s="79"/>
      <c r="E52" s="79"/>
      <c r="F52" s="79"/>
      <c r="G52" s="79"/>
      <c r="H52" s="79"/>
      <c r="I52" s="3"/>
      <c r="J52" s="79"/>
      <c r="K52" s="3"/>
      <c r="L52" s="3"/>
    </row>
    <row x14ac:dyDescent="0.25" r="53" customHeight="1" ht="18.75">
      <c r="A53" s="104" t="s">
        <v>63</v>
      </c>
      <c r="B53" s="77"/>
      <c r="C53" s="36"/>
      <c r="D53" s="3"/>
      <c r="E53" s="3"/>
      <c r="F53" s="3"/>
      <c r="G53" s="3"/>
      <c r="H53" s="3"/>
      <c r="I53" s="3"/>
      <c r="J53" s="3"/>
      <c r="K53" s="3"/>
      <c r="L53" s="3"/>
    </row>
    <row x14ac:dyDescent="0.25" r="54" customHeight="1" ht="16.5">
      <c r="A54" s="88" t="s">
        <v>64</v>
      </c>
      <c r="B54" s="70" t="s">
        <v>100</v>
      </c>
      <c r="C54" s="18" t="s">
        <v>101</v>
      </c>
      <c r="D54" s="69" t="s">
        <v>102</v>
      </c>
      <c r="E54" s="67" t="s">
        <v>103</v>
      </c>
      <c r="F54" s="67" t="s">
        <v>104</v>
      </c>
      <c r="G54" s="67" t="s">
        <v>105</v>
      </c>
      <c r="H54" s="67" t="s">
        <v>106</v>
      </c>
      <c r="I54" s="80" t="s">
        <v>49</v>
      </c>
      <c r="J54" s="3"/>
      <c r="K54" s="3"/>
      <c r="L54" s="3"/>
    </row>
    <row x14ac:dyDescent="0.25" r="55" customHeight="1" ht="16.5">
      <c r="A55" s="51" t="s">
        <v>65</v>
      </c>
      <c r="B55" s="52">
        <f>(COUNTIF(B3:B42, "&lt;=59%"))/B45</f>
      </c>
      <c r="C55" s="52">
        <f>(COUNTIF(C3:C42, "&lt;=59%"))/C45</f>
      </c>
      <c r="D55" s="52">
        <f>(COUNTIF(D3:D42, "&lt;=59%"))/D45</f>
      </c>
      <c r="E55" s="52">
        <f>(COUNTIF(E3:E42, "&lt;=59%"))/E45</f>
      </c>
      <c r="F55" s="52">
        <f>(COUNTIF(F3:F42, "&lt;=59%"))/F45</f>
      </c>
      <c r="G55" s="52">
        <f>(COUNTIF(G3:G42, "&lt;=59%"))/G45</f>
      </c>
      <c r="H55" s="52">
        <f>(COUNTIF(H3:H42, "&lt;=59%"))/H45</f>
      </c>
      <c r="I55" s="53">
        <f>AVERAGEIF(B55:H55, "&lt;&gt;#DIV/0!")</f>
      </c>
      <c r="J55" s="3"/>
      <c r="K55" s="3"/>
      <c r="L55" s="3"/>
    </row>
    <row x14ac:dyDescent="0.25" r="56" customHeight="1" ht="16.5">
      <c r="A56" s="54" t="s">
        <v>66</v>
      </c>
      <c r="B56" s="52">
        <f>(COUNTIFS(B3:B42, "&gt;= 60%", B3:B42, "&lt;=69%" ))/B45</f>
      </c>
      <c r="C56" s="52">
        <f>(COUNTIFS(C3:C42, "&gt;= 60%", C3:C42, "&lt;=69%" ))/C45</f>
      </c>
      <c r="D56" s="52">
        <f>(COUNTIFS(D3:D42, "&gt;= 60%", D3:D42, "&lt;=69%" ))/D45</f>
      </c>
      <c r="E56" s="52">
        <f>(COUNTIFS(E3:E42, "&gt;= 60%", E3:E42, "&lt;=69%" ))/E45</f>
      </c>
      <c r="F56" s="52">
        <f>(COUNTIFS(F3:F42, "&gt;= 60%", F3:F42, "&lt;=69%" ))/F45</f>
      </c>
      <c r="G56" s="52">
        <f>(COUNTIFS(G3:G42, "&gt;= 60%", G3:G42, "&lt;=69%" ))/G45</f>
      </c>
      <c r="H56" s="52">
        <f>(COUNTIFS(H3:H42, "&gt;= 60%", H3:H42, "&lt;=69%" ))/H45</f>
      </c>
      <c r="I56" s="53">
        <f>AVERAGEIF(B56:H56, "&lt;&gt;#DIV/0!")</f>
      </c>
      <c r="J56" s="3"/>
      <c r="K56" s="3"/>
      <c r="L56" s="3"/>
    </row>
    <row x14ac:dyDescent="0.25" r="57" customHeight="1" ht="16.5">
      <c r="A57" s="55" t="s">
        <v>67</v>
      </c>
      <c r="B57" s="52">
        <f>(COUNTIFS(B3:B42, "&gt;= 70%", B3:B42, "&lt;=79%" ))/B45</f>
      </c>
      <c r="C57" s="52">
        <f>(COUNTIFS(C3:C42, "&gt;= 70%", C3:C42, "&lt;=79%" ))/C45</f>
      </c>
      <c r="D57" s="52">
        <f>(COUNTIFS(D3:D42, "&gt;= 70%", D3:D42, "&lt;=79%" ))/D45</f>
      </c>
      <c r="E57" s="52">
        <f>(COUNTIFS(E3:E42, "&gt;= 70%", E3:E42, "&lt;=79%" ))/E45</f>
      </c>
      <c r="F57" s="52">
        <f>(COUNTIFS(F3:F42, "&gt;= 70%", F3:F42, "&lt;=79%" ))/F45</f>
      </c>
      <c r="G57" s="52">
        <f>(COUNTIFS(G3:G42, "&gt;= 70%", G3:G42, "&lt;=79%" ))/G45</f>
      </c>
      <c r="H57" s="52">
        <f>(COUNTIFS(H3:H42, "&gt;= 70%", H3:H42, "&lt;=79%" ))/H45</f>
      </c>
      <c r="I57" s="53">
        <f>AVERAGEIF(B57:H57, "&lt;&gt;#DIV/0!")</f>
      </c>
      <c r="J57" s="3"/>
      <c r="K57" s="3"/>
      <c r="L57" s="3"/>
    </row>
    <row x14ac:dyDescent="0.25" r="58" customHeight="1" ht="16.5">
      <c r="A58" s="56" t="s">
        <v>68</v>
      </c>
      <c r="B58" s="52">
        <f>(COUNTIF(B3:B42,"&gt;= 80%")/B45)</f>
      </c>
      <c r="C58" s="52">
        <f>(COUNTIF(C3:C42,"&gt;= 80%")/C45)</f>
      </c>
      <c r="D58" s="52">
        <f>(COUNTIF(D3:D42,"&gt;= 80%")/D45)</f>
      </c>
      <c r="E58" s="52">
        <f>(COUNTIF(E3:E42,"&gt;= 80%")/E45)</f>
      </c>
      <c r="F58" s="52">
        <f>(COUNTIF(F3:F42,"&gt;= 80%")/F45)</f>
      </c>
      <c r="G58" s="52">
        <f>(COUNTIF(G3:G42,"&gt;= 80%")/G45)</f>
      </c>
      <c r="H58" s="52">
        <f>(COUNTIF(H3:H42,"&gt;= 80%")/H45)</f>
      </c>
      <c r="I58" s="53">
        <f>AVERAGEIF(B58:H58, "&lt;&gt;#DIV/0!")</f>
      </c>
      <c r="J58" s="3"/>
      <c r="K58" s="3"/>
      <c r="L58" s="3"/>
    </row>
    <row x14ac:dyDescent="0.25" r="59" customHeight="1" ht="16.5">
      <c r="A59" s="89"/>
      <c r="B59" s="100">
        <f>SUMIF(B55:B58, "&lt;&gt;#DIV/0!")</f>
      </c>
      <c r="C59" s="105">
        <f>SUMIF(C55:C58, "&lt;&gt;#DIV/0!")</f>
      </c>
      <c r="D59" s="105">
        <f>SUMIF(D55:D58, "&lt;&gt;#DIV/0!")</f>
      </c>
      <c r="E59" s="105">
        <f>SUMIF(E55:E58, "&lt;&gt;#DIV/0!")</f>
      </c>
      <c r="F59" s="105">
        <f>SUMIF(F55:F58, "&lt;&gt;#DIV/0!")</f>
      </c>
      <c r="G59" s="105">
        <f>SUMIF(G55:G58, "&lt;&gt;#DIV/0!")</f>
      </c>
      <c r="H59" s="105">
        <f>SUMIF(H55:H58, "&lt;&gt;#DIV/0!")</f>
      </c>
      <c r="I59" s="105">
        <f>SUMIF(I55:I58, "&lt;&gt;#DIV/0!")</f>
      </c>
      <c r="J59" s="3"/>
      <c r="K59" s="3"/>
      <c r="L59" s="3"/>
    </row>
    <row x14ac:dyDescent="0.25" r="60" customHeight="1" ht="15.75">
      <c r="A60" s="20"/>
      <c r="B60" s="77"/>
      <c r="C60" s="36"/>
      <c r="D60" s="3"/>
      <c r="E60" s="3"/>
      <c r="F60" s="3"/>
      <c r="G60" s="3"/>
      <c r="H60" s="3"/>
      <c r="I60" s="3"/>
      <c r="J60" s="3"/>
      <c r="K60" s="3"/>
      <c r="L60" s="3"/>
    </row>
    <row x14ac:dyDescent="0.25" r="61" customHeight="1" ht="15.75">
      <c r="A61" s="60"/>
      <c r="B61" s="81" t="s">
        <v>69</v>
      </c>
      <c r="C61" s="62" t="s">
        <v>70</v>
      </c>
      <c r="D61" s="3"/>
      <c r="E61" s="3"/>
      <c r="F61" s="3"/>
      <c r="G61" s="3"/>
      <c r="H61" s="3"/>
      <c r="I61" s="3"/>
      <c r="J61" s="3"/>
      <c r="K61" s="3"/>
      <c r="L61" s="3"/>
    </row>
    <row x14ac:dyDescent="0.25" r="62" customHeight="1" ht="16.5">
      <c r="A62" s="63" t="s">
        <v>68</v>
      </c>
      <c r="B62" s="81" t="s">
        <v>71</v>
      </c>
      <c r="C62" s="62">
        <v>100</v>
      </c>
      <c r="D62" s="3"/>
      <c r="E62" s="3"/>
      <c r="F62" s="3"/>
      <c r="G62" s="3"/>
      <c r="H62" s="3"/>
      <c r="I62" s="3"/>
      <c r="J62" s="3"/>
      <c r="K62" s="3"/>
      <c r="L62" s="3"/>
    </row>
    <row x14ac:dyDescent="0.25" r="63" customHeight="1" ht="16.5">
      <c r="A63" s="63" t="s">
        <v>67</v>
      </c>
      <c r="B63" s="81" t="s">
        <v>72</v>
      </c>
      <c r="C63" s="62">
        <v>79</v>
      </c>
      <c r="D63" s="3"/>
      <c r="E63" s="3"/>
      <c r="F63" s="3"/>
      <c r="G63" s="3"/>
      <c r="H63" s="3"/>
      <c r="I63" s="3"/>
      <c r="J63" s="3"/>
      <c r="K63" s="3"/>
      <c r="L63" s="3"/>
    </row>
    <row x14ac:dyDescent="0.25" r="64" customHeight="1" ht="16.5">
      <c r="A64" s="63" t="s">
        <v>66</v>
      </c>
      <c r="B64" s="81" t="s">
        <v>73</v>
      </c>
      <c r="C64" s="62">
        <v>69</v>
      </c>
      <c r="D64" s="3"/>
      <c r="E64" s="3"/>
      <c r="F64" s="3"/>
      <c r="G64" s="3"/>
      <c r="H64" s="3"/>
      <c r="I64" s="3"/>
      <c r="J64" s="3"/>
      <c r="K64" s="3"/>
      <c r="L64" s="3"/>
    </row>
    <row x14ac:dyDescent="0.25" r="65" customHeight="1" ht="16.5">
      <c r="A65" s="63" t="s">
        <v>65</v>
      </c>
      <c r="B65" s="81" t="s">
        <v>74</v>
      </c>
      <c r="C65" s="62">
        <v>59</v>
      </c>
      <c r="D65" s="3"/>
      <c r="E65" s="3"/>
      <c r="F65" s="3"/>
      <c r="G65" s="3"/>
      <c r="H65" s="3"/>
      <c r="I65" s="3"/>
      <c r="J65" s="3"/>
      <c r="K65" s="3"/>
      <c r="L65" s="3"/>
    </row>
  </sheetData>
  <mergeCells count="1">
    <mergeCell ref="I3:I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5"/>
  <sheetViews>
    <sheetView workbookViewId="0"/>
  </sheetViews>
  <sheetFormatPr defaultRowHeight="15" x14ac:dyDescent="0.25"/>
  <cols>
    <col min="1" max="1" style="64" width="44.86214285714286" customWidth="1" bestFit="1"/>
    <col min="2" max="2" style="82" width="18.862142857142857" customWidth="1" bestFit="1"/>
    <col min="3" max="3" style="66" width="15.43357142857143" customWidth="1" bestFit="1"/>
    <col min="4" max="4" style="15" width="15.862142857142858" customWidth="1" bestFit="1"/>
    <col min="5" max="5" style="15" width="17.719285714285714" customWidth="1" bestFit="1"/>
    <col min="6" max="6" style="15" width="14.576428571428572" customWidth="1" bestFit="1"/>
    <col min="7" max="7" style="15" width="15.005" customWidth="1" bestFit="1"/>
    <col min="8" max="8" style="15" width="17.719285714285714" customWidth="1" bestFit="1"/>
    <col min="9" max="9" style="15" width="15.43357142857143" customWidth="1" bestFit="1"/>
    <col min="10" max="10" style="15" width="15.43357142857143" customWidth="1" bestFit="1"/>
    <col min="11" max="11" style="15" width="15.43357142857143" customWidth="1" bestFit="1"/>
    <col min="12" max="12" style="15" width="15.43357142857143" customWidth="1" bestFit="1"/>
    <col min="13" max="13" style="15" width="9.290714285714287" customWidth="1" bestFit="1"/>
    <col min="14" max="14" style="15" width="14.147857142857141" customWidth="1" bestFit="1"/>
    <col min="15" max="15" style="15" width="14.147857142857141" customWidth="1" bestFit="1"/>
  </cols>
  <sheetData>
    <row x14ac:dyDescent="0.25" r="1" customHeight="1" ht="19.5">
      <c r="A1" s="16" t="s">
        <v>38</v>
      </c>
      <c r="B1" s="70" t="s">
        <v>90</v>
      </c>
      <c r="C1" s="83" t="s">
        <v>91</v>
      </c>
      <c r="D1" s="70" t="s">
        <v>92</v>
      </c>
      <c r="E1" s="70" t="s">
        <v>93</v>
      </c>
      <c r="F1" s="67" t="s">
        <v>94</v>
      </c>
      <c r="G1" s="67" t="s">
        <v>95</v>
      </c>
      <c r="H1" s="67" t="s">
        <v>96</v>
      </c>
      <c r="I1" s="67" t="s">
        <v>97</v>
      </c>
      <c r="J1" s="67" t="s">
        <v>98</v>
      </c>
      <c r="K1" s="67" t="s">
        <v>99</v>
      </c>
      <c r="L1" s="71">
        <f>COUNTA(B1:K1)</f>
      </c>
      <c r="M1" s="3"/>
      <c r="N1" s="3"/>
      <c r="O1" s="3"/>
    </row>
    <row x14ac:dyDescent="0.25" r="2" customHeight="1" ht="30">
      <c r="A2" s="21" t="s">
        <v>42</v>
      </c>
      <c r="B2" s="72"/>
      <c r="C2" s="22"/>
      <c r="D2" s="72"/>
      <c r="E2" s="72"/>
      <c r="F2" s="72"/>
      <c r="G2" s="72"/>
      <c r="H2" s="72"/>
      <c r="I2" s="72"/>
      <c r="J2" s="72"/>
      <c r="K2" s="72"/>
      <c r="L2" s="71">
        <f>COUNTIF(B2:K2, "&lt;&gt;")</f>
      </c>
      <c r="M2" s="3"/>
      <c r="N2" s="3"/>
      <c r="O2" s="3"/>
    </row>
    <row x14ac:dyDescent="0.25" r="3" customHeight="1" ht="19.5">
      <c r="A3" s="23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5"/>
      <c r="M3" s="3"/>
      <c r="N3" s="3"/>
      <c r="O3" s="3"/>
    </row>
    <row x14ac:dyDescent="0.25" r="4" customHeight="1" ht="19.5">
      <c r="A4" s="23">
        <v>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75"/>
      <c r="M4" s="3"/>
      <c r="N4" s="3"/>
      <c r="O4" s="27" t="s">
        <v>22</v>
      </c>
    </row>
    <row x14ac:dyDescent="0.25" r="5" customHeight="1" ht="19.5">
      <c r="A5" s="23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75"/>
      <c r="M5" s="3"/>
      <c r="N5" s="3"/>
      <c r="O5" s="27" t="s">
        <v>43</v>
      </c>
    </row>
    <row x14ac:dyDescent="0.25" r="6" customHeight="1" ht="19.5">
      <c r="A6" s="23">
        <v>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75"/>
      <c r="M6" s="3"/>
      <c r="N6" s="3"/>
      <c r="O6" s="27" t="s">
        <v>44</v>
      </c>
    </row>
    <row x14ac:dyDescent="0.25" r="7" customHeight="1" ht="19.5">
      <c r="A7" s="23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75"/>
      <c r="M7" s="3"/>
      <c r="N7" s="3"/>
      <c r="O7" s="27" t="s">
        <v>45</v>
      </c>
    </row>
    <row x14ac:dyDescent="0.25" r="8" customHeight="1" ht="19.5">
      <c r="A8" s="23">
        <v>6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75"/>
      <c r="M8" s="3"/>
      <c r="N8" s="3"/>
      <c r="O8" s="27" t="s">
        <v>46</v>
      </c>
    </row>
    <row x14ac:dyDescent="0.25" r="9" customHeight="1" ht="19.5">
      <c r="A9" s="23">
        <v>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75"/>
      <c r="M9" s="3"/>
      <c r="N9" s="3"/>
      <c r="O9" s="27" t="s">
        <v>47</v>
      </c>
    </row>
    <row x14ac:dyDescent="0.25" r="10" customHeight="1" ht="19.5">
      <c r="A10" s="23">
        <v>8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75"/>
      <c r="M10" s="3"/>
      <c r="N10" s="3"/>
      <c r="O10" s="27" t="s">
        <v>48</v>
      </c>
    </row>
    <row x14ac:dyDescent="0.25" r="11" customHeight="1" ht="19.5">
      <c r="A11" s="23">
        <v>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75"/>
      <c r="M11" s="3"/>
      <c r="N11" s="3"/>
      <c r="O11" s="3"/>
    </row>
    <row x14ac:dyDescent="0.25" r="12" customHeight="1" ht="19.5">
      <c r="A12" s="23">
        <v>10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75"/>
      <c r="M12" s="3"/>
      <c r="N12" s="3"/>
      <c r="O12" s="3"/>
    </row>
    <row x14ac:dyDescent="0.25" r="13" customHeight="1" ht="19.5">
      <c r="A13" s="23">
        <v>11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75"/>
      <c r="M13" s="3"/>
      <c r="N13" s="3"/>
      <c r="O13" s="3"/>
    </row>
    <row x14ac:dyDescent="0.25" r="14" customHeight="1" ht="19.5">
      <c r="A14" s="23">
        <v>12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75"/>
      <c r="M14" s="3"/>
      <c r="N14" s="3"/>
      <c r="O14" s="3"/>
    </row>
    <row x14ac:dyDescent="0.25" r="15" customHeight="1" ht="19.5">
      <c r="A15" s="23">
        <v>13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75"/>
      <c r="M15" s="3"/>
      <c r="N15" s="3"/>
      <c r="O15" s="3"/>
    </row>
    <row x14ac:dyDescent="0.25" r="16" customHeight="1" ht="19.5">
      <c r="A16" s="23">
        <v>14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75"/>
      <c r="M16" s="3"/>
      <c r="N16" s="3"/>
      <c r="O16" s="3"/>
    </row>
    <row x14ac:dyDescent="0.25" r="17" customHeight="1" ht="19.5">
      <c r="A17" s="23">
        <v>15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75"/>
      <c r="M17" s="3"/>
      <c r="N17" s="3"/>
      <c r="O17" s="3"/>
    </row>
    <row x14ac:dyDescent="0.25" r="18" customHeight="1" ht="19.5">
      <c r="A18" s="23">
        <v>16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75"/>
      <c r="M18" s="3"/>
      <c r="N18" s="3"/>
      <c r="O18" s="3"/>
    </row>
    <row x14ac:dyDescent="0.25" r="19" customHeight="1" ht="19.5">
      <c r="A19" s="23">
        <v>17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75"/>
      <c r="M19" s="3"/>
      <c r="N19" s="3"/>
      <c r="O19" s="3"/>
    </row>
    <row x14ac:dyDescent="0.25" r="20" customHeight="1" ht="19.5">
      <c r="A20" s="23">
        <v>18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75"/>
      <c r="M20" s="3"/>
      <c r="N20" s="3"/>
      <c r="O20" s="3"/>
    </row>
    <row x14ac:dyDescent="0.25" r="21" customHeight="1" ht="19.5">
      <c r="A21" s="23">
        <v>19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75"/>
      <c r="M21" s="3"/>
      <c r="N21" s="3"/>
      <c r="O21" s="3"/>
    </row>
    <row x14ac:dyDescent="0.25" r="22" customHeight="1" ht="19.5">
      <c r="A22" s="23">
        <v>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75"/>
      <c r="M22" s="3"/>
      <c r="N22" s="3"/>
      <c r="O22" s="3"/>
    </row>
    <row x14ac:dyDescent="0.25" r="23" customHeight="1" ht="19.5">
      <c r="A23" s="23">
        <v>21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75"/>
      <c r="M23" s="3"/>
      <c r="N23" s="3"/>
      <c r="O23" s="3"/>
    </row>
    <row x14ac:dyDescent="0.25" r="24" customHeight="1" ht="19.5">
      <c r="A24" s="23">
        <v>22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75"/>
      <c r="M24" s="3"/>
      <c r="N24" s="3"/>
      <c r="O24" s="3"/>
    </row>
    <row x14ac:dyDescent="0.25" r="25" customHeight="1" ht="19.5">
      <c r="A25" s="23">
        <v>23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75"/>
      <c r="M25" s="3"/>
      <c r="N25" s="3"/>
      <c r="O25" s="3"/>
    </row>
    <row x14ac:dyDescent="0.25" r="26" customHeight="1" ht="19.5">
      <c r="A26" s="23">
        <v>24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75"/>
      <c r="M26" s="3"/>
      <c r="N26" s="3"/>
      <c r="O26" s="3"/>
    </row>
    <row x14ac:dyDescent="0.25" r="27" customHeight="1" ht="19.5">
      <c r="A27" s="23">
        <v>25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75"/>
      <c r="M27" s="3"/>
      <c r="N27" s="3"/>
      <c r="O27" s="3"/>
    </row>
    <row x14ac:dyDescent="0.25" r="28" customHeight="1" ht="19.5">
      <c r="A28" s="23">
        <v>26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75"/>
      <c r="M28" s="3"/>
      <c r="N28" s="3"/>
      <c r="O28" s="3"/>
    </row>
    <row x14ac:dyDescent="0.25" r="29" customHeight="1" ht="19.5">
      <c r="A29" s="23">
        <v>27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75"/>
      <c r="M29" s="3"/>
      <c r="N29" s="3"/>
      <c r="O29" s="3"/>
    </row>
    <row x14ac:dyDescent="0.25" r="30" customHeight="1" ht="19.5">
      <c r="A30" s="23">
        <v>28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75"/>
      <c r="M30" s="3"/>
      <c r="N30" s="3"/>
      <c r="O30" s="3"/>
    </row>
    <row x14ac:dyDescent="0.25" r="31" customHeight="1" ht="19.5">
      <c r="A31" s="23">
        <v>29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75"/>
      <c r="M31" s="3"/>
      <c r="N31" s="3"/>
      <c r="O31" s="3"/>
    </row>
    <row x14ac:dyDescent="0.25" r="32" customHeight="1" ht="19.5">
      <c r="A32" s="23">
        <v>30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75"/>
      <c r="M32" s="3"/>
      <c r="N32" s="3"/>
      <c r="O32" s="3"/>
    </row>
    <row x14ac:dyDescent="0.25" r="33" customHeight="1" ht="19.5">
      <c r="A33" s="23">
        <v>31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75"/>
      <c r="M33" s="3"/>
      <c r="N33" s="3"/>
      <c r="O33" s="3"/>
    </row>
    <row x14ac:dyDescent="0.25" r="34" customHeight="1" ht="19.5">
      <c r="A34" s="23">
        <v>32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75"/>
      <c r="M34" s="3"/>
      <c r="N34" s="3"/>
      <c r="O34" s="3"/>
    </row>
    <row x14ac:dyDescent="0.25" r="35" customHeight="1" ht="19.5">
      <c r="A35" s="23">
        <v>33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75"/>
      <c r="M35" s="3"/>
      <c r="N35" s="3"/>
      <c r="O35" s="3"/>
    </row>
    <row x14ac:dyDescent="0.25" r="36" customHeight="1" ht="19.5">
      <c r="A36" s="23">
        <v>34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75"/>
      <c r="M36" s="3"/>
      <c r="N36" s="3"/>
      <c r="O36" s="3"/>
    </row>
    <row x14ac:dyDescent="0.25" r="37" customHeight="1" ht="19.5">
      <c r="A37" s="23">
        <v>35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75"/>
      <c r="M37" s="3"/>
      <c r="N37" s="3"/>
      <c r="O37" s="3"/>
    </row>
    <row x14ac:dyDescent="0.25" r="38" customHeight="1" ht="19.5">
      <c r="A38" s="23">
        <v>36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75"/>
      <c r="M38" s="3"/>
      <c r="N38" s="3"/>
      <c r="O38" s="3"/>
    </row>
    <row x14ac:dyDescent="0.25" r="39" customHeight="1" ht="19.5">
      <c r="A39" s="23">
        <v>37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75"/>
      <c r="M39" s="3"/>
      <c r="N39" s="3"/>
      <c r="O39" s="3"/>
    </row>
    <row x14ac:dyDescent="0.25" r="40" customHeight="1" ht="19.5">
      <c r="A40" s="23">
        <v>38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75"/>
      <c r="M40" s="3"/>
      <c r="N40" s="3"/>
      <c r="O40" s="3"/>
    </row>
    <row x14ac:dyDescent="0.25" r="41" customHeight="1" ht="19.5">
      <c r="A41" s="23">
        <v>39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75"/>
      <c r="M41" s="3"/>
      <c r="N41" s="3"/>
      <c r="O41" s="3"/>
    </row>
    <row x14ac:dyDescent="0.25" r="42" customHeight="1" ht="15.75">
      <c r="A42" s="23">
        <v>40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76"/>
      <c r="M42" s="3"/>
      <c r="N42" s="3"/>
      <c r="O42" s="3"/>
    </row>
    <row x14ac:dyDescent="0.25" r="43" customHeight="1" ht="15.75">
      <c r="A43" s="30" t="s">
        <v>49</v>
      </c>
      <c r="B43" s="31">
        <f>AVERAGE(B3:B42)</f>
      </c>
      <c r="C43" s="31">
        <f>AVERAGE(C3:C42)</f>
      </c>
      <c r="D43" s="31">
        <f>AVERAGE(D3:D42)</f>
      </c>
      <c r="E43" s="31">
        <f>AVERAGE(E3:E42)</f>
      </c>
      <c r="F43" s="31">
        <f>AVERAGE(F3:F42)</f>
      </c>
      <c r="G43" s="31">
        <f>AVERAGE(G3:G42)</f>
      </c>
      <c r="H43" s="31">
        <f>AVERAGE(H3:H42)</f>
      </c>
      <c r="I43" s="31">
        <f>AVERAGE(I3:I42)</f>
      </c>
      <c r="J43" s="31">
        <f>AVERAGE(J3:J42)</f>
      </c>
      <c r="K43" s="31">
        <f>AVERAGE(K3:K42)</f>
      </c>
      <c r="L43" s="32"/>
      <c r="M43" s="3"/>
      <c r="N43" s="3"/>
      <c r="O43" s="3"/>
    </row>
    <row x14ac:dyDescent="0.25" r="44" customHeight="1" ht="19.5">
      <c r="A44" s="33" t="s">
        <v>50</v>
      </c>
      <c r="B44" s="24">
        <f>AVERAGEIF(B43:K43, "&lt;&gt;#DIV/0!")</f>
      </c>
      <c r="C44" s="24"/>
      <c r="D44" s="24"/>
      <c r="E44" s="24"/>
      <c r="F44" s="24"/>
      <c r="G44" s="24"/>
      <c r="H44" s="24"/>
      <c r="I44" s="24"/>
      <c r="J44" s="24"/>
      <c r="K44" s="24"/>
      <c r="L44" s="34"/>
      <c r="M44" s="3"/>
      <c r="N44" s="3"/>
      <c r="O44" s="3"/>
    </row>
    <row x14ac:dyDescent="0.25" r="45" customHeight="1" ht="19.5">
      <c r="A45" s="33" t="s">
        <v>51</v>
      </c>
      <c r="B45" s="34">
        <f>COUNTIF(B3:B42, "&lt;&gt;")</f>
      </c>
      <c r="C45" s="34">
        <f>COUNTIF(C3:C42, "&lt;&gt;")</f>
      </c>
      <c r="D45" s="34">
        <f>COUNTIF(D3:D42, "&lt;&gt;")</f>
      </c>
      <c r="E45" s="34">
        <f>COUNTIF(E3:E42, "&lt;&gt;")</f>
      </c>
      <c r="F45" s="34">
        <f>COUNTIF(F3:F42, "&lt;&gt;")</f>
      </c>
      <c r="G45" s="34">
        <f>COUNTIF(G3:G42, "&lt;&gt;")</f>
      </c>
      <c r="H45" s="34">
        <f>COUNTIF(H3:H42, "&lt;&gt;")</f>
      </c>
      <c r="I45" s="34">
        <f>COUNTIF(I3:I42, "&lt;&gt;")</f>
      </c>
      <c r="J45" s="34">
        <f>COUNTIF(J3:J42, "&lt;&gt;")</f>
      </c>
      <c r="K45" s="34">
        <f>COUNTIF(K3:K42, "&lt;&gt;")</f>
      </c>
      <c r="L45" s="34"/>
      <c r="M45" s="3"/>
      <c r="N45" s="3"/>
      <c r="O45" s="3"/>
    </row>
    <row x14ac:dyDescent="0.25" r="46" customHeight="1" ht="19.5">
      <c r="A46" s="20"/>
      <c r="B46" s="77"/>
      <c r="C46" s="3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x14ac:dyDescent="0.25" r="47" customHeight="1" ht="19.5">
      <c r="A47" s="20"/>
      <c r="B47" s="90" t="s">
        <v>52</v>
      </c>
      <c r="C47" s="38" t="s">
        <v>53</v>
      </c>
      <c r="D47" s="39" t="s">
        <v>54</v>
      </c>
      <c r="E47" s="39" t="s">
        <v>55</v>
      </c>
      <c r="F47" s="39" t="s">
        <v>56</v>
      </c>
      <c r="G47" s="39" t="s">
        <v>57</v>
      </c>
      <c r="H47" s="39" t="s">
        <v>58</v>
      </c>
      <c r="I47" s="39" t="s">
        <v>59</v>
      </c>
      <c r="J47" s="91"/>
      <c r="K47" s="91"/>
      <c r="L47" s="3"/>
      <c r="M47" s="3"/>
      <c r="N47" s="3"/>
      <c r="O47" s="3"/>
    </row>
    <row x14ac:dyDescent="0.25" r="48" customHeight="1" ht="19.5">
      <c r="A48" s="40" t="s">
        <v>60</v>
      </c>
      <c r="B48" s="42">
        <f>COUNTIF($B$2, "A") + COUNTIF($D$2:$E$2, "A")</f>
      </c>
      <c r="C48" s="41">
        <f>COUNTIF($B$2, "Q") + COUNTIF($D$2:$E$2, "Q")</f>
      </c>
      <c r="D48" s="42">
        <f>COUNTIF($B$2, "M") + COUNTIF($D$2:$E$2, "M")</f>
      </c>
      <c r="E48" s="42">
        <f>COUNTIF($B$2, "F") + COUNTIF($D$2:$E$2, "F")</f>
      </c>
      <c r="F48" s="42">
        <f>COUNTIF($B$2, "P") + COUNTIF($D$2:$E$2, "P")</f>
      </c>
      <c r="G48" s="42">
        <f>COUNTIF($B$2, "L") + COUNTIF($D$2:$E$2, "L")</f>
      </c>
      <c r="H48" s="42">
        <f>COUNTIF($B$2, "OT") + COUNTIF($D$2:$E$2, "OT")</f>
      </c>
      <c r="I48" s="45">
        <f>SUM(B48:H48)</f>
      </c>
      <c r="J48" s="79"/>
      <c r="K48" s="79"/>
      <c r="L48" s="3"/>
      <c r="M48" s="3"/>
      <c r="N48" s="3"/>
      <c r="O48" s="3"/>
    </row>
    <row x14ac:dyDescent="0.25" r="49" customHeight="1" ht="19.5">
      <c r="A49" s="92" t="s">
        <v>61</v>
      </c>
      <c r="B49" s="42">
        <f>COUNTIF($C$2,"A")</f>
      </c>
      <c r="C49" s="41">
        <f>COUNTIF($C$2,"Q")</f>
      </c>
      <c r="D49" s="42">
        <f>COUNTIF($C$2,"M")</f>
      </c>
      <c r="E49" s="42">
        <f>COUNTIF($C$2,"F")</f>
      </c>
      <c r="F49" s="42">
        <f>COUNTIF($C$2,"P")</f>
      </c>
      <c r="G49" s="42">
        <f>COUNTIF($C$2,"L")</f>
      </c>
      <c r="H49" s="42">
        <f>COUNTIF($C$2,"OT")</f>
      </c>
      <c r="I49" s="45">
        <f>SUM(B49:H49)</f>
      </c>
      <c r="J49" s="79"/>
      <c r="K49" s="79"/>
      <c r="L49" s="3"/>
      <c r="M49" s="3"/>
      <c r="N49" s="3"/>
      <c r="O49" s="3"/>
    </row>
    <row x14ac:dyDescent="0.25" r="50" customHeight="1" ht="19.5">
      <c r="A50" s="44" t="s">
        <v>62</v>
      </c>
      <c r="B50" s="42">
        <f>COUNTIF($F$2:$K$2, "A")</f>
      </c>
      <c r="C50" s="41">
        <f>COUNTIF($F$2:$K$2, "Q")</f>
      </c>
      <c r="D50" s="42">
        <f>COUNTIF($F$2:$K$2, "M")</f>
      </c>
      <c r="E50" s="42">
        <f>COUNTIF($F$2:$K$2, "F")</f>
      </c>
      <c r="F50" s="42">
        <f>COUNTIF($F$2:$K$2, "P")</f>
      </c>
      <c r="G50" s="42">
        <f>COUNTIF($F$2:$K$2, "L")</f>
      </c>
      <c r="H50" s="42">
        <f>COUNTIF($F$2:$K$2, "OT")</f>
      </c>
      <c r="I50" s="45">
        <f>SUM(B50:H50)</f>
      </c>
      <c r="J50" s="79"/>
      <c r="K50" s="79"/>
      <c r="L50" s="3"/>
      <c r="M50" s="3"/>
      <c r="N50" s="3"/>
      <c r="O50" s="3"/>
    </row>
    <row x14ac:dyDescent="0.25" r="51" customHeight="1" ht="19.5">
      <c r="A51" s="37" t="s">
        <v>59</v>
      </c>
      <c r="B51" s="45">
        <f>SUM(B48:B50)</f>
      </c>
      <c r="C51" s="22">
        <f>SUM(C48:C50)</f>
      </c>
      <c r="D51" s="45">
        <f>SUM(D48:D50)</f>
      </c>
      <c r="E51" s="45">
        <f>SUM(E48:E50)</f>
      </c>
      <c r="F51" s="45">
        <f>SUM(F48:F50)</f>
      </c>
      <c r="G51" s="45">
        <f>SUM(G48:G50)</f>
      </c>
      <c r="H51" s="45">
        <f>SUM(H48:H50)</f>
      </c>
      <c r="I51" s="45">
        <f>SUM(I48:I50)</f>
      </c>
      <c r="J51" s="79"/>
      <c r="K51" s="79"/>
      <c r="L51" s="3"/>
      <c r="M51" s="3"/>
      <c r="N51" s="3"/>
      <c r="O51" s="3"/>
    </row>
    <row x14ac:dyDescent="0.25" r="52" customHeight="1" ht="19.5">
      <c r="A52" s="20"/>
      <c r="B52" s="77"/>
      <c r="C52" s="3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x14ac:dyDescent="0.25" r="53" customHeight="1" ht="18.75">
      <c r="A53" s="46" t="s">
        <v>63</v>
      </c>
      <c r="B53" s="77"/>
      <c r="C53" s="47"/>
      <c r="D53" s="47"/>
      <c r="E53" s="47"/>
      <c r="F53" s="47"/>
      <c r="G53" s="47"/>
      <c r="H53" s="48"/>
      <c r="I53" s="48"/>
      <c r="J53" s="48"/>
      <c r="K53" s="48"/>
      <c r="L53" s="48"/>
      <c r="M53" s="48"/>
      <c r="N53" s="3"/>
      <c r="O53" s="3"/>
    </row>
    <row x14ac:dyDescent="0.25" r="54" customHeight="1" ht="16.5">
      <c r="A54" s="93" t="s">
        <v>64</v>
      </c>
      <c r="B54" s="70" t="s">
        <v>90</v>
      </c>
      <c r="C54" s="83" t="s">
        <v>91</v>
      </c>
      <c r="D54" s="70" t="s">
        <v>92</v>
      </c>
      <c r="E54" s="70" t="s">
        <v>93</v>
      </c>
      <c r="F54" s="67" t="s">
        <v>94</v>
      </c>
      <c r="G54" s="67" t="s">
        <v>95</v>
      </c>
      <c r="H54" s="67" t="s">
        <v>96</v>
      </c>
      <c r="I54" s="67" t="s">
        <v>97</v>
      </c>
      <c r="J54" s="67" t="s">
        <v>98</v>
      </c>
      <c r="K54" s="67" t="s">
        <v>99</v>
      </c>
      <c r="L54" s="94" t="s">
        <v>49</v>
      </c>
      <c r="M54" s="3"/>
      <c r="N54" s="3"/>
      <c r="O54" s="3"/>
    </row>
    <row x14ac:dyDescent="0.25" r="55" customHeight="1" ht="16.5">
      <c r="A55" s="95" t="s">
        <v>65</v>
      </c>
      <c r="B55" s="52">
        <f>(COUNTIF(B3:B42, "&lt;=59%"))/B45</f>
      </c>
      <c r="C55" s="52">
        <f>(COUNTIF(C3:C42, "&lt;=59%"))/C45</f>
      </c>
      <c r="D55" s="52">
        <f>(COUNTIF(D3:D42, "&lt;=59%"))/D45</f>
      </c>
      <c r="E55" s="52">
        <f>(COUNTIF(E3:E42, "&lt;=59%"))/E45</f>
      </c>
      <c r="F55" s="52">
        <f>(COUNTIF(F3:F42, "&lt;=59%"))/F45</f>
      </c>
      <c r="G55" s="52">
        <f>(COUNTIF(G3:G42, "&lt;=59%"))/G45</f>
      </c>
      <c r="H55" s="52">
        <f>(COUNTIF(H3:H42, "&lt;=59%"))/H45</f>
      </c>
      <c r="I55" s="52">
        <f>(COUNTIF(I3:I42, "&lt;=59%"))/I45</f>
      </c>
      <c r="J55" s="52">
        <f>(COUNTIF(J3:J42, "&lt;=59%"))/J45</f>
      </c>
      <c r="K55" s="52">
        <f>(COUNTIF(K3:K42, "&lt;=59%"))/K45</f>
      </c>
      <c r="L55" s="53">
        <f>AVERAGEIF(B55:K55, "&lt;&gt;#DIV/0!")</f>
      </c>
      <c r="M55" s="3"/>
      <c r="N55" s="3"/>
      <c r="O55" s="3"/>
    </row>
    <row x14ac:dyDescent="0.25" r="56" customHeight="1" ht="16.5">
      <c r="A56" s="96" t="s">
        <v>66</v>
      </c>
      <c r="B56" s="52">
        <f>(COUNTIFS(B3:B42, "&gt;= 60%", B3:B42, "&lt;=69%" ))/B45</f>
      </c>
      <c r="C56" s="52">
        <f>(COUNTIFS(C3:C42, "&gt;= 60%", C3:C42, "&lt;=69%" ))/C45</f>
      </c>
      <c r="D56" s="52">
        <f>(COUNTIFS(D3:D42, "&gt;= 60%", D3:D42, "&lt;=69%" ))/D45</f>
      </c>
      <c r="E56" s="52">
        <f>(COUNTIFS(E3:E42, "&gt;= 60%", E3:E42, "&lt;=69%" ))/E45</f>
      </c>
      <c r="F56" s="52">
        <f>(COUNTIFS(F3:F42, "&gt;= 60%", F3:F42, "&lt;=69%" ))/F45</f>
      </c>
      <c r="G56" s="52">
        <f>(COUNTIFS(G3:G42, "&gt;= 60%", G3:G42, "&lt;=69%" ))/G45</f>
      </c>
      <c r="H56" s="52">
        <f>(COUNTIFS(H3:H42, "&gt;= 60%", H3:H42, "&lt;=69%" ))/H45</f>
      </c>
      <c r="I56" s="52">
        <f>(COUNTIFS(I3:I42, "&gt;= 60%", I3:I42, "&lt;=69%" ))/I45</f>
      </c>
      <c r="J56" s="52">
        <f>(COUNTIFS(J3:J42, "&gt;= 60%", J3:J42, "&lt;=69%" ))/J45</f>
      </c>
      <c r="K56" s="52">
        <f>(COUNTIFS(K3:K42, "&gt;= 60%", K3:K42, "&lt;=69%" ))/K45</f>
      </c>
      <c r="L56" s="53">
        <f>AVERAGEIF(B56:K56, "&lt;&gt;#DIV/0!")</f>
      </c>
      <c r="M56" s="3"/>
      <c r="N56" s="3"/>
      <c r="O56" s="3"/>
    </row>
    <row x14ac:dyDescent="0.25" r="57" customHeight="1" ht="16.5">
      <c r="A57" s="97" t="s">
        <v>67</v>
      </c>
      <c r="B57" s="52">
        <f>(COUNTIFS(B3:B42, "&gt;= 70%", B3:B42, "&lt;=79%" ))/B45</f>
      </c>
      <c r="C57" s="52">
        <f>(COUNTIFS(C3:C42, "&gt;= 70%", C3:C42, "&lt;=79%" ))/C45</f>
      </c>
      <c r="D57" s="52">
        <f>(COUNTIFS(D3:D42, "&gt;= 70%", D3:D42, "&lt;=79%" ))/D45</f>
      </c>
      <c r="E57" s="52">
        <f>(COUNTIFS(E3:E42, "&gt;= 70%", E3:E42, "&lt;=79%" ))/E45</f>
      </c>
      <c r="F57" s="52">
        <f>(COUNTIFS(F3:F42, "&gt;= 70%", F3:F42, "&lt;=79%" ))/F45</f>
      </c>
      <c r="G57" s="52">
        <f>(COUNTIFS(G3:G42, "&gt;= 70%", G3:G42, "&lt;=79%" ))/G45</f>
      </c>
      <c r="H57" s="52">
        <f>(COUNTIFS(H3:H42, "&gt;= 70%", H3:H42, "&lt;=79%" ))/H45</f>
      </c>
      <c r="I57" s="52">
        <f>(COUNTIFS(I3:I42, "&gt;= 70%", I3:I42, "&lt;=79%" ))/I45</f>
      </c>
      <c r="J57" s="52">
        <f>(COUNTIFS(J3:J42, "&gt;= 70%", J3:J42, "&lt;=79%" ))/J45</f>
      </c>
      <c r="K57" s="52">
        <f>(COUNTIFS(K3:K42, "&gt;= 70%", K3:K42, "&lt;=79%" ))/K45</f>
      </c>
      <c r="L57" s="53">
        <f>AVERAGEIF(B57:K57, "&lt;&gt;#DIV/0!")</f>
      </c>
      <c r="M57" s="3"/>
      <c r="N57" s="3"/>
      <c r="O57" s="3"/>
    </row>
    <row x14ac:dyDescent="0.25" r="58" customHeight="1" ht="16.5">
      <c r="A58" s="98" t="s">
        <v>68</v>
      </c>
      <c r="B58" s="52">
        <f>(COUNTIF(B3:B42,"&gt;= 80%")/B45)</f>
      </c>
      <c r="C58" s="52">
        <f>(COUNTIF(C3:C42,"&gt;= 80%")/C45)</f>
      </c>
      <c r="D58" s="52">
        <f>(COUNTIF(D3:D42,"&gt;= 80%")/D45)</f>
      </c>
      <c r="E58" s="52">
        <f>(COUNTIF(E3:E42,"&gt;= 80%")/E45)</f>
      </c>
      <c r="F58" s="52">
        <f>(COUNTIF(F3:F42,"&gt;= 80%")/F45)</f>
      </c>
      <c r="G58" s="52">
        <f>(COUNTIF(G3:G42,"&gt;= 80%")/G45)</f>
      </c>
      <c r="H58" s="52">
        <f>(COUNTIF(H3:H42,"&gt;= 80%")/H45)</f>
      </c>
      <c r="I58" s="52">
        <f>(COUNTIF(I3:I42,"&gt;= 80%")/I45)</f>
      </c>
      <c r="J58" s="52">
        <f>(COUNTIF(J3:J42,"&gt;= 80%")/J45)</f>
      </c>
      <c r="K58" s="52">
        <f>(COUNTIF(K3:K42,"&gt;= 80%")/K45)</f>
      </c>
      <c r="L58" s="53">
        <f>AVERAGEIF(B58:K58, "&lt;&gt;#DIV/0!")</f>
      </c>
      <c r="M58" s="3"/>
      <c r="N58" s="3"/>
      <c r="O58" s="3"/>
    </row>
    <row x14ac:dyDescent="0.25" r="59" customHeight="1" ht="16.5">
      <c r="A59" s="99"/>
      <c r="B59" s="100">
        <f>SUMIF(B55:B58, "&lt;&gt;#DIV/0!")</f>
      </c>
      <c r="C59" s="100">
        <f>SUMIF(C55:C58, "&lt;&gt;#DIV/0!")</f>
      </c>
      <c r="D59" s="100">
        <f>SUMIF(D55:D58, "&lt;&gt;#DIV/0!")</f>
      </c>
      <c r="E59" s="100">
        <f>SUMIF(E55:E58, "&lt;&gt;#DIV/0!")</f>
      </c>
      <c r="F59" s="100">
        <f>SUMIF(F55:F58, "&lt;&gt;#DIV/0!")</f>
      </c>
      <c r="G59" s="100">
        <f>SUMIF(G55:G58, "&lt;&gt;#DIV/0!")</f>
      </c>
      <c r="H59" s="100">
        <f>SUMIF(H55:H58, "&lt;&gt;#DIV/0!")</f>
      </c>
      <c r="I59" s="100">
        <f>SUMIF(I55:I58, "&lt;&gt;#DIV/0!")</f>
      </c>
      <c r="J59" s="100">
        <f>SUMIF(J55:J58, "&lt;&gt;#DIV/0!")</f>
      </c>
      <c r="K59" s="100">
        <f>SUMIF(K55:K58, "&lt;&gt;#DIV/0!")</f>
      </c>
      <c r="L59" s="100">
        <f>SUMIF(L55:L58, "&lt;&gt;#DIV/0!")</f>
      </c>
      <c r="M59" s="3"/>
      <c r="N59" s="3"/>
      <c r="O59" s="3"/>
    </row>
    <row x14ac:dyDescent="0.25" r="60" customHeight="1" ht="15.75">
      <c r="A60" s="20"/>
      <c r="B60" s="77"/>
      <c r="C60" s="3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x14ac:dyDescent="0.25" r="61" customHeight="1" ht="15.75">
      <c r="A61" s="60"/>
      <c r="B61" s="81" t="s">
        <v>69</v>
      </c>
      <c r="C61" s="62" t="s">
        <v>70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x14ac:dyDescent="0.25" r="62" customHeight="1" ht="16.5">
      <c r="A62" s="63" t="s">
        <v>68</v>
      </c>
      <c r="B62" s="81" t="s">
        <v>71</v>
      </c>
      <c r="C62" s="62">
        <v>100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x14ac:dyDescent="0.25" r="63" customHeight="1" ht="16.5">
      <c r="A63" s="63" t="s">
        <v>67</v>
      </c>
      <c r="B63" s="81" t="s">
        <v>72</v>
      </c>
      <c r="C63" s="62">
        <v>79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x14ac:dyDescent="0.25" r="64" customHeight="1" ht="16.5">
      <c r="A64" s="63" t="s">
        <v>66</v>
      </c>
      <c r="B64" s="81" t="s">
        <v>73</v>
      </c>
      <c r="C64" s="62">
        <v>69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x14ac:dyDescent="0.25" r="65" customHeight="1" ht="16.5">
      <c r="A65" s="63" t="s">
        <v>65</v>
      </c>
      <c r="B65" s="81" t="s">
        <v>74</v>
      </c>
      <c r="C65" s="62">
        <v>59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</sheetData>
  <mergeCells count="1">
    <mergeCell ref="L3:L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5"/>
  <sheetViews>
    <sheetView workbookViewId="0"/>
  </sheetViews>
  <sheetFormatPr defaultRowHeight="15" x14ac:dyDescent="0.25"/>
  <cols>
    <col min="1" max="1" style="64" width="44.86214285714286" customWidth="1" bestFit="1"/>
    <col min="2" max="2" style="82" width="18.862142857142857" customWidth="1" bestFit="1"/>
    <col min="3" max="3" style="66" width="14.576428571428572" customWidth="1" bestFit="1"/>
    <col min="4" max="4" style="15" width="15.862142857142858" customWidth="1" bestFit="1"/>
    <col min="5" max="5" style="15" width="17.719285714285714" customWidth="1" bestFit="1"/>
    <col min="6" max="6" style="15" width="13.862142857142858" customWidth="1" bestFit="1"/>
    <col min="7" max="7" style="15" width="9.719285714285713" customWidth="1" bestFit="1"/>
    <col min="8" max="8" style="15" width="17.719285714285714" customWidth="1" bestFit="1"/>
    <col min="9" max="9" style="15" width="7.433571428571429" customWidth="1" bestFit="1"/>
  </cols>
  <sheetData>
    <row x14ac:dyDescent="0.25" r="1" customHeight="1" ht="15">
      <c r="A1" s="16" t="s">
        <v>38</v>
      </c>
      <c r="B1" s="70" t="s">
        <v>87</v>
      </c>
      <c r="C1" s="83" t="s">
        <v>88</v>
      </c>
      <c r="D1" s="67" t="s">
        <v>89</v>
      </c>
      <c r="E1" s="71">
        <f>COUNTA(B1:D1)</f>
      </c>
      <c r="F1" s="3"/>
      <c r="G1" s="3"/>
      <c r="H1" s="3"/>
      <c r="I1" s="3"/>
    </row>
    <row x14ac:dyDescent="0.25" r="2" customHeight="1" ht="30">
      <c r="A2" s="21" t="s">
        <v>42</v>
      </c>
      <c r="B2" s="84"/>
      <c r="C2" s="22"/>
      <c r="D2" s="72"/>
      <c r="E2" s="71">
        <f>COUNTIF(B2:D2, "&lt;&gt;")</f>
      </c>
      <c r="F2" s="3"/>
      <c r="G2" s="3"/>
      <c r="H2" s="3"/>
      <c r="I2" s="3"/>
    </row>
    <row x14ac:dyDescent="0.25" r="3" customHeight="1" ht="19.5">
      <c r="A3" s="23">
        <v>1</v>
      </c>
      <c r="B3" s="24"/>
      <c r="C3" s="24"/>
      <c r="D3" s="24"/>
      <c r="E3" s="25"/>
      <c r="F3" s="3"/>
      <c r="G3" s="3"/>
      <c r="H3" s="3"/>
      <c r="I3" s="3"/>
    </row>
    <row x14ac:dyDescent="0.25" r="4" customHeight="1" ht="19.5">
      <c r="A4" s="23">
        <v>2</v>
      </c>
      <c r="B4" s="24"/>
      <c r="C4" s="24"/>
      <c r="D4" s="24"/>
      <c r="E4" s="75"/>
      <c r="F4" s="3"/>
      <c r="G4" s="3"/>
      <c r="H4" s="3"/>
      <c r="I4" s="3"/>
    </row>
    <row x14ac:dyDescent="0.25" r="5" customHeight="1" ht="19.5">
      <c r="A5" s="23">
        <v>3</v>
      </c>
      <c r="B5" s="24"/>
      <c r="C5" s="24"/>
      <c r="D5" s="24"/>
      <c r="E5" s="75"/>
      <c r="F5" s="3"/>
      <c r="G5" s="3"/>
      <c r="H5" s="3"/>
      <c r="I5" s="3"/>
    </row>
    <row x14ac:dyDescent="0.25" r="6" customHeight="1" ht="19.5">
      <c r="A6" s="23">
        <v>4</v>
      </c>
      <c r="B6" s="24"/>
      <c r="C6" s="24"/>
      <c r="D6" s="24"/>
      <c r="E6" s="75"/>
      <c r="F6" s="27" t="s">
        <v>22</v>
      </c>
      <c r="G6" s="3"/>
      <c r="H6" s="3"/>
      <c r="I6" s="3"/>
    </row>
    <row x14ac:dyDescent="0.25" r="7" customHeight="1" ht="19.5">
      <c r="A7" s="23">
        <v>5</v>
      </c>
      <c r="B7" s="24"/>
      <c r="C7" s="24"/>
      <c r="D7" s="24"/>
      <c r="E7" s="75"/>
      <c r="F7" s="27" t="s">
        <v>43</v>
      </c>
      <c r="G7" s="3"/>
      <c r="H7" s="3"/>
      <c r="I7" s="3"/>
    </row>
    <row x14ac:dyDescent="0.25" r="8" customHeight="1" ht="19.5">
      <c r="A8" s="23">
        <v>6</v>
      </c>
      <c r="B8" s="24"/>
      <c r="C8" s="24"/>
      <c r="D8" s="24"/>
      <c r="E8" s="75"/>
      <c r="F8" s="27" t="s">
        <v>44</v>
      </c>
      <c r="G8" s="3"/>
      <c r="H8" s="3"/>
      <c r="I8" s="3"/>
    </row>
    <row x14ac:dyDescent="0.25" r="9" customHeight="1" ht="19.5">
      <c r="A9" s="23">
        <v>7</v>
      </c>
      <c r="B9" s="24"/>
      <c r="C9" s="24"/>
      <c r="D9" s="24"/>
      <c r="E9" s="75"/>
      <c r="F9" s="27" t="s">
        <v>45</v>
      </c>
      <c r="G9" s="3"/>
      <c r="H9" s="3"/>
      <c r="I9" s="3"/>
    </row>
    <row x14ac:dyDescent="0.25" r="10" customHeight="1" ht="19.5">
      <c r="A10" s="23">
        <v>8</v>
      </c>
      <c r="B10" s="24"/>
      <c r="C10" s="24"/>
      <c r="D10" s="24"/>
      <c r="E10" s="75"/>
      <c r="F10" s="27" t="s">
        <v>46</v>
      </c>
      <c r="G10" s="3"/>
      <c r="H10" s="3"/>
      <c r="I10" s="3"/>
    </row>
    <row x14ac:dyDescent="0.25" r="11" customHeight="1" ht="19.5">
      <c r="A11" s="23">
        <v>9</v>
      </c>
      <c r="B11" s="24"/>
      <c r="C11" s="24"/>
      <c r="D11" s="24"/>
      <c r="E11" s="75"/>
      <c r="F11" s="27" t="s">
        <v>47</v>
      </c>
      <c r="G11" s="3"/>
      <c r="H11" s="3"/>
      <c r="I11" s="3"/>
    </row>
    <row x14ac:dyDescent="0.25" r="12" customHeight="1" ht="19.5">
      <c r="A12" s="23">
        <v>10</v>
      </c>
      <c r="B12" s="24"/>
      <c r="C12" s="24"/>
      <c r="D12" s="24"/>
      <c r="E12" s="75"/>
      <c r="F12" s="27" t="s">
        <v>48</v>
      </c>
      <c r="G12" s="3"/>
      <c r="H12" s="3"/>
      <c r="I12" s="3"/>
    </row>
    <row x14ac:dyDescent="0.25" r="13" customHeight="1" ht="19.5">
      <c r="A13" s="23">
        <v>11</v>
      </c>
      <c r="B13" s="24"/>
      <c r="C13" s="24"/>
      <c r="D13" s="24"/>
      <c r="E13" s="75"/>
      <c r="F13" s="3"/>
      <c r="G13" s="3"/>
      <c r="H13" s="3"/>
      <c r="I13" s="3"/>
    </row>
    <row x14ac:dyDescent="0.25" r="14" customHeight="1" ht="19.5">
      <c r="A14" s="23">
        <v>12</v>
      </c>
      <c r="B14" s="24"/>
      <c r="C14" s="24"/>
      <c r="D14" s="24"/>
      <c r="E14" s="75"/>
      <c r="F14" s="3"/>
      <c r="G14" s="3"/>
      <c r="H14" s="3"/>
      <c r="I14" s="3"/>
    </row>
    <row x14ac:dyDescent="0.25" r="15" customHeight="1" ht="19.5">
      <c r="A15" s="23">
        <v>13</v>
      </c>
      <c r="B15" s="24"/>
      <c r="C15" s="24"/>
      <c r="D15" s="24"/>
      <c r="E15" s="75"/>
      <c r="F15" s="3"/>
      <c r="G15" s="3"/>
      <c r="H15" s="3"/>
      <c r="I15" s="3"/>
    </row>
    <row x14ac:dyDescent="0.25" r="16" customHeight="1" ht="19.5">
      <c r="A16" s="23">
        <v>14</v>
      </c>
      <c r="B16" s="24"/>
      <c r="C16" s="24"/>
      <c r="D16" s="24"/>
      <c r="E16" s="75"/>
      <c r="F16" s="3"/>
      <c r="G16" s="3"/>
      <c r="H16" s="3"/>
      <c r="I16" s="3"/>
    </row>
    <row x14ac:dyDescent="0.25" r="17" customHeight="1" ht="19.5">
      <c r="A17" s="23">
        <v>15</v>
      </c>
      <c r="B17" s="24"/>
      <c r="C17" s="24"/>
      <c r="D17" s="24"/>
      <c r="E17" s="75"/>
      <c r="F17" s="3"/>
      <c r="G17" s="3"/>
      <c r="H17" s="3"/>
      <c r="I17" s="3"/>
    </row>
    <row x14ac:dyDescent="0.25" r="18" customHeight="1" ht="19.5">
      <c r="A18" s="23">
        <v>16</v>
      </c>
      <c r="B18" s="24"/>
      <c r="C18" s="24"/>
      <c r="D18" s="24"/>
      <c r="E18" s="75"/>
      <c r="F18" s="3"/>
      <c r="G18" s="3"/>
      <c r="H18" s="3"/>
      <c r="I18" s="3"/>
    </row>
    <row x14ac:dyDescent="0.25" r="19" customHeight="1" ht="19.5">
      <c r="A19" s="23">
        <v>17</v>
      </c>
      <c r="B19" s="24"/>
      <c r="C19" s="24"/>
      <c r="D19" s="24"/>
      <c r="E19" s="75"/>
      <c r="F19" s="3"/>
      <c r="G19" s="3"/>
      <c r="H19" s="3"/>
      <c r="I19" s="3"/>
    </row>
    <row x14ac:dyDescent="0.25" r="20" customHeight="1" ht="19.5">
      <c r="A20" s="23">
        <v>18</v>
      </c>
      <c r="B20" s="24"/>
      <c r="C20" s="24"/>
      <c r="D20" s="24"/>
      <c r="E20" s="75"/>
      <c r="F20" s="3"/>
      <c r="G20" s="3"/>
      <c r="H20" s="3"/>
      <c r="I20" s="3"/>
    </row>
    <row x14ac:dyDescent="0.25" r="21" customHeight="1" ht="19.5">
      <c r="A21" s="23">
        <v>19</v>
      </c>
      <c r="B21" s="24"/>
      <c r="C21" s="24"/>
      <c r="D21" s="24"/>
      <c r="E21" s="75"/>
      <c r="F21" s="3"/>
      <c r="G21" s="3"/>
      <c r="H21" s="3"/>
      <c r="I21" s="3"/>
    </row>
    <row x14ac:dyDescent="0.25" r="22" customHeight="1" ht="19.5">
      <c r="A22" s="23">
        <v>20</v>
      </c>
      <c r="B22" s="24"/>
      <c r="C22" s="24"/>
      <c r="D22" s="24"/>
      <c r="E22" s="75"/>
      <c r="F22" s="3"/>
      <c r="G22" s="3"/>
      <c r="H22" s="3"/>
      <c r="I22" s="3"/>
    </row>
    <row x14ac:dyDescent="0.25" r="23" customHeight="1" ht="19.5">
      <c r="A23" s="85">
        <v>21</v>
      </c>
      <c r="B23" s="28"/>
      <c r="C23" s="28"/>
      <c r="D23" s="28"/>
      <c r="E23" s="75"/>
      <c r="F23" s="3"/>
      <c r="G23" s="3"/>
      <c r="H23" s="3"/>
      <c r="I23" s="3"/>
    </row>
    <row x14ac:dyDescent="0.25" r="24" customHeight="1" ht="19.5">
      <c r="A24" s="85">
        <v>22</v>
      </c>
      <c r="B24" s="28"/>
      <c r="C24" s="28"/>
      <c r="D24" s="28"/>
      <c r="E24" s="75"/>
      <c r="F24" s="3"/>
      <c r="G24" s="3"/>
      <c r="H24" s="3"/>
      <c r="I24" s="3"/>
    </row>
    <row x14ac:dyDescent="0.25" r="25" customHeight="1" ht="19.5">
      <c r="A25" s="85">
        <v>23</v>
      </c>
      <c r="B25" s="28"/>
      <c r="C25" s="28"/>
      <c r="D25" s="28"/>
      <c r="E25" s="75"/>
      <c r="F25" s="3"/>
      <c r="G25" s="3"/>
      <c r="H25" s="3"/>
      <c r="I25" s="3"/>
    </row>
    <row x14ac:dyDescent="0.25" r="26" customHeight="1" ht="19.5">
      <c r="A26" s="85">
        <v>24</v>
      </c>
      <c r="B26" s="28"/>
      <c r="C26" s="28"/>
      <c r="D26" s="28"/>
      <c r="E26" s="75"/>
      <c r="F26" s="3"/>
      <c r="G26" s="3"/>
      <c r="H26" s="3"/>
      <c r="I26" s="3"/>
    </row>
    <row x14ac:dyDescent="0.25" r="27" customHeight="1" ht="19.5">
      <c r="A27" s="85">
        <v>25</v>
      </c>
      <c r="B27" s="28"/>
      <c r="C27" s="28"/>
      <c r="D27" s="28"/>
      <c r="E27" s="75"/>
      <c r="F27" s="3"/>
      <c r="G27" s="3"/>
      <c r="H27" s="3"/>
      <c r="I27" s="3"/>
    </row>
    <row x14ac:dyDescent="0.25" r="28" customHeight="1" ht="19.5">
      <c r="A28" s="85">
        <v>26</v>
      </c>
      <c r="B28" s="28"/>
      <c r="C28" s="28"/>
      <c r="D28" s="28"/>
      <c r="E28" s="75"/>
      <c r="F28" s="3"/>
      <c r="G28" s="3"/>
      <c r="H28" s="3"/>
      <c r="I28" s="3"/>
    </row>
    <row x14ac:dyDescent="0.25" r="29" customHeight="1" ht="19.5">
      <c r="A29" s="85">
        <v>27</v>
      </c>
      <c r="B29" s="28"/>
      <c r="C29" s="28"/>
      <c r="D29" s="28"/>
      <c r="E29" s="75"/>
      <c r="F29" s="3"/>
      <c r="G29" s="3"/>
      <c r="H29" s="3"/>
      <c r="I29" s="3"/>
    </row>
    <row x14ac:dyDescent="0.25" r="30" customHeight="1" ht="19.5">
      <c r="A30" s="85">
        <v>28</v>
      </c>
      <c r="B30" s="28"/>
      <c r="C30" s="28"/>
      <c r="D30" s="28"/>
      <c r="E30" s="75"/>
      <c r="F30" s="3"/>
      <c r="G30" s="3"/>
      <c r="H30" s="3"/>
      <c r="I30" s="3"/>
    </row>
    <row x14ac:dyDescent="0.25" r="31" customHeight="1" ht="19.5">
      <c r="A31" s="85">
        <v>29</v>
      </c>
      <c r="B31" s="28"/>
      <c r="C31" s="28"/>
      <c r="D31" s="28"/>
      <c r="E31" s="75"/>
      <c r="F31" s="3"/>
      <c r="G31" s="3"/>
      <c r="H31" s="3"/>
      <c r="I31" s="3"/>
    </row>
    <row x14ac:dyDescent="0.25" r="32" customHeight="1" ht="19.5">
      <c r="A32" s="85">
        <v>30</v>
      </c>
      <c r="B32" s="28"/>
      <c r="C32" s="28"/>
      <c r="D32" s="28"/>
      <c r="E32" s="75"/>
      <c r="F32" s="3"/>
      <c r="G32" s="3"/>
      <c r="H32" s="3"/>
      <c r="I32" s="3"/>
    </row>
    <row x14ac:dyDescent="0.25" r="33" customHeight="1" ht="19.5">
      <c r="A33" s="85">
        <v>31</v>
      </c>
      <c r="B33" s="28"/>
      <c r="C33" s="28"/>
      <c r="D33" s="28"/>
      <c r="E33" s="75"/>
      <c r="F33" s="3"/>
      <c r="G33" s="3"/>
      <c r="H33" s="3"/>
      <c r="I33" s="3"/>
    </row>
    <row x14ac:dyDescent="0.25" r="34" customHeight="1" ht="19.5">
      <c r="A34" s="85">
        <v>32</v>
      </c>
      <c r="B34" s="28"/>
      <c r="C34" s="28"/>
      <c r="D34" s="28"/>
      <c r="E34" s="75"/>
      <c r="F34" s="3"/>
      <c r="G34" s="3"/>
      <c r="H34" s="3"/>
      <c r="I34" s="3"/>
    </row>
    <row x14ac:dyDescent="0.25" r="35" customHeight="1" ht="19.5">
      <c r="A35" s="85">
        <v>33</v>
      </c>
      <c r="B35" s="28"/>
      <c r="C35" s="28"/>
      <c r="D35" s="28"/>
      <c r="E35" s="75"/>
      <c r="F35" s="3"/>
      <c r="G35" s="3"/>
      <c r="H35" s="3"/>
      <c r="I35" s="3"/>
    </row>
    <row x14ac:dyDescent="0.25" r="36" customHeight="1" ht="19.5">
      <c r="A36" s="85">
        <v>34</v>
      </c>
      <c r="B36" s="28"/>
      <c r="C36" s="28"/>
      <c r="D36" s="28"/>
      <c r="E36" s="75"/>
      <c r="F36" s="3"/>
      <c r="G36" s="3"/>
      <c r="H36" s="3"/>
      <c r="I36" s="3"/>
    </row>
    <row x14ac:dyDescent="0.25" r="37" customHeight="1" ht="19.5">
      <c r="A37" s="85">
        <v>35</v>
      </c>
      <c r="B37" s="28"/>
      <c r="C37" s="28"/>
      <c r="D37" s="28"/>
      <c r="E37" s="75"/>
      <c r="F37" s="3"/>
      <c r="G37" s="3"/>
      <c r="H37" s="3"/>
      <c r="I37" s="3"/>
    </row>
    <row x14ac:dyDescent="0.25" r="38" customHeight="1" ht="19.5">
      <c r="A38" s="85">
        <v>36</v>
      </c>
      <c r="B38" s="28"/>
      <c r="C38" s="28"/>
      <c r="D38" s="28"/>
      <c r="E38" s="75"/>
      <c r="F38" s="3"/>
      <c r="G38" s="3"/>
      <c r="H38" s="3"/>
      <c r="I38" s="3"/>
    </row>
    <row x14ac:dyDescent="0.25" r="39" customHeight="1" ht="19.5">
      <c r="A39" s="85">
        <v>37</v>
      </c>
      <c r="B39" s="28"/>
      <c r="C39" s="28"/>
      <c r="D39" s="28"/>
      <c r="E39" s="75"/>
      <c r="F39" s="3"/>
      <c r="G39" s="3"/>
      <c r="H39" s="3"/>
      <c r="I39" s="3"/>
    </row>
    <row x14ac:dyDescent="0.25" r="40" customHeight="1" ht="19.5">
      <c r="A40" s="85">
        <v>38</v>
      </c>
      <c r="B40" s="28"/>
      <c r="C40" s="28"/>
      <c r="D40" s="28"/>
      <c r="E40" s="75"/>
      <c r="F40" s="3"/>
      <c r="G40" s="3"/>
      <c r="H40" s="3"/>
      <c r="I40" s="3"/>
    </row>
    <row x14ac:dyDescent="0.25" r="41" customHeight="1" ht="19.5">
      <c r="A41" s="85">
        <v>39</v>
      </c>
      <c r="B41" s="28"/>
      <c r="C41" s="28"/>
      <c r="D41" s="28"/>
      <c r="E41" s="75"/>
      <c r="F41" s="3"/>
      <c r="G41" s="3"/>
      <c r="H41" s="3"/>
      <c r="I41" s="3"/>
    </row>
    <row x14ac:dyDescent="0.25" r="42" customHeight="1" ht="15.75">
      <c r="A42" s="85">
        <v>40</v>
      </c>
      <c r="B42" s="28"/>
      <c r="C42" s="28"/>
      <c r="D42" s="28"/>
      <c r="E42" s="76"/>
      <c r="F42" s="3"/>
      <c r="G42" s="3"/>
      <c r="H42" s="3"/>
      <c r="I42" s="3"/>
    </row>
    <row x14ac:dyDescent="0.25" r="43" customHeight="1" ht="15.75">
      <c r="A43" s="86" t="s">
        <v>49</v>
      </c>
      <c r="B43" s="31">
        <f>AVERAGE(B3:B42)</f>
      </c>
      <c r="C43" s="31">
        <f>AVERAGE(C3:C42)</f>
      </c>
      <c r="D43" s="31">
        <f>AVERAGE(D3:D42)</f>
      </c>
      <c r="E43" s="32"/>
      <c r="F43" s="3"/>
      <c r="G43" s="3"/>
      <c r="H43" s="3"/>
      <c r="I43" s="3"/>
    </row>
    <row x14ac:dyDescent="0.25" r="44" customHeight="1" ht="19.5">
      <c r="A44" s="33" t="s">
        <v>50</v>
      </c>
      <c r="B44" s="24">
        <f>AVERAGEIF(B43:D43, "&lt;&gt;#DIV/0!")</f>
      </c>
      <c r="C44" s="24"/>
      <c r="D44" s="24"/>
      <c r="E44" s="34"/>
      <c r="F44" s="3"/>
      <c r="G44" s="3"/>
      <c r="H44" s="3"/>
      <c r="I44" s="3"/>
    </row>
    <row x14ac:dyDescent="0.25" r="45" customHeight="1" ht="19.5">
      <c r="A45" s="33" t="s">
        <v>51</v>
      </c>
      <c r="B45" s="34">
        <f>COUNTIF(B3:B42, "&lt;&gt;")</f>
      </c>
      <c r="C45" s="34">
        <f>COUNTIF(C3:C42, "&lt;&gt;")</f>
      </c>
      <c r="D45" s="34">
        <f>COUNTIF(D3:D42, "&lt;&gt;")</f>
      </c>
      <c r="E45" s="3"/>
      <c r="F45" s="3"/>
      <c r="G45" s="3"/>
      <c r="H45" s="3"/>
      <c r="I45" s="3"/>
    </row>
    <row x14ac:dyDescent="0.25" r="46" customHeight="1" ht="19.5">
      <c r="A46" s="87"/>
      <c r="B46" s="48"/>
      <c r="C46" s="48"/>
      <c r="D46" s="48"/>
      <c r="E46" s="3"/>
      <c r="F46" s="3"/>
      <c r="G46" s="3"/>
      <c r="H46" s="3"/>
      <c r="I46" s="3"/>
    </row>
    <row x14ac:dyDescent="0.25" r="47" customHeight="1" ht="19.5">
      <c r="A47" s="16"/>
      <c r="B47" s="39" t="s">
        <v>52</v>
      </c>
      <c r="C47" s="38" t="s">
        <v>53</v>
      </c>
      <c r="D47" s="39" t="s">
        <v>54</v>
      </c>
      <c r="E47" s="39" t="s">
        <v>55</v>
      </c>
      <c r="F47" s="39" t="s">
        <v>56</v>
      </c>
      <c r="G47" s="39" t="s">
        <v>57</v>
      </c>
      <c r="H47" s="39" t="s">
        <v>58</v>
      </c>
      <c r="I47" s="39" t="s">
        <v>59</v>
      </c>
    </row>
    <row x14ac:dyDescent="0.25" r="48" customHeight="1" ht="19.5">
      <c r="A48" s="40" t="s">
        <v>60</v>
      </c>
      <c r="B48" s="42">
        <f>COUNTIF($B$2, "A")</f>
      </c>
      <c r="C48" s="41">
        <f>COUNTIF($B$2, "Q")</f>
      </c>
      <c r="D48" s="42">
        <f>COUNTIF($B$2, "M")</f>
      </c>
      <c r="E48" s="42">
        <f>COUNTIF($B$2, "F")</f>
      </c>
      <c r="F48" s="42">
        <f>COUNTIF($B$2, "P")</f>
      </c>
      <c r="G48" s="42">
        <f>COUNTIF($B$2, "L")</f>
      </c>
      <c r="H48" s="42">
        <f>COUNTIF($B$2, "OT")</f>
      </c>
      <c r="I48" s="45">
        <f>SUM(B48:D48)</f>
      </c>
    </row>
    <row x14ac:dyDescent="0.25" r="49" customHeight="1" ht="19.5">
      <c r="A49" s="43" t="s">
        <v>61</v>
      </c>
      <c r="B49" s="42">
        <f>COUNTIF($C$2, "A")</f>
      </c>
      <c r="C49" s="41">
        <f>COUNTIF($C$2, "Q")</f>
      </c>
      <c r="D49" s="42">
        <f>COUNTIF($C$2, "M")</f>
      </c>
      <c r="E49" s="42">
        <f>COUNTIF($C$2, "F")</f>
      </c>
      <c r="F49" s="42">
        <f>COUNTIF($C$2, "P")</f>
      </c>
      <c r="G49" s="42">
        <f>COUNTIF($C$2, "L")</f>
      </c>
      <c r="H49" s="42">
        <f>COUNTIF($C$2, "OT")</f>
      </c>
      <c r="I49" s="45">
        <f>SUM(B49:D49)</f>
      </c>
    </row>
    <row x14ac:dyDescent="0.25" r="50" customHeight="1" ht="19.5">
      <c r="A50" s="44" t="s">
        <v>62</v>
      </c>
      <c r="B50" s="42">
        <f>COUNTIF($D$2:$D$2, "A")</f>
      </c>
      <c r="C50" s="41">
        <f>COUNTIF($D$2:$D$2, "Q")</f>
      </c>
      <c r="D50" s="42">
        <f>COUNTIF($D$2:$D$2, "M")</f>
      </c>
      <c r="E50" s="42">
        <f>COUNTIF($D$2:$D$2, "F")</f>
      </c>
      <c r="F50" s="42">
        <f>COUNTIF($D$2:$D$2, "P")</f>
      </c>
      <c r="G50" s="42">
        <f>COUNTIF($D$2:$D$2, "L")</f>
      </c>
      <c r="H50" s="42">
        <f>COUNTIF($D$2:$D$2, "OT")</f>
      </c>
      <c r="I50" s="45">
        <f>SUM(B50:D50)</f>
      </c>
    </row>
    <row x14ac:dyDescent="0.25" r="51" customHeight="1" ht="19.5">
      <c r="A51" s="37" t="s">
        <v>59</v>
      </c>
      <c r="B51" s="45">
        <f>SUM(B48:B50)</f>
      </c>
      <c r="C51" s="22">
        <f>SUM(C48:C50)</f>
      </c>
      <c r="D51" s="45">
        <f>SUM(D48:D50)</f>
      </c>
      <c r="E51" s="45">
        <f>SUM(E48:E50)</f>
      </c>
      <c r="F51" s="45">
        <f>SUM(F48:F50)</f>
      </c>
      <c r="G51" s="45">
        <f>SUM(G48:G50)</f>
      </c>
      <c r="H51" s="45">
        <f>SUM(H48:H50)</f>
      </c>
      <c r="I51" s="45">
        <f>SUM(I48:I50)</f>
      </c>
    </row>
    <row x14ac:dyDescent="0.25" r="52" customHeight="1" ht="19.5">
      <c r="A52" s="20"/>
      <c r="B52" s="77"/>
      <c r="C52" s="36"/>
      <c r="D52" s="3"/>
      <c r="E52" s="3"/>
      <c r="F52" s="3"/>
      <c r="G52" s="3"/>
      <c r="H52" s="3"/>
      <c r="I52" s="3"/>
    </row>
    <row x14ac:dyDescent="0.25" r="53" customHeight="1" ht="18.75">
      <c r="A53" s="46" t="s">
        <v>63</v>
      </c>
      <c r="B53" s="47"/>
      <c r="C53" s="47"/>
      <c r="D53" s="47"/>
      <c r="E53" s="3"/>
      <c r="F53" s="3"/>
      <c r="G53" s="3"/>
      <c r="H53" s="3"/>
      <c r="I53" s="3"/>
    </row>
    <row x14ac:dyDescent="0.25" r="54" customHeight="1" ht="16.5">
      <c r="A54" s="88" t="s">
        <v>64</v>
      </c>
      <c r="B54" s="70" t="s">
        <v>87</v>
      </c>
      <c r="C54" s="83" t="s">
        <v>88</v>
      </c>
      <c r="D54" s="67" t="s">
        <v>89</v>
      </c>
      <c r="E54" s="80" t="s">
        <v>49</v>
      </c>
      <c r="F54" s="3"/>
      <c r="G54" s="3"/>
      <c r="H54" s="3"/>
      <c r="I54" s="3"/>
    </row>
    <row x14ac:dyDescent="0.25" r="55" customHeight="1" ht="16.5">
      <c r="A55" s="51" t="s">
        <v>65</v>
      </c>
      <c r="B55" s="52">
        <f>(COUNTIF(B3:B42, "&lt;=59%"))/B45</f>
      </c>
      <c r="C55" s="52">
        <f>(COUNTIF(C3:C42, "&lt;=59%"))/C45</f>
      </c>
      <c r="D55" s="52">
        <f>(COUNTIF(D3:D42, "&lt;=59%"))/D45</f>
      </c>
      <c r="E55" s="53">
        <f>AVERAGEIF(B55:D55, "&lt;&gt;#DIV/0!")</f>
      </c>
      <c r="F55" s="3"/>
      <c r="G55" s="3"/>
      <c r="H55" s="3"/>
      <c r="I55" s="3"/>
    </row>
    <row x14ac:dyDescent="0.25" r="56" customHeight="1" ht="16.5">
      <c r="A56" s="54" t="s">
        <v>66</v>
      </c>
      <c r="B56" s="52">
        <f>(COUNTIFS(B3:B42, "&gt;= 60%", B3:B42, "&lt;=69%" ))/B45</f>
      </c>
      <c r="C56" s="52">
        <f>(COUNTIFS(C3:C42, "&gt;= 60%", C3:C42, "&lt;=69%" ))/C45</f>
      </c>
      <c r="D56" s="52">
        <f>(COUNTIFS(D3:D42, "&gt;= 60%", D3:D42, "&lt;=69%" ))/D45</f>
      </c>
      <c r="E56" s="53">
        <f>AVERAGEIF(B56:D56, "&lt;&gt;#DIV/0!")</f>
      </c>
      <c r="F56" s="3"/>
      <c r="G56" s="3"/>
      <c r="H56" s="3"/>
      <c r="I56" s="3"/>
    </row>
    <row x14ac:dyDescent="0.25" r="57" customHeight="1" ht="16.5">
      <c r="A57" s="55" t="s">
        <v>67</v>
      </c>
      <c r="B57" s="52">
        <f>(COUNTIFS(B3:B42, "&gt;= 70%", B3:B42, "&lt;=79%" ))/B45</f>
      </c>
      <c r="C57" s="52">
        <f>(COUNTIFS(C3:C42, "&gt;= 70%", C3:C42, "&lt;=79%" ))/C45</f>
      </c>
      <c r="D57" s="52">
        <f>(COUNTIFS(D3:D42, "&gt;= 70%", D3:D42, "&lt;=79%" ))/D45</f>
      </c>
      <c r="E57" s="53">
        <f>AVERAGEIF(B57:D57, "&lt;&gt;#DIV/0!")</f>
      </c>
      <c r="F57" s="3"/>
      <c r="G57" s="3"/>
      <c r="H57" s="3"/>
      <c r="I57" s="3"/>
    </row>
    <row x14ac:dyDescent="0.25" r="58" customHeight="1" ht="16.5">
      <c r="A58" s="56" t="s">
        <v>68</v>
      </c>
      <c r="B58" s="52">
        <f>(COUNTIF(B3:B42,"&gt;= 80%")/B45)</f>
      </c>
      <c r="C58" s="52">
        <f>(COUNTIF(C3:C42,"&gt;= 80%")/C45)</f>
      </c>
      <c r="D58" s="52">
        <f>(COUNTIF(D3:D42,"&gt;= 80%")/D45)</f>
      </c>
      <c r="E58" s="53">
        <f>AVERAGEIF(B58:D58, "&lt;&gt;#DIV/0!")</f>
      </c>
      <c r="F58" s="3"/>
      <c r="G58" s="3"/>
      <c r="H58" s="3"/>
      <c r="I58" s="3"/>
    </row>
    <row x14ac:dyDescent="0.25" r="59" customHeight="1" ht="15.75">
      <c r="A59" s="89"/>
      <c r="B59" s="58">
        <f>SUMIF(B55:B58, "&lt;&gt;#DIV/0!")</f>
      </c>
      <c r="C59" s="59">
        <f>SUMIF(C55:C58, "&lt;&gt;#DIV/0!")</f>
      </c>
      <c r="D59" s="59">
        <f>SUMIF(D55:D58, "&lt;&gt;#DIV/0!")</f>
      </c>
      <c r="E59" s="59">
        <f>SUMIF(E55:E58, "&lt;&gt;#DIV/0!")</f>
      </c>
      <c r="F59" s="3"/>
      <c r="G59" s="3"/>
      <c r="H59" s="3"/>
      <c r="I59" s="3"/>
    </row>
    <row x14ac:dyDescent="0.25" r="60" customHeight="1" ht="15.75">
      <c r="A60" s="20"/>
      <c r="B60" s="77"/>
      <c r="C60" s="36"/>
      <c r="D60" s="3"/>
      <c r="E60" s="3"/>
      <c r="F60" s="3"/>
      <c r="G60" s="3"/>
      <c r="H60" s="3"/>
      <c r="I60" s="3"/>
    </row>
    <row x14ac:dyDescent="0.25" r="61" customHeight="1" ht="15.75">
      <c r="A61" s="60"/>
      <c r="B61" s="81" t="s">
        <v>69</v>
      </c>
      <c r="C61" s="62" t="s">
        <v>70</v>
      </c>
      <c r="D61" s="3"/>
      <c r="E61" s="3"/>
      <c r="F61" s="3"/>
      <c r="G61" s="3"/>
      <c r="H61" s="3"/>
      <c r="I61" s="3"/>
    </row>
    <row x14ac:dyDescent="0.25" r="62" customHeight="1" ht="16.5">
      <c r="A62" s="63" t="s">
        <v>68</v>
      </c>
      <c r="B62" s="81" t="s">
        <v>71</v>
      </c>
      <c r="C62" s="62">
        <v>100</v>
      </c>
      <c r="D62" s="3"/>
      <c r="E62" s="3"/>
      <c r="F62" s="3"/>
      <c r="G62" s="3"/>
      <c r="H62" s="3"/>
      <c r="I62" s="3"/>
    </row>
    <row x14ac:dyDescent="0.25" r="63" customHeight="1" ht="16.5">
      <c r="A63" s="63" t="s">
        <v>67</v>
      </c>
      <c r="B63" s="81" t="s">
        <v>72</v>
      </c>
      <c r="C63" s="62">
        <v>79</v>
      </c>
      <c r="D63" s="3"/>
      <c r="E63" s="3"/>
      <c r="F63" s="3"/>
      <c r="G63" s="3"/>
      <c r="H63" s="3"/>
      <c r="I63" s="3"/>
    </row>
    <row x14ac:dyDescent="0.25" r="64" customHeight="1" ht="16.5">
      <c r="A64" s="63" t="s">
        <v>66</v>
      </c>
      <c r="B64" s="81" t="s">
        <v>73</v>
      </c>
      <c r="C64" s="62">
        <v>69</v>
      </c>
      <c r="D64" s="3"/>
      <c r="E64" s="3"/>
      <c r="F64" s="3"/>
      <c r="G64" s="3"/>
      <c r="H64" s="3"/>
      <c r="I64" s="3"/>
    </row>
    <row x14ac:dyDescent="0.25" r="65" customHeight="1" ht="16.5">
      <c r="A65" s="63" t="s">
        <v>65</v>
      </c>
      <c r="B65" s="81" t="s">
        <v>74</v>
      </c>
      <c r="C65" s="62">
        <v>59</v>
      </c>
      <c r="D65" s="3"/>
      <c r="E65" s="3"/>
      <c r="F65" s="3"/>
      <c r="G65" s="3"/>
      <c r="H65" s="3"/>
      <c r="I65" s="3"/>
    </row>
  </sheetData>
  <mergeCells count="1">
    <mergeCell ref="E3:E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5"/>
  <sheetViews>
    <sheetView workbookViewId="0"/>
  </sheetViews>
  <sheetFormatPr defaultRowHeight="15" x14ac:dyDescent="0.25"/>
  <cols>
    <col min="1" max="1" style="64" width="44.86214285714286" customWidth="1" bestFit="1"/>
    <col min="2" max="2" style="82" width="18.862142857142857" customWidth="1" bestFit="1"/>
    <col min="3" max="3" style="66" width="15.43357142857143" customWidth="1" bestFit="1"/>
    <col min="4" max="4" style="15" width="15.862142857142858" customWidth="1" bestFit="1"/>
    <col min="5" max="5" style="15" width="17.719285714285714" customWidth="1" bestFit="1"/>
    <col min="6" max="6" style="15" width="17.719285714285714" customWidth="1" bestFit="1"/>
    <col min="7" max="7" style="15" width="17.719285714285714" customWidth="1" bestFit="1"/>
    <col min="8" max="8" style="15" width="17.719285714285714" customWidth="1" bestFit="1"/>
    <col min="9" max="9" style="15" width="17.719285714285714" customWidth="1" bestFit="1"/>
    <col min="10" max="10" style="15" width="17.719285714285714" customWidth="1" bestFit="1"/>
    <col min="11" max="11" style="15" width="17.719285714285714" customWidth="1" bestFit="1"/>
    <col min="12" max="12" style="15" width="17.719285714285714" customWidth="1" bestFit="1"/>
    <col min="13" max="13" style="15" width="17.719285714285714" customWidth="1" bestFit="1"/>
    <col min="14" max="14" style="15" width="15.005" customWidth="1" bestFit="1"/>
    <col min="15" max="15" style="15" width="17.719285714285714" customWidth="1" bestFit="1"/>
    <col min="16" max="16" style="15" width="15.005" customWidth="1" bestFit="1"/>
    <col min="17" max="17" style="15" width="9.290714285714287" customWidth="1" bestFit="1"/>
    <col min="18" max="18" style="15" width="14.147857142857141" customWidth="1" bestFit="1"/>
    <col min="19" max="19" style="15" width="14.147857142857141" customWidth="1" bestFit="1"/>
  </cols>
  <sheetData>
    <row x14ac:dyDescent="0.25" r="1" customHeight="1" ht="19.5">
      <c r="A1" s="16" t="s">
        <v>38</v>
      </c>
      <c r="B1" s="67" t="s">
        <v>75</v>
      </c>
      <c r="C1" s="68" t="s">
        <v>76</v>
      </c>
      <c r="D1" s="69" t="s">
        <v>77</v>
      </c>
      <c r="E1" s="70" t="s">
        <v>78</v>
      </c>
      <c r="F1" s="70" t="s">
        <v>79</v>
      </c>
      <c r="G1" s="69" t="s">
        <v>80</v>
      </c>
      <c r="H1" s="70" t="s">
        <v>81</v>
      </c>
      <c r="I1" s="69" t="s">
        <v>82</v>
      </c>
      <c r="J1" s="67" t="s">
        <v>83</v>
      </c>
      <c r="K1" s="67" t="s">
        <v>84</v>
      </c>
      <c r="L1" s="67" t="s">
        <v>85</v>
      </c>
      <c r="M1" s="67" t="s">
        <v>86</v>
      </c>
      <c r="N1" s="71">
        <f>COUNTA(B1:F1)</f>
      </c>
      <c r="O1" s="3"/>
      <c r="P1" s="3"/>
      <c r="Q1" s="3"/>
      <c r="R1" s="3"/>
      <c r="S1" s="3"/>
    </row>
    <row x14ac:dyDescent="0.25" r="2" customHeight="1" ht="30">
      <c r="A2" s="21" t="s">
        <v>42</v>
      </c>
      <c r="B2" s="72"/>
      <c r="C2" s="22"/>
      <c r="D2" s="72"/>
      <c r="E2" s="72"/>
      <c r="F2" s="72"/>
      <c r="G2" s="72"/>
      <c r="H2" s="72"/>
      <c r="I2" s="72"/>
      <c r="J2" s="72"/>
      <c r="K2" s="72"/>
      <c r="L2" s="72"/>
      <c r="M2" s="72"/>
      <c r="N2" s="71">
        <f>COUNTIF(B2:F2, "&lt;&gt;")</f>
      </c>
      <c r="O2" s="3"/>
      <c r="P2" s="3"/>
      <c r="Q2" s="3"/>
      <c r="R2" s="3"/>
      <c r="S2" s="3"/>
    </row>
    <row x14ac:dyDescent="0.25" r="3" customHeight="1" ht="19.5">
      <c r="A3" s="23">
        <v>1</v>
      </c>
      <c r="B3" s="24"/>
      <c r="C3" s="24"/>
      <c r="D3" s="24"/>
      <c r="E3" s="24"/>
      <c r="F3" s="24"/>
      <c r="G3" s="73"/>
      <c r="H3" s="73"/>
      <c r="I3" s="73"/>
      <c r="J3" s="73"/>
      <c r="K3" s="73"/>
      <c r="L3" s="73"/>
      <c r="M3" s="73"/>
      <c r="N3" s="25"/>
      <c r="O3" s="3"/>
      <c r="P3" s="3"/>
      <c r="Q3" s="3"/>
      <c r="R3" s="3"/>
      <c r="S3" s="3"/>
    </row>
    <row x14ac:dyDescent="0.25" r="4" customHeight="1" ht="19.5">
      <c r="A4" s="23">
        <v>2</v>
      </c>
      <c r="B4" s="24"/>
      <c r="C4" s="24"/>
      <c r="D4" s="24"/>
      <c r="E4" s="24"/>
      <c r="F4" s="24"/>
      <c r="G4" s="74"/>
      <c r="H4" s="74"/>
      <c r="I4" s="74"/>
      <c r="J4" s="74"/>
      <c r="K4" s="74"/>
      <c r="L4" s="74"/>
      <c r="M4" s="74"/>
      <c r="N4" s="75"/>
      <c r="O4" s="3"/>
      <c r="P4" s="3"/>
      <c r="Q4" s="3"/>
      <c r="R4" s="3"/>
      <c r="S4" s="3"/>
    </row>
    <row x14ac:dyDescent="0.25" r="5" customHeight="1" ht="19.5">
      <c r="A5" s="23">
        <v>3</v>
      </c>
      <c r="B5" s="24"/>
      <c r="C5" s="24"/>
      <c r="D5" s="24"/>
      <c r="E5" s="24"/>
      <c r="F5" s="24"/>
      <c r="G5" s="74"/>
      <c r="H5" s="74"/>
      <c r="I5" s="74"/>
      <c r="J5" s="74"/>
      <c r="K5" s="74"/>
      <c r="L5" s="74"/>
      <c r="M5" s="74"/>
      <c r="N5" s="75"/>
      <c r="O5" s="3"/>
      <c r="P5" s="3"/>
      <c r="Q5" s="3"/>
      <c r="R5" s="3"/>
      <c r="S5" s="3"/>
    </row>
    <row x14ac:dyDescent="0.25" r="6" customHeight="1" ht="19.5">
      <c r="A6" s="23">
        <v>4</v>
      </c>
      <c r="B6" s="24"/>
      <c r="C6" s="24"/>
      <c r="D6" s="24"/>
      <c r="E6" s="24"/>
      <c r="F6" s="24"/>
      <c r="G6" s="74"/>
      <c r="H6" s="74"/>
      <c r="I6" s="74"/>
      <c r="J6" s="74"/>
      <c r="K6" s="74"/>
      <c r="L6" s="74"/>
      <c r="M6" s="74"/>
      <c r="N6" s="75"/>
      <c r="O6" s="3"/>
      <c r="P6" s="3"/>
      <c r="Q6" s="3"/>
      <c r="R6" s="3"/>
      <c r="S6" s="27" t="s">
        <v>22</v>
      </c>
    </row>
    <row x14ac:dyDescent="0.25" r="7" customHeight="1" ht="19.5">
      <c r="A7" s="23">
        <v>5</v>
      </c>
      <c r="B7" s="24"/>
      <c r="C7" s="24"/>
      <c r="D7" s="24"/>
      <c r="E7" s="24"/>
      <c r="F7" s="24"/>
      <c r="G7" s="74"/>
      <c r="H7" s="74"/>
      <c r="I7" s="74"/>
      <c r="J7" s="74"/>
      <c r="K7" s="74"/>
      <c r="L7" s="74"/>
      <c r="M7" s="74"/>
      <c r="N7" s="75"/>
      <c r="O7" s="3"/>
      <c r="P7" s="3"/>
      <c r="Q7" s="3"/>
      <c r="R7" s="3"/>
      <c r="S7" s="27" t="s">
        <v>43</v>
      </c>
    </row>
    <row x14ac:dyDescent="0.25" r="8" customHeight="1" ht="19.5">
      <c r="A8" s="23">
        <v>6</v>
      </c>
      <c r="B8" s="24"/>
      <c r="C8" s="24"/>
      <c r="D8" s="24"/>
      <c r="E8" s="24"/>
      <c r="F8" s="24"/>
      <c r="G8" s="74"/>
      <c r="H8" s="74"/>
      <c r="I8" s="74"/>
      <c r="J8" s="74"/>
      <c r="K8" s="74"/>
      <c r="L8" s="74"/>
      <c r="M8" s="74"/>
      <c r="N8" s="75"/>
      <c r="O8" s="3"/>
      <c r="P8" s="3"/>
      <c r="Q8" s="3"/>
      <c r="R8" s="3"/>
      <c r="S8" s="27" t="s">
        <v>44</v>
      </c>
    </row>
    <row x14ac:dyDescent="0.25" r="9" customHeight="1" ht="19.5">
      <c r="A9" s="23">
        <v>7</v>
      </c>
      <c r="B9" s="24"/>
      <c r="C9" s="24"/>
      <c r="D9" s="24"/>
      <c r="E9" s="24"/>
      <c r="F9" s="24"/>
      <c r="G9" s="74"/>
      <c r="H9" s="74"/>
      <c r="I9" s="74"/>
      <c r="J9" s="74"/>
      <c r="K9" s="74"/>
      <c r="L9" s="74"/>
      <c r="M9" s="74"/>
      <c r="N9" s="75"/>
      <c r="O9" s="3"/>
      <c r="P9" s="3"/>
      <c r="Q9" s="3"/>
      <c r="R9" s="3"/>
      <c r="S9" s="27" t="s">
        <v>45</v>
      </c>
    </row>
    <row x14ac:dyDescent="0.25" r="10" customHeight="1" ht="19.5">
      <c r="A10" s="23">
        <v>8</v>
      </c>
      <c r="B10" s="24"/>
      <c r="C10" s="24"/>
      <c r="D10" s="24"/>
      <c r="E10" s="24"/>
      <c r="F10" s="24"/>
      <c r="G10" s="74"/>
      <c r="H10" s="74"/>
      <c r="I10" s="74"/>
      <c r="J10" s="74"/>
      <c r="K10" s="74"/>
      <c r="L10" s="74"/>
      <c r="M10" s="74"/>
      <c r="N10" s="75"/>
      <c r="O10" s="3"/>
      <c r="P10" s="3"/>
      <c r="Q10" s="3"/>
      <c r="R10" s="3"/>
      <c r="S10" s="27" t="s">
        <v>46</v>
      </c>
    </row>
    <row x14ac:dyDescent="0.25" r="11" customHeight="1" ht="19.5">
      <c r="A11" s="23">
        <v>9</v>
      </c>
      <c r="B11" s="24"/>
      <c r="C11" s="24"/>
      <c r="D11" s="24"/>
      <c r="E11" s="24"/>
      <c r="F11" s="24"/>
      <c r="G11" s="74"/>
      <c r="H11" s="74"/>
      <c r="I11" s="74"/>
      <c r="J11" s="74"/>
      <c r="K11" s="74"/>
      <c r="L11" s="74"/>
      <c r="M11" s="74"/>
      <c r="N11" s="75"/>
      <c r="O11" s="3"/>
      <c r="P11" s="3"/>
      <c r="Q11" s="3"/>
      <c r="R11" s="3"/>
      <c r="S11" s="27" t="s">
        <v>47</v>
      </c>
    </row>
    <row x14ac:dyDescent="0.25" r="12" customHeight="1" ht="19.5">
      <c r="A12" s="23">
        <v>10</v>
      </c>
      <c r="B12" s="24"/>
      <c r="C12" s="24"/>
      <c r="D12" s="24"/>
      <c r="E12" s="24"/>
      <c r="F12" s="24"/>
      <c r="G12" s="74"/>
      <c r="H12" s="74"/>
      <c r="I12" s="74"/>
      <c r="J12" s="74"/>
      <c r="K12" s="74"/>
      <c r="L12" s="74"/>
      <c r="M12" s="74"/>
      <c r="N12" s="75"/>
      <c r="O12" s="3"/>
      <c r="P12" s="3"/>
      <c r="Q12" s="3"/>
      <c r="R12" s="3"/>
      <c r="S12" s="27" t="s">
        <v>48</v>
      </c>
    </row>
    <row x14ac:dyDescent="0.25" r="13" customHeight="1" ht="19.5">
      <c r="A13" s="23">
        <v>11</v>
      </c>
      <c r="B13" s="24"/>
      <c r="C13" s="24"/>
      <c r="D13" s="24"/>
      <c r="E13" s="24"/>
      <c r="F13" s="24"/>
      <c r="G13" s="74"/>
      <c r="H13" s="74"/>
      <c r="I13" s="74"/>
      <c r="J13" s="74"/>
      <c r="K13" s="74"/>
      <c r="L13" s="74"/>
      <c r="M13" s="74"/>
      <c r="N13" s="75"/>
      <c r="O13" s="3"/>
      <c r="P13" s="3"/>
      <c r="Q13" s="3"/>
      <c r="R13" s="3"/>
      <c r="S13" s="3"/>
    </row>
    <row x14ac:dyDescent="0.25" r="14" customHeight="1" ht="19.5">
      <c r="A14" s="23">
        <v>12</v>
      </c>
      <c r="B14" s="24"/>
      <c r="C14" s="24"/>
      <c r="D14" s="24"/>
      <c r="E14" s="24"/>
      <c r="F14" s="24"/>
      <c r="G14" s="74"/>
      <c r="H14" s="74"/>
      <c r="I14" s="74"/>
      <c r="J14" s="74"/>
      <c r="K14" s="74"/>
      <c r="L14" s="74"/>
      <c r="M14" s="74"/>
      <c r="N14" s="75"/>
      <c r="O14" s="3"/>
      <c r="P14" s="3"/>
      <c r="Q14" s="3"/>
      <c r="R14" s="3"/>
      <c r="S14" s="3"/>
    </row>
    <row x14ac:dyDescent="0.25" r="15" customHeight="1" ht="19.5">
      <c r="A15" s="23">
        <v>13</v>
      </c>
      <c r="B15" s="24"/>
      <c r="C15" s="24"/>
      <c r="D15" s="24"/>
      <c r="E15" s="24"/>
      <c r="F15" s="24"/>
      <c r="G15" s="74"/>
      <c r="H15" s="74"/>
      <c r="I15" s="74"/>
      <c r="J15" s="74"/>
      <c r="K15" s="74"/>
      <c r="L15" s="74"/>
      <c r="M15" s="74"/>
      <c r="N15" s="75"/>
      <c r="O15" s="3"/>
      <c r="P15" s="3"/>
      <c r="Q15" s="3"/>
      <c r="R15" s="3"/>
      <c r="S15" s="3"/>
    </row>
    <row x14ac:dyDescent="0.25" r="16" customHeight="1" ht="19.5">
      <c r="A16" s="23">
        <v>14</v>
      </c>
      <c r="B16" s="24"/>
      <c r="C16" s="24"/>
      <c r="D16" s="24"/>
      <c r="E16" s="24"/>
      <c r="F16" s="24"/>
      <c r="G16" s="74"/>
      <c r="H16" s="74"/>
      <c r="I16" s="74"/>
      <c r="J16" s="74"/>
      <c r="K16" s="74"/>
      <c r="L16" s="74"/>
      <c r="M16" s="74"/>
      <c r="N16" s="75"/>
      <c r="O16" s="3"/>
      <c r="P16" s="3"/>
      <c r="Q16" s="3"/>
      <c r="R16" s="3"/>
      <c r="S16" s="3"/>
    </row>
    <row x14ac:dyDescent="0.25" r="17" customHeight="1" ht="19.5">
      <c r="A17" s="23">
        <v>15</v>
      </c>
      <c r="B17" s="24"/>
      <c r="C17" s="24"/>
      <c r="D17" s="24"/>
      <c r="E17" s="24"/>
      <c r="F17" s="24"/>
      <c r="G17" s="74"/>
      <c r="H17" s="74"/>
      <c r="I17" s="74"/>
      <c r="J17" s="74"/>
      <c r="K17" s="74"/>
      <c r="L17" s="74"/>
      <c r="M17" s="74"/>
      <c r="N17" s="75"/>
      <c r="O17" s="3"/>
      <c r="P17" s="3"/>
      <c r="Q17" s="3"/>
      <c r="R17" s="3"/>
      <c r="S17" s="3"/>
    </row>
    <row x14ac:dyDescent="0.25" r="18" customHeight="1" ht="19.5">
      <c r="A18" s="23">
        <v>16</v>
      </c>
      <c r="B18" s="24"/>
      <c r="C18" s="24"/>
      <c r="D18" s="24"/>
      <c r="E18" s="24"/>
      <c r="F18" s="24"/>
      <c r="G18" s="74"/>
      <c r="H18" s="74"/>
      <c r="I18" s="74"/>
      <c r="J18" s="74"/>
      <c r="K18" s="74"/>
      <c r="L18" s="74"/>
      <c r="M18" s="74"/>
      <c r="N18" s="75"/>
      <c r="O18" s="3"/>
      <c r="P18" s="3"/>
      <c r="Q18" s="3"/>
      <c r="R18" s="3"/>
      <c r="S18" s="3"/>
    </row>
    <row x14ac:dyDescent="0.25" r="19" customHeight="1" ht="19.5">
      <c r="A19" s="23">
        <v>17</v>
      </c>
      <c r="B19" s="24"/>
      <c r="C19" s="24"/>
      <c r="D19" s="24"/>
      <c r="E19" s="24"/>
      <c r="F19" s="24"/>
      <c r="G19" s="74"/>
      <c r="H19" s="74"/>
      <c r="I19" s="74"/>
      <c r="J19" s="74"/>
      <c r="K19" s="74"/>
      <c r="L19" s="74"/>
      <c r="M19" s="74"/>
      <c r="N19" s="75"/>
      <c r="O19" s="3"/>
      <c r="P19" s="3"/>
      <c r="Q19" s="3"/>
      <c r="R19" s="3"/>
      <c r="S19" s="3"/>
    </row>
    <row x14ac:dyDescent="0.25" r="20" customHeight="1" ht="19.5">
      <c r="A20" s="23">
        <v>18</v>
      </c>
      <c r="B20" s="24"/>
      <c r="C20" s="24"/>
      <c r="D20" s="24"/>
      <c r="E20" s="24"/>
      <c r="F20" s="24"/>
      <c r="G20" s="74"/>
      <c r="H20" s="74"/>
      <c r="I20" s="74"/>
      <c r="J20" s="74"/>
      <c r="K20" s="74"/>
      <c r="L20" s="74"/>
      <c r="M20" s="74"/>
      <c r="N20" s="75"/>
      <c r="O20" s="3"/>
      <c r="P20" s="3"/>
      <c r="Q20" s="3"/>
      <c r="R20" s="3"/>
      <c r="S20" s="3"/>
    </row>
    <row x14ac:dyDescent="0.25" r="21" customHeight="1" ht="19.5">
      <c r="A21" s="23">
        <v>19</v>
      </c>
      <c r="B21" s="24"/>
      <c r="C21" s="24"/>
      <c r="D21" s="24"/>
      <c r="E21" s="24"/>
      <c r="F21" s="24"/>
      <c r="G21" s="74"/>
      <c r="H21" s="74"/>
      <c r="I21" s="74"/>
      <c r="J21" s="74"/>
      <c r="K21" s="74"/>
      <c r="L21" s="74"/>
      <c r="M21" s="74"/>
      <c r="N21" s="75"/>
      <c r="O21" s="3"/>
      <c r="P21" s="3"/>
      <c r="Q21" s="3"/>
      <c r="R21" s="3"/>
      <c r="S21" s="3"/>
    </row>
    <row x14ac:dyDescent="0.25" r="22" customHeight="1" ht="19.5">
      <c r="A22" s="23">
        <v>20</v>
      </c>
      <c r="B22" s="24"/>
      <c r="C22" s="24"/>
      <c r="D22" s="24"/>
      <c r="E22" s="24"/>
      <c r="F22" s="24"/>
      <c r="G22" s="74"/>
      <c r="H22" s="74"/>
      <c r="I22" s="74"/>
      <c r="J22" s="74"/>
      <c r="K22" s="74"/>
      <c r="L22" s="74"/>
      <c r="M22" s="74"/>
      <c r="N22" s="75"/>
      <c r="O22" s="3"/>
      <c r="P22" s="3"/>
      <c r="Q22" s="3"/>
      <c r="R22" s="3"/>
      <c r="S22" s="3"/>
    </row>
    <row x14ac:dyDescent="0.25" r="23" customHeight="1" ht="19.5">
      <c r="A23" s="23">
        <v>21</v>
      </c>
      <c r="B23" s="24"/>
      <c r="C23" s="24"/>
      <c r="D23" s="24"/>
      <c r="E23" s="24"/>
      <c r="F23" s="24"/>
      <c r="G23" s="74"/>
      <c r="H23" s="74"/>
      <c r="I23" s="74"/>
      <c r="J23" s="74"/>
      <c r="K23" s="74"/>
      <c r="L23" s="74"/>
      <c r="M23" s="74"/>
      <c r="N23" s="75"/>
      <c r="O23" s="3"/>
      <c r="P23" s="3"/>
      <c r="Q23" s="3"/>
      <c r="R23" s="3"/>
      <c r="S23" s="3"/>
    </row>
    <row x14ac:dyDescent="0.25" r="24" customHeight="1" ht="19.5">
      <c r="A24" s="23">
        <v>22</v>
      </c>
      <c r="B24" s="24"/>
      <c r="C24" s="24"/>
      <c r="D24" s="24"/>
      <c r="E24" s="24"/>
      <c r="F24" s="24"/>
      <c r="G24" s="74"/>
      <c r="H24" s="74"/>
      <c r="I24" s="74"/>
      <c r="J24" s="74"/>
      <c r="K24" s="74"/>
      <c r="L24" s="74"/>
      <c r="M24" s="74"/>
      <c r="N24" s="75"/>
      <c r="O24" s="3"/>
      <c r="P24" s="3"/>
      <c r="Q24" s="3"/>
      <c r="R24" s="3"/>
      <c r="S24" s="3"/>
    </row>
    <row x14ac:dyDescent="0.25" r="25" customHeight="1" ht="19.5">
      <c r="A25" s="23">
        <v>23</v>
      </c>
      <c r="B25" s="24"/>
      <c r="C25" s="24"/>
      <c r="D25" s="24"/>
      <c r="E25" s="24"/>
      <c r="F25" s="24"/>
      <c r="G25" s="74"/>
      <c r="H25" s="74"/>
      <c r="I25" s="74"/>
      <c r="J25" s="74"/>
      <c r="K25" s="74"/>
      <c r="L25" s="74"/>
      <c r="M25" s="74"/>
      <c r="N25" s="75"/>
      <c r="O25" s="3"/>
      <c r="P25" s="3"/>
      <c r="Q25" s="3"/>
      <c r="R25" s="3"/>
      <c r="S25" s="3"/>
    </row>
    <row x14ac:dyDescent="0.25" r="26" customHeight="1" ht="19.5">
      <c r="A26" s="23">
        <v>24</v>
      </c>
      <c r="B26" s="24"/>
      <c r="C26" s="24"/>
      <c r="D26" s="24"/>
      <c r="E26" s="24"/>
      <c r="F26" s="24"/>
      <c r="G26" s="74"/>
      <c r="H26" s="74"/>
      <c r="I26" s="74"/>
      <c r="J26" s="74"/>
      <c r="K26" s="74"/>
      <c r="L26" s="74"/>
      <c r="M26" s="74"/>
      <c r="N26" s="75"/>
      <c r="O26" s="3"/>
      <c r="P26" s="3"/>
      <c r="Q26" s="3"/>
      <c r="R26" s="3"/>
      <c r="S26" s="3"/>
    </row>
    <row x14ac:dyDescent="0.25" r="27" customHeight="1" ht="19.5">
      <c r="A27" s="23">
        <v>25</v>
      </c>
      <c r="B27" s="24"/>
      <c r="C27" s="24"/>
      <c r="D27" s="24"/>
      <c r="E27" s="24"/>
      <c r="F27" s="24"/>
      <c r="G27" s="74"/>
      <c r="H27" s="74"/>
      <c r="I27" s="74"/>
      <c r="J27" s="74"/>
      <c r="K27" s="74"/>
      <c r="L27" s="74"/>
      <c r="M27" s="74"/>
      <c r="N27" s="75"/>
      <c r="O27" s="3"/>
      <c r="P27" s="3"/>
      <c r="Q27" s="3"/>
      <c r="R27" s="3"/>
      <c r="S27" s="3"/>
    </row>
    <row x14ac:dyDescent="0.25" r="28" customHeight="1" ht="19.5">
      <c r="A28" s="23">
        <v>26</v>
      </c>
      <c r="B28" s="28"/>
      <c r="C28" s="28"/>
      <c r="D28" s="28"/>
      <c r="E28" s="28"/>
      <c r="F28" s="28"/>
      <c r="G28" s="74"/>
      <c r="H28" s="74"/>
      <c r="I28" s="74"/>
      <c r="J28" s="74"/>
      <c r="K28" s="74"/>
      <c r="L28" s="74"/>
      <c r="M28" s="74"/>
      <c r="N28" s="75"/>
      <c r="O28" s="3"/>
      <c r="P28" s="3"/>
      <c r="Q28" s="3"/>
      <c r="R28" s="3"/>
      <c r="S28" s="3"/>
    </row>
    <row x14ac:dyDescent="0.25" r="29" customHeight="1" ht="19.5">
      <c r="A29" s="23">
        <v>27</v>
      </c>
      <c r="B29" s="28"/>
      <c r="C29" s="28"/>
      <c r="D29" s="28"/>
      <c r="E29" s="28"/>
      <c r="F29" s="28"/>
      <c r="G29" s="74"/>
      <c r="H29" s="74"/>
      <c r="I29" s="74"/>
      <c r="J29" s="74"/>
      <c r="K29" s="74"/>
      <c r="L29" s="74"/>
      <c r="M29" s="74"/>
      <c r="N29" s="75"/>
      <c r="O29" s="3"/>
      <c r="P29" s="3"/>
      <c r="Q29" s="3"/>
      <c r="R29" s="3"/>
      <c r="S29" s="3"/>
    </row>
    <row x14ac:dyDescent="0.25" r="30" customHeight="1" ht="19.5">
      <c r="A30" s="23">
        <v>28</v>
      </c>
      <c r="B30" s="28"/>
      <c r="C30" s="28"/>
      <c r="D30" s="28"/>
      <c r="E30" s="28"/>
      <c r="F30" s="28"/>
      <c r="G30" s="74"/>
      <c r="H30" s="74"/>
      <c r="I30" s="74"/>
      <c r="J30" s="74"/>
      <c r="K30" s="74"/>
      <c r="L30" s="74"/>
      <c r="M30" s="74"/>
      <c r="N30" s="75"/>
      <c r="O30" s="3"/>
      <c r="P30" s="3"/>
      <c r="Q30" s="3"/>
      <c r="R30" s="3"/>
      <c r="S30" s="3"/>
    </row>
    <row x14ac:dyDescent="0.25" r="31" customHeight="1" ht="19.5">
      <c r="A31" s="23">
        <v>29</v>
      </c>
      <c r="B31" s="28"/>
      <c r="C31" s="28"/>
      <c r="D31" s="28"/>
      <c r="E31" s="28"/>
      <c r="F31" s="28"/>
      <c r="G31" s="74"/>
      <c r="H31" s="74"/>
      <c r="I31" s="74"/>
      <c r="J31" s="74"/>
      <c r="K31" s="74"/>
      <c r="L31" s="74"/>
      <c r="M31" s="74"/>
      <c r="N31" s="75"/>
      <c r="O31" s="3"/>
      <c r="P31" s="3"/>
      <c r="Q31" s="3"/>
      <c r="R31" s="3"/>
      <c r="S31" s="3"/>
    </row>
    <row x14ac:dyDescent="0.25" r="32" customHeight="1" ht="19.5">
      <c r="A32" s="23">
        <v>30</v>
      </c>
      <c r="B32" s="28"/>
      <c r="C32" s="28"/>
      <c r="D32" s="28"/>
      <c r="E32" s="28"/>
      <c r="F32" s="28"/>
      <c r="G32" s="74"/>
      <c r="H32" s="74"/>
      <c r="I32" s="74"/>
      <c r="J32" s="74"/>
      <c r="K32" s="74"/>
      <c r="L32" s="74"/>
      <c r="M32" s="74"/>
      <c r="N32" s="75"/>
      <c r="O32" s="3"/>
      <c r="P32" s="3"/>
      <c r="Q32" s="3"/>
      <c r="R32" s="3"/>
      <c r="S32" s="3"/>
    </row>
    <row x14ac:dyDescent="0.25" r="33" customHeight="1" ht="19.5">
      <c r="A33" s="23">
        <v>31</v>
      </c>
      <c r="B33" s="28"/>
      <c r="C33" s="28"/>
      <c r="D33" s="28"/>
      <c r="E33" s="28"/>
      <c r="F33" s="28"/>
      <c r="G33" s="74"/>
      <c r="H33" s="74"/>
      <c r="I33" s="74"/>
      <c r="J33" s="74"/>
      <c r="K33" s="74"/>
      <c r="L33" s="74"/>
      <c r="M33" s="74"/>
      <c r="N33" s="75"/>
      <c r="O33" s="3"/>
      <c r="P33" s="3"/>
      <c r="Q33" s="3"/>
      <c r="R33" s="3"/>
      <c r="S33" s="3"/>
    </row>
    <row x14ac:dyDescent="0.25" r="34" customHeight="1" ht="19.5">
      <c r="A34" s="23">
        <v>32</v>
      </c>
      <c r="B34" s="28"/>
      <c r="C34" s="28"/>
      <c r="D34" s="28"/>
      <c r="E34" s="28"/>
      <c r="F34" s="28"/>
      <c r="G34" s="74"/>
      <c r="H34" s="74"/>
      <c r="I34" s="74"/>
      <c r="J34" s="74"/>
      <c r="K34" s="74"/>
      <c r="L34" s="74"/>
      <c r="M34" s="74"/>
      <c r="N34" s="75"/>
      <c r="O34" s="3"/>
      <c r="P34" s="3"/>
      <c r="Q34" s="3"/>
      <c r="R34" s="3"/>
      <c r="S34" s="3"/>
    </row>
    <row x14ac:dyDescent="0.25" r="35" customHeight="1" ht="19.5">
      <c r="A35" s="23">
        <v>33</v>
      </c>
      <c r="B35" s="28"/>
      <c r="C35" s="28"/>
      <c r="D35" s="28"/>
      <c r="E35" s="28"/>
      <c r="F35" s="28"/>
      <c r="G35" s="74"/>
      <c r="H35" s="74"/>
      <c r="I35" s="74"/>
      <c r="J35" s="74"/>
      <c r="K35" s="74"/>
      <c r="L35" s="74"/>
      <c r="M35" s="74"/>
      <c r="N35" s="75"/>
      <c r="O35" s="3"/>
      <c r="P35" s="3"/>
      <c r="Q35" s="3"/>
      <c r="R35" s="3"/>
      <c r="S35" s="3"/>
    </row>
    <row x14ac:dyDescent="0.25" r="36" customHeight="1" ht="19.5">
      <c r="A36" s="23">
        <v>34</v>
      </c>
      <c r="B36" s="28"/>
      <c r="C36" s="28"/>
      <c r="D36" s="28"/>
      <c r="E36" s="28"/>
      <c r="F36" s="28"/>
      <c r="G36" s="74"/>
      <c r="H36" s="74"/>
      <c r="I36" s="74"/>
      <c r="J36" s="74"/>
      <c r="K36" s="74"/>
      <c r="L36" s="74"/>
      <c r="M36" s="74"/>
      <c r="N36" s="75"/>
      <c r="O36" s="3"/>
      <c r="P36" s="3"/>
      <c r="Q36" s="3"/>
      <c r="R36" s="3"/>
      <c r="S36" s="3"/>
    </row>
    <row x14ac:dyDescent="0.25" r="37" customHeight="1" ht="19.5">
      <c r="A37" s="23">
        <v>35</v>
      </c>
      <c r="B37" s="28"/>
      <c r="C37" s="28"/>
      <c r="D37" s="28"/>
      <c r="E37" s="28"/>
      <c r="F37" s="28"/>
      <c r="G37" s="74"/>
      <c r="H37" s="74"/>
      <c r="I37" s="74"/>
      <c r="J37" s="74"/>
      <c r="K37" s="74"/>
      <c r="L37" s="74"/>
      <c r="M37" s="74"/>
      <c r="N37" s="75"/>
      <c r="O37" s="3"/>
      <c r="P37" s="3"/>
      <c r="Q37" s="3"/>
      <c r="R37" s="3"/>
      <c r="S37" s="3"/>
    </row>
    <row x14ac:dyDescent="0.25" r="38" customHeight="1" ht="19.5">
      <c r="A38" s="23">
        <v>36</v>
      </c>
      <c r="B38" s="28"/>
      <c r="C38" s="28"/>
      <c r="D38" s="28"/>
      <c r="E38" s="28"/>
      <c r="F38" s="28"/>
      <c r="G38" s="74"/>
      <c r="H38" s="74"/>
      <c r="I38" s="74"/>
      <c r="J38" s="74"/>
      <c r="K38" s="74"/>
      <c r="L38" s="74"/>
      <c r="M38" s="74"/>
      <c r="N38" s="75"/>
      <c r="O38" s="3"/>
      <c r="P38" s="3"/>
      <c r="Q38" s="3"/>
      <c r="R38" s="3"/>
      <c r="S38" s="3"/>
    </row>
    <row x14ac:dyDescent="0.25" r="39" customHeight="1" ht="19.5">
      <c r="A39" s="23">
        <v>37</v>
      </c>
      <c r="B39" s="28"/>
      <c r="C39" s="28"/>
      <c r="D39" s="28"/>
      <c r="E39" s="28"/>
      <c r="F39" s="28"/>
      <c r="G39" s="74"/>
      <c r="H39" s="74"/>
      <c r="I39" s="74"/>
      <c r="J39" s="74"/>
      <c r="K39" s="74"/>
      <c r="L39" s="74"/>
      <c r="M39" s="74"/>
      <c r="N39" s="75"/>
      <c r="O39" s="3"/>
      <c r="P39" s="3"/>
      <c r="Q39" s="3"/>
      <c r="R39" s="3"/>
      <c r="S39" s="3"/>
    </row>
    <row x14ac:dyDescent="0.25" r="40" customHeight="1" ht="19.5">
      <c r="A40" s="23">
        <v>38</v>
      </c>
      <c r="B40" s="28"/>
      <c r="C40" s="28"/>
      <c r="D40" s="28"/>
      <c r="E40" s="28"/>
      <c r="F40" s="28"/>
      <c r="G40" s="74"/>
      <c r="H40" s="74"/>
      <c r="I40" s="74"/>
      <c r="J40" s="74"/>
      <c r="K40" s="74"/>
      <c r="L40" s="74"/>
      <c r="M40" s="74"/>
      <c r="N40" s="75"/>
      <c r="O40" s="3"/>
      <c r="P40" s="3"/>
      <c r="Q40" s="3"/>
      <c r="R40" s="3"/>
      <c r="S40" s="3"/>
    </row>
    <row x14ac:dyDescent="0.25" r="41" customHeight="1" ht="19.5">
      <c r="A41" s="23">
        <v>39</v>
      </c>
      <c r="B41" s="28"/>
      <c r="C41" s="28"/>
      <c r="D41" s="28"/>
      <c r="E41" s="28"/>
      <c r="F41" s="28"/>
      <c r="G41" s="74"/>
      <c r="H41" s="74"/>
      <c r="I41" s="74"/>
      <c r="J41" s="74"/>
      <c r="K41" s="74"/>
      <c r="L41" s="74"/>
      <c r="M41" s="74"/>
      <c r="N41" s="75"/>
      <c r="O41" s="3"/>
      <c r="P41" s="3"/>
      <c r="Q41" s="3"/>
      <c r="R41" s="3"/>
      <c r="S41" s="3"/>
    </row>
    <row x14ac:dyDescent="0.25" r="42" customHeight="1" ht="15.75">
      <c r="A42" s="23">
        <v>40</v>
      </c>
      <c r="B42" s="28"/>
      <c r="C42" s="28"/>
      <c r="D42" s="28"/>
      <c r="E42" s="28"/>
      <c r="F42" s="28"/>
      <c r="G42" s="74"/>
      <c r="H42" s="74"/>
      <c r="I42" s="74"/>
      <c r="J42" s="74"/>
      <c r="K42" s="74"/>
      <c r="L42" s="74"/>
      <c r="M42" s="74"/>
      <c r="N42" s="76"/>
      <c r="O42" s="3"/>
      <c r="P42" s="3"/>
      <c r="Q42" s="3"/>
      <c r="R42" s="3"/>
      <c r="S42" s="3"/>
    </row>
    <row x14ac:dyDescent="0.25" r="43" customHeight="1" ht="15.75">
      <c r="A43" s="30" t="s">
        <v>49</v>
      </c>
      <c r="B43" s="31">
        <f>AVERAGE(B3:B42)</f>
      </c>
      <c r="C43" s="31">
        <f>AVERAGE(C3:C42)</f>
      </c>
      <c r="D43" s="31">
        <f>AVERAGE(D3:D42)</f>
      </c>
      <c r="E43" s="31">
        <f>AVERAGE(E3:E42)</f>
      </c>
      <c r="F43" s="31">
        <f>AVERAGE(F3:F42)</f>
      </c>
      <c r="G43" s="31">
        <f>AVERAGE(G3:G42)</f>
      </c>
      <c r="H43" s="31">
        <f>AVERAGE(H3:H42)</f>
      </c>
      <c r="I43" s="31">
        <f>AVERAGE(I3:I42)</f>
      </c>
      <c r="J43" s="31">
        <f>AVERAGE(J3:J42)</f>
      </c>
      <c r="K43" s="31">
        <f>AVERAGE(K3:K42)</f>
      </c>
      <c r="L43" s="31">
        <f>AVERAGE(L3:L42)</f>
      </c>
      <c r="M43" s="31">
        <f>AVERAGE(M3:M42)</f>
      </c>
      <c r="N43" s="32"/>
      <c r="O43" s="3"/>
      <c r="P43" s="3"/>
      <c r="Q43" s="3"/>
      <c r="R43" s="3"/>
      <c r="S43" s="3"/>
    </row>
    <row x14ac:dyDescent="0.25" r="44" customHeight="1" ht="19.5">
      <c r="A44" s="33" t="s">
        <v>50</v>
      </c>
      <c r="B44" s="24">
        <f>AVERAGEIF(B43:M43, "&lt;&gt;#DIV/0!")</f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34"/>
      <c r="O44" s="3"/>
      <c r="P44" s="3"/>
      <c r="Q44" s="3"/>
      <c r="R44" s="3"/>
      <c r="S44" s="3"/>
    </row>
    <row x14ac:dyDescent="0.25" r="45" customHeight="1" ht="19.5">
      <c r="A45" s="33" t="s">
        <v>51</v>
      </c>
      <c r="B45" s="34">
        <f>COUNTIF(B3:B42, "&lt;&gt;")</f>
      </c>
      <c r="C45" s="34">
        <f>COUNTIF(C3:C42, "&lt;&gt;")</f>
      </c>
      <c r="D45" s="34">
        <f>COUNTIF(D3:D42, "&lt;&gt;")</f>
      </c>
      <c r="E45" s="34">
        <f>COUNTIF(E3:E42, "&lt;&gt;")</f>
      </c>
      <c r="F45" s="34">
        <f>COUNTIF(F3:F42, "&lt;&gt;")</f>
      </c>
      <c r="G45" s="34">
        <f>COUNTIF(G3:G42, "&lt;&gt;")</f>
      </c>
      <c r="H45" s="34">
        <f>COUNTIF(H3:H42, "&lt;&gt;")</f>
      </c>
      <c r="I45" s="34">
        <f>COUNTIF(I3:I42, "&lt;&gt;")</f>
      </c>
      <c r="J45" s="34">
        <f>COUNTIF(J3:J42, "&lt;&gt;")</f>
      </c>
      <c r="K45" s="34">
        <f>COUNTIF(K3:K42, "&lt;&gt;")</f>
      </c>
      <c r="L45" s="34">
        <f>COUNTIF(L3:L42, "&lt;&gt;")</f>
      </c>
      <c r="M45" s="34">
        <f>COUNTIF(M3:M42, "&lt;&gt;")</f>
      </c>
      <c r="N45" s="34"/>
      <c r="O45" s="3"/>
      <c r="P45" s="3"/>
      <c r="Q45" s="3"/>
      <c r="R45" s="3"/>
      <c r="S45" s="3"/>
    </row>
    <row x14ac:dyDescent="0.25" r="46" customHeight="1" ht="19.5">
      <c r="A46" s="20"/>
      <c r="B46" s="77"/>
      <c r="C46" s="3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x14ac:dyDescent="0.25" r="47" customHeight="1" ht="19.5">
      <c r="A47" s="16"/>
      <c r="B47" s="39" t="s">
        <v>52</v>
      </c>
      <c r="C47" s="38" t="s">
        <v>53</v>
      </c>
      <c r="D47" s="39" t="s">
        <v>54</v>
      </c>
      <c r="E47" s="39" t="s">
        <v>55</v>
      </c>
      <c r="F47" s="39" t="s">
        <v>56</v>
      </c>
      <c r="G47" s="39" t="s">
        <v>57</v>
      </c>
      <c r="H47" s="39" t="s">
        <v>58</v>
      </c>
      <c r="I47" s="39" t="s">
        <v>59</v>
      </c>
      <c r="J47" s="78"/>
      <c r="K47" s="78"/>
      <c r="L47" s="78"/>
      <c r="M47" s="78"/>
      <c r="N47" s="3"/>
      <c r="O47" s="3"/>
      <c r="P47" s="3"/>
      <c r="Q47" s="3"/>
      <c r="R47" s="3"/>
      <c r="S47" s="3"/>
    </row>
    <row x14ac:dyDescent="0.25" r="48" customHeight="1" ht="19.5">
      <c r="A48" s="40" t="s">
        <v>60</v>
      </c>
      <c r="B48" s="42">
        <f>COUNTIF($E$2:$F$2, "A") + COUNTIF($H$2, "A")</f>
      </c>
      <c r="C48" s="41">
        <f>COUNTIF($E$2:$F$2, "Q") + COUNTIF($H$2, "Q")</f>
      </c>
      <c r="D48" s="42">
        <f>COUNTIF($E$2:$F$2, "M") + COUNTIF($H$2, "M")</f>
      </c>
      <c r="E48" s="42">
        <f>COUNTIF($E$2:$F$2, "F") + COUNTIF($H$2, "F")</f>
      </c>
      <c r="F48" s="42">
        <f>COUNTIF($E$2:$F$2, "P") + COUNTIF($H$2, "P")</f>
      </c>
      <c r="G48" s="42">
        <f>COUNTIF($E$2:$F$2, "L") + COUNTIF($H$2, "L")</f>
      </c>
      <c r="H48" s="42">
        <f>COUNTIF($E$2:$F$2, "OT") + COUNTIF($H$2, "OT")</f>
      </c>
      <c r="I48" s="42">
        <f>SUM(B48:H48)</f>
      </c>
      <c r="J48" s="79"/>
      <c r="K48" s="79"/>
      <c r="L48" s="79"/>
      <c r="M48" s="79"/>
      <c r="N48" s="3"/>
      <c r="O48" s="3"/>
      <c r="P48" s="3"/>
      <c r="Q48" s="3"/>
      <c r="R48" s="3"/>
      <c r="S48" s="3"/>
    </row>
    <row x14ac:dyDescent="0.25" r="49" customHeight="1" ht="19.5">
      <c r="A49" s="43" t="s">
        <v>61</v>
      </c>
      <c r="B49" s="42">
        <f>COUNTIF($I$2, "A") + COUNTIF($G$2, "A") + COUNTIF($D$2, "A")</f>
      </c>
      <c r="C49" s="41">
        <f>COUNTIF($I$2, "Q") + COUNTIF($G$2, "Q") + COUNTIF($D$2, "Q")</f>
      </c>
      <c r="D49" s="42">
        <f>COUNTIF($I$2, "M") + COUNTIF($G$2, "M") + COUNTIF($D$2, "M")</f>
      </c>
      <c r="E49" s="42">
        <f>COUNTIF($I$2, "F") + COUNTIF($G$2, "F") + COUNTIF($D$2, "F")</f>
      </c>
      <c r="F49" s="42">
        <f>COUNTIF($I$2, "P") + COUNTIF($G$2, "P") + COUNTIF($D$2, "P")</f>
      </c>
      <c r="G49" s="42">
        <f>COUNTIF($I$2, "L") + COUNTIF($G$2, "L") + COUNTIF($D$2, "L")</f>
      </c>
      <c r="H49" s="42">
        <f>COUNTIF($I$2, "OT") + COUNTIF($G$2, "OT") + COUNTIF($D$2, "OT")</f>
      </c>
      <c r="I49" s="42">
        <f>SUM(B49:H49)</f>
      </c>
      <c r="J49" s="79"/>
      <c r="K49" s="79"/>
      <c r="L49" s="79"/>
      <c r="M49" s="79"/>
      <c r="N49" s="3"/>
      <c r="O49" s="3"/>
      <c r="P49" s="3"/>
      <c r="Q49" s="3"/>
      <c r="R49" s="3"/>
      <c r="S49" s="3"/>
    </row>
    <row x14ac:dyDescent="0.25" r="50" customHeight="1" ht="19.5">
      <c r="A50" s="44" t="s">
        <v>62</v>
      </c>
      <c r="B50" s="42">
        <f>COUNTIF($B$2:$C$2, "A") + COUNTIF($J$2:$M$2, "A")</f>
      </c>
      <c r="C50" s="41">
        <f>COUNTIF($B$2:$C$2, "Q") + COUNTIF($J$2:$M$2, "Q")</f>
      </c>
      <c r="D50" s="42">
        <f>COUNTIF($B$2:$C$2, "M") + COUNTIF($J$2:$M$2, "M")</f>
      </c>
      <c r="E50" s="42">
        <f>COUNTIF($B$2:$C$2, "F") + COUNTIF($J$2:$M$2, "F")</f>
      </c>
      <c r="F50" s="42">
        <f>COUNTIF($B$2:$C$2, "P") + COUNTIF($J$2:$M$2, "P")</f>
      </c>
      <c r="G50" s="42">
        <f>COUNTIF($B$2:$C$2, "L") + COUNTIF($J$2:$M$2, "L")</f>
      </c>
      <c r="H50" s="42">
        <f>COUNTIF($B$2:$C$2, "OT") + COUNTIF($J$2:$M$2, "OT")</f>
      </c>
      <c r="I50" s="42">
        <f>SUM(B50:H50)</f>
      </c>
      <c r="J50" s="79"/>
      <c r="K50" s="79"/>
      <c r="L50" s="79"/>
      <c r="M50" s="79"/>
      <c r="N50" s="3"/>
      <c r="O50" s="3"/>
      <c r="P50" s="3"/>
      <c r="Q50" s="3"/>
      <c r="R50" s="3"/>
      <c r="S50" s="3"/>
    </row>
    <row x14ac:dyDescent="0.25" r="51" customHeight="1" ht="19.5">
      <c r="A51" s="37" t="s">
        <v>59</v>
      </c>
      <c r="B51" s="45">
        <f>SUM(B48:B50)</f>
      </c>
      <c r="C51" s="22">
        <f>SUM(C48:C50)</f>
      </c>
      <c r="D51" s="45">
        <f>SUM(D48:D50)</f>
      </c>
      <c r="E51" s="45">
        <f>SUM(E48:E50)</f>
      </c>
      <c r="F51" s="45">
        <f>SUM(F48:F50)</f>
      </c>
      <c r="G51" s="45">
        <f>SUM(G48:G50)</f>
      </c>
      <c r="H51" s="45">
        <f>SUM(H48:H50)</f>
      </c>
      <c r="I51" s="45">
        <f>SUM(I48:I50)</f>
      </c>
      <c r="J51" s="79"/>
      <c r="K51" s="79"/>
      <c r="L51" s="79"/>
      <c r="M51" s="79"/>
      <c r="N51" s="3"/>
      <c r="O51" s="3"/>
      <c r="P51" s="3"/>
      <c r="Q51" s="3"/>
      <c r="R51" s="3"/>
      <c r="S51" s="3"/>
    </row>
    <row x14ac:dyDescent="0.25" r="52" customHeight="1" ht="19.5">
      <c r="A52" s="20"/>
      <c r="B52" s="77"/>
      <c r="C52" s="3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x14ac:dyDescent="0.25" r="53" customHeight="1" ht="18.75">
      <c r="A53" s="46" t="s">
        <v>63</v>
      </c>
      <c r="B53" s="7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3"/>
      <c r="O53" s="3"/>
      <c r="P53" s="3"/>
      <c r="Q53" s="3"/>
      <c r="R53" s="3"/>
      <c r="S53" s="3"/>
    </row>
    <row x14ac:dyDescent="0.25" r="54" customHeight="1" ht="16.5">
      <c r="A54" s="49" t="s">
        <v>64</v>
      </c>
      <c r="B54" s="67" t="s">
        <v>75</v>
      </c>
      <c r="C54" s="68" t="s">
        <v>76</v>
      </c>
      <c r="D54" s="69" t="s">
        <v>77</v>
      </c>
      <c r="E54" s="70" t="s">
        <v>78</v>
      </c>
      <c r="F54" s="70" t="s">
        <v>79</v>
      </c>
      <c r="G54" s="69" t="s">
        <v>80</v>
      </c>
      <c r="H54" s="70" t="s">
        <v>81</v>
      </c>
      <c r="I54" s="69" t="s">
        <v>82</v>
      </c>
      <c r="J54" s="67" t="s">
        <v>83</v>
      </c>
      <c r="K54" s="67" t="s">
        <v>84</v>
      </c>
      <c r="L54" s="67" t="s">
        <v>85</v>
      </c>
      <c r="M54" s="67" t="s">
        <v>86</v>
      </c>
      <c r="N54" s="80" t="s">
        <v>49</v>
      </c>
      <c r="O54" s="3"/>
      <c r="P54" s="3"/>
      <c r="Q54" s="3"/>
      <c r="R54" s="3"/>
      <c r="S54" s="3"/>
    </row>
    <row x14ac:dyDescent="0.25" r="55" customHeight="1" ht="16.5">
      <c r="A55" s="51" t="s">
        <v>65</v>
      </c>
      <c r="B55" s="52">
        <f>(COUNTIF(B3:B42, "&lt;=59%"))/B45</f>
      </c>
      <c r="C55" s="52">
        <f>(COUNTIF(C3:C42, "&lt;=59%"))/C45</f>
      </c>
      <c r="D55" s="52">
        <f>(COUNTIF(D3:D42, "&lt;=59%"))/D45</f>
      </c>
      <c r="E55" s="52">
        <f>(COUNTIF(E3:E42, "&lt;=59%"))/E45</f>
      </c>
      <c r="F55" s="52">
        <f>(COUNTIF(F3:F42, "&lt;=59%"))/F45</f>
      </c>
      <c r="G55" s="52">
        <f>(COUNTIF(G3:G42, "&lt;=59%"))/G45</f>
      </c>
      <c r="H55" s="52">
        <f>(COUNTIF(H3:H42, "&lt;=59%"))/H45</f>
      </c>
      <c r="I55" s="52">
        <f>(COUNTIF(I3:I42, "&lt;=59%"))/I45</f>
      </c>
      <c r="J55" s="52">
        <f>(COUNTIF(J3:J42, "&lt;=59%"))/J45</f>
      </c>
      <c r="K55" s="52">
        <f>(COUNTIF(K3:K42, "&lt;=59%"))/K45</f>
      </c>
      <c r="L55" s="52">
        <f>(COUNTIF(L3:L42, "&lt;=59%"))/L45</f>
      </c>
      <c r="M55" s="52">
        <f>(COUNTIF(M3:M42, "&lt;=59%"))/M45</f>
      </c>
      <c r="N55" s="53">
        <f>AVERAGEIF(B55:F55, "&lt;&gt;#DIV/0!")</f>
      </c>
      <c r="O55" s="3"/>
      <c r="P55" s="3"/>
      <c r="Q55" s="3"/>
      <c r="R55" s="3"/>
      <c r="S55" s="3"/>
    </row>
    <row x14ac:dyDescent="0.25" r="56" customHeight="1" ht="16.5">
      <c r="A56" s="54" t="s">
        <v>66</v>
      </c>
      <c r="B56" s="52">
        <f>(COUNTIFS(B3:B42, "&gt;= 60%", B3:B42, "&lt;=69%" ))/B45</f>
      </c>
      <c r="C56" s="52">
        <f>(COUNTIFS(C3:C42, "&gt;= 60%", C3:C42, "&lt;=69%" ))/C45</f>
      </c>
      <c r="D56" s="52">
        <f>(COUNTIFS(D3:D42, "&gt;= 60%", D3:D42, "&lt;=69%" ))/D45</f>
      </c>
      <c r="E56" s="52">
        <f>(COUNTIFS(E3:E42, "&gt;= 60%", E3:E42, "&lt;=69%" ))/E45</f>
      </c>
      <c r="F56" s="52">
        <f>(COUNTIFS(F3:F42, "&gt;= 60%", F3:F42, "&lt;=69%" ))/F45</f>
      </c>
      <c r="G56" s="52">
        <f>(COUNTIFS(G3:G42, "&gt;= 60%", G3:G42, "&lt;=69%" ))/G45</f>
      </c>
      <c r="H56" s="52">
        <f>(COUNTIFS(H3:H42, "&gt;= 60%", H3:H42, "&lt;=69%" ))/H45</f>
      </c>
      <c r="I56" s="52">
        <f>(COUNTIFS(I3:I42, "&gt;= 60%", I3:I42, "&lt;=69%" ))/I45</f>
      </c>
      <c r="J56" s="52">
        <f>(COUNTIFS(J3:J42, "&gt;= 60%", J3:J42, "&lt;=69%" ))/J45</f>
      </c>
      <c r="K56" s="52">
        <f>(COUNTIFS(K3:K42, "&gt;= 60%", K3:K42, "&lt;=69%" ))/K45</f>
      </c>
      <c r="L56" s="52">
        <f>(COUNTIFS(L3:L42, "&gt;= 60%", L3:L42, "&lt;=69%" ))/L45</f>
      </c>
      <c r="M56" s="52">
        <f>(COUNTIFS(M3:M42, "&gt;= 60%", M3:M42, "&lt;=69%" ))/M45</f>
      </c>
      <c r="N56" s="53">
        <f>AVERAGEIF(B56:F56, "&lt;&gt;#DIV/0!")</f>
      </c>
      <c r="O56" s="3"/>
      <c r="P56" s="3"/>
      <c r="Q56" s="3"/>
      <c r="R56" s="3"/>
      <c r="S56" s="3"/>
    </row>
    <row x14ac:dyDescent="0.25" r="57" customHeight="1" ht="16.5">
      <c r="A57" s="55" t="s">
        <v>67</v>
      </c>
      <c r="B57" s="52">
        <f>(COUNTIFS(B3:B42, "&gt;= 70%", B3:B42, "&lt;=79%" ))/B45</f>
      </c>
      <c r="C57" s="52">
        <f>(COUNTIFS(C3:C42, "&gt;= 70%", C3:C42, "&lt;=79%" ))/C45</f>
      </c>
      <c r="D57" s="52">
        <f>(COUNTIFS(D3:D42, "&gt;= 70%", D3:D42, "&lt;=79%" ))/D45</f>
      </c>
      <c r="E57" s="52">
        <f>(COUNTIFS(E3:E42, "&gt;= 70%", E3:E42, "&lt;=79%" ))/E45</f>
      </c>
      <c r="F57" s="52">
        <f>(COUNTIFS(F3:F42, "&gt;= 70%", F3:F42, "&lt;=79%" ))/F45</f>
      </c>
      <c r="G57" s="52">
        <f>(COUNTIFS(G3:G42, "&gt;= 70%", G3:G42, "&lt;=79%" ))/G45</f>
      </c>
      <c r="H57" s="52">
        <f>(COUNTIFS(H3:H42, "&gt;= 70%", H3:H42, "&lt;=79%" ))/H45</f>
      </c>
      <c r="I57" s="52">
        <f>(COUNTIFS(I3:I42, "&gt;= 70%", I3:I42, "&lt;=79%" ))/I45</f>
      </c>
      <c r="J57" s="52">
        <f>(COUNTIFS(J3:J42, "&gt;= 70%", J3:J42, "&lt;=79%" ))/J45</f>
      </c>
      <c r="K57" s="52">
        <f>(COUNTIFS(K3:K42, "&gt;= 70%", K3:K42, "&lt;=79%" ))/K45</f>
      </c>
      <c r="L57" s="52">
        <f>(COUNTIFS(L3:L42, "&gt;= 70%", L3:L42, "&lt;=79%" ))/L45</f>
      </c>
      <c r="M57" s="52">
        <f>(COUNTIFS(M3:M42, "&gt;= 70%", M3:M42, "&lt;=79%" ))/M45</f>
      </c>
      <c r="N57" s="53">
        <f>AVERAGEIF(B57:F57, "&lt;&gt;#DIV/0!")</f>
      </c>
      <c r="O57" s="3"/>
      <c r="P57" s="3"/>
      <c r="Q57" s="3"/>
      <c r="R57" s="3"/>
      <c r="S57" s="3"/>
    </row>
    <row x14ac:dyDescent="0.25" r="58" customHeight="1" ht="16.5">
      <c r="A58" s="56" t="s">
        <v>68</v>
      </c>
      <c r="B58" s="52">
        <f>(COUNTIF(B3:B42,"&gt;= 80%")/B45)</f>
      </c>
      <c r="C58" s="52">
        <f>(COUNTIF(C3:C42,"&gt;= 80%")/C45)</f>
      </c>
      <c r="D58" s="52">
        <f>(COUNTIF(D3:D42,"&gt;= 80%")/D45)</f>
      </c>
      <c r="E58" s="52">
        <f>(COUNTIF(E3:E42,"&gt;= 80%")/E45)</f>
      </c>
      <c r="F58" s="52">
        <f>(COUNTIF(F3:F42,"&gt;= 80%")/F45)</f>
      </c>
      <c r="G58" s="52">
        <f>(COUNTIF(G3:G42,"&gt;= 80%")/G45)</f>
      </c>
      <c r="H58" s="52">
        <f>(COUNTIF(H3:H42,"&gt;= 80%")/H45)</f>
      </c>
      <c r="I58" s="52">
        <f>(COUNTIF(I3:I42,"&gt;= 80%")/I45)</f>
      </c>
      <c r="J58" s="52">
        <f>(COUNTIF(J3:J42,"&gt;= 80%")/J45)</f>
      </c>
      <c r="K58" s="52">
        <f>(COUNTIF(K3:K42,"&gt;= 80%")/K45)</f>
      </c>
      <c r="L58" s="52">
        <f>(COUNTIF(L3:L42,"&gt;= 80%")/L45)</f>
      </c>
      <c r="M58" s="52">
        <f>(COUNTIF(M3:M42,"&gt;= 80%")/M45)</f>
      </c>
      <c r="N58" s="53">
        <f>AVERAGEIF(B58:F58, "&lt;&gt;#DIV/0!")</f>
      </c>
      <c r="O58" s="3"/>
      <c r="P58" s="3"/>
      <c r="Q58" s="3"/>
      <c r="R58" s="3"/>
      <c r="S58" s="3"/>
    </row>
    <row x14ac:dyDescent="0.25" r="59" customHeight="1" ht="15.75">
      <c r="A59" s="57"/>
      <c r="B59" s="58">
        <f>SUMIF(B55:B58, "&lt;&gt;#DIV/0!")</f>
      </c>
      <c r="C59" s="59">
        <f>SUMIF(C55:C58, "&lt;&gt;#DIV/0!")</f>
      </c>
      <c r="D59" s="59">
        <f>SUMIF(D55:D58, "&lt;&gt;#DIV/0!")</f>
      </c>
      <c r="E59" s="59">
        <f>SUMIF(E55:E58, "&lt;&gt;#DIV/0!")</f>
      </c>
      <c r="F59" s="59">
        <f>SUMIF(F55:F58, "&lt;&gt;#DIV/0!")</f>
      </c>
      <c r="G59" s="59">
        <f>SUMIF(G55:G58, "&lt;&gt;#DIV/0!")</f>
      </c>
      <c r="H59" s="59">
        <f>SUMIF(H55:H58, "&lt;&gt;#DIV/0!")</f>
      </c>
      <c r="I59" s="59">
        <f>SUMIF(I55:I58, "&lt;&gt;#DIV/0!")</f>
      </c>
      <c r="J59" s="59">
        <f>SUMIF(J55:J58, "&lt;&gt;#DIV/0!")</f>
      </c>
      <c r="K59" s="59">
        <f>SUMIF(K55:K58, "&lt;&gt;#DIV/0!")</f>
      </c>
      <c r="L59" s="59">
        <f>SUMIF(L55:L58, "&lt;&gt;#DIV/0!")</f>
      </c>
      <c r="M59" s="59">
        <f>SUMIF(M55:M58, "&lt;&gt;#DIV/0!")</f>
      </c>
      <c r="N59" s="53">
        <f>AVERAGEIF(B59:F59, "&lt;&gt;#DIV/0!")</f>
      </c>
      <c r="O59" s="3"/>
      <c r="P59" s="3"/>
      <c r="Q59" s="3"/>
      <c r="R59" s="3"/>
      <c r="S59" s="3"/>
    </row>
    <row x14ac:dyDescent="0.25" r="60" customHeight="1" ht="15.75">
      <c r="A60" s="20"/>
      <c r="B60" s="77"/>
      <c r="C60" s="3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x14ac:dyDescent="0.25" r="61" customHeight="1" ht="15.75">
      <c r="A61" s="60"/>
      <c r="B61" s="81" t="s">
        <v>69</v>
      </c>
      <c r="C61" s="62" t="s">
        <v>70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x14ac:dyDescent="0.25" r="62" customHeight="1" ht="16.5">
      <c r="A62" s="63" t="s">
        <v>68</v>
      </c>
      <c r="B62" s="81" t="s">
        <v>71</v>
      </c>
      <c r="C62" s="62">
        <v>100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x14ac:dyDescent="0.25" r="63" customHeight="1" ht="16.5">
      <c r="A63" s="63" t="s">
        <v>67</v>
      </c>
      <c r="B63" s="81" t="s">
        <v>72</v>
      </c>
      <c r="C63" s="62">
        <v>79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x14ac:dyDescent="0.25" r="64" customHeight="1" ht="16.5">
      <c r="A64" s="63" t="s">
        <v>66</v>
      </c>
      <c r="B64" s="81" t="s">
        <v>73</v>
      </c>
      <c r="C64" s="62">
        <v>69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x14ac:dyDescent="0.25" r="65" customHeight="1" ht="16.5">
      <c r="A65" s="63" t="s">
        <v>65</v>
      </c>
      <c r="B65" s="81" t="s">
        <v>74</v>
      </c>
      <c r="C65" s="62">
        <v>59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</sheetData>
  <mergeCells count="1">
    <mergeCell ref="N3:N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5"/>
  <sheetViews>
    <sheetView workbookViewId="0"/>
  </sheetViews>
  <sheetFormatPr defaultRowHeight="15" x14ac:dyDescent="0.25"/>
  <cols>
    <col min="1" max="1" style="64" width="44.86214285714286" customWidth="1" bestFit="1"/>
    <col min="2" max="2" style="65" width="18.862142857142857" customWidth="1" bestFit="1"/>
    <col min="3" max="3" style="66" width="14.576428571428572" customWidth="1" bestFit="1"/>
    <col min="4" max="4" style="64" width="15.862142857142858" customWidth="1" bestFit="1"/>
    <col min="5" max="5" style="64" width="17.719285714285714" customWidth="1" bestFit="1"/>
    <col min="6" max="6" style="64" width="15.005" customWidth="1" bestFit="1"/>
    <col min="7" max="7" style="64" width="15.005" customWidth="1" bestFit="1"/>
    <col min="8" max="8" style="64" width="17.719285714285714" customWidth="1" bestFit="1"/>
    <col min="9" max="9" style="15" width="15.005" customWidth="1" bestFit="1"/>
    <col min="10" max="10" style="15" width="9.290714285714287" customWidth="1" bestFit="1"/>
    <col min="11" max="11" style="15" width="14.147857142857141" customWidth="1" bestFit="1"/>
    <col min="12" max="12" style="15" width="14.147857142857141" customWidth="1" bestFit="1"/>
  </cols>
  <sheetData>
    <row x14ac:dyDescent="0.25" r="1" customHeight="1" ht="19.5">
      <c r="A1" s="16" t="s">
        <v>38</v>
      </c>
      <c r="B1" s="17" t="s">
        <v>39</v>
      </c>
      <c r="C1" s="18" t="s">
        <v>40</v>
      </c>
      <c r="D1" s="17" t="s">
        <v>41</v>
      </c>
      <c r="E1" s="19">
        <f>COUNTA(B1:D1)</f>
      </c>
      <c r="F1" s="20"/>
      <c r="G1" s="20"/>
      <c r="H1" s="20"/>
      <c r="I1" s="3"/>
      <c r="J1" s="3"/>
      <c r="K1" s="3"/>
      <c r="L1" s="3"/>
    </row>
    <row x14ac:dyDescent="0.25" r="2" customHeight="1" ht="30">
      <c r="A2" s="21" t="s">
        <v>42</v>
      </c>
      <c r="B2" s="16"/>
      <c r="C2" s="22"/>
      <c r="D2" s="16"/>
      <c r="E2" s="19">
        <f>COUNTIF(B2:D2, "&lt;&gt;")</f>
      </c>
      <c r="F2" s="20"/>
      <c r="G2" s="20"/>
      <c r="H2" s="20"/>
      <c r="I2" s="3"/>
      <c r="J2" s="3"/>
      <c r="K2" s="3"/>
      <c r="L2" s="3"/>
    </row>
    <row x14ac:dyDescent="0.25" r="3" customHeight="1" ht="19.5">
      <c r="A3" s="23">
        <v>1</v>
      </c>
      <c r="B3" s="24"/>
      <c r="C3" s="24"/>
      <c r="D3" s="24"/>
      <c r="E3" s="25"/>
      <c r="F3" s="20"/>
      <c r="G3" s="20"/>
      <c r="H3" s="20"/>
      <c r="I3" s="3"/>
      <c r="J3" s="3"/>
      <c r="K3" s="3"/>
      <c r="L3" s="3"/>
    </row>
    <row x14ac:dyDescent="0.25" r="4" customHeight="1" ht="19.5">
      <c r="A4" s="23">
        <v>2</v>
      </c>
      <c r="B4" s="24"/>
      <c r="C4" s="24"/>
      <c r="D4" s="24"/>
      <c r="E4" s="26"/>
      <c r="F4" s="20"/>
      <c r="G4" s="20"/>
      <c r="H4" s="20"/>
      <c r="I4" s="3"/>
      <c r="J4" s="3"/>
      <c r="K4" s="3"/>
      <c r="L4" s="3"/>
    </row>
    <row x14ac:dyDescent="0.25" r="5" customHeight="1" ht="19.5">
      <c r="A5" s="23">
        <v>3</v>
      </c>
      <c r="B5" s="24"/>
      <c r="C5" s="24"/>
      <c r="D5" s="24"/>
      <c r="E5" s="26"/>
      <c r="F5" s="20"/>
      <c r="G5" s="20"/>
      <c r="H5" s="20"/>
      <c r="I5" s="3"/>
      <c r="J5" s="3"/>
      <c r="K5" s="3"/>
      <c r="L5" s="3"/>
    </row>
    <row x14ac:dyDescent="0.25" r="6" customHeight="1" ht="19.5">
      <c r="A6" s="23">
        <v>4</v>
      </c>
      <c r="B6" s="24"/>
      <c r="C6" s="24"/>
      <c r="D6" s="24"/>
      <c r="E6" s="26"/>
      <c r="F6" s="20"/>
      <c r="G6" s="20"/>
      <c r="H6" s="20"/>
      <c r="I6" s="3"/>
      <c r="J6" s="3"/>
      <c r="K6" s="3"/>
      <c r="L6" s="27" t="s">
        <v>22</v>
      </c>
    </row>
    <row x14ac:dyDescent="0.25" r="7" customHeight="1" ht="19.5">
      <c r="A7" s="23">
        <v>5</v>
      </c>
      <c r="B7" s="24"/>
      <c r="C7" s="24"/>
      <c r="D7" s="24"/>
      <c r="E7" s="26"/>
      <c r="F7" s="20"/>
      <c r="G7" s="20"/>
      <c r="H7" s="20"/>
      <c r="I7" s="3"/>
      <c r="J7" s="3"/>
      <c r="K7" s="3"/>
      <c r="L7" s="27" t="s">
        <v>43</v>
      </c>
    </row>
    <row x14ac:dyDescent="0.25" r="8" customHeight="1" ht="19.5">
      <c r="A8" s="23">
        <v>6</v>
      </c>
      <c r="B8" s="24"/>
      <c r="C8" s="24"/>
      <c r="D8" s="24"/>
      <c r="E8" s="26"/>
      <c r="F8" s="20"/>
      <c r="G8" s="20"/>
      <c r="H8" s="20"/>
      <c r="I8" s="3"/>
      <c r="J8" s="3"/>
      <c r="K8" s="3"/>
      <c r="L8" s="27" t="s">
        <v>44</v>
      </c>
    </row>
    <row x14ac:dyDescent="0.25" r="9" customHeight="1" ht="19.5">
      <c r="A9" s="23">
        <v>7</v>
      </c>
      <c r="B9" s="24"/>
      <c r="C9" s="24"/>
      <c r="D9" s="24"/>
      <c r="E9" s="26"/>
      <c r="F9" s="20"/>
      <c r="G9" s="20"/>
      <c r="H9" s="20"/>
      <c r="I9" s="3"/>
      <c r="J9" s="3"/>
      <c r="K9" s="3"/>
      <c r="L9" s="27" t="s">
        <v>45</v>
      </c>
    </row>
    <row x14ac:dyDescent="0.25" r="10" customHeight="1" ht="19.5">
      <c r="A10" s="23">
        <v>8</v>
      </c>
      <c r="B10" s="24"/>
      <c r="C10" s="24"/>
      <c r="D10" s="24"/>
      <c r="E10" s="26"/>
      <c r="F10" s="20"/>
      <c r="G10" s="20"/>
      <c r="H10" s="20"/>
      <c r="I10" s="3"/>
      <c r="J10" s="3"/>
      <c r="K10" s="3"/>
      <c r="L10" s="27" t="s">
        <v>46</v>
      </c>
    </row>
    <row x14ac:dyDescent="0.25" r="11" customHeight="1" ht="19.5">
      <c r="A11" s="23">
        <v>9</v>
      </c>
      <c r="B11" s="24"/>
      <c r="C11" s="24"/>
      <c r="D11" s="24"/>
      <c r="E11" s="26"/>
      <c r="F11" s="20"/>
      <c r="G11" s="20"/>
      <c r="H11" s="20"/>
      <c r="I11" s="3"/>
      <c r="J11" s="3"/>
      <c r="K11" s="3"/>
      <c r="L11" s="27" t="s">
        <v>47</v>
      </c>
    </row>
    <row x14ac:dyDescent="0.25" r="12" customHeight="1" ht="19.5">
      <c r="A12" s="23">
        <v>10</v>
      </c>
      <c r="B12" s="24"/>
      <c r="C12" s="24"/>
      <c r="D12" s="24"/>
      <c r="E12" s="26"/>
      <c r="F12" s="20"/>
      <c r="G12" s="20"/>
      <c r="H12" s="20"/>
      <c r="I12" s="3"/>
      <c r="J12" s="3"/>
      <c r="K12" s="3"/>
      <c r="L12" s="27" t="s">
        <v>48</v>
      </c>
    </row>
    <row x14ac:dyDescent="0.25" r="13" customHeight="1" ht="19.5">
      <c r="A13" s="23">
        <v>11</v>
      </c>
      <c r="B13" s="24"/>
      <c r="C13" s="24"/>
      <c r="D13" s="24"/>
      <c r="E13" s="26"/>
      <c r="F13" s="20"/>
      <c r="G13" s="20"/>
      <c r="H13" s="20"/>
      <c r="I13" s="3"/>
      <c r="J13" s="3"/>
      <c r="K13" s="3"/>
      <c r="L13" s="3"/>
    </row>
    <row x14ac:dyDescent="0.25" r="14" customHeight="1" ht="19.5">
      <c r="A14" s="23">
        <v>12</v>
      </c>
      <c r="B14" s="24"/>
      <c r="C14" s="24"/>
      <c r="D14" s="24"/>
      <c r="E14" s="26"/>
      <c r="F14" s="20"/>
      <c r="G14" s="20"/>
      <c r="H14" s="20"/>
      <c r="I14" s="3"/>
      <c r="J14" s="3"/>
      <c r="K14" s="3"/>
      <c r="L14" s="3"/>
    </row>
    <row x14ac:dyDescent="0.25" r="15" customHeight="1" ht="19.5">
      <c r="A15" s="23">
        <v>13</v>
      </c>
      <c r="B15" s="24"/>
      <c r="C15" s="24"/>
      <c r="D15" s="24"/>
      <c r="E15" s="26"/>
      <c r="F15" s="20"/>
      <c r="G15" s="20"/>
      <c r="H15" s="20"/>
      <c r="I15" s="3"/>
      <c r="J15" s="3"/>
      <c r="K15" s="3"/>
      <c r="L15" s="3"/>
    </row>
    <row x14ac:dyDescent="0.25" r="16" customHeight="1" ht="19.5">
      <c r="A16" s="23">
        <v>14</v>
      </c>
      <c r="B16" s="24"/>
      <c r="C16" s="24"/>
      <c r="D16" s="24"/>
      <c r="E16" s="26"/>
      <c r="F16" s="20"/>
      <c r="G16" s="20"/>
      <c r="H16" s="20"/>
      <c r="I16" s="3"/>
      <c r="J16" s="3"/>
      <c r="K16" s="3"/>
      <c r="L16" s="3"/>
    </row>
    <row x14ac:dyDescent="0.25" r="17" customHeight="1" ht="19.5">
      <c r="A17" s="23">
        <v>15</v>
      </c>
      <c r="B17" s="24"/>
      <c r="C17" s="24"/>
      <c r="D17" s="24"/>
      <c r="E17" s="26"/>
      <c r="F17" s="20"/>
      <c r="G17" s="20"/>
      <c r="H17" s="20"/>
      <c r="I17" s="3"/>
      <c r="J17" s="3"/>
      <c r="K17" s="3"/>
      <c r="L17" s="3"/>
    </row>
    <row x14ac:dyDescent="0.25" r="18" customHeight="1" ht="19.5">
      <c r="A18" s="23">
        <v>16</v>
      </c>
      <c r="B18" s="24"/>
      <c r="C18" s="24"/>
      <c r="D18" s="24"/>
      <c r="E18" s="26"/>
      <c r="F18" s="20"/>
      <c r="G18" s="20"/>
      <c r="H18" s="20"/>
      <c r="I18" s="3"/>
      <c r="J18" s="3"/>
      <c r="K18" s="3"/>
      <c r="L18" s="3"/>
    </row>
    <row x14ac:dyDescent="0.25" r="19" customHeight="1" ht="19.5">
      <c r="A19" s="23">
        <v>17</v>
      </c>
      <c r="B19" s="24"/>
      <c r="C19" s="24"/>
      <c r="D19" s="24"/>
      <c r="E19" s="26"/>
      <c r="F19" s="20"/>
      <c r="G19" s="20"/>
      <c r="H19" s="20"/>
      <c r="I19" s="3"/>
      <c r="J19" s="3"/>
      <c r="K19" s="3"/>
      <c r="L19" s="3"/>
    </row>
    <row x14ac:dyDescent="0.25" r="20" customHeight="1" ht="19.5">
      <c r="A20" s="23">
        <v>18</v>
      </c>
      <c r="B20" s="24"/>
      <c r="C20" s="24"/>
      <c r="D20" s="24"/>
      <c r="E20" s="26"/>
      <c r="F20" s="20"/>
      <c r="G20" s="20"/>
      <c r="H20" s="20"/>
      <c r="I20" s="3"/>
      <c r="J20" s="3"/>
      <c r="K20" s="3"/>
      <c r="L20" s="3"/>
    </row>
    <row x14ac:dyDescent="0.25" r="21" customHeight="1" ht="19.5">
      <c r="A21" s="23">
        <v>19</v>
      </c>
      <c r="B21" s="24"/>
      <c r="C21" s="24"/>
      <c r="D21" s="24"/>
      <c r="E21" s="26"/>
      <c r="F21" s="20"/>
      <c r="G21" s="20"/>
      <c r="H21" s="20"/>
      <c r="I21" s="3"/>
      <c r="J21" s="3"/>
      <c r="K21" s="3"/>
      <c r="L21" s="3"/>
    </row>
    <row x14ac:dyDescent="0.25" r="22" customHeight="1" ht="19.5">
      <c r="A22" s="23">
        <v>20</v>
      </c>
      <c r="B22" s="24"/>
      <c r="C22" s="24"/>
      <c r="D22" s="24"/>
      <c r="E22" s="26"/>
      <c r="F22" s="20"/>
      <c r="G22" s="20"/>
      <c r="H22" s="20"/>
      <c r="I22" s="3"/>
      <c r="J22" s="3"/>
      <c r="K22" s="3"/>
      <c r="L22" s="3"/>
    </row>
    <row x14ac:dyDescent="0.25" r="23" customHeight="1" ht="19.5">
      <c r="A23" s="23">
        <v>21</v>
      </c>
      <c r="B23" s="24"/>
      <c r="C23" s="24"/>
      <c r="D23" s="24"/>
      <c r="E23" s="26"/>
      <c r="F23" s="20"/>
      <c r="G23" s="20"/>
      <c r="H23" s="20"/>
      <c r="I23" s="3"/>
      <c r="J23" s="3"/>
      <c r="K23" s="3"/>
      <c r="L23" s="3"/>
    </row>
    <row x14ac:dyDescent="0.25" r="24" customHeight="1" ht="19.5">
      <c r="A24" s="23">
        <v>22</v>
      </c>
      <c r="B24" s="24"/>
      <c r="C24" s="24"/>
      <c r="D24" s="24"/>
      <c r="E24" s="26"/>
      <c r="F24" s="20"/>
      <c r="G24" s="20"/>
      <c r="H24" s="20"/>
      <c r="I24" s="3"/>
      <c r="J24" s="3"/>
      <c r="K24" s="3"/>
      <c r="L24" s="3"/>
    </row>
    <row x14ac:dyDescent="0.25" r="25" customHeight="1" ht="19.5">
      <c r="A25" s="23">
        <v>23</v>
      </c>
      <c r="B25" s="24"/>
      <c r="C25" s="24"/>
      <c r="D25" s="24"/>
      <c r="E25" s="26"/>
      <c r="F25" s="20"/>
      <c r="G25" s="20"/>
      <c r="H25" s="20"/>
      <c r="I25" s="3"/>
      <c r="J25" s="3"/>
      <c r="K25" s="3"/>
      <c r="L25" s="3"/>
    </row>
    <row x14ac:dyDescent="0.25" r="26" customHeight="1" ht="19.5">
      <c r="A26" s="23">
        <v>24</v>
      </c>
      <c r="B26" s="24"/>
      <c r="C26" s="24"/>
      <c r="D26" s="24"/>
      <c r="E26" s="26"/>
      <c r="F26" s="20"/>
      <c r="G26" s="20"/>
      <c r="H26" s="20"/>
      <c r="I26" s="3"/>
      <c r="J26" s="3"/>
      <c r="K26" s="3"/>
      <c r="L26" s="3"/>
    </row>
    <row x14ac:dyDescent="0.25" r="27" customHeight="1" ht="19.5">
      <c r="A27" s="23">
        <v>25</v>
      </c>
      <c r="B27" s="24"/>
      <c r="C27" s="24"/>
      <c r="D27" s="24"/>
      <c r="E27" s="26"/>
      <c r="F27" s="20"/>
      <c r="G27" s="20"/>
      <c r="H27" s="20"/>
      <c r="I27" s="3"/>
      <c r="J27" s="3"/>
      <c r="K27" s="3"/>
      <c r="L27" s="3"/>
    </row>
    <row x14ac:dyDescent="0.25" r="28" customHeight="1" ht="19.5">
      <c r="A28" s="23">
        <v>26</v>
      </c>
      <c r="B28" s="28"/>
      <c r="C28" s="28"/>
      <c r="D28" s="28"/>
      <c r="E28" s="26"/>
      <c r="F28" s="20"/>
      <c r="G28" s="20"/>
      <c r="H28" s="20"/>
      <c r="I28" s="3"/>
      <c r="J28" s="3"/>
      <c r="K28" s="3"/>
      <c r="L28" s="3"/>
    </row>
    <row x14ac:dyDescent="0.25" r="29" customHeight="1" ht="19.5">
      <c r="A29" s="23">
        <v>27</v>
      </c>
      <c r="B29" s="28"/>
      <c r="C29" s="28"/>
      <c r="D29" s="28"/>
      <c r="E29" s="26"/>
      <c r="F29" s="20"/>
      <c r="G29" s="20"/>
      <c r="H29" s="20"/>
      <c r="I29" s="3"/>
      <c r="J29" s="3"/>
      <c r="K29" s="3"/>
      <c r="L29" s="3"/>
    </row>
    <row x14ac:dyDescent="0.25" r="30" customHeight="1" ht="19.5">
      <c r="A30" s="23">
        <v>28</v>
      </c>
      <c r="B30" s="28"/>
      <c r="C30" s="28"/>
      <c r="D30" s="28"/>
      <c r="E30" s="26"/>
      <c r="F30" s="20"/>
      <c r="G30" s="20"/>
      <c r="H30" s="20"/>
      <c r="I30" s="3"/>
      <c r="J30" s="3"/>
      <c r="K30" s="3"/>
      <c r="L30" s="3"/>
    </row>
    <row x14ac:dyDescent="0.25" r="31" customHeight="1" ht="19.5">
      <c r="A31" s="23">
        <v>29</v>
      </c>
      <c r="B31" s="28"/>
      <c r="C31" s="28"/>
      <c r="D31" s="28"/>
      <c r="E31" s="26"/>
      <c r="F31" s="20"/>
      <c r="G31" s="20"/>
      <c r="H31" s="20"/>
      <c r="I31" s="3"/>
      <c r="J31" s="3"/>
      <c r="K31" s="3"/>
      <c r="L31" s="3"/>
    </row>
    <row x14ac:dyDescent="0.25" r="32" customHeight="1" ht="19.5">
      <c r="A32" s="23">
        <v>30</v>
      </c>
      <c r="B32" s="28"/>
      <c r="C32" s="28"/>
      <c r="D32" s="28"/>
      <c r="E32" s="26"/>
      <c r="F32" s="20"/>
      <c r="G32" s="20"/>
      <c r="H32" s="20"/>
      <c r="I32" s="3"/>
      <c r="J32" s="3"/>
      <c r="K32" s="3"/>
      <c r="L32" s="3"/>
    </row>
    <row x14ac:dyDescent="0.25" r="33" customHeight="1" ht="19.5">
      <c r="A33" s="23">
        <v>31</v>
      </c>
      <c r="B33" s="28"/>
      <c r="C33" s="28"/>
      <c r="D33" s="28"/>
      <c r="E33" s="26"/>
      <c r="F33" s="20"/>
      <c r="G33" s="20"/>
      <c r="H33" s="20"/>
      <c r="I33" s="3"/>
      <c r="J33" s="3"/>
      <c r="K33" s="3"/>
      <c r="L33" s="3"/>
    </row>
    <row x14ac:dyDescent="0.25" r="34" customHeight="1" ht="19.5">
      <c r="A34" s="23">
        <v>32</v>
      </c>
      <c r="B34" s="28"/>
      <c r="C34" s="28"/>
      <c r="D34" s="28"/>
      <c r="E34" s="26"/>
      <c r="F34" s="20"/>
      <c r="G34" s="20"/>
      <c r="H34" s="20"/>
      <c r="I34" s="3"/>
      <c r="J34" s="3"/>
      <c r="K34" s="3"/>
      <c r="L34" s="3"/>
    </row>
    <row x14ac:dyDescent="0.25" r="35" customHeight="1" ht="19.5">
      <c r="A35" s="23">
        <v>33</v>
      </c>
      <c r="B35" s="28"/>
      <c r="C35" s="28"/>
      <c r="D35" s="28"/>
      <c r="E35" s="26"/>
      <c r="F35" s="20"/>
      <c r="G35" s="20"/>
      <c r="H35" s="20"/>
      <c r="I35" s="3"/>
      <c r="J35" s="3"/>
      <c r="K35" s="3"/>
      <c r="L35" s="3"/>
    </row>
    <row x14ac:dyDescent="0.25" r="36" customHeight="1" ht="19.5">
      <c r="A36" s="23">
        <v>34</v>
      </c>
      <c r="B36" s="28"/>
      <c r="C36" s="28"/>
      <c r="D36" s="28"/>
      <c r="E36" s="26"/>
      <c r="F36" s="20"/>
      <c r="G36" s="20"/>
      <c r="H36" s="20"/>
      <c r="I36" s="3"/>
      <c r="J36" s="3"/>
      <c r="K36" s="3"/>
      <c r="L36" s="3"/>
    </row>
    <row x14ac:dyDescent="0.25" r="37" customHeight="1" ht="19.5">
      <c r="A37" s="23">
        <v>35</v>
      </c>
      <c r="B37" s="28"/>
      <c r="C37" s="28"/>
      <c r="D37" s="28"/>
      <c r="E37" s="26"/>
      <c r="F37" s="20"/>
      <c r="G37" s="20"/>
      <c r="H37" s="20"/>
      <c r="I37" s="3"/>
      <c r="J37" s="3"/>
      <c r="K37" s="3"/>
      <c r="L37" s="3"/>
    </row>
    <row x14ac:dyDescent="0.25" r="38" customHeight="1" ht="19.5">
      <c r="A38" s="23">
        <v>36</v>
      </c>
      <c r="B38" s="28"/>
      <c r="C38" s="28"/>
      <c r="D38" s="28"/>
      <c r="E38" s="26"/>
      <c r="F38" s="20"/>
      <c r="G38" s="20"/>
      <c r="H38" s="20"/>
      <c r="I38" s="3"/>
      <c r="J38" s="3"/>
      <c r="K38" s="3"/>
      <c r="L38" s="3"/>
    </row>
    <row x14ac:dyDescent="0.25" r="39" customHeight="1" ht="19.5">
      <c r="A39" s="23">
        <v>37</v>
      </c>
      <c r="B39" s="28"/>
      <c r="C39" s="28"/>
      <c r="D39" s="28"/>
      <c r="E39" s="26"/>
      <c r="F39" s="20"/>
      <c r="G39" s="20"/>
      <c r="H39" s="20"/>
      <c r="I39" s="3"/>
      <c r="J39" s="3"/>
      <c r="K39" s="3"/>
      <c r="L39" s="3"/>
    </row>
    <row x14ac:dyDescent="0.25" r="40" customHeight="1" ht="19.5">
      <c r="A40" s="23">
        <v>38</v>
      </c>
      <c r="B40" s="28"/>
      <c r="C40" s="28"/>
      <c r="D40" s="28"/>
      <c r="E40" s="26"/>
      <c r="F40" s="20"/>
      <c r="G40" s="20"/>
      <c r="H40" s="20"/>
      <c r="I40" s="3"/>
      <c r="J40" s="3"/>
      <c r="K40" s="3"/>
      <c r="L40" s="3"/>
    </row>
    <row x14ac:dyDescent="0.25" r="41" customHeight="1" ht="19.5">
      <c r="A41" s="23">
        <v>39</v>
      </c>
      <c r="B41" s="28"/>
      <c r="C41" s="28"/>
      <c r="D41" s="28"/>
      <c r="E41" s="26"/>
      <c r="F41" s="20"/>
      <c r="G41" s="20"/>
      <c r="H41" s="20"/>
      <c r="I41" s="3"/>
      <c r="J41" s="3"/>
      <c r="K41" s="3"/>
      <c r="L41" s="3"/>
    </row>
    <row x14ac:dyDescent="0.25" r="42" customHeight="1" ht="15.75">
      <c r="A42" s="23">
        <v>40</v>
      </c>
      <c r="B42" s="28"/>
      <c r="C42" s="28"/>
      <c r="D42" s="28"/>
      <c r="E42" s="29"/>
      <c r="F42" s="20"/>
      <c r="G42" s="20"/>
      <c r="H42" s="20"/>
      <c r="I42" s="3"/>
      <c r="J42" s="3"/>
      <c r="K42" s="3"/>
      <c r="L42" s="3"/>
    </row>
    <row x14ac:dyDescent="0.25" r="43" customHeight="1" ht="15.75">
      <c r="A43" s="30" t="s">
        <v>49</v>
      </c>
      <c r="B43" s="31">
        <f>AVERAGE(B3:B42)</f>
      </c>
      <c r="C43" s="31">
        <f>AVERAGE(C3:C42)</f>
      </c>
      <c r="D43" s="31">
        <f>AVERAGE(D3:D42)</f>
      </c>
      <c r="E43" s="32"/>
      <c r="F43" s="20"/>
      <c r="G43" s="20"/>
      <c r="H43" s="20"/>
      <c r="I43" s="3"/>
      <c r="J43" s="3"/>
      <c r="K43" s="3"/>
      <c r="L43" s="3"/>
    </row>
    <row x14ac:dyDescent="0.25" r="44" customHeight="1" ht="19.5">
      <c r="A44" s="33" t="s">
        <v>50</v>
      </c>
      <c r="B44" s="24">
        <f>AVERAGEIF(B43:D43, "&lt;&gt;#DIV/0!")</f>
      </c>
      <c r="C44" s="24"/>
      <c r="D44" s="24"/>
      <c r="E44" s="34"/>
      <c r="F44" s="20"/>
      <c r="G44" s="20"/>
      <c r="H44" s="20"/>
      <c r="I44" s="3"/>
      <c r="J44" s="3"/>
      <c r="K44" s="3"/>
      <c r="L44" s="3"/>
    </row>
    <row x14ac:dyDescent="0.25" r="45" customHeight="1" ht="19.5">
      <c r="A45" s="33" t="s">
        <v>51</v>
      </c>
      <c r="B45" s="34">
        <f>COUNTIF(B3:B42, "&lt;&gt;")</f>
      </c>
      <c r="C45" s="34">
        <f>COUNTIF(C3:C42, "&lt;&gt;")</f>
      </c>
      <c r="D45" s="34">
        <f>COUNTIF(D3:D42, "&lt;&gt;")</f>
      </c>
      <c r="E45" s="34"/>
      <c r="F45" s="20"/>
      <c r="G45" s="20"/>
      <c r="H45" s="20"/>
      <c r="I45" s="3"/>
      <c r="J45" s="3"/>
      <c r="K45" s="3"/>
      <c r="L45" s="3"/>
    </row>
    <row x14ac:dyDescent="0.25" r="46" customHeight="1" ht="19.5">
      <c r="A46" s="20"/>
      <c r="B46" s="35"/>
      <c r="C46" s="36"/>
      <c r="D46" s="20"/>
      <c r="E46" s="20"/>
      <c r="F46" s="20"/>
      <c r="G46" s="20"/>
      <c r="H46" s="20"/>
      <c r="I46" s="3"/>
      <c r="J46" s="3"/>
      <c r="K46" s="3"/>
      <c r="L46" s="3"/>
    </row>
    <row x14ac:dyDescent="0.25" r="47" customHeight="1" ht="19.5">
      <c r="A47" s="16"/>
      <c r="B47" s="37" t="s">
        <v>52</v>
      </c>
      <c r="C47" s="38" t="s">
        <v>53</v>
      </c>
      <c r="D47" s="37" t="s">
        <v>54</v>
      </c>
      <c r="E47" s="37" t="s">
        <v>55</v>
      </c>
      <c r="F47" s="37" t="s">
        <v>56</v>
      </c>
      <c r="G47" s="37" t="s">
        <v>57</v>
      </c>
      <c r="H47" s="37" t="s">
        <v>58</v>
      </c>
      <c r="I47" s="39" t="s">
        <v>59</v>
      </c>
      <c r="J47" s="3"/>
      <c r="K47" s="3"/>
      <c r="L47" s="3"/>
    </row>
    <row x14ac:dyDescent="0.25" r="48" customHeight="1" ht="19.5">
      <c r="A48" s="40" t="s">
        <v>60</v>
      </c>
      <c r="B48" s="23">
        <f>COUNTIF($C$2, "A")</f>
      </c>
      <c r="C48" s="41">
        <f>COUNTIF($C$2, "Q")</f>
      </c>
      <c r="D48" s="23">
        <f>COUNTIF($C$2, "M")</f>
      </c>
      <c r="E48" s="23">
        <f>COUNTIF($C$2, "F")</f>
      </c>
      <c r="F48" s="23">
        <f>COUNTIF($C$2, "P")</f>
      </c>
      <c r="G48" s="23">
        <f>COUNTIF($C$2, "L")</f>
      </c>
      <c r="H48" s="23">
        <f>COUNTIF($C$2, "OT")</f>
      </c>
      <c r="I48" s="42">
        <f>SUM(B48:H48)</f>
      </c>
      <c r="J48" s="3"/>
      <c r="K48" s="3"/>
      <c r="L48" s="3"/>
    </row>
    <row x14ac:dyDescent="0.25" r="49" customHeight="1" ht="19.5">
      <c r="A49" s="43" t="s">
        <v>61</v>
      </c>
      <c r="B49" s="23">
        <f>COUNTIF($B$2, "A") + COUNTIF($D$2, "A")</f>
      </c>
      <c r="C49" s="41">
        <f>COUNTIF($B$2, "Q") + COUNTIF($D$2, "Q")</f>
      </c>
      <c r="D49" s="23">
        <f>COUNTIF($B$2, "M") + COUNTIF($D$2, "M")</f>
      </c>
      <c r="E49" s="23">
        <f>COUNTIF($B$2, "F") + COUNTIF($D$2, "F")</f>
      </c>
      <c r="F49" s="23">
        <f>COUNTIF($B$2, "P") + COUNTIF($D$2, "P")</f>
      </c>
      <c r="G49" s="23">
        <f>COUNTIF($B$2, "L") + COUNTIF($D$2, "L")</f>
      </c>
      <c r="H49" s="23">
        <f>COUNTIF($B$2, "OT") + COUNTIF($D$2, "OT")</f>
      </c>
      <c r="I49" s="42">
        <f>SUM(B49:H49)</f>
      </c>
      <c r="J49" s="3"/>
      <c r="K49" s="3"/>
      <c r="L49" s="3"/>
    </row>
    <row x14ac:dyDescent="0.25" r="50" customHeight="1" ht="19.5">
      <c r="A50" s="44" t="s">
        <v>62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42">
        <f>SUM(B50:H50)</f>
      </c>
      <c r="J50" s="3"/>
      <c r="K50" s="3"/>
      <c r="L50" s="3"/>
    </row>
    <row x14ac:dyDescent="0.25" r="51" customHeight="1" ht="19.5">
      <c r="A51" s="37" t="s">
        <v>59</v>
      </c>
      <c r="B51" s="16">
        <f>SUM(B48:B50)</f>
      </c>
      <c r="C51" s="22">
        <f>SUM(C48:C50)</f>
      </c>
      <c r="D51" s="16">
        <f>SUM(D48:D50)</f>
      </c>
      <c r="E51" s="16">
        <f>SUM(E48:E50)</f>
      </c>
      <c r="F51" s="16">
        <f>SUM(F48:F50)</f>
      </c>
      <c r="G51" s="16">
        <f>SUM(G48:G50)</f>
      </c>
      <c r="H51" s="16">
        <f>SUM(H48:H50)</f>
      </c>
      <c r="I51" s="45">
        <f>SUM(I48:I50)</f>
      </c>
      <c r="J51" s="3"/>
      <c r="K51" s="3"/>
      <c r="L51" s="3"/>
    </row>
    <row x14ac:dyDescent="0.25" r="52" customHeight="1" ht="19.5">
      <c r="A52" s="20"/>
      <c r="B52" s="35"/>
      <c r="C52" s="36"/>
      <c r="D52" s="20"/>
      <c r="E52" s="20"/>
      <c r="F52" s="20"/>
      <c r="G52" s="20"/>
      <c r="H52" s="20"/>
      <c r="I52" s="3"/>
      <c r="J52" s="3"/>
      <c r="K52" s="3"/>
      <c r="L52" s="3"/>
    </row>
    <row x14ac:dyDescent="0.25" r="53" customHeight="1" ht="18.75">
      <c r="A53" s="46" t="s">
        <v>63</v>
      </c>
      <c r="B53" s="35"/>
      <c r="C53" s="47"/>
      <c r="D53" s="47"/>
      <c r="E53" s="47"/>
      <c r="F53" s="47"/>
      <c r="G53" s="47"/>
      <c r="H53" s="48"/>
      <c r="I53" s="48"/>
      <c r="J53" s="3"/>
      <c r="K53" s="3"/>
      <c r="L53" s="3"/>
    </row>
    <row x14ac:dyDescent="0.25" r="54" customHeight="1" ht="16.5">
      <c r="A54" s="49" t="s">
        <v>64</v>
      </c>
      <c r="B54" s="17" t="s">
        <v>39</v>
      </c>
      <c r="C54" s="18" t="s">
        <v>40</v>
      </c>
      <c r="D54" s="17" t="s">
        <v>41</v>
      </c>
      <c r="E54" s="50" t="s">
        <v>49</v>
      </c>
      <c r="F54" s="20"/>
      <c r="G54" s="20"/>
      <c r="H54" s="20"/>
      <c r="I54" s="3"/>
      <c r="J54" s="3"/>
      <c r="K54" s="3"/>
      <c r="L54" s="3"/>
    </row>
    <row x14ac:dyDescent="0.25" r="55" customHeight="1" ht="16.5">
      <c r="A55" s="51" t="s">
        <v>65</v>
      </c>
      <c r="B55" s="52">
        <f>(COUNTIF(B3:B42, "&lt;=59%"))/B45</f>
      </c>
      <c r="C55" s="52">
        <f>(COUNTIF(C3:C42, "&lt;=59%"))/C45</f>
      </c>
      <c r="D55" s="52">
        <f>(COUNTIF(D3:D42, "&lt;=59%"))/D45</f>
      </c>
      <c r="E55" s="53">
        <f>AVERAGEIF(B55:D55, "&lt;&gt;#DIV/0!")</f>
      </c>
      <c r="F55" s="20"/>
      <c r="G55" s="20"/>
      <c r="H55" s="20"/>
      <c r="I55" s="3"/>
      <c r="J55" s="3"/>
      <c r="K55" s="3"/>
      <c r="L55" s="3"/>
    </row>
    <row x14ac:dyDescent="0.25" r="56" customHeight="1" ht="16.5">
      <c r="A56" s="54" t="s">
        <v>66</v>
      </c>
      <c r="B56" s="52">
        <f>(COUNTIFS(B3:B42, "&gt;= 60%", B3:B42, "&lt;=69%" ))/B45</f>
      </c>
      <c r="C56" s="52">
        <f>(COUNTIFS(C3:C42, "&gt;= 60%", C3:C42, "&lt;=69%" ))/C45</f>
      </c>
      <c r="D56" s="52">
        <f>(COUNTIFS(D3:D42, "&gt;= 60%", D3:D42, "&lt;=69%" ))/D45</f>
      </c>
      <c r="E56" s="53">
        <f>AVERAGEIF(B56:D56, "&lt;&gt;#DIV/0!")</f>
      </c>
      <c r="F56" s="20"/>
      <c r="G56" s="20"/>
      <c r="H56" s="20"/>
      <c r="I56" s="3"/>
      <c r="J56" s="3"/>
      <c r="K56" s="3"/>
      <c r="L56" s="3"/>
    </row>
    <row x14ac:dyDescent="0.25" r="57" customHeight="1" ht="16.5">
      <c r="A57" s="55" t="s">
        <v>67</v>
      </c>
      <c r="B57" s="52">
        <f>(COUNTIFS(B3:B42, "&gt;= 70%", B3:B42, "&lt;=79%" ))/B45</f>
      </c>
      <c r="C57" s="52">
        <f>(COUNTIFS(C3:C42, "&gt;= 70%", C3:C42, "&lt;=79%" ))/C45</f>
      </c>
      <c r="D57" s="52">
        <f>(COUNTIFS(D3:D42, "&gt;= 70%", D3:D42, "&lt;=79%" ))/D45</f>
      </c>
      <c r="E57" s="53">
        <f>AVERAGEIF(B57:D57, "&lt;&gt;#DIV/0!")</f>
      </c>
      <c r="F57" s="20"/>
      <c r="G57" s="20"/>
      <c r="H57" s="20"/>
      <c r="I57" s="3"/>
      <c r="J57" s="3"/>
      <c r="K57" s="3"/>
      <c r="L57" s="3"/>
    </row>
    <row x14ac:dyDescent="0.25" r="58" customHeight="1" ht="16.5">
      <c r="A58" s="56" t="s">
        <v>68</v>
      </c>
      <c r="B58" s="52">
        <f>(COUNTIF(B3:B42,"&gt;= 80%")/B45)</f>
      </c>
      <c r="C58" s="52">
        <f>(COUNTIF(C3:C42,"&gt;= 80%")/C45)</f>
      </c>
      <c r="D58" s="52">
        <f>(COUNTIF(D3:D42,"&gt;= 80%")/D45)</f>
      </c>
      <c r="E58" s="53">
        <f>AVERAGEIF(B58:D58, "&lt;&gt;#DIV/0!")</f>
      </c>
      <c r="F58" s="20"/>
      <c r="G58" s="20"/>
      <c r="H58" s="20"/>
      <c r="I58" s="3"/>
      <c r="J58" s="3"/>
      <c r="K58" s="3"/>
      <c r="L58" s="3"/>
    </row>
    <row x14ac:dyDescent="0.25" r="59" customHeight="1" ht="15.75">
      <c r="A59" s="57"/>
      <c r="B59" s="58">
        <f>SUMIF(B55:B58, "&lt;&gt;#DIV/0!")</f>
      </c>
      <c r="C59" s="59">
        <f>SUMIF(C55:C58, "&lt;&gt;#DIV/0!")</f>
      </c>
      <c r="D59" s="59">
        <f>SUMIF(D55:D58, "&lt;&gt;#DIV/0!")</f>
      </c>
      <c r="E59" s="53">
        <f>AVERAGEIF(B59:D59, "&lt;&gt;#DIV/0!")</f>
      </c>
      <c r="F59" s="20"/>
      <c r="G59" s="20"/>
      <c r="H59" s="20"/>
      <c r="I59" s="3"/>
      <c r="J59" s="3"/>
      <c r="K59" s="3"/>
      <c r="L59" s="3"/>
    </row>
    <row x14ac:dyDescent="0.25" r="60" customHeight="1" ht="15.75">
      <c r="A60" s="20"/>
      <c r="B60" s="35"/>
      <c r="C60" s="36"/>
      <c r="D60" s="20"/>
      <c r="E60" s="20"/>
      <c r="F60" s="20"/>
      <c r="G60" s="20"/>
      <c r="H60" s="20"/>
      <c r="I60" s="3"/>
      <c r="J60" s="3"/>
      <c r="K60" s="3"/>
      <c r="L60" s="3"/>
    </row>
    <row x14ac:dyDescent="0.25" r="61" customHeight="1" ht="15.75">
      <c r="A61" s="60"/>
      <c r="B61" s="61" t="s">
        <v>69</v>
      </c>
      <c r="C61" s="62" t="s">
        <v>70</v>
      </c>
      <c r="D61" s="20"/>
      <c r="E61" s="20"/>
      <c r="F61" s="20"/>
      <c r="G61" s="20"/>
      <c r="H61" s="20"/>
      <c r="I61" s="3"/>
      <c r="J61" s="3"/>
      <c r="K61" s="3"/>
      <c r="L61" s="3"/>
    </row>
    <row x14ac:dyDescent="0.25" r="62" customHeight="1" ht="16.5">
      <c r="A62" s="63" t="s">
        <v>68</v>
      </c>
      <c r="B62" s="61" t="s">
        <v>71</v>
      </c>
      <c r="C62" s="62">
        <v>100</v>
      </c>
      <c r="D62" s="20"/>
      <c r="E62" s="20"/>
      <c r="F62" s="20"/>
      <c r="G62" s="20"/>
      <c r="H62" s="20"/>
      <c r="I62" s="3"/>
      <c r="J62" s="3"/>
      <c r="K62" s="3"/>
      <c r="L62" s="3"/>
    </row>
    <row x14ac:dyDescent="0.25" r="63" customHeight="1" ht="16.5">
      <c r="A63" s="63" t="s">
        <v>67</v>
      </c>
      <c r="B63" s="61" t="s">
        <v>72</v>
      </c>
      <c r="C63" s="62">
        <v>79</v>
      </c>
      <c r="D63" s="20"/>
      <c r="E63" s="20"/>
      <c r="F63" s="20"/>
      <c r="G63" s="20"/>
      <c r="H63" s="20"/>
      <c r="I63" s="3"/>
      <c r="J63" s="3"/>
      <c r="K63" s="3"/>
      <c r="L63" s="3"/>
    </row>
    <row x14ac:dyDescent="0.25" r="64" customHeight="1" ht="16.5">
      <c r="A64" s="63" t="s">
        <v>66</v>
      </c>
      <c r="B64" s="61" t="s">
        <v>73</v>
      </c>
      <c r="C64" s="62">
        <v>69</v>
      </c>
      <c r="D64" s="20"/>
      <c r="E64" s="20"/>
      <c r="F64" s="20"/>
      <c r="G64" s="20"/>
      <c r="H64" s="20"/>
      <c r="I64" s="3"/>
      <c r="J64" s="3"/>
      <c r="K64" s="3"/>
      <c r="L64" s="3"/>
    </row>
    <row x14ac:dyDescent="0.25" r="65" customHeight="1" ht="16.5">
      <c r="A65" s="63" t="s">
        <v>65</v>
      </c>
      <c r="B65" s="61" t="s">
        <v>74</v>
      </c>
      <c r="C65" s="62">
        <v>59</v>
      </c>
      <c r="D65" s="20"/>
      <c r="E65" s="20"/>
      <c r="F65" s="20"/>
      <c r="G65" s="20"/>
      <c r="H65" s="20"/>
      <c r="I65" s="3"/>
      <c r="J65" s="3"/>
      <c r="K65" s="3"/>
      <c r="L65" s="3"/>
    </row>
  </sheetData>
  <mergeCells count="1">
    <mergeCell ref="E3:E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8"/>
  <sheetViews>
    <sheetView workbookViewId="0"/>
  </sheetViews>
  <sheetFormatPr defaultRowHeight="15" x14ac:dyDescent="0.25"/>
  <cols>
    <col min="1" max="1" style="15" width="16.14785714285714" customWidth="1" bestFit="1"/>
    <col min="2" max="2" style="15" width="14.147857142857141" customWidth="1" bestFit="1"/>
    <col min="3" max="3" style="15" width="14.147857142857141" customWidth="1" bestFit="1"/>
    <col min="4" max="4" style="15" width="14.147857142857141" customWidth="1" bestFit="1"/>
    <col min="5" max="5" style="15" width="14.147857142857141" customWidth="1" bestFit="1"/>
    <col min="6" max="6" style="15" width="14.147857142857141" customWidth="1" bestFit="1"/>
    <col min="7" max="7" style="15" width="14.147857142857141" customWidth="1" bestFit="1"/>
    <col min="8" max="8" style="15" width="14.147857142857141" customWidth="1" bestFit="1"/>
    <col min="9" max="9" style="15" width="14.147857142857141" customWidth="1" bestFit="1"/>
    <col min="10" max="10" style="15" width="14.147857142857141" customWidth="1" bestFit="1"/>
    <col min="11" max="11" style="15" width="14.147857142857141" customWidth="1" bestFit="1"/>
    <col min="12" max="12" style="15" width="14.147857142857141" customWidth="1" bestFit="1"/>
    <col min="13" max="13" style="15" width="14.147857142857141" customWidth="1" bestFit="1"/>
    <col min="14" max="14" style="15" width="14.147857142857141" customWidth="1" bestFit="1"/>
    <col min="15" max="15" style="15" width="14.147857142857141" customWidth="1" bestFit="1"/>
    <col min="16" max="16" style="15" width="14.147857142857141" customWidth="1" bestFit="1"/>
    <col min="17" max="17" style="15" width="14.147857142857141" customWidth="1" bestFit="1"/>
    <col min="18" max="18" style="15" width="14.147857142857141" customWidth="1" bestFit="1"/>
  </cols>
  <sheetData>
    <row x14ac:dyDescent="0.25" r="1" customHeight="1" ht="18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x14ac:dyDescent="0.25" r="2" customHeight="1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x14ac:dyDescent="0.25" r="3" customHeight="1" ht="157.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</row>
    <row x14ac:dyDescent="0.25" r="4" customHeight="1" ht="17.25">
      <c r="A4" s="6" t="s">
        <v>19</v>
      </c>
      <c r="B4" s="7" t="s">
        <v>20</v>
      </c>
      <c r="C4" s="7" t="s">
        <v>20</v>
      </c>
      <c r="D4" s="7" t="s">
        <v>20</v>
      </c>
      <c r="E4" s="7" t="s">
        <v>20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x14ac:dyDescent="0.25" r="5" customHeight="1" ht="17.25">
      <c r="A5" s="6" t="s">
        <v>21</v>
      </c>
      <c r="B5" s="6"/>
      <c r="C5" s="6"/>
      <c r="D5" s="4"/>
      <c r="E5" s="4"/>
      <c r="F5" s="8" t="s">
        <v>20</v>
      </c>
      <c r="G5" s="9" t="s">
        <v>20</v>
      </c>
      <c r="H5" s="9" t="s">
        <v>20</v>
      </c>
      <c r="I5" s="9" t="s">
        <v>20</v>
      </c>
      <c r="J5" s="8" t="s">
        <v>20</v>
      </c>
      <c r="K5" s="6"/>
      <c r="L5" s="6"/>
      <c r="M5" s="6"/>
      <c r="N5" s="6"/>
      <c r="O5" s="6"/>
      <c r="P5" s="6"/>
      <c r="Q5" s="6"/>
      <c r="R5" s="6"/>
    </row>
    <row x14ac:dyDescent="0.25" r="6" customHeight="1" ht="17.25">
      <c r="A6" s="6" t="s">
        <v>22</v>
      </c>
      <c r="B6" s="6"/>
      <c r="C6" s="6"/>
      <c r="D6" s="6"/>
      <c r="E6" s="6"/>
      <c r="F6" s="6"/>
      <c r="G6" s="6"/>
      <c r="H6" s="6"/>
      <c r="I6" s="6"/>
      <c r="J6" s="6"/>
      <c r="K6" s="10" t="s">
        <v>20</v>
      </c>
      <c r="L6" s="10" t="s">
        <v>20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20</v>
      </c>
    </row>
    <row x14ac:dyDescent="0.25" r="7" customHeight="1" ht="17.25">
      <c r="A7" s="6" t="s">
        <v>23</v>
      </c>
      <c r="B7" s="6" t="s">
        <v>24</v>
      </c>
      <c r="C7" s="6" t="s">
        <v>25</v>
      </c>
      <c r="D7" s="6" t="s">
        <v>26</v>
      </c>
      <c r="E7" s="6" t="s">
        <v>27</v>
      </c>
      <c r="F7" s="6" t="s">
        <v>28</v>
      </c>
      <c r="G7" s="6" t="s">
        <v>29</v>
      </c>
      <c r="H7" s="6" t="s">
        <v>30</v>
      </c>
      <c r="I7" s="6" t="s">
        <v>31</v>
      </c>
      <c r="J7" s="6" t="s">
        <v>32</v>
      </c>
      <c r="K7" s="6" t="s">
        <v>33</v>
      </c>
      <c r="L7" s="6" t="s">
        <v>34</v>
      </c>
      <c r="M7" s="6" t="s">
        <v>35</v>
      </c>
      <c r="N7" s="6" t="s">
        <v>33</v>
      </c>
      <c r="O7" s="6" t="s">
        <v>36</v>
      </c>
      <c r="P7" s="6" t="s">
        <v>29</v>
      </c>
      <c r="Q7" s="6" t="s">
        <v>37</v>
      </c>
      <c r="R7" s="6" t="s">
        <v>37</v>
      </c>
    </row>
    <row x14ac:dyDescent="0.25" r="8" customHeight="1" ht="15.7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x14ac:dyDescent="0.25" r="9" customHeight="1" ht="15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x14ac:dyDescent="0.25" r="10" customHeight="1" ht="17.25">
      <c r="A10" s="6" t="s">
        <v>19</v>
      </c>
      <c r="B10" s="7" t="s">
        <v>20</v>
      </c>
      <c r="C10" s="7" t="s">
        <v>20</v>
      </c>
      <c r="D10" s="7" t="s">
        <v>20</v>
      </c>
      <c r="E10" s="7" t="s">
        <v>20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x14ac:dyDescent="0.25" r="11" customHeight="1" ht="17.25">
      <c r="A11" s="6" t="s">
        <v>23</v>
      </c>
      <c r="B11" s="6" t="s">
        <v>24</v>
      </c>
      <c r="C11" s="6" t="s">
        <v>25</v>
      </c>
      <c r="D11" s="6" t="s">
        <v>26</v>
      </c>
      <c r="E11" s="6" t="s">
        <v>27</v>
      </c>
      <c r="F11" s="3"/>
      <c r="G11" s="3"/>
      <c r="H11" s="3"/>
      <c r="I11" s="3"/>
      <c r="J11" s="3"/>
      <c r="K11" s="11"/>
      <c r="L11" s="3"/>
      <c r="M11" s="3"/>
      <c r="N11" s="3"/>
      <c r="O11" s="3"/>
      <c r="P11" s="3"/>
      <c r="Q11" s="3"/>
      <c r="R11" s="3"/>
    </row>
    <row x14ac:dyDescent="0.25" r="12" customHeight="1" ht="17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  <c r="M12" s="3"/>
      <c r="N12" s="3"/>
      <c r="O12" s="3"/>
      <c r="P12" s="3"/>
      <c r="Q12" s="3"/>
      <c r="R12" s="3"/>
    </row>
    <row x14ac:dyDescent="0.25" r="13" customHeight="1" ht="17.25">
      <c r="A13" s="6" t="s">
        <v>21</v>
      </c>
      <c r="B13" s="12" t="s">
        <v>20</v>
      </c>
      <c r="C13" s="8" t="s">
        <v>20</v>
      </c>
      <c r="D13" s="8" t="s">
        <v>20</v>
      </c>
      <c r="E13" s="8" t="s">
        <v>20</v>
      </c>
      <c r="F13" s="13" t="s">
        <v>20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x14ac:dyDescent="0.25" r="14" customHeight="1" ht="17.25">
      <c r="A14" s="6" t="s">
        <v>23</v>
      </c>
      <c r="B14" s="6" t="s">
        <v>28</v>
      </c>
      <c r="C14" s="14" t="s">
        <v>29</v>
      </c>
      <c r="D14" s="14" t="s">
        <v>30</v>
      </c>
      <c r="E14" s="14" t="s">
        <v>31</v>
      </c>
      <c r="F14" s="6" t="s">
        <v>32</v>
      </c>
      <c r="G14" s="3"/>
      <c r="H14" s="3"/>
      <c r="I14" s="3"/>
      <c r="J14" s="3"/>
      <c r="K14" s="11"/>
      <c r="L14" s="3"/>
      <c r="M14" s="3"/>
      <c r="N14" s="3"/>
      <c r="O14" s="3"/>
      <c r="P14" s="3"/>
      <c r="Q14" s="3"/>
      <c r="R14" s="3"/>
    </row>
    <row x14ac:dyDescent="0.25" r="15" customHeight="1" ht="17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3"/>
      <c r="N15" s="3"/>
      <c r="O15" s="3"/>
      <c r="P15" s="3"/>
      <c r="Q15" s="3"/>
      <c r="R15" s="3"/>
    </row>
    <row x14ac:dyDescent="0.25" r="16" customHeight="1" ht="17.25">
      <c r="A16" s="6" t="s">
        <v>22</v>
      </c>
      <c r="B16" s="10" t="s">
        <v>20</v>
      </c>
      <c r="C16" s="10" t="s">
        <v>20</v>
      </c>
      <c r="D16" s="10" t="s">
        <v>20</v>
      </c>
      <c r="E16" s="10" t="s">
        <v>20</v>
      </c>
      <c r="F16" s="10" t="s">
        <v>20</v>
      </c>
      <c r="G16" s="10" t="s">
        <v>20</v>
      </c>
      <c r="H16" s="10" t="s">
        <v>20</v>
      </c>
      <c r="I16" s="10" t="s">
        <v>20</v>
      </c>
      <c r="J16" s="3"/>
      <c r="K16" s="3"/>
      <c r="L16" s="3"/>
      <c r="M16" s="3"/>
      <c r="N16" s="3"/>
      <c r="O16" s="3"/>
      <c r="P16" s="3"/>
      <c r="Q16" s="3"/>
      <c r="R16" s="3"/>
    </row>
    <row x14ac:dyDescent="0.25" r="17" customHeight="1" ht="17.25">
      <c r="A17" s="6" t="s">
        <v>23</v>
      </c>
      <c r="B17" s="6" t="s">
        <v>33</v>
      </c>
      <c r="C17" s="6" t="s">
        <v>34</v>
      </c>
      <c r="D17" s="6" t="s">
        <v>35</v>
      </c>
      <c r="E17" s="6" t="s">
        <v>33</v>
      </c>
      <c r="F17" s="6" t="s">
        <v>36</v>
      </c>
      <c r="G17" s="6" t="s">
        <v>29</v>
      </c>
      <c r="H17" s="6" t="s">
        <v>37</v>
      </c>
      <c r="I17" s="6" t="s">
        <v>37</v>
      </c>
      <c r="J17" s="3"/>
      <c r="K17" s="3"/>
      <c r="L17" s="3"/>
      <c r="M17" s="3"/>
      <c r="N17" s="3"/>
      <c r="O17" s="3"/>
      <c r="P17" s="3"/>
      <c r="Q17" s="3"/>
      <c r="R17" s="3"/>
    </row>
    <row x14ac:dyDescent="0.25" r="18" customHeight="1" ht="15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</sheetData>
  <mergeCells count="1">
    <mergeCell ref="C1:R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Analysis</vt:lpstr>
      <vt:lpstr>6a</vt:lpstr>
      <vt:lpstr>6b</vt:lpstr>
      <vt:lpstr>6c</vt:lpstr>
      <vt:lpstr>6d</vt:lpstr>
      <vt:lpstr>6e</vt:lpstr>
      <vt:lpstr>6f</vt:lpstr>
      <vt:lpstr>Indicator Map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2022-08-08T21:50:55.546Z</dcterms:created>
  <dcterms:modified xsi:type="dcterms:W3CDTF">2022-08-08T21:50:55.546Z</dcterms:modified>
</cp:coreProperties>
</file>