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4" autoFilterDateGrouping="1"/>
  </bookViews>
  <sheets>
    <sheet name="Analysis" sheetId="1" state="visible" r:id="rId1"/>
    <sheet name="1a" sheetId="2" state="visible" r:id="rId2"/>
    <sheet name="1b" sheetId="3" state="visible" r:id="rId3"/>
    <sheet name="1c" sheetId="4" state="visible" r:id="rId4"/>
    <sheet name="1d" sheetId="5" state="visible" r:id="rId5"/>
    <sheet name="1e" sheetId="6" state="visible" r:id="rId6"/>
    <sheet name="1f" sheetId="7" state="visible" r:id="rId7"/>
    <sheet name="Indicator Map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#,##0.00%"/>
    <numFmt numFmtId="165" formatCode="#,##0.0"/>
    <numFmt numFmtId="166" formatCode="#,##0%"/>
  </numFmts>
  <fonts count="14">
    <font>
      <name val="Calibri"/>
      <family val="2"/>
      <color theme="1"/>
      <sz val="11"/>
      <scheme val="minor"/>
    </font>
    <font>
      <name val="Arial"/>
      <family val="2"/>
      <color rgb="FF000000"/>
      <sz val="14"/>
    </font>
    <font>
      <name val="Arial"/>
      <family val="2"/>
      <color rgb="FF000000"/>
      <sz val="12"/>
    </font>
    <font>
      <name val="Calibri"/>
      <family val="2"/>
      <color rgb="FF000000"/>
      <sz val="11"/>
    </font>
    <font>
      <name val="Calibri"/>
      <family val="2"/>
      <color theme="1"/>
      <sz val="11"/>
    </font>
    <font>
      <name val="Calibri"/>
      <family val="2"/>
      <color rgb="FFffffff"/>
      <sz val="11"/>
    </font>
    <font>
      <name val="Arial"/>
      <family val="2"/>
      <color rgb="FF000000"/>
      <sz val="10"/>
    </font>
    <font>
      <name val="Arial"/>
      <family val="2"/>
      <color rgb="FF000000"/>
      <sz val="11"/>
    </font>
    <font>
      <name val="Arial"/>
      <family val="2"/>
      <color rgb="FF000000"/>
      <sz val="18"/>
    </font>
    <font>
      <name val="Calibri"/>
      <family val="2"/>
      <color rgb="FF000000"/>
      <sz val="14"/>
    </font>
    <font>
      <name val="Arial"/>
      <family val="2"/>
      <color rgb="FFff0000"/>
      <sz val="11"/>
    </font>
    <font>
      <name val="Calibri"/>
      <family val="2"/>
      <color rgb="FF000000"/>
      <sz val="12"/>
    </font>
    <font>
      <name val="Calibri"/>
      <family val="2"/>
      <color rgb="FFffffff"/>
      <sz val="12"/>
    </font>
    <font>
      <name val="Calibri"/>
      <family val="2"/>
      <color rgb="FFc00000"/>
      <sz val="12"/>
    </font>
  </fonts>
  <fills count="21">
    <fill>
      <patternFill/>
    </fill>
    <fill>
      <patternFill patternType="gray125"/>
    </fill>
    <fill>
      <patternFill patternType="solid">
        <fgColor rgb="FFffff00"/>
      </patternFill>
    </fill>
    <fill>
      <patternFill patternType="solid">
        <fgColor rgb="FFbdd7ee"/>
      </patternFill>
    </fill>
    <fill>
      <patternFill patternType="solid">
        <fgColor rgb="FFa9d18e"/>
      </patternFill>
    </fill>
    <fill>
      <patternFill patternType="solid">
        <fgColor rgb="FFe2f0d9"/>
      </patternFill>
    </fill>
    <fill>
      <patternFill patternType="solid">
        <fgColor rgb="FFc5e0b4"/>
      </patternFill>
    </fill>
    <fill>
      <patternFill patternType="solid">
        <fgColor rgb="FFffd966"/>
      </patternFill>
    </fill>
    <fill>
      <patternFill patternType="solid">
        <fgColor rgb="FFfa6c50"/>
      </patternFill>
    </fill>
    <fill>
      <patternFill patternType="solid">
        <fgColor rgb="FFfba547"/>
      </patternFill>
    </fill>
    <fill>
      <patternFill patternType="solid">
        <fgColor rgb="FF00b050"/>
      </patternFill>
    </fill>
    <fill>
      <patternFill patternType="solid">
        <fgColor rgb="FFffffff"/>
      </patternFill>
    </fill>
    <fill>
      <patternFill patternType="solid">
        <fgColor rgb="FF9dc3e6"/>
      </patternFill>
    </fill>
    <fill>
      <patternFill patternType="solid">
        <fgColor rgb="FFafabab"/>
      </patternFill>
    </fill>
    <fill>
      <patternFill patternType="solid">
        <fgColor rgb="FFff0000"/>
      </patternFill>
    </fill>
    <fill>
      <patternFill patternType="solid">
        <fgColor rgb="FFdeebf7"/>
      </patternFill>
    </fill>
    <fill>
      <patternFill patternType="solid">
        <fgColor rgb="FFf2f2f2"/>
      </patternFill>
    </fill>
    <fill>
      <patternFill patternType="solid">
        <fgColor rgb="FFf4b183"/>
      </patternFill>
    </fill>
    <fill>
      <patternFill patternType="solid">
        <fgColor rgb="FFb4c7e7"/>
      </patternFill>
    </fill>
    <fill>
      <patternFill patternType="solid">
        <fgColor rgb="FF92d050"/>
      </patternFill>
    </fill>
    <fill>
      <patternFill patternType="solid">
        <fgColor rgb="FFd9d9d9"/>
      </patternFill>
    </fill>
  </fills>
  <borders count="63">
    <border>
      <left/>
      <right/>
      <top/>
      <bottom/>
      <diagonal/>
    </border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c6c6c6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c6c6c6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double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c6c6c6"/>
      </top>
      <bottom/>
      <diagonal/>
    </border>
    <border>
      <left/>
      <right style="thin">
        <color rgb="FFc6c6c6"/>
      </right>
      <top style="thin">
        <color rgb="FFc6c6c6"/>
      </top>
      <bottom/>
      <diagonal/>
    </border>
    <border>
      <left/>
      <right/>
      <top style="thin">
        <color rgb="FFc6c6c6"/>
      </top>
      <bottom style="thin">
        <color rgb="FFc6c6c6"/>
      </bottom>
      <diagonal/>
    </border>
    <border>
      <left/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1"/>
  </cellStyleXfs>
  <cellXfs count="224">
    <xf numFmtId="0" fontId="0" fillId="0" borderId="0" pivotButton="0" quotePrefix="0" xfId="0"/>
    <xf numFmtId="0" fontId="1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general"/>
    </xf>
    <xf numFmtId="0" fontId="2" fillId="0" borderId="1" applyAlignment="1" pivotButton="0" quotePrefix="0" xfId="0">
      <alignment horizontal="left"/>
    </xf>
    <xf numFmtId="0" fontId="2" fillId="0" borderId="2" applyAlignment="1" pivotButton="0" quotePrefix="0" xfId="0">
      <alignment horizontal="left" wrapText="1"/>
    </xf>
    <xf numFmtId="0" fontId="2" fillId="0" borderId="2" applyAlignment="1" pivotButton="0" quotePrefix="0" xfId="0">
      <alignment horizontal="left"/>
    </xf>
    <xf numFmtId="0" fontId="2" fillId="2" borderId="2" applyAlignment="1" pivotButton="0" quotePrefix="0" xfId="0">
      <alignment horizontal="left"/>
    </xf>
    <xf numFmtId="0" fontId="2" fillId="3" borderId="2" applyAlignment="1" pivotButton="0" quotePrefix="0" xfId="0">
      <alignment horizontal="left"/>
    </xf>
    <xf numFmtId="0" fontId="2" fillId="4" borderId="2" applyAlignment="1" pivotButton="0" quotePrefix="0" xfId="0">
      <alignment horizontal="left"/>
    </xf>
    <xf numFmtId="0" fontId="2" fillId="2" borderId="3" applyAlignment="1" pivotButton="0" quotePrefix="0" xfId="0">
      <alignment horizontal="left"/>
    </xf>
    <xf numFmtId="0" fontId="2" fillId="2" borderId="4" applyAlignment="1" pivotButton="0" quotePrefix="0" xfId="0">
      <alignment horizontal="left"/>
    </xf>
    <xf numFmtId="0" fontId="2" fillId="0" borderId="5" applyAlignment="1" pivotButton="0" quotePrefix="0" xfId="0">
      <alignment horizontal="left"/>
    </xf>
    <xf numFmtId="0" fontId="2" fillId="0" borderId="6" applyAlignment="1" pivotButton="0" quotePrefix="0" xfId="0">
      <alignment horizontal="left"/>
    </xf>
    <xf numFmtId="0" fontId="0" fillId="0" borderId="0" applyAlignment="1" pivotButton="0" quotePrefix="0" xfId="0">
      <alignment horizontal="general"/>
    </xf>
    <xf numFmtId="3" fontId="3" fillId="5" borderId="7" applyAlignment="1" pivotButton="0" quotePrefix="0" xfId="0">
      <alignment horizontal="center"/>
    </xf>
    <xf numFmtId="0" fontId="3" fillId="2" borderId="8" applyAlignment="1" pivotButton="0" quotePrefix="0" xfId="0">
      <alignment horizontal="center"/>
    </xf>
    <xf numFmtId="1" fontId="3" fillId="2" borderId="9" applyAlignment="1" pivotButton="0" quotePrefix="0" xfId="0">
      <alignment horizontal="center"/>
    </xf>
    <xf numFmtId="0" fontId="3" fillId="3" borderId="9" applyAlignment="1" pivotButton="0" quotePrefix="0" xfId="0">
      <alignment horizontal="center"/>
    </xf>
    <xf numFmtId="0" fontId="3" fillId="4" borderId="9" applyAlignment="1" pivotButton="0" quotePrefix="0" xfId="0">
      <alignment horizontal="center"/>
    </xf>
    <xf numFmtId="0" fontId="3" fillId="6" borderId="7" applyAlignment="1" pivotButton="0" quotePrefix="0" xfId="0">
      <alignment horizontal="center"/>
    </xf>
    <xf numFmtId="3" fontId="3" fillId="5" borderId="7" applyAlignment="1" pivotButton="0" quotePrefix="0" xfId="0">
      <alignment horizontal="center" wrapText="1"/>
    </xf>
    <xf numFmtId="0" fontId="3" fillId="5" borderId="7" applyAlignment="1" pivotButton="0" quotePrefix="0" xfId="0">
      <alignment horizontal="center"/>
    </xf>
    <xf numFmtId="1" fontId="3" fillId="5" borderId="7" applyAlignment="1" pivotButton="0" quotePrefix="0" xfId="0">
      <alignment horizontal="center"/>
    </xf>
    <xf numFmtId="3" fontId="3" fillId="0" borderId="7" applyAlignment="1" pivotButton="0" quotePrefix="0" xfId="0">
      <alignment horizontal="center"/>
    </xf>
    <xf numFmtId="164" fontId="3" fillId="0" borderId="7" applyAlignment="1" pivotButton="0" quotePrefix="0" xfId="0">
      <alignment horizontal="center"/>
    </xf>
    <xf numFmtId="165" fontId="3" fillId="5" borderId="10" applyAlignment="1" pivotButton="0" quotePrefix="0" xfId="0">
      <alignment horizontal="center" vertical="top"/>
    </xf>
    <xf numFmtId="0" fontId="4" fillId="0" borderId="11" applyAlignment="1" pivotButton="0" quotePrefix="0" xfId="0">
      <alignment horizontal="left"/>
    </xf>
    <xf numFmtId="0" fontId="5" fillId="0" borderId="1" applyAlignment="1" pivotButton="0" quotePrefix="0" xfId="0">
      <alignment horizontal="left"/>
    </xf>
    <xf numFmtId="0" fontId="4" fillId="0" borderId="12" applyAlignment="1" pivotButton="0" quotePrefix="0" xfId="0">
      <alignment horizontal="left"/>
    </xf>
    <xf numFmtId="164" fontId="3" fillId="0" borderId="13" applyAlignment="1" pivotButton="0" quotePrefix="0" xfId="0">
      <alignment horizontal="center"/>
    </xf>
    <xf numFmtId="165" fontId="3" fillId="5" borderId="14" applyAlignment="1" pivotButton="0" quotePrefix="0" xfId="0">
      <alignment horizontal="center"/>
    </xf>
    <xf numFmtId="3" fontId="3" fillId="0" borderId="13" applyAlignment="1" pivotButton="0" quotePrefix="0" xfId="0">
      <alignment horizontal="center"/>
    </xf>
    <xf numFmtId="164" fontId="3" fillId="0" borderId="15" applyAlignment="1" pivotButton="0" quotePrefix="0" xfId="0">
      <alignment horizontal="center"/>
    </xf>
    <xf numFmtId="165" fontId="3" fillId="0" borderId="15" applyAlignment="1" pivotButton="0" quotePrefix="0" xfId="0">
      <alignment horizontal="center"/>
    </xf>
    <xf numFmtId="165" fontId="3" fillId="0" borderId="7" applyAlignment="1" pivotButton="0" quotePrefix="0" xfId="0">
      <alignment horizontal="center"/>
    </xf>
    <xf numFmtId="3" fontId="3" fillId="0" borderId="1" applyAlignment="1" pivotButton="0" quotePrefix="0" xfId="0">
      <alignment horizontal="center"/>
    </xf>
    <xf numFmtId="165" fontId="3" fillId="0" borderId="1" applyAlignment="1" pivotButton="0" quotePrefix="0" xfId="0">
      <alignment horizontal="center"/>
    </xf>
    <xf numFmtId="3" fontId="3" fillId="2" borderId="7" applyAlignment="1" pivotButton="0" quotePrefix="0" xfId="0">
      <alignment horizontal="center"/>
    </xf>
    <xf numFmtId="0" fontId="3" fillId="0" borderId="7" applyAlignment="1" pivotButton="0" quotePrefix="0" xfId="0">
      <alignment horizontal="center"/>
    </xf>
    <xf numFmtId="1" fontId="3" fillId="0" borderId="7" applyAlignment="1" pivotButton="0" quotePrefix="0" xfId="0">
      <alignment horizontal="center"/>
    </xf>
    <xf numFmtId="0" fontId="3" fillId="5" borderId="7" applyAlignment="1" pivotButton="0" quotePrefix="0" xfId="0">
      <alignment horizontal="center"/>
    </xf>
    <xf numFmtId="3" fontId="3" fillId="3" borderId="7" applyAlignment="1" pivotButton="0" quotePrefix="0" xfId="0">
      <alignment horizontal="center"/>
    </xf>
    <xf numFmtId="3" fontId="3" fillId="4" borderId="7" applyAlignment="1" pivotButton="0" quotePrefix="0" xfId="0">
      <alignment horizontal="center"/>
    </xf>
    <xf numFmtId="3" fontId="1" fillId="0" borderId="1" applyAlignment="1" pivotButton="0" quotePrefix="0" xfId="0">
      <alignment horizontal="left"/>
    </xf>
    <xf numFmtId="165" fontId="1" fillId="0" borderId="1" applyAlignment="1" pivotButton="0" quotePrefix="0" xfId="0">
      <alignment horizontal="right"/>
    </xf>
    <xf numFmtId="3" fontId="2" fillId="0" borderId="16" applyAlignment="1" pivotButton="0" quotePrefix="0" xfId="0">
      <alignment horizontal="center"/>
    </xf>
    <xf numFmtId="0" fontId="3" fillId="7" borderId="17" applyAlignment="1" pivotButton="0" quotePrefix="0" xfId="0">
      <alignment horizontal="center"/>
    </xf>
    <xf numFmtId="3" fontId="2" fillId="8" borderId="18" applyAlignment="1" pivotButton="0" quotePrefix="0" xfId="0">
      <alignment horizontal="left"/>
    </xf>
    <xf numFmtId="164" fontId="3" fillId="0" borderId="19" applyAlignment="1" pivotButton="0" quotePrefix="0" xfId="0">
      <alignment horizontal="center"/>
    </xf>
    <xf numFmtId="164" fontId="3" fillId="7" borderId="20" applyAlignment="1" pivotButton="0" quotePrefix="0" xfId="0">
      <alignment horizontal="center"/>
    </xf>
    <xf numFmtId="3" fontId="2" fillId="9" borderId="18" applyAlignment="1" pivotButton="0" quotePrefix="0" xfId="0">
      <alignment horizontal="left"/>
    </xf>
    <xf numFmtId="3" fontId="2" fillId="7" borderId="18" applyAlignment="1" pivotButton="0" quotePrefix="0" xfId="0">
      <alignment horizontal="left"/>
    </xf>
    <xf numFmtId="3" fontId="2" fillId="10" borderId="18" applyAlignment="1" pivotButton="0" quotePrefix="0" xfId="0">
      <alignment horizontal="left"/>
    </xf>
    <xf numFmtId="164" fontId="3" fillId="7" borderId="21" applyAlignment="1" pivotButton="0" quotePrefix="0" xfId="0">
      <alignment horizontal="center"/>
    </xf>
    <xf numFmtId="165" fontId="3" fillId="0" borderId="22" applyAlignment="1" pivotButton="0" quotePrefix="0" xfId="0">
      <alignment horizontal="center"/>
    </xf>
    <xf numFmtId="164" fontId="3" fillId="0" borderId="23" applyAlignment="1" pivotButton="0" quotePrefix="0" xfId="0">
      <alignment horizontal="center"/>
    </xf>
    <xf numFmtId="164" fontId="3" fillId="0" borderId="24" applyAlignment="1" pivotButton="0" quotePrefix="0" xfId="0">
      <alignment horizontal="center"/>
    </xf>
    <xf numFmtId="164" fontId="3" fillId="7" borderId="25" applyAlignment="1" pivotButton="0" quotePrefix="0" xfId="0">
      <alignment horizontal="center"/>
    </xf>
    <xf numFmtId="3" fontId="4" fillId="0" borderId="1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1" fontId="4" fillId="0" borderId="1" applyAlignment="1" pivotButton="0" quotePrefix="0" xfId="0">
      <alignment horizontal="center"/>
    </xf>
    <xf numFmtId="0" fontId="3" fillId="0" borderId="26" applyAlignment="1" pivotButton="0" quotePrefix="0" xfId="0">
      <alignment horizontal="center"/>
    </xf>
    <xf numFmtId="1" fontId="3" fillId="0" borderId="26" applyAlignment="1" pivotButton="0" quotePrefix="0" xfId="0">
      <alignment horizontal="center"/>
    </xf>
    <xf numFmtId="3" fontId="2" fillId="11" borderId="26" applyAlignment="1" pivotButton="0" quotePrefix="0" xfId="0">
      <alignment horizontal="left"/>
    </xf>
    <xf numFmtId="3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0" fontId="3" fillId="2" borderId="9" applyAlignment="1" pivotButton="0" quotePrefix="0" xfId="0">
      <alignment horizontal="center"/>
    </xf>
    <xf numFmtId="3" fontId="2" fillId="0" borderId="27" applyAlignment="1" pivotButton="0" quotePrefix="0" xfId="0">
      <alignment horizontal="center"/>
    </xf>
    <xf numFmtId="165" fontId="3" fillId="0" borderId="27" applyAlignment="1" pivotButton="0" quotePrefix="0" xfId="0">
      <alignment horizontal="center"/>
    </xf>
    <xf numFmtId="164" fontId="3" fillId="0" borderId="28" applyAlignment="1" pivotButton="0" quotePrefix="0" xfId="0">
      <alignment horizontal="center"/>
    </xf>
    <xf numFmtId="3" fontId="3" fillId="2" borderId="8" applyAlignment="1" pivotButton="0" quotePrefix="0" xfId="0">
      <alignment horizontal="center" wrapText="1"/>
    </xf>
    <xf numFmtId="3" fontId="3" fillId="2" borderId="9" applyAlignment="1" pivotButton="0" quotePrefix="0" xfId="0">
      <alignment horizontal="center"/>
    </xf>
    <xf numFmtId="3" fontId="3" fillId="5" borderId="7" applyAlignment="1" pivotButton="0" quotePrefix="1" xfId="0">
      <alignment horizontal="center" wrapText="1"/>
    </xf>
    <xf numFmtId="3" fontId="3" fillId="0" borderId="15" applyAlignment="1" pivotButton="0" quotePrefix="0" xfId="0">
      <alignment horizontal="center"/>
    </xf>
    <xf numFmtId="0" fontId="3" fillId="0" borderId="7" applyAlignment="1" pivotButton="0" quotePrefix="0" xfId="0">
      <alignment horizontal="left"/>
    </xf>
    <xf numFmtId="3" fontId="4" fillId="0" borderId="1" applyAlignment="1" pivotButton="0" quotePrefix="0" xfId="0">
      <alignment horizontal="center"/>
    </xf>
    <xf numFmtId="3" fontId="3" fillId="0" borderId="26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3" fontId="0" fillId="0" borderId="0" applyAlignment="1" pivotButton="0" quotePrefix="0" xfId="0">
      <alignment horizontal="general"/>
    </xf>
    <xf numFmtId="164" fontId="3" fillId="2" borderId="8" applyAlignment="1" pivotButton="0" quotePrefix="0" xfId="0">
      <alignment horizontal="center"/>
    </xf>
    <xf numFmtId="164" fontId="3" fillId="12" borderId="9" applyAlignment="1" pivotButton="0" quotePrefix="0" xfId="0">
      <alignment horizontal="center"/>
    </xf>
    <xf numFmtId="164" fontId="3" fillId="2" borderId="29" applyAlignment="1" pivotButton="0" quotePrefix="0" xfId="0">
      <alignment horizontal="center"/>
    </xf>
    <xf numFmtId="164" fontId="3" fillId="4" borderId="9" applyAlignment="1" pivotButton="0" quotePrefix="0" xfId="0">
      <alignment horizontal="center"/>
    </xf>
    <xf numFmtId="164" fontId="3" fillId="4" borderId="30" applyAlignment="1" pivotButton="0" quotePrefix="0" xfId="0">
      <alignment horizontal="center"/>
    </xf>
    <xf numFmtId="164" fontId="3" fillId="4" borderId="31" applyAlignment="1" pivotButton="0" quotePrefix="0" xfId="0">
      <alignment horizontal="center"/>
    </xf>
    <xf numFmtId="164" fontId="3" fillId="5" borderId="7" applyAlignment="1" pivotButton="0" quotePrefix="1" xfId="0">
      <alignment horizontal="center"/>
    </xf>
    <xf numFmtId="1" fontId="3" fillId="5" borderId="7" applyAlignment="1" pivotButton="0" quotePrefix="1" xfId="0">
      <alignment horizontal="center"/>
    </xf>
    <xf numFmtId="164" fontId="4" fillId="0" borderId="1" applyAlignment="1" pivotButton="0" quotePrefix="0" xfId="0">
      <alignment horizontal="center"/>
    </xf>
    <xf numFmtId="164" fontId="4" fillId="0" borderId="1" applyAlignment="1" pivotButton="0" quotePrefix="0" xfId="0">
      <alignment horizontal="right"/>
    </xf>
    <xf numFmtId="164" fontId="3" fillId="5" borderId="32" applyAlignment="1" pivotButton="0" quotePrefix="0" xfId="0">
      <alignment horizontal="center"/>
    </xf>
    <xf numFmtId="164" fontId="3" fillId="5" borderId="7" applyAlignment="1" pivotButton="0" quotePrefix="0" xfId="0">
      <alignment horizontal="center"/>
    </xf>
    <xf numFmtId="3" fontId="3" fillId="12" borderId="7" applyAlignment="1" pivotButton="0" quotePrefix="0" xfId="0">
      <alignment horizontal="center"/>
    </xf>
    <xf numFmtId="3" fontId="2" fillId="0" borderId="33" applyAlignment="1" pivotButton="0" quotePrefix="0" xfId="0">
      <alignment horizontal="center"/>
    </xf>
    <xf numFmtId="0" fontId="3" fillId="7" borderId="34" applyAlignment="1" pivotButton="0" quotePrefix="0" xfId="0">
      <alignment horizontal="center"/>
    </xf>
    <xf numFmtId="3" fontId="2" fillId="8" borderId="26" applyAlignment="1" pivotButton="0" quotePrefix="0" xfId="0">
      <alignment horizontal="left"/>
    </xf>
    <xf numFmtId="3" fontId="2" fillId="9" borderId="26" applyAlignment="1" pivotButton="0" quotePrefix="0" xfId="0">
      <alignment horizontal="left"/>
    </xf>
    <xf numFmtId="3" fontId="2" fillId="7" borderId="26" applyAlignment="1" pivotButton="0" quotePrefix="0" xfId="0">
      <alignment horizontal="left"/>
    </xf>
    <xf numFmtId="3" fontId="2" fillId="10" borderId="26" applyAlignment="1" pivotButton="0" quotePrefix="0" xfId="0">
      <alignment horizontal="left"/>
    </xf>
    <xf numFmtId="165" fontId="3" fillId="0" borderId="26" applyAlignment="1" pivotButton="0" quotePrefix="0" xfId="0">
      <alignment horizontal="center"/>
    </xf>
    <xf numFmtId="164" fontId="3" fillId="0" borderId="35" applyAlignment="1" pivotButton="0" quotePrefix="0" xfId="0">
      <alignment horizontal="center"/>
    </xf>
    <xf numFmtId="164" fontId="3" fillId="0" borderId="36" applyAlignment="1" pivotButton="0" quotePrefix="0" xfId="0">
      <alignment horizontal="center"/>
    </xf>
    <xf numFmtId="164" fontId="3" fillId="0" borderId="37" applyAlignment="1" pivotButton="0" quotePrefix="0" xfId="0">
      <alignment horizontal="center"/>
    </xf>
    <xf numFmtId="164" fontId="3" fillId="0" borderId="26" applyAlignment="1" pivotButton="0" quotePrefix="0" xfId="0">
      <alignment horizontal="center"/>
    </xf>
    <xf numFmtId="164" fontId="0" fillId="0" borderId="0" applyAlignment="1" pivotButton="0" quotePrefix="0" xfId="0">
      <alignment horizontal="center"/>
    </xf>
    <xf numFmtId="164" fontId="0" fillId="0" borderId="0" applyAlignment="1" pivotButton="0" quotePrefix="0" xfId="0">
      <alignment horizontal="general"/>
    </xf>
    <xf numFmtId="3" fontId="3" fillId="2" borderId="8" applyAlignment="1" pivotButton="0" quotePrefix="0" xfId="0">
      <alignment horizontal="center"/>
    </xf>
    <xf numFmtId="3" fontId="3" fillId="2" borderId="29" applyAlignment="1" pivotButton="0" quotePrefix="0" xfId="0">
      <alignment horizontal="center"/>
    </xf>
    <xf numFmtId="164" fontId="3" fillId="2" borderId="9" applyAlignment="1" pivotButton="0" quotePrefix="0" xfId="0">
      <alignment horizontal="center"/>
    </xf>
    <xf numFmtId="3" fontId="3" fillId="5" borderId="7" applyAlignment="1" pivotButton="0" quotePrefix="1" xfId="0">
      <alignment horizontal="center"/>
    </xf>
    <xf numFmtId="3" fontId="3" fillId="0" borderId="38" applyAlignment="1" pivotButton="0" quotePrefix="0" xfId="0">
      <alignment horizontal="center"/>
    </xf>
    <xf numFmtId="0" fontId="3" fillId="0" borderId="7" applyAlignment="1" pivotButton="0" quotePrefix="0" xfId="0">
      <alignment horizontal="center"/>
    </xf>
    <xf numFmtId="3" fontId="3" fillId="5" borderId="32" applyAlignment="1" pivotButton="0" quotePrefix="0" xfId="0">
      <alignment horizontal="center"/>
    </xf>
    <xf numFmtId="1" fontId="3" fillId="0" borderId="1" applyAlignment="1" pivotButton="0" quotePrefix="0" xfId="0">
      <alignment horizontal="center"/>
    </xf>
    <xf numFmtId="164" fontId="3" fillId="0" borderId="1" applyAlignment="1" pivotButton="0" quotePrefix="0" xfId="0">
      <alignment horizontal="center"/>
    </xf>
    <xf numFmtId="3" fontId="1" fillId="0" borderId="39" applyAlignment="1" pivotButton="0" quotePrefix="0" xfId="0">
      <alignment horizontal="left"/>
    </xf>
    <xf numFmtId="164" fontId="3" fillId="7" borderId="40" applyAlignment="1" pivotButton="0" quotePrefix="0" xfId="0">
      <alignment horizontal="center"/>
    </xf>
    <xf numFmtId="1" fontId="3" fillId="2" borderId="9" applyAlignment="1" pivotButton="0" quotePrefix="0" xfId="0">
      <alignment horizontal="center" wrapText="1"/>
    </xf>
    <xf numFmtId="3" fontId="3" fillId="2" borderId="9" applyAlignment="1" pivotButton="0" quotePrefix="0" xfId="0">
      <alignment horizontal="center" wrapText="1"/>
    </xf>
    <xf numFmtId="164" fontId="3" fillId="2" borderId="9" applyAlignment="1" pivotButton="0" quotePrefix="0" xfId="0">
      <alignment horizontal="center" wrapText="1"/>
    </xf>
    <xf numFmtId="164" fontId="3" fillId="3" borderId="9" applyAlignment="1" pivotButton="0" quotePrefix="0" xfId="0">
      <alignment horizontal="center"/>
    </xf>
    <xf numFmtId="1" fontId="3" fillId="6" borderId="7" applyAlignment="1" pivotButton="0" quotePrefix="0" xfId="0">
      <alignment horizontal="center"/>
    </xf>
    <xf numFmtId="1" fontId="3" fillId="5" borderId="7" applyAlignment="1" pivotButton="0" quotePrefix="1" xfId="0">
      <alignment horizontal="center" wrapText="1"/>
    </xf>
    <xf numFmtId="164" fontId="3" fillId="5" borderId="7" applyAlignment="1" pivotButton="0" quotePrefix="1" xfId="0">
      <alignment horizontal="center" wrapText="1"/>
    </xf>
    <xf numFmtId="164" fontId="6" fillId="0" borderId="7" applyAlignment="1" pivotButton="0" quotePrefix="0" xfId="0">
      <alignment horizontal="center"/>
    </xf>
    <xf numFmtId="1" fontId="4" fillId="0" borderId="11" applyAlignment="1" pivotButton="0" quotePrefix="0" xfId="0">
      <alignment horizontal="left"/>
    </xf>
    <xf numFmtId="164" fontId="3" fillId="0" borderId="38" applyAlignment="1" pivotButton="0" quotePrefix="0" xfId="0">
      <alignment horizontal="center"/>
    </xf>
    <xf numFmtId="1" fontId="4" fillId="0" borderId="12" applyAlignment="1" pivotButton="0" quotePrefix="0" xfId="0">
      <alignment horizontal="left"/>
    </xf>
    <xf numFmtId="1" fontId="4" fillId="0" borderId="1" applyAlignment="1" pivotButton="0" quotePrefix="0" xfId="0">
      <alignment horizontal="left"/>
    </xf>
    <xf numFmtId="1" fontId="3" fillId="7" borderId="34" applyAlignment="1" pivotButton="0" quotePrefix="0" xfId="0">
      <alignment horizontal="center"/>
    </xf>
    <xf numFmtId="164" fontId="3" fillId="0" borderId="41" applyAlignment="1" pivotButton="0" quotePrefix="0" xfId="0">
      <alignment horizontal="center"/>
    </xf>
    <xf numFmtId="3" fontId="2" fillId="11" borderId="18" applyAlignment="1" pivotButton="0" quotePrefix="0" xfId="0">
      <alignment horizontal="left"/>
    </xf>
    <xf numFmtId="1" fontId="0" fillId="0" borderId="0" applyAlignment="1" pivotButton="0" quotePrefix="0" xfId="0">
      <alignment horizontal="general"/>
    </xf>
    <xf numFmtId="0" fontId="4" fillId="0" borderId="1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  <xf numFmtId="0" fontId="7" fillId="11" borderId="42" applyAlignment="1" pivotButton="0" quotePrefix="0" xfId="0">
      <alignment horizontal="left"/>
    </xf>
    <xf numFmtId="0" fontId="8" fillId="11" borderId="26" applyAlignment="1" pivotButton="0" quotePrefix="0" xfId="0">
      <alignment horizontal="center"/>
    </xf>
    <xf numFmtId="0" fontId="4" fillId="0" borderId="43" applyAlignment="1" pivotButton="0" quotePrefix="0" xfId="0">
      <alignment horizontal="left"/>
    </xf>
    <xf numFmtId="0" fontId="4" fillId="0" borderId="44" applyAlignment="1" pivotButton="0" quotePrefix="0" xfId="0">
      <alignment horizontal="left"/>
    </xf>
    <xf numFmtId="0" fontId="3" fillId="11" borderId="42" applyAlignment="1" pivotButton="0" quotePrefix="0" xfId="0">
      <alignment horizontal="left" wrapText="1"/>
    </xf>
    <xf numFmtId="0" fontId="3" fillId="11" borderId="42" applyAlignment="1" pivotButton="0" quotePrefix="0" xfId="0">
      <alignment horizontal="left"/>
    </xf>
    <xf numFmtId="0" fontId="2" fillId="13" borderId="2" applyAlignment="1" pivotButton="0" quotePrefix="0" xfId="0">
      <alignment horizontal="center" wrapText="1"/>
    </xf>
    <xf numFmtId="0" fontId="7" fillId="14" borderId="2" applyAlignment="1" pivotButton="0" quotePrefix="0" xfId="0">
      <alignment horizontal="center"/>
    </xf>
    <xf numFmtId="0" fontId="7" fillId="11" borderId="42" applyAlignment="1" pivotButton="0" quotePrefix="0" xfId="0">
      <alignment horizontal="center"/>
    </xf>
    <xf numFmtId="0" fontId="9" fillId="15" borderId="45" applyAlignment="1" pivotButton="0" quotePrefix="0" xfId="0">
      <alignment horizontal="center" wrapText="1"/>
    </xf>
    <xf numFmtId="0" fontId="4" fillId="0" borderId="46" applyAlignment="1" pivotButton="0" quotePrefix="0" xfId="0">
      <alignment horizontal="left"/>
    </xf>
    <xf numFmtId="165" fontId="2" fillId="11" borderId="42" applyAlignment="1" pivotButton="0" quotePrefix="0" xfId="0">
      <alignment horizontal="right"/>
    </xf>
    <xf numFmtId="0" fontId="2" fillId="11" borderId="42" applyAlignment="1" pivotButton="0" quotePrefix="0" xfId="0">
      <alignment horizontal="center" wrapText="1"/>
    </xf>
    <xf numFmtId="0" fontId="4" fillId="0" borderId="1" applyAlignment="1" pivotButton="0" quotePrefix="0" xfId="0">
      <alignment horizontal="left"/>
    </xf>
    <xf numFmtId="0" fontId="10" fillId="0" borderId="2" applyAlignment="1" pivotButton="0" quotePrefix="0" xfId="0">
      <alignment horizontal="left"/>
    </xf>
    <xf numFmtId="0" fontId="10" fillId="11" borderId="42" applyAlignment="1" pivotButton="0" quotePrefix="0" xfId="0">
      <alignment horizontal="left"/>
    </xf>
    <xf numFmtId="0" fontId="11" fillId="0" borderId="45" applyAlignment="1" pivotButton="0" quotePrefix="0" xfId="0">
      <alignment horizontal="left"/>
    </xf>
    <xf numFmtId="0" fontId="11" fillId="0" borderId="47" applyAlignment="1" pivotButton="0" quotePrefix="0" xfId="0">
      <alignment horizontal="center"/>
    </xf>
    <xf numFmtId="0" fontId="11" fillId="7" borderId="48" applyAlignment="1" pivotButton="0" quotePrefix="0" xfId="0">
      <alignment horizontal="center"/>
    </xf>
    <xf numFmtId="0" fontId="2" fillId="11" borderId="42" applyAlignment="1" pivotButton="0" quotePrefix="0" xfId="0">
      <alignment horizontal="left"/>
    </xf>
    <xf numFmtId="0" fontId="11" fillId="0" borderId="13" applyAlignment="1" pivotButton="0" quotePrefix="0" xfId="0">
      <alignment horizontal="left"/>
    </xf>
    <xf numFmtId="0" fontId="11" fillId="16" borderId="49" applyAlignment="1" pivotButton="0" quotePrefix="0" xfId="0">
      <alignment horizontal="center"/>
    </xf>
    <xf numFmtId="4" fontId="11" fillId="7" borderId="49" applyAlignment="1" pivotButton="0" quotePrefix="0" xfId="0">
      <alignment horizontal="center"/>
    </xf>
    <xf numFmtId="164" fontId="2" fillId="11" borderId="42" applyAlignment="1" pivotButton="0" quotePrefix="0" xfId="0">
      <alignment horizontal="right"/>
    </xf>
    <xf numFmtId="0" fontId="11" fillId="0" borderId="7" applyAlignment="1" pivotButton="0" quotePrefix="0" xfId="0">
      <alignment horizontal="left"/>
    </xf>
    <xf numFmtId="0" fontId="11" fillId="17" borderId="7" applyAlignment="1" pivotButton="0" quotePrefix="0" xfId="0">
      <alignment horizontal="center"/>
    </xf>
    <xf numFmtId="4" fontId="11" fillId="7" borderId="7" applyAlignment="1" pivotButton="0" quotePrefix="0" xfId="0">
      <alignment horizontal="center"/>
    </xf>
    <xf numFmtId="0" fontId="11" fillId="0" borderId="7" applyAlignment="1" pivotButton="0" quotePrefix="0" xfId="0">
      <alignment horizontal="center"/>
    </xf>
    <xf numFmtId="165" fontId="2" fillId="11" borderId="42" applyAlignment="1" pivotButton="0" quotePrefix="0" xfId="0">
      <alignment horizontal="center"/>
    </xf>
    <xf numFmtId="166" fontId="2" fillId="11" borderId="42" applyAlignment="1" pivotButton="0" quotePrefix="0" xfId="0">
      <alignment horizontal="right"/>
    </xf>
    <xf numFmtId="0" fontId="11" fillId="0" borderId="38" applyAlignment="1" pivotButton="0" quotePrefix="0" xfId="0">
      <alignment horizontal="left"/>
    </xf>
    <xf numFmtId="0" fontId="11" fillId="0" borderId="38" applyAlignment="1" pivotButton="0" quotePrefix="0" xfId="0">
      <alignment horizontal="center"/>
    </xf>
    <xf numFmtId="4" fontId="11" fillId="7" borderId="50" applyAlignment="1" pivotButton="0" quotePrefix="0" xfId="0">
      <alignment horizontal="center"/>
    </xf>
    <xf numFmtId="0" fontId="11" fillId="0" borderId="27" applyAlignment="1" pivotButton="0" quotePrefix="0" xfId="0">
      <alignment horizontal="center"/>
    </xf>
    <xf numFmtId="0" fontId="11" fillId="11" borderId="49" applyAlignment="1" pivotButton="0" quotePrefix="0" xfId="0">
      <alignment horizontal="left"/>
    </xf>
    <xf numFmtId="164" fontId="11" fillId="0" borderId="13" applyAlignment="1" pivotButton="0" quotePrefix="0" xfId="0">
      <alignment horizontal="right"/>
    </xf>
    <xf numFmtId="164" fontId="11" fillId="7" borderId="49" applyAlignment="1" pivotButton="0" quotePrefix="0" xfId="0">
      <alignment horizontal="right"/>
    </xf>
    <xf numFmtId="0" fontId="11" fillId="11" borderId="7" applyAlignment="1" pivotButton="0" quotePrefix="0" xfId="0">
      <alignment horizontal="left"/>
    </xf>
    <xf numFmtId="164" fontId="11" fillId="0" borderId="7" applyAlignment="1" pivotButton="0" quotePrefix="0" xfId="0">
      <alignment horizontal="right"/>
    </xf>
    <xf numFmtId="164" fontId="11" fillId="7" borderId="7" applyAlignment="1" pivotButton="0" quotePrefix="0" xfId="0">
      <alignment horizontal="right"/>
    </xf>
    <xf numFmtId="165" fontId="11" fillId="0" borderId="7" applyAlignment="1" pivotButton="0" quotePrefix="0" xfId="0">
      <alignment horizontal="right"/>
    </xf>
    <xf numFmtId="4" fontId="11" fillId="0" borderId="7" applyAlignment="1" pivotButton="0" quotePrefix="0" xfId="0">
      <alignment horizontal="right"/>
    </xf>
    <xf numFmtId="0" fontId="11" fillId="7" borderId="7" applyAlignment="1" pivotButton="0" quotePrefix="0" xfId="0">
      <alignment horizontal="left"/>
    </xf>
    <xf numFmtId="0" fontId="11" fillId="0" borderId="45" applyAlignment="1" pivotButton="0" quotePrefix="0" xfId="0">
      <alignment horizontal="center"/>
    </xf>
    <xf numFmtId="0" fontId="11" fillId="0" borderId="47" applyAlignment="1" pivotButton="0" quotePrefix="0" xfId="0">
      <alignment horizontal="center"/>
    </xf>
    <xf numFmtId="166" fontId="11" fillId="0" borderId="13" applyAlignment="1" pivotButton="0" quotePrefix="0" xfId="0">
      <alignment horizontal="right"/>
    </xf>
    <xf numFmtId="166" fontId="11" fillId="7" borderId="49" applyAlignment="1" pivotButton="0" quotePrefix="0" xfId="0">
      <alignment horizontal="right"/>
    </xf>
    <xf numFmtId="0" fontId="11" fillId="11" borderId="42" applyAlignment="1" pivotButton="0" quotePrefix="0" xfId="0">
      <alignment horizontal="left"/>
    </xf>
    <xf numFmtId="166" fontId="11" fillId="0" borderId="7" applyAlignment="1" pivotButton="0" quotePrefix="0" xfId="0">
      <alignment horizontal="right"/>
    </xf>
    <xf numFmtId="166" fontId="11" fillId="7" borderId="7" applyAlignment="1" pivotButton="0" quotePrefix="0" xfId="0">
      <alignment horizontal="right"/>
    </xf>
    <xf numFmtId="166" fontId="3" fillId="11" borderId="42" applyAlignment="1" pivotButton="0" quotePrefix="0" xfId="0">
      <alignment horizontal="right"/>
    </xf>
    <xf numFmtId="0" fontId="11" fillId="11" borderId="7" applyAlignment="1" pivotButton="0" quotePrefix="0" xfId="0">
      <alignment horizontal="center"/>
    </xf>
    <xf numFmtId="0" fontId="11" fillId="0" borderId="7" applyAlignment="1" pivotButton="0" quotePrefix="0" xfId="0">
      <alignment horizontal="center"/>
    </xf>
    <xf numFmtId="0" fontId="12" fillId="18" borderId="7" applyAlignment="1" pivotButton="0" quotePrefix="0" xfId="0">
      <alignment horizontal="center"/>
    </xf>
    <xf numFmtId="0" fontId="12" fillId="18" borderId="7" applyAlignment="1" pivotButton="0" quotePrefix="0" xfId="0">
      <alignment horizontal="center"/>
    </xf>
    <xf numFmtId="0" fontId="11" fillId="0" borderId="7" applyAlignment="1" pivotButton="0" quotePrefix="0" xfId="0">
      <alignment horizontal="left"/>
    </xf>
    <xf numFmtId="0" fontId="11" fillId="6" borderId="7" applyAlignment="1" pivotButton="0" quotePrefix="0" xfId="0">
      <alignment horizontal="left"/>
    </xf>
    <xf numFmtId="0" fontId="11" fillId="7" borderId="7" applyAlignment="1" pivotButton="0" quotePrefix="0" xfId="0">
      <alignment horizontal="center"/>
    </xf>
    <xf numFmtId="0" fontId="11" fillId="0" borderId="38" applyAlignment="1" pivotButton="0" quotePrefix="0" xfId="0">
      <alignment horizontal="left"/>
    </xf>
    <xf numFmtId="0" fontId="11" fillId="6" borderId="50" applyAlignment="1" pivotButton="0" quotePrefix="0" xfId="0">
      <alignment horizontal="left"/>
    </xf>
    <xf numFmtId="0" fontId="11" fillId="7" borderId="50" applyAlignment="1" pivotButton="0" quotePrefix="0" xfId="0">
      <alignment horizontal="center"/>
    </xf>
    <xf numFmtId="0" fontId="11" fillId="17" borderId="50" applyAlignment="1" pivotButton="0" quotePrefix="0" xfId="0">
      <alignment horizontal="left"/>
    </xf>
    <xf numFmtId="0" fontId="11" fillId="0" borderId="13" applyAlignment="1" pivotButton="0" quotePrefix="0" xfId="0">
      <alignment horizontal="left"/>
    </xf>
    <xf numFmtId="0" fontId="11" fillId="7" borderId="49" applyAlignment="1" pivotButton="0" quotePrefix="0" xfId="0">
      <alignment horizontal="center"/>
    </xf>
    <xf numFmtId="0" fontId="12" fillId="18" borderId="51" applyAlignment="1" pivotButton="0" quotePrefix="0" xfId="0">
      <alignment horizontal="center"/>
    </xf>
    <xf numFmtId="0" fontId="11" fillId="19" borderId="50" applyAlignment="1" pivotButton="0" quotePrefix="0" xfId="0">
      <alignment horizontal="left"/>
    </xf>
    <xf numFmtId="0" fontId="11" fillId="17" borderId="7" applyAlignment="1" pivotButton="0" quotePrefix="0" xfId="0">
      <alignment horizontal="left"/>
    </xf>
    <xf numFmtId="0" fontId="11" fillId="0" borderId="11" applyAlignment="1" pivotButton="0" quotePrefix="0" xfId="0">
      <alignment horizontal="left"/>
    </xf>
    <xf numFmtId="0" fontId="11" fillId="7" borderId="14" applyAlignment="1" pivotButton="0" quotePrefix="0" xfId="0">
      <alignment horizontal="center"/>
    </xf>
    <xf numFmtId="0" fontId="12" fillId="18" borderId="52" applyAlignment="1" pivotButton="0" quotePrefix="0" xfId="0">
      <alignment horizontal="center"/>
    </xf>
    <xf numFmtId="0" fontId="12" fillId="18" borderId="32" applyAlignment="1" pivotButton="0" quotePrefix="0" xfId="0">
      <alignment horizontal="center"/>
    </xf>
    <xf numFmtId="0" fontId="10" fillId="11" borderId="2" applyAlignment="1" pivotButton="0" quotePrefix="0" xfId="0">
      <alignment horizontal="left"/>
    </xf>
    <xf numFmtId="0" fontId="12" fillId="18" borderId="53" applyAlignment="1" pivotButton="0" quotePrefix="0" xfId="0">
      <alignment horizontal="center"/>
    </xf>
    <xf numFmtId="0" fontId="12" fillId="18" borderId="49" applyAlignment="1" pivotButton="0" quotePrefix="0" xfId="0">
      <alignment horizontal="center"/>
    </xf>
    <xf numFmtId="0" fontId="11" fillId="20" borderId="49" applyAlignment="1" pivotButton="0" quotePrefix="0" xfId="0">
      <alignment horizontal="left"/>
    </xf>
    <xf numFmtId="0" fontId="11" fillId="20" borderId="7" applyAlignment="1" pivotButton="0" quotePrefix="0" xfId="0">
      <alignment horizontal="left"/>
    </xf>
    <xf numFmtId="0" fontId="13" fillId="11" borderId="7" applyAlignment="1" pivotButton="0" quotePrefix="0" xfId="0">
      <alignment horizontal="center"/>
    </xf>
    <xf numFmtId="0" fontId="13" fillId="7" borderId="7" applyAlignment="1" pivotButton="0" quotePrefix="0" xfId="0">
      <alignment horizontal="center"/>
    </xf>
    <xf numFmtId="0" fontId="2" fillId="0" borderId="26" applyAlignment="1" pivotButton="0" quotePrefix="0" xfId="0">
      <alignment horizontal="left" wrapText="1"/>
    </xf>
    <xf numFmtId="0" fontId="10" fillId="11" borderId="54" applyAlignment="1" pivotButton="0" quotePrefix="0" xfId="0">
      <alignment horizontal="left"/>
    </xf>
    <xf numFmtId="0" fontId="0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  <xf numFmtId="0" fontId="0" fillId="0" borderId="43" pivotButton="0" quotePrefix="0" xfId="0"/>
    <xf numFmtId="0" fontId="0" fillId="0" borderId="44" pivotButton="0" quotePrefix="0" xfId="0"/>
    <xf numFmtId="0" fontId="0" fillId="0" borderId="46" pivotButton="0" quotePrefix="0" xfId="0"/>
    <xf numFmtId="0" fontId="0" fillId="0" borderId="60" pivotButton="0" quotePrefix="0" xfId="0"/>
    <xf numFmtId="0" fontId="0" fillId="0" borderId="61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U182"/>
  <sheetViews>
    <sheetView workbookViewId="0">
      <selection activeCell="A1" sqref="A1"/>
    </sheetView>
  </sheetViews>
  <sheetFormatPr baseColWidth="8" defaultRowHeight="15" outlineLevelCol="0"/>
  <cols>
    <col width="17.57642857142857" bestFit="1" customWidth="1" style="215" min="1" max="1"/>
    <col width="5.862142857142857" bestFit="1" customWidth="1" style="216" min="2" max="2"/>
    <col width="5.862142857142857" bestFit="1" customWidth="1" style="216" min="3" max="3"/>
    <col width="9.147857142857141" bestFit="1" customWidth="1" style="13" min="4" max="4"/>
    <col width="45.43357142857143" bestFit="1" customWidth="1" style="13" min="5" max="5"/>
    <col width="8.290714285714287" bestFit="1" customWidth="1" style="13" min="6" max="6"/>
    <col width="8.290714285714287" bestFit="1" customWidth="1" style="13" min="7" max="7"/>
    <col width="8.290714285714287" bestFit="1" customWidth="1" style="13" min="8" max="8"/>
    <col width="8.290714285714287" bestFit="1" customWidth="1" style="13" min="9" max="9"/>
    <col width="8.290714285714287" bestFit="1" customWidth="1" style="13" min="10" max="10"/>
    <col width="8.290714285714287" bestFit="1" customWidth="1" style="13" min="11" max="11"/>
    <col width="9.005000000000001" bestFit="1" customWidth="1" style="13" min="12" max="12"/>
    <col width="9.147857142857141" bestFit="1" customWidth="1" style="13" min="13" max="13"/>
    <col width="13.005" bestFit="1" customWidth="1" style="13" min="14" max="14"/>
    <col width="9.147857142857141" bestFit="1" customWidth="1" style="13" min="15" max="15"/>
    <col width="9.147857142857141" bestFit="1" customWidth="1" style="13" min="16" max="16"/>
    <col width="9.147857142857141" bestFit="1" customWidth="1" style="13" min="17" max="17"/>
    <col width="9.147857142857141" bestFit="1" customWidth="1" style="13" min="18" max="18"/>
    <col width="9.147857142857141" bestFit="1" customWidth="1" style="13" min="19" max="19"/>
    <col width="9.147857142857141" bestFit="1" customWidth="1" style="13" min="20" max="20"/>
    <col width="10.57642857142857" bestFit="1" customWidth="1" style="13" min="21" max="21"/>
  </cols>
  <sheetData>
    <row r="1" ht="24" customHeight="1">
      <c r="A1" s="133" t="n"/>
      <c r="B1" s="216" t="n"/>
      <c r="C1" s="216" t="n"/>
      <c r="D1" s="135" t="n"/>
      <c r="E1" s="136" t="inlineStr">
        <is>
          <t>Knowledge Base for Engineering (GA-1) 2021-2022</t>
        </is>
      </c>
      <c r="F1" s="217" t="n"/>
      <c r="G1" s="217" t="n"/>
      <c r="H1" s="217" t="n"/>
      <c r="I1" s="217" t="n"/>
      <c r="J1" s="217" t="n"/>
      <c r="K1" s="217" t="n"/>
      <c r="L1" s="217" t="n"/>
      <c r="M1" s="217" t="n"/>
      <c r="N1" s="218" t="n"/>
      <c r="O1" s="13" t="n"/>
      <c r="P1" s="13" t="n"/>
      <c r="Q1" s="13" t="n"/>
      <c r="R1" s="13" t="n"/>
      <c r="S1" s="13" t="n"/>
      <c r="T1" s="13" t="n"/>
      <c r="U1" s="13" t="n"/>
    </row>
    <row r="2" ht="19.5" customHeight="1">
      <c r="A2" s="139" t="n"/>
      <c r="B2" s="140" t="n"/>
      <c r="C2" s="140" t="n"/>
      <c r="D2" s="13" t="n"/>
      <c r="E2" s="13" t="n"/>
      <c r="F2" s="13" t="n"/>
      <c r="G2" s="13" t="n"/>
      <c r="H2" s="13" t="n"/>
      <c r="I2" s="13" t="n"/>
      <c r="J2" s="13" t="n"/>
      <c r="K2" s="13" t="n"/>
      <c r="L2" s="13" t="n"/>
      <c r="M2" s="13" t="n"/>
      <c r="N2" s="13" t="n"/>
      <c r="O2" s="13" t="n"/>
      <c r="P2" s="13" t="n"/>
      <c r="Q2" s="13" t="n"/>
      <c r="R2" s="13" t="n"/>
      <c r="S2" s="13" t="n"/>
      <c r="T2" s="13" t="n"/>
      <c r="U2" s="13" t="n"/>
    </row>
    <row r="3" ht="20.25" customHeight="1">
      <c r="A3" s="141" t="inlineStr">
        <is>
          <t>LO#</t>
        </is>
      </c>
      <c r="B3" s="142" t="inlineStr">
        <is>
          <t>GA-1</t>
        </is>
      </c>
      <c r="C3" s="143" t="n"/>
      <c r="D3" s="13" t="n"/>
      <c r="E3" s="144" t="inlineStr">
        <is>
          <t>Knowledge base for engineering (GA-1)</t>
        </is>
      </c>
      <c r="F3" s="217" t="n"/>
      <c r="G3" s="217" t="n"/>
      <c r="H3" s="217" t="n"/>
      <c r="I3" s="217" t="n"/>
      <c r="J3" s="217" t="n"/>
      <c r="K3" s="217" t="n"/>
      <c r="L3" s="219" t="n"/>
      <c r="M3" s="13" t="n"/>
      <c r="N3" s="146" t="n"/>
      <c r="O3" s="147" t="n"/>
      <c r="P3" s="220" t="n"/>
      <c r="Q3" s="220" t="n"/>
      <c r="R3" s="220" t="n"/>
      <c r="S3" s="220" t="n"/>
      <c r="T3" s="220" t="n"/>
      <c r="U3" s="221" t="n"/>
    </row>
    <row r="4" ht="17.25" customHeight="1">
      <c r="A4" s="4" t="inlineStr">
        <is>
          <t>EPHY-1170-1</t>
        </is>
      </c>
      <c r="B4" s="149" t="inlineStr">
        <is>
          <t>1a</t>
        </is>
      </c>
      <c r="C4" s="150" t="n"/>
      <c r="D4" s="13" t="n"/>
      <c r="E4" s="151" t="n"/>
      <c r="F4" s="179">
        <f>1&amp;CHAR(97+COLUMN()-COLUMN($F$4))</f>
        <v/>
      </c>
      <c r="G4" s="179">
        <f>1&amp;CHAR(97+COLUMN()-COLUMN($F$4))</f>
        <v/>
      </c>
      <c r="H4" s="179">
        <f>1&amp;CHAR(97+COLUMN()-COLUMN($F$4))</f>
        <v/>
      </c>
      <c r="I4" s="179">
        <f>1&amp;CHAR(97+COLUMN()-COLUMN($F$4))</f>
        <v/>
      </c>
      <c r="J4" s="179">
        <f>1&amp;CHAR(97+COLUMN()-COLUMN($F$4))</f>
        <v/>
      </c>
      <c r="K4" s="179">
        <f>1&amp;CHAR(97+COLUMN()-COLUMN($F$4))</f>
        <v/>
      </c>
      <c r="L4" s="153" t="inlineStr">
        <is>
          <t>Average</t>
        </is>
      </c>
      <c r="M4" s="13" t="n"/>
      <c r="N4" s="146" t="n"/>
      <c r="O4" s="154" t="n"/>
      <c r="P4" s="154" t="n"/>
      <c r="Q4" s="154" t="n"/>
      <c r="R4" s="154" t="n"/>
      <c r="S4" s="154" t="n"/>
      <c r="T4" s="154" t="n"/>
      <c r="U4" s="154" t="n"/>
    </row>
    <row r="5" ht="17.25" customHeight="1">
      <c r="A5" s="4" t="inlineStr">
        <is>
          <t>EPHY-1170-2</t>
        </is>
      </c>
      <c r="B5" s="149" t="inlineStr">
        <is>
          <t>1a</t>
        </is>
      </c>
      <c r="C5" s="150" t="n"/>
      <c r="D5" s="13" t="n"/>
      <c r="E5" s="197" t="inlineStr">
        <is>
          <t>Number of Courses</t>
        </is>
      </c>
      <c r="F5" s="156">
        <f>COUNTIF(F29:F76, "&gt;0")</f>
        <v/>
      </c>
      <c r="G5" s="156">
        <f>COUNTIF(G29:G76, "&gt;0")</f>
        <v/>
      </c>
      <c r="H5" s="156">
        <f>COUNTIF(H29:H76, "&gt;0")</f>
        <v/>
      </c>
      <c r="I5" s="156">
        <f>COUNTIF(I29:I76, "&gt;0")</f>
        <v/>
      </c>
      <c r="J5" s="156">
        <f>COUNTIF(J29:J76, "&gt;0")</f>
        <v/>
      </c>
      <c r="K5" s="156">
        <f>COUNTIF(K29:K76, "&gt;0")</f>
        <v/>
      </c>
      <c r="L5" s="157">
        <f>AVERAGE(F5:K5)</f>
        <v/>
      </c>
      <c r="M5" s="13" t="n"/>
      <c r="N5" s="154" t="n"/>
      <c r="O5" s="158" t="n"/>
      <c r="P5" s="158" t="n"/>
      <c r="Q5" s="158" t="n"/>
      <c r="R5" s="158" t="n"/>
      <c r="S5" s="158" t="n"/>
      <c r="T5" s="158" t="n"/>
      <c r="U5" s="154" t="n"/>
    </row>
    <row r="6" ht="17.25" customHeight="1">
      <c r="A6" s="4" t="inlineStr">
        <is>
          <t>EPHY-1170-3</t>
        </is>
      </c>
      <c r="B6" s="149" t="inlineStr">
        <is>
          <t>1a</t>
        </is>
      </c>
      <c r="C6" s="150" t="n"/>
      <c r="D6" s="13" t="n"/>
      <c r="E6" s="190" t="inlineStr">
        <is>
          <t>Number of CLO</t>
        </is>
      </c>
      <c r="F6" s="160">
        <f>COUNTIF(B:B, "1a")</f>
        <v/>
      </c>
      <c r="G6" s="160">
        <f>COUNTIF(B:B, "1b")</f>
        <v/>
      </c>
      <c r="H6" s="160">
        <f>COUNTIF(B:B, "1c")</f>
        <v/>
      </c>
      <c r="I6" s="160">
        <f>COUNTIF(B:B, "1d")</f>
        <v/>
      </c>
      <c r="J6" s="160">
        <f>COUNTIF(B:B, "1e")</f>
        <v/>
      </c>
      <c r="K6" s="160">
        <f>COUNTIF($B:$B, "1f")</f>
        <v/>
      </c>
      <c r="L6" s="161">
        <f>AVERAGE(F6:K6)</f>
        <v/>
      </c>
      <c r="M6" s="13" t="n"/>
      <c r="N6" s="154" t="n"/>
      <c r="O6" s="147" t="n"/>
      <c r="P6" s="220" t="n"/>
      <c r="Q6" s="220" t="n"/>
      <c r="R6" s="220" t="n"/>
      <c r="S6" s="220" t="n"/>
      <c r="T6" s="220" t="n"/>
      <c r="U6" s="221" t="n"/>
    </row>
    <row r="7" ht="17.25" customHeight="1">
      <c r="A7" s="4" t="inlineStr">
        <is>
          <t>EPHY-1170-4</t>
        </is>
      </c>
      <c r="B7" s="149" t="inlineStr">
        <is>
          <t>1a</t>
        </is>
      </c>
      <c r="C7" s="150" t="n"/>
      <c r="D7" s="13" t="n"/>
      <c r="E7" s="190" t="inlineStr">
        <is>
          <t>Introduced (Number of Courses)</t>
        </is>
      </c>
      <c r="F7" s="187">
        <f>COUNTIF('Indicator Map'!$B$11:$M$11, "*a*")</f>
        <v/>
      </c>
      <c r="G7" s="187">
        <f>COUNTIF('Indicator Map'!$B$11:$M$11, "*b*")</f>
        <v/>
      </c>
      <c r="H7" s="187">
        <f>COUNTIF('Indicator Map'!$B$11:$M$11, "*c*")</f>
        <v/>
      </c>
      <c r="I7" s="187">
        <f>COUNTIF('Indicator Map'!$B$11:$M$11, "*d*")</f>
        <v/>
      </c>
      <c r="J7" s="187">
        <f>COUNTIF('Indicator Map'!$B$11:$M$11, "*e*")</f>
        <v/>
      </c>
      <c r="K7" s="187">
        <f>COUNTIF('Indicator Map'!$B$11:$M$11, "*f*")</f>
        <v/>
      </c>
      <c r="L7" s="161">
        <f>AVERAGE(F7:K7)</f>
        <v/>
      </c>
      <c r="M7" s="13" t="n"/>
      <c r="N7" s="163" t="n"/>
      <c r="O7" s="154" t="n"/>
      <c r="P7" s="154" t="n"/>
      <c r="Q7" s="154" t="n"/>
      <c r="R7" s="154" t="n"/>
      <c r="S7" s="154" t="n"/>
      <c r="T7" s="154" t="n"/>
      <c r="U7" s="154" t="n"/>
    </row>
    <row r="8" ht="17.25" customHeight="1">
      <c r="A8" s="4" t="inlineStr">
        <is>
          <t>EPHY-1170-5</t>
        </is>
      </c>
      <c r="B8" s="149" t="inlineStr">
        <is>
          <t>1a</t>
        </is>
      </c>
      <c r="C8" s="150" t="n"/>
      <c r="D8" s="13" t="n"/>
      <c r="E8" s="190" t="inlineStr">
        <is>
          <t>Developed (Number of Courses)</t>
        </is>
      </c>
      <c r="F8" s="187">
        <f>COUNTIF('Indicator Map'!$B$14:$K$14, "*a*")</f>
        <v/>
      </c>
      <c r="G8" s="187">
        <f>COUNTIF('Indicator Map'!$B$14:$K$14, "*b*")</f>
        <v/>
      </c>
      <c r="H8" s="187">
        <f>COUNTIF('Indicator Map'!$B$14:$K$14, "*c*")</f>
        <v/>
      </c>
      <c r="I8" s="187">
        <f>COUNTIF('Indicator Map'!$B$14:$K$14, "*d*")</f>
        <v/>
      </c>
      <c r="J8" s="187">
        <f>COUNTIF('Indicator Map'!$B$14:$K$14, "*e*")</f>
        <v/>
      </c>
      <c r="K8" s="187">
        <f>COUNTIF('Indicator Map'!$B$14:$K$14, "*f*")</f>
        <v/>
      </c>
      <c r="L8" s="161">
        <f>AVERAGE(F8:K8)</f>
        <v/>
      </c>
      <c r="M8" s="13" t="n"/>
      <c r="N8" s="154" t="n"/>
      <c r="O8" s="164" t="n"/>
      <c r="P8" s="164" t="n"/>
      <c r="Q8" s="164" t="n"/>
      <c r="R8" s="164" t="n"/>
      <c r="S8" s="164" t="n"/>
      <c r="T8" s="164" t="n"/>
      <c r="U8" s="164" t="n"/>
    </row>
    <row r="9" ht="17.25" customHeight="1">
      <c r="A9" s="4" t="inlineStr">
        <is>
          <t>EPHY-1170-6</t>
        </is>
      </c>
      <c r="B9" s="149" t="inlineStr">
        <is>
          <t>1a</t>
        </is>
      </c>
      <c r="C9" s="150" t="n"/>
      <c r="D9" s="13" t="n"/>
      <c r="E9" s="193" t="inlineStr">
        <is>
          <t>Applied (Number of Courses)</t>
        </is>
      </c>
      <c r="F9" s="166">
        <f>COUNTIF('Indicator Map'!$B$17:$K$17, "*a*")</f>
        <v/>
      </c>
      <c r="G9" s="166">
        <f>COUNTIF('Indicator Map'!$B$17:$K$17, "*b*")</f>
        <v/>
      </c>
      <c r="H9" s="166">
        <f>COUNTIF('Indicator Map'!$B$17:$K$17, "*c*")</f>
        <v/>
      </c>
      <c r="I9" s="166">
        <f>COUNTIF('Indicator Map'!$B$17:$K$17, "*d*")</f>
        <v/>
      </c>
      <c r="J9" s="166">
        <f>COUNTIF('Indicator Map'!$B$17:$K$17, "*e*")</f>
        <v/>
      </c>
      <c r="K9" s="166">
        <f>COUNTIF('Indicator Map'!$B$17:$K$17, "*f*")</f>
        <v/>
      </c>
      <c r="L9" s="167">
        <f>AVERAGE(F9:K9)</f>
        <v/>
      </c>
      <c r="M9" s="13" t="n"/>
      <c r="N9" s="154" t="n"/>
      <c r="O9" s="164" t="n"/>
      <c r="P9" s="164" t="n"/>
      <c r="Q9" s="164" t="n"/>
      <c r="R9" s="164" t="n"/>
      <c r="S9" s="164" t="n"/>
      <c r="T9" s="164" t="n"/>
      <c r="U9" s="164" t="n"/>
    </row>
    <row r="10" ht="17.25" customHeight="1">
      <c r="A10" s="4" t="inlineStr">
        <is>
          <t>EPHY-1170-7</t>
        </is>
      </c>
      <c r="B10" s="149" t="inlineStr">
        <is>
          <t>1a</t>
        </is>
      </c>
      <c r="C10" s="150" t="n"/>
      <c r="D10" s="13" t="n"/>
      <c r="E10" s="168" t="inlineStr">
        <is>
          <t>Scale</t>
        </is>
      </c>
      <c r="F10" s="179">
        <f>1&amp;CHAR(97+COLUMN()-COLUMN($F$4))</f>
        <v/>
      </c>
      <c r="G10" s="179">
        <f>1&amp;CHAR(97+COLUMN()-COLUMN($F$4))</f>
        <v/>
      </c>
      <c r="H10" s="179">
        <f>1&amp;CHAR(97+COLUMN()-COLUMN($F$4))</f>
        <v/>
      </c>
      <c r="I10" s="179">
        <f>1&amp;CHAR(97+COLUMN()-COLUMN($F$4))</f>
        <v/>
      </c>
      <c r="J10" s="179">
        <f>1&amp;CHAR(97+COLUMN()-COLUMN($F$4))</f>
        <v/>
      </c>
      <c r="K10" s="179">
        <f>1&amp;CHAR(97+COLUMN()-COLUMN($F$4))</f>
        <v/>
      </c>
      <c r="L10" s="153" t="inlineStr">
        <is>
          <t>Average</t>
        </is>
      </c>
      <c r="M10" s="13" t="n"/>
      <c r="N10" s="154" t="n"/>
      <c r="O10" s="164" t="n"/>
      <c r="P10" s="164" t="n"/>
      <c r="Q10" s="164" t="n"/>
      <c r="R10" s="164" t="n"/>
      <c r="S10" s="164" t="n"/>
      <c r="T10" s="164" t="n"/>
      <c r="U10" s="164" t="n"/>
    </row>
    <row r="11" ht="17.25" customHeight="1">
      <c r="A11" s="4" t="inlineStr">
        <is>
          <t>EPHY-1170-8</t>
        </is>
      </c>
      <c r="B11" s="149" t="inlineStr">
        <is>
          <t>1a</t>
        </is>
      </c>
      <c r="C11" s="150" t="n"/>
      <c r="D11" s="13" t="n"/>
      <c r="E11" s="169" t="inlineStr">
        <is>
          <t>Below Expectation (C- and below)  (%)</t>
        </is>
      </c>
      <c r="F11" s="170">
        <f>'1a'!X55</f>
        <v/>
      </c>
      <c r="G11" s="170">
        <f>'1b'!AD55</f>
        <v/>
      </c>
      <c r="H11" s="170">
        <f>'1c'!M55</f>
        <v/>
      </c>
      <c r="I11" s="170">
        <f>'1d'!AC55</f>
        <v/>
      </c>
      <c r="J11" s="170">
        <f>'1e'!BR55</f>
        <v/>
      </c>
      <c r="K11" s="170">
        <f>'1f'!Y55</f>
        <v/>
      </c>
      <c r="L11" s="171">
        <f>AVERAGE(F11:K11)</f>
        <v/>
      </c>
      <c r="M11" s="13" t="n"/>
      <c r="N11" s="154" t="n"/>
      <c r="O11" s="164" t="n"/>
      <c r="P11" s="164" t="n"/>
      <c r="Q11" s="164" t="n"/>
      <c r="R11" s="164" t="n"/>
      <c r="S11" s="164" t="n"/>
      <c r="T11" s="164" t="n"/>
      <c r="U11" s="164" t="n"/>
    </row>
    <row r="12" ht="17.25" customHeight="1">
      <c r="A12" s="4" t="inlineStr">
        <is>
          <t>EPHY-1270-1</t>
        </is>
      </c>
      <c r="B12" s="149" t="inlineStr">
        <is>
          <t>1a</t>
        </is>
      </c>
      <c r="C12" s="150" t="n"/>
      <c r="D12" s="13" t="n"/>
      <c r="E12" s="172" t="inlineStr">
        <is>
          <t>Marginal (C+, C)  (%)</t>
        </is>
      </c>
      <c r="F12" s="173">
        <f>'1a'!X56</f>
        <v/>
      </c>
      <c r="G12" s="173">
        <f>'1b'!AD56</f>
        <v/>
      </c>
      <c r="H12" s="173">
        <f>'1c'!M56</f>
        <v/>
      </c>
      <c r="I12" s="173">
        <f>'1d'!AC56</f>
        <v/>
      </c>
      <c r="J12" s="170">
        <f>'1e'!BR56</f>
        <v/>
      </c>
      <c r="K12" s="170">
        <f>'1f'!Y56</f>
        <v/>
      </c>
      <c r="L12" s="171">
        <f>AVERAGE(F12:K12)</f>
        <v/>
      </c>
      <c r="M12" s="13" t="n"/>
      <c r="N12" s="154" t="n"/>
      <c r="O12" s="164" t="n"/>
      <c r="P12" s="164" t="n"/>
      <c r="Q12" s="164" t="n"/>
      <c r="R12" s="164" t="n"/>
      <c r="S12" s="164" t="n"/>
      <c r="T12" s="164" t="n"/>
      <c r="U12" s="164" t="n"/>
    </row>
    <row r="13" ht="17.25" customHeight="1">
      <c r="A13" s="4" t="inlineStr">
        <is>
          <t>EPHY-1270-2</t>
        </is>
      </c>
      <c r="B13" s="149" t="inlineStr">
        <is>
          <t>1a</t>
        </is>
      </c>
      <c r="C13" s="150" t="n"/>
      <c r="D13" s="13" t="n"/>
      <c r="E13" s="172" t="inlineStr">
        <is>
          <t>Meets Expectation (B+, B, B-) (%)</t>
        </is>
      </c>
      <c r="F13" s="173">
        <f>'1a'!X57</f>
        <v/>
      </c>
      <c r="G13" s="173">
        <f>'1b'!AD57</f>
        <v/>
      </c>
      <c r="H13" s="173">
        <f>'1c'!M57</f>
        <v/>
      </c>
      <c r="I13" s="173">
        <f>'1d'!AC57</f>
        <v/>
      </c>
      <c r="J13" s="170">
        <f>'1e'!BR57</f>
        <v/>
      </c>
      <c r="K13" s="170">
        <f>'1f'!Y57</f>
        <v/>
      </c>
      <c r="L13" s="171">
        <f>AVERAGE(F13:K13)</f>
        <v/>
      </c>
      <c r="M13" s="13" t="n"/>
      <c r="N13" s="154" t="n"/>
      <c r="O13" s="164" t="n"/>
      <c r="P13" s="164" t="n"/>
      <c r="Q13" s="164" t="n"/>
      <c r="R13" s="164" t="n"/>
      <c r="S13" s="164" t="n"/>
      <c r="T13" s="164" t="n"/>
      <c r="U13" s="164" t="n"/>
    </row>
    <row r="14" ht="17.25" customHeight="1">
      <c r="A14" s="4" t="inlineStr">
        <is>
          <t>EPHY-1270-3</t>
        </is>
      </c>
      <c r="B14" s="149" t="inlineStr">
        <is>
          <t>1a</t>
        </is>
      </c>
      <c r="C14" s="150" t="n"/>
      <c r="D14" s="13" t="n"/>
      <c r="E14" s="172" t="inlineStr">
        <is>
          <t>Exceeds Expectation (A+, A, A-) (%)</t>
        </is>
      </c>
      <c r="F14" s="173">
        <f>'1a'!X58</f>
        <v/>
      </c>
      <c r="G14" s="173">
        <f>'1b'!AD58</f>
        <v/>
      </c>
      <c r="H14" s="173">
        <f>'1c'!M58</f>
        <v/>
      </c>
      <c r="I14" s="173">
        <f>'1d'!AC58</f>
        <v/>
      </c>
      <c r="J14" s="170">
        <f>'1e'!BR58</f>
        <v/>
      </c>
      <c r="K14" s="170">
        <f>'1f'!Y58</f>
        <v/>
      </c>
      <c r="L14" s="171">
        <f>AVERAGE(F14:K14)</f>
        <v/>
      </c>
      <c r="M14" s="13" t="n"/>
      <c r="N14" s="154" t="n"/>
      <c r="O14" s="164" t="n"/>
      <c r="P14" s="164" t="n"/>
      <c r="Q14" s="164" t="n"/>
      <c r="R14" s="164" t="n"/>
      <c r="S14" s="164" t="n"/>
      <c r="T14" s="164" t="n"/>
      <c r="U14" s="164" t="n"/>
    </row>
    <row r="15" ht="17.25" customHeight="1">
      <c r="A15" s="4" t="inlineStr">
        <is>
          <t>EPHY-1270-4</t>
        </is>
      </c>
      <c r="B15" s="149" t="inlineStr">
        <is>
          <t>1a</t>
        </is>
      </c>
      <c r="C15" s="150" t="n"/>
      <c r="D15" s="13" t="n"/>
      <c r="E15" s="190" t="inlineStr">
        <is>
          <t>Frequency Distribution Analysis (70% cutoff)</t>
        </is>
      </c>
      <c r="F15" s="173">
        <f>SUM(F13:F14)</f>
        <v/>
      </c>
      <c r="G15" s="173">
        <f>SUM(G13:G14)</f>
        <v/>
      </c>
      <c r="H15" s="173">
        <f>SUM(H13:H14)</f>
        <v/>
      </c>
      <c r="I15" s="173">
        <f>SUM(I13:I14)</f>
        <v/>
      </c>
      <c r="J15" s="173">
        <f>SUM(J13:J14)</f>
        <v/>
      </c>
      <c r="K15" s="173">
        <f>SUM(K13:K14)</f>
        <v/>
      </c>
      <c r="L15" s="174">
        <f>AVERAGE(F15:K15)</f>
        <v/>
      </c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</row>
    <row r="16" ht="17.25" customHeight="1">
      <c r="A16" s="4" t="inlineStr">
        <is>
          <t>EPHY-1270-5</t>
        </is>
      </c>
      <c r="B16" s="149" t="inlineStr">
        <is>
          <t>1a</t>
        </is>
      </c>
      <c r="C16" s="150" t="n"/>
      <c r="D16" s="13" t="n"/>
      <c r="E16" s="172" t="inlineStr">
        <is>
          <t>Overall indicator simple Average Analysis</t>
        </is>
      </c>
      <c r="F16" s="175">
        <f>'1a'!B44</f>
        <v/>
      </c>
      <c r="G16" s="175">
        <f>'1b'!B44</f>
        <v/>
      </c>
      <c r="H16" s="175">
        <f>'1c'!B44</f>
        <v/>
      </c>
      <c r="I16" s="175">
        <f>'1d'!B44</f>
        <v/>
      </c>
      <c r="J16" s="176">
        <f>'1e'!B44</f>
        <v/>
      </c>
      <c r="K16" s="175">
        <f>'1f'!B44</f>
        <v/>
      </c>
      <c r="L16" s="177">
        <f>AVERAGE(F16:K16)</f>
        <v/>
      </c>
      <c r="M16" s="13" t="n"/>
      <c r="N16" s="13" t="n"/>
      <c r="O16" s="13" t="n"/>
      <c r="P16" s="13" t="n"/>
      <c r="Q16" s="13" t="n"/>
      <c r="R16" s="13" t="n"/>
      <c r="S16" s="13" t="n"/>
      <c r="T16" s="13" t="n"/>
      <c r="U16" s="13" t="n"/>
    </row>
    <row r="17" ht="17.25" customHeight="1">
      <c r="A17" s="4" t="inlineStr">
        <is>
          <t>EPHY-1270-6</t>
        </is>
      </c>
      <c r="B17" s="149" t="inlineStr">
        <is>
          <t>1a</t>
        </is>
      </c>
      <c r="C17" s="150" t="n"/>
      <c r="D17" s="13" t="n"/>
      <c r="E17" s="178" t="inlineStr">
        <is>
          <t>Assessment Tool</t>
        </is>
      </c>
      <c r="F17" s="179" t="inlineStr">
        <is>
          <t>1a</t>
        </is>
      </c>
      <c r="G17" s="179" t="inlineStr">
        <is>
          <t>1b</t>
        </is>
      </c>
      <c r="H17" s="179" t="inlineStr">
        <is>
          <t>1c</t>
        </is>
      </c>
      <c r="I17" s="179" t="inlineStr">
        <is>
          <t>1d</t>
        </is>
      </c>
      <c r="J17" s="179" t="inlineStr">
        <is>
          <t>1e</t>
        </is>
      </c>
      <c r="K17" s="179" t="inlineStr">
        <is>
          <t>1f</t>
        </is>
      </c>
      <c r="L17" s="153" t="inlineStr">
        <is>
          <t>Average</t>
        </is>
      </c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</row>
    <row r="18" ht="17.25" customHeight="1">
      <c r="A18" s="4" t="inlineStr">
        <is>
          <t>EPHY-1270-7</t>
        </is>
      </c>
      <c r="B18" s="149" t="inlineStr">
        <is>
          <t>1a</t>
        </is>
      </c>
      <c r="C18" s="150" t="n"/>
      <c r="D18" s="13" t="n"/>
      <c r="E18" s="169" t="inlineStr">
        <is>
          <t>Assignment</t>
        </is>
      </c>
      <c r="F18" s="180">
        <f>'1a'!B51/'1a'!I51</f>
        <v/>
      </c>
      <c r="G18" s="180">
        <f>'1b'!B51/'1b'!I51</f>
        <v/>
      </c>
      <c r="H18" s="180">
        <f>'1c'!B51/'1c'!I51</f>
        <v/>
      </c>
      <c r="I18" s="180">
        <f>'1d'!B51/'1d'!I51</f>
        <v/>
      </c>
      <c r="J18" s="180">
        <f>'1e'!B51/'1e'!I51</f>
        <v/>
      </c>
      <c r="K18" s="180">
        <f>'1f'!B51/'1f'!I51</f>
        <v/>
      </c>
      <c r="L18" s="181">
        <f>AVERAGE(F18:K18)</f>
        <v/>
      </c>
      <c r="M18" s="182" t="n"/>
      <c r="N18" s="13" t="n"/>
      <c r="O18" s="13" t="n"/>
      <c r="P18" s="13" t="n"/>
      <c r="Q18" s="13" t="n"/>
      <c r="R18" s="13" t="n"/>
      <c r="S18" s="13" t="n"/>
      <c r="T18" s="13" t="n"/>
      <c r="U18" s="13" t="n"/>
    </row>
    <row r="19" ht="17.25" customHeight="1">
      <c r="A19" s="4" t="inlineStr">
        <is>
          <t>EPHY-1270-8</t>
        </is>
      </c>
      <c r="B19" s="149" t="inlineStr">
        <is>
          <t>1a</t>
        </is>
      </c>
      <c r="C19" s="150" t="n"/>
      <c r="D19" s="13" t="n"/>
      <c r="E19" s="172" t="inlineStr">
        <is>
          <t>Quiz</t>
        </is>
      </c>
      <c r="F19" s="183">
        <f>'1a'!C51/'1a'!I51</f>
        <v/>
      </c>
      <c r="G19" s="180">
        <f>'1b'!C51/'1b'!I51</f>
        <v/>
      </c>
      <c r="H19" s="183">
        <f>'1c'!C51/'1c'!I51</f>
        <v/>
      </c>
      <c r="I19" s="183">
        <f>'1d'!C51/'1d'!I51</f>
        <v/>
      </c>
      <c r="J19" s="183">
        <f>'1e'!C51/'1e'!I51</f>
        <v/>
      </c>
      <c r="K19" s="183">
        <f>'1f'!C51/'1f'!I51</f>
        <v/>
      </c>
      <c r="L19" s="184">
        <f>AVERAGE(F19:K19)</f>
        <v/>
      </c>
      <c r="M19" s="182" t="n"/>
      <c r="N19" s="13" t="n"/>
      <c r="O19" s="13" t="n"/>
      <c r="P19" s="13" t="n"/>
      <c r="Q19" s="13" t="n"/>
      <c r="R19" s="13" t="n"/>
      <c r="S19" s="13" t="n"/>
      <c r="T19" s="13" t="n"/>
      <c r="U19" s="13" t="n"/>
    </row>
    <row r="20" ht="17.25" customHeight="1">
      <c r="A20" s="4" t="inlineStr">
        <is>
          <t>CHEM-1520-1</t>
        </is>
      </c>
      <c r="B20" s="149" t="inlineStr">
        <is>
          <t>1a</t>
        </is>
      </c>
      <c r="C20" s="150" t="n"/>
      <c r="D20" s="13" t="n"/>
      <c r="E20" s="172" t="inlineStr">
        <is>
          <t>Mid Term</t>
        </is>
      </c>
      <c r="F20" s="183">
        <f>'1a'!D51/'1a'!I51</f>
        <v/>
      </c>
      <c r="G20" s="180">
        <f>'1b'!D51/'1b'!I51</f>
        <v/>
      </c>
      <c r="H20" s="183">
        <f>'1c'!D51/'1c'!I51</f>
        <v/>
      </c>
      <c r="I20" s="183">
        <f>'1d'!D51/'1d'!I51</f>
        <v/>
      </c>
      <c r="J20" s="183">
        <f>'1e'!D51/'1e'!I51</f>
        <v/>
      </c>
      <c r="K20" s="183">
        <f>'1f'!D51/'1f'!I51</f>
        <v/>
      </c>
      <c r="L20" s="184">
        <f>AVERAGE(F20:K20)</f>
        <v/>
      </c>
      <c r="M20" s="182" t="n"/>
      <c r="N20" s="13" t="n"/>
      <c r="O20" s="13" t="n"/>
      <c r="P20" s="13" t="n"/>
      <c r="Q20" s="13" t="n"/>
      <c r="R20" s="13" t="n"/>
      <c r="S20" s="13" t="n"/>
      <c r="T20" s="13" t="n"/>
      <c r="U20" s="13" t="n"/>
    </row>
    <row r="21" ht="17.25" customHeight="1">
      <c r="A21" s="4" t="inlineStr">
        <is>
          <t>CHEM-1520-2</t>
        </is>
      </c>
      <c r="B21" s="149" t="inlineStr">
        <is>
          <t>1a</t>
        </is>
      </c>
      <c r="C21" s="150" t="n"/>
      <c r="D21" s="13" t="n"/>
      <c r="E21" s="172" t="inlineStr">
        <is>
          <t>Final Exam</t>
        </is>
      </c>
      <c r="F21" s="183">
        <f>'1a'!E51/'1a'!I51</f>
        <v/>
      </c>
      <c r="G21" s="180">
        <f>'1b'!E51/'1b'!I51</f>
        <v/>
      </c>
      <c r="H21" s="183">
        <f>'1c'!E51/'1c'!I51</f>
        <v/>
      </c>
      <c r="I21" s="183">
        <f>'1d'!E51/'1d'!I51</f>
        <v/>
      </c>
      <c r="J21" s="183">
        <f>'1e'!E51/'1e'!I51</f>
        <v/>
      </c>
      <c r="K21" s="183">
        <f>'1f'!E51/'1f'!I51</f>
        <v/>
      </c>
      <c r="L21" s="184">
        <f>AVERAGE(F21:K21)</f>
        <v/>
      </c>
      <c r="M21" s="182" t="n"/>
      <c r="N21" s="13" t="n"/>
      <c r="O21" s="13" t="n"/>
      <c r="P21" s="13" t="n"/>
      <c r="Q21" s="13" t="n"/>
      <c r="R21" s="13" t="n"/>
      <c r="S21" s="13" t="n"/>
      <c r="T21" s="13" t="n"/>
      <c r="U21" s="13" t="n"/>
    </row>
    <row r="22" ht="17.25" customHeight="1">
      <c r="A22" s="4" t="inlineStr">
        <is>
          <t>CHEM-1520-3</t>
        </is>
      </c>
      <c r="B22" s="149" t="inlineStr">
        <is>
          <t>1a</t>
        </is>
      </c>
      <c r="C22" s="150" t="n"/>
      <c r="D22" s="13" t="n"/>
      <c r="E22" s="190" t="inlineStr">
        <is>
          <t>Project</t>
        </is>
      </c>
      <c r="F22" s="183">
        <f>'1a'!F51/'1a'!I51</f>
        <v/>
      </c>
      <c r="G22" s="180">
        <f>'1b'!F51/'1b'!I51</f>
        <v/>
      </c>
      <c r="H22" s="183">
        <f>'1c'!F51/'1c'!I51</f>
        <v/>
      </c>
      <c r="I22" s="183">
        <f>'1d'!F51/'1d'!I51</f>
        <v/>
      </c>
      <c r="J22" s="183">
        <f>'1e'!F51/'1e'!I51</f>
        <v/>
      </c>
      <c r="K22" s="183">
        <f>'1f'!F51/'1f'!I51</f>
        <v/>
      </c>
      <c r="L22" s="184">
        <f>AVERAGE(F22:K22)</f>
        <v/>
      </c>
      <c r="M22" s="182" t="n"/>
      <c r="N22" s="13" t="n"/>
      <c r="O22" s="13" t="n"/>
      <c r="P22" s="13" t="n"/>
      <c r="Q22" s="13" t="n"/>
      <c r="R22" s="13" t="n"/>
      <c r="S22" s="13" t="n"/>
      <c r="T22" s="13" t="n"/>
      <c r="U22" s="13" t="n"/>
    </row>
    <row r="23" ht="17.25" customHeight="1">
      <c r="A23" s="4" t="inlineStr">
        <is>
          <t>CHEM-1520-4</t>
        </is>
      </c>
      <c r="B23" s="149" t="inlineStr">
        <is>
          <t>1a</t>
        </is>
      </c>
      <c r="C23" s="150" t="n"/>
      <c r="D23" s="13" t="n"/>
      <c r="E23" s="190" t="inlineStr">
        <is>
          <t>Lab</t>
        </is>
      </c>
      <c r="F23" s="183">
        <f>'1a'!G51/'1a'!I51</f>
        <v/>
      </c>
      <c r="G23" s="180">
        <f>'1b'!G51/'1b'!I51</f>
        <v/>
      </c>
      <c r="H23" s="183">
        <f>'1c'!G51/'1c'!I51</f>
        <v/>
      </c>
      <c r="I23" s="183">
        <f>'1d'!G51/'1d'!I51</f>
        <v/>
      </c>
      <c r="J23" s="183">
        <f>'1e'!G51/'1e'!I51</f>
        <v/>
      </c>
      <c r="K23" s="183">
        <f>'1f'!G51/'1f'!I51</f>
        <v/>
      </c>
      <c r="L23" s="184">
        <f>AVERAGE(F23:K23)</f>
        <v/>
      </c>
      <c r="M23" s="182" t="n"/>
      <c r="N23" s="13" t="n"/>
      <c r="O23" s="13" t="n"/>
      <c r="P23" s="13" t="n"/>
      <c r="Q23" s="13" t="n"/>
      <c r="R23" s="13" t="n"/>
      <c r="S23" s="13" t="n"/>
      <c r="T23" s="13" t="n"/>
      <c r="U23" s="13" t="n"/>
    </row>
    <row r="24" ht="17.25" customHeight="1">
      <c r="A24" s="4" t="inlineStr">
        <is>
          <t>CHEM-1520-5</t>
        </is>
      </c>
      <c r="B24" s="149" t="inlineStr">
        <is>
          <t>1a</t>
        </is>
      </c>
      <c r="C24" s="150" t="n"/>
      <c r="D24" s="13" t="n"/>
      <c r="E24" s="172" t="inlineStr">
        <is>
          <t>Anyother</t>
        </is>
      </c>
      <c r="F24" s="183">
        <f>'1a'!H51/'1a'!I51</f>
        <v/>
      </c>
      <c r="G24" s="180">
        <f>'1b'!H51/'1b'!I51</f>
        <v/>
      </c>
      <c r="H24" s="183">
        <f>'1c'!H51/'1c'!I51</f>
        <v/>
      </c>
      <c r="I24" s="183">
        <f>'1d'!H51/'1d'!I51</f>
        <v/>
      </c>
      <c r="J24" s="183">
        <f>'1e'!H51/'1e'!I51</f>
        <v/>
      </c>
      <c r="K24" s="183">
        <f>'1f'!H51/'1f'!I51</f>
        <v/>
      </c>
      <c r="L24" s="184">
        <f>AVERAGE(F24:K24)</f>
        <v/>
      </c>
      <c r="M24" s="182" t="n"/>
      <c r="N24" s="13" t="n"/>
      <c r="O24" s="13" t="n"/>
      <c r="P24" s="13" t="n"/>
      <c r="Q24" s="13" t="n"/>
      <c r="R24" s="13" t="n"/>
      <c r="S24" s="13" t="n"/>
      <c r="T24" s="13" t="n"/>
      <c r="U24" s="13" t="n"/>
    </row>
    <row r="25" ht="17.25" customHeight="1">
      <c r="A25" s="4" t="inlineStr">
        <is>
          <t>CHEM-1520-6</t>
        </is>
      </c>
      <c r="B25" s="149" t="inlineStr">
        <is>
          <t>1a</t>
        </is>
      </c>
      <c r="C25" s="150" t="n"/>
      <c r="D25" s="13" t="n"/>
      <c r="E25" s="13" t="n"/>
      <c r="F25" s="13" t="n"/>
      <c r="G25" s="13" t="n"/>
      <c r="H25" s="13" t="n"/>
      <c r="I25" s="13" t="n"/>
      <c r="J25" s="13" t="n"/>
      <c r="K25" s="13" t="n"/>
      <c r="L25" s="185" t="n"/>
      <c r="M25" s="182" t="n"/>
      <c r="N25" s="13" t="n"/>
      <c r="O25" s="13" t="n"/>
      <c r="P25" s="13" t="n"/>
      <c r="Q25" s="13" t="n"/>
      <c r="R25" s="13" t="n"/>
      <c r="S25" s="13" t="n"/>
      <c r="T25" s="13" t="n"/>
      <c r="U25" s="13" t="n"/>
    </row>
    <row r="26" ht="17.25" customHeight="1">
      <c r="A26" s="4" t="inlineStr">
        <is>
          <t>MATH-1300-1</t>
        </is>
      </c>
      <c r="B26" s="149" t="inlineStr">
        <is>
          <t>1b</t>
        </is>
      </c>
      <c r="C26" s="150" t="n"/>
      <c r="D26" s="13" t="n"/>
      <c r="E26" s="182" t="n"/>
      <c r="F26" s="182" t="n"/>
      <c r="G26" s="182" t="n"/>
      <c r="H26" s="182" t="n"/>
      <c r="I26" s="182" t="n"/>
      <c r="J26" s="182" t="n"/>
      <c r="K26" s="182" t="n"/>
      <c r="L26" s="182" t="n"/>
      <c r="M26" s="182" t="n"/>
      <c r="N26" s="13" t="n"/>
      <c r="O26" s="13" t="n"/>
      <c r="P26" s="13" t="n"/>
      <c r="Q26" s="13" t="n"/>
      <c r="R26" s="13" t="n"/>
      <c r="S26" s="13" t="n"/>
      <c r="T26" s="13" t="n"/>
      <c r="U26" s="13" t="n"/>
    </row>
    <row r="27" ht="17.25" customHeight="1">
      <c r="A27" s="4" t="inlineStr">
        <is>
          <t>MATH-1300-2</t>
        </is>
      </c>
      <c r="B27" s="149" t="inlineStr">
        <is>
          <t>1b</t>
        </is>
      </c>
      <c r="C27" s="150" t="n"/>
      <c r="D27" s="13" t="n"/>
      <c r="E27" s="13" t="n"/>
      <c r="F27" s="182" t="n"/>
      <c r="G27" s="13" t="n"/>
      <c r="H27" s="182" t="n"/>
      <c r="I27" s="182" t="n"/>
      <c r="J27" s="182" t="n"/>
      <c r="K27" s="182" t="n"/>
      <c r="L27" s="182" t="n"/>
      <c r="M27" s="182" t="n"/>
      <c r="N27" s="13" t="n"/>
      <c r="O27" s="13" t="n"/>
      <c r="P27" s="13" t="n"/>
      <c r="Q27" s="13" t="n"/>
      <c r="R27" s="13" t="n"/>
      <c r="S27" s="13" t="n"/>
      <c r="T27" s="13" t="n"/>
      <c r="U27" s="13" t="n"/>
    </row>
    <row r="28" ht="17.25" customHeight="1">
      <c r="A28" s="4" t="inlineStr">
        <is>
          <t>MATH-1300-3</t>
        </is>
      </c>
      <c r="B28" s="149" t="inlineStr">
        <is>
          <t>1b</t>
        </is>
      </c>
      <c r="C28" s="216" t="n"/>
      <c r="D28" s="186" t="inlineStr">
        <is>
          <t>Total LO</t>
        </is>
      </c>
      <c r="E28" s="187" t="inlineStr">
        <is>
          <t>Course</t>
        </is>
      </c>
      <c r="F28" s="187" t="inlineStr">
        <is>
          <t>1a</t>
        </is>
      </c>
      <c r="G28" s="187" t="inlineStr">
        <is>
          <t>1b</t>
        </is>
      </c>
      <c r="H28" s="187" t="inlineStr">
        <is>
          <t>1c</t>
        </is>
      </c>
      <c r="I28" s="187" t="inlineStr">
        <is>
          <t>1d</t>
        </is>
      </c>
      <c r="J28" s="187" t="inlineStr">
        <is>
          <t>1e</t>
        </is>
      </c>
      <c r="K28" s="187" t="inlineStr">
        <is>
          <t>1f</t>
        </is>
      </c>
      <c r="L28" s="187" t="inlineStr">
        <is>
          <t>Total</t>
        </is>
      </c>
      <c r="M28" s="13" t="n"/>
      <c r="N28" s="13" t="n"/>
      <c r="O28" s="13" t="n"/>
      <c r="P28" s="13" t="n"/>
      <c r="Q28" s="13" t="n"/>
      <c r="R28" s="13" t="n"/>
      <c r="S28" s="13" t="n"/>
      <c r="T28" s="13" t="n"/>
      <c r="U28" s="13" t="n"/>
    </row>
    <row r="29" ht="17.25" customHeight="1">
      <c r="A29" s="4" t="inlineStr">
        <is>
          <t>MATH-1300-4</t>
        </is>
      </c>
      <c r="B29" s="149" t="inlineStr">
        <is>
          <t>1b</t>
        </is>
      </c>
      <c r="C29" s="216" t="n"/>
      <c r="D29" s="189">
        <f>COUNTIF(A:A, "CENG-2010*")</f>
        <v/>
      </c>
      <c r="E29" s="189" t="inlineStr">
        <is>
          <t>CENG 2010</t>
        </is>
      </c>
      <c r="F29" s="190">
        <f>COUNTIF('1a'!$A$1:$W$1, "CENG-2010*")</f>
        <v/>
      </c>
      <c r="G29" s="190">
        <f>COUNTIF('1b'!$B$1:$AC$1, "CENG-2010*")</f>
        <v/>
      </c>
      <c r="H29" s="190">
        <f>COUNTIF('1c'!$B$1:$L$1, "CENG-2010*")</f>
        <v/>
      </c>
      <c r="I29" s="190">
        <f>COUNTIF('1d'!$B$1:$AB$1, "CENG-2010*")</f>
        <v/>
      </c>
      <c r="J29" s="191">
        <f>COUNTIFS('1e'!$B$1:$BN$1, "CENG-2010*")</f>
        <v/>
      </c>
      <c r="K29" s="190">
        <f>COUNTIF('1f'!$B$1:$V$1, "CENG-2010*")</f>
        <v/>
      </c>
      <c r="L29" s="192">
        <f>SUM(F29:K29)</f>
        <v/>
      </c>
      <c r="M29" s="13" t="n"/>
      <c r="N29" s="13" t="n"/>
      <c r="O29" s="13" t="n"/>
      <c r="P29" s="13" t="n"/>
      <c r="Q29" s="13" t="n"/>
      <c r="R29" s="13" t="n"/>
      <c r="S29" s="13" t="n"/>
      <c r="T29" s="13" t="n"/>
      <c r="U29" s="13" t="n"/>
    </row>
    <row r="30" ht="17.25" customHeight="1">
      <c r="A30" s="4" t="inlineStr">
        <is>
          <t>MATH-1300-5</t>
        </is>
      </c>
      <c r="B30" s="149" t="inlineStr">
        <is>
          <t>1b</t>
        </is>
      </c>
      <c r="C30" s="216" t="n"/>
      <c r="D30" s="189">
        <f>COUNTIF(A:A, "CENG-2030*")</f>
        <v/>
      </c>
      <c r="E30" s="189" t="inlineStr">
        <is>
          <t>CENG 2030</t>
        </is>
      </c>
      <c r="F30" s="190">
        <f>COUNTIF('1a'!$A$1:$W$1, "CENG-2030*")</f>
        <v/>
      </c>
      <c r="G30" s="190">
        <f>COUNTIF('1b'!$B$1:$AC$1, "CENG-2030*")</f>
        <v/>
      </c>
      <c r="H30" s="190">
        <f>COUNTIF('1c'!$B$1:$L$1, "CENG-2030*")</f>
        <v/>
      </c>
      <c r="I30" s="190">
        <f>COUNTIF('1d'!$B$1:$AB$1, "CENG-2030*")</f>
        <v/>
      </c>
      <c r="J30" s="191">
        <f>COUNTIFS('1e'!$B$1:$BN$1, "CENG-2030*")</f>
        <v/>
      </c>
      <c r="K30" s="190">
        <f>COUNTIF('1f'!$B$1:$V$1, "CENG-2030*")</f>
        <v/>
      </c>
      <c r="L30" s="192">
        <f>SUM(F30:K30)</f>
        <v/>
      </c>
      <c r="M30" s="13" t="n"/>
      <c r="N30" s="13" t="n"/>
      <c r="O30" s="13" t="n"/>
      <c r="P30" s="13" t="n"/>
      <c r="Q30" s="13" t="n"/>
      <c r="R30" s="13" t="n"/>
      <c r="S30" s="13" t="n"/>
      <c r="T30" s="13" t="n"/>
      <c r="U30" s="13" t="n"/>
    </row>
    <row r="31" ht="17.25" customHeight="1">
      <c r="A31" s="4" t="inlineStr">
        <is>
          <t>MATH-1300-6</t>
        </is>
      </c>
      <c r="B31" s="149" t="inlineStr">
        <is>
          <t>1b</t>
        </is>
      </c>
      <c r="C31" s="216" t="n"/>
      <c r="D31" s="189">
        <f>COUNTIF(A:A, "CENG-3010*")</f>
        <v/>
      </c>
      <c r="E31" s="189" t="inlineStr">
        <is>
          <t>CENG 3010</t>
        </is>
      </c>
      <c r="F31" s="190">
        <f>COUNTIF('1a'!$A$1:$W$1, "CENG-3010*")</f>
        <v/>
      </c>
      <c r="G31" s="190">
        <f>COUNTIF('1b'!$B$1:$AC$1, "CENG-3010*")</f>
        <v/>
      </c>
      <c r="H31" s="190">
        <f>COUNTIF('1c'!$B$1:$L$1, "CENG-3010*")</f>
        <v/>
      </c>
      <c r="I31" s="190">
        <f>COUNTIF('1d'!$B$1:$AB$1, "CENG-3010*")</f>
        <v/>
      </c>
      <c r="J31" s="191">
        <f>COUNTIFS('1e'!$B$1:$BN$1, "CENG-3010*")</f>
        <v/>
      </c>
      <c r="K31" s="190">
        <f>COUNTIF('1f'!$B$1:$V$1, "CENG-3010*")</f>
        <v/>
      </c>
      <c r="L31" s="192">
        <f>SUM(F31:K31)</f>
        <v/>
      </c>
      <c r="M31" s="13" t="n"/>
      <c r="N31" s="13" t="n"/>
      <c r="O31" s="13" t="n"/>
      <c r="P31" s="13" t="n"/>
      <c r="Q31" s="13" t="n"/>
      <c r="R31" s="13" t="n"/>
      <c r="S31" s="13" t="n"/>
      <c r="T31" s="13" t="n"/>
      <c r="U31" s="13" t="n"/>
    </row>
    <row r="32" ht="17.25" customHeight="1">
      <c r="A32" s="4" t="inlineStr">
        <is>
          <t>MATH-1300-7</t>
        </is>
      </c>
      <c r="B32" s="149" t="inlineStr">
        <is>
          <t>1b</t>
        </is>
      </c>
      <c r="C32" s="216" t="n"/>
      <c r="D32" s="189">
        <f>COUNTIF(A:A, "CENG-3020*")</f>
        <v/>
      </c>
      <c r="E32" s="189" t="inlineStr">
        <is>
          <t>CENG 3020</t>
        </is>
      </c>
      <c r="F32" s="190">
        <f>COUNTIF('1a'!$A$1:$W$1, "CENG-3020*")</f>
        <v/>
      </c>
      <c r="G32" s="190">
        <f>COUNTIF('1b'!$B$1:$AC$1, "CENG-3020*")</f>
        <v/>
      </c>
      <c r="H32" s="190">
        <f>COUNTIF('1c'!$B$1:$L$1, "CENG-3020*")</f>
        <v/>
      </c>
      <c r="I32" s="190">
        <f>COUNTIF('1d'!$B$1:$AB$1, "CENG-3020*")</f>
        <v/>
      </c>
      <c r="J32" s="191">
        <f>COUNTIFS('1e'!$B$1:$BN$1, "CENG-3020*")</f>
        <v/>
      </c>
      <c r="K32" s="190">
        <f>COUNTIF('1f'!$B$1:$V$1, "CENG-3020*")</f>
        <v/>
      </c>
      <c r="L32" s="192">
        <f>SUM(F32:K32)</f>
        <v/>
      </c>
      <c r="M32" s="13" t="n"/>
      <c r="N32" s="13" t="n"/>
      <c r="O32" s="13" t="n"/>
      <c r="P32" s="13" t="n"/>
      <c r="Q32" s="13" t="n"/>
      <c r="R32" s="13" t="n"/>
      <c r="S32" s="13" t="n"/>
      <c r="T32" s="13" t="n"/>
      <c r="U32" s="13" t="n"/>
    </row>
    <row r="33" ht="17.25" customHeight="1">
      <c r="A33" s="4" t="inlineStr">
        <is>
          <t>MATH-1300-8</t>
        </is>
      </c>
      <c r="B33" s="149" t="inlineStr">
        <is>
          <t>1b</t>
        </is>
      </c>
      <c r="C33" s="216" t="n"/>
      <c r="D33" s="189">
        <f>COUNTIF(A:A, "CENG-3310*")</f>
        <v/>
      </c>
      <c r="E33" s="189" t="inlineStr">
        <is>
          <t xml:space="preserve">CENG 3310 </t>
        </is>
      </c>
      <c r="F33" s="193">
        <f>COUNTIF('1a'!$A$1:$W$1, "CENG-3310*")</f>
        <v/>
      </c>
      <c r="G33" s="190">
        <f>COUNTIF('1b'!$B$1:$AC$1, "CENG-3310*")</f>
        <v/>
      </c>
      <c r="H33" s="190">
        <f>COUNTIF('1c'!$B$1:$L$1, "CENG-3310*")</f>
        <v/>
      </c>
      <c r="I33" s="190">
        <f>COUNTIF('1d'!$B$1:$AB$1, "CENG-3310*")</f>
        <v/>
      </c>
      <c r="J33" s="194">
        <f>COUNTIFS('1e'!$B$1:$BN$1, "CENG-3310*")</f>
        <v/>
      </c>
      <c r="K33" s="190">
        <f>COUNTIF('1f'!$B$1:$V$1, "CENG-3310*")</f>
        <v/>
      </c>
      <c r="L33" s="195">
        <f>SUM(F33:K33)</f>
        <v/>
      </c>
      <c r="M33" s="13" t="n"/>
      <c r="N33" s="13" t="n"/>
      <c r="O33" s="13" t="n"/>
      <c r="P33" s="13" t="n"/>
      <c r="Q33" s="13" t="n"/>
      <c r="R33" s="13" t="n"/>
      <c r="S33" s="13" t="n"/>
      <c r="T33" s="13" t="n"/>
      <c r="U33" s="13" t="n"/>
    </row>
    <row r="34" ht="17.25" customHeight="1">
      <c r="A34" s="4" t="inlineStr">
        <is>
          <t>MATH-1300-9</t>
        </is>
      </c>
      <c r="B34" s="149" t="inlineStr">
        <is>
          <t>1b</t>
        </is>
      </c>
      <c r="C34" s="216" t="n"/>
      <c r="D34" s="189">
        <f>COUNTIF(A:A, "CENG-4320*")</f>
        <v/>
      </c>
      <c r="E34" s="189" t="inlineStr">
        <is>
          <t>CENG 4320</t>
        </is>
      </c>
      <c r="F34" s="193">
        <f>COUNTIF('1a'!$A$1:$W$1, "CENG-4320*")</f>
        <v/>
      </c>
      <c r="G34" s="190">
        <f>COUNTIF('1b'!$B$1:$AC$1, "CENG-4320*")</f>
        <v/>
      </c>
      <c r="H34" s="190">
        <f>COUNTIF('1c'!$B$1:$L$1, "CENG-4320*")</f>
        <v/>
      </c>
      <c r="I34" s="190">
        <f>COUNTIF('1d'!$B$1:$AB$1, "CENG-4320*")</f>
        <v/>
      </c>
      <c r="J34" s="194">
        <f>COUNTIFS('1e'!$B$1:$BQ$1, "CENG-4320*")</f>
        <v/>
      </c>
      <c r="K34" s="190">
        <f>COUNTIF('1f'!$B$1:$X$1, "CENG-4320*")</f>
        <v/>
      </c>
      <c r="L34" s="195">
        <f>SUM(F34:K34)</f>
        <v/>
      </c>
      <c r="M34" s="13" t="n"/>
      <c r="N34" s="13" t="n"/>
      <c r="O34" s="13" t="n"/>
      <c r="P34" s="13" t="n"/>
      <c r="Q34" s="13" t="n"/>
      <c r="R34" s="13" t="n"/>
      <c r="S34" s="13" t="n"/>
      <c r="T34" s="13" t="n"/>
      <c r="U34" s="13" t="n"/>
    </row>
    <row r="35" ht="17.25" customHeight="1">
      <c r="A35" s="4" t="inlineStr">
        <is>
          <t>MATH-1300-10</t>
        </is>
      </c>
      <c r="B35" s="149" t="inlineStr">
        <is>
          <t>1b</t>
        </is>
      </c>
      <c r="C35" s="216" t="n"/>
      <c r="D35" s="189">
        <f>COUNTIF(A:A, "CHEM-1520*")</f>
        <v/>
      </c>
      <c r="E35" s="189" t="inlineStr">
        <is>
          <t>CHEM 1520</t>
        </is>
      </c>
      <c r="F35" s="196">
        <f>COUNTIF('1a'!$A$1:$W$1, "CHEM-1520*")</f>
        <v/>
      </c>
      <c r="G35" s="190">
        <f>COUNTIF('1b'!$B$1:$AC$1, "CHEM-1520*")</f>
        <v/>
      </c>
      <c r="H35" s="190">
        <f>COUNTIF('1c'!$B$1:$L$1, "CHEM-1520*")</f>
        <v/>
      </c>
      <c r="I35" s="190">
        <f>COUNTIF('1d'!$B$1:$AB$1, "CHEM-1520*")</f>
        <v/>
      </c>
      <c r="J35" s="194">
        <f>COUNTIFS('1e'!$B$1:$BQ$1, "CHEM-1520*")</f>
        <v/>
      </c>
      <c r="K35" s="190">
        <f>COUNTIF('1f'!$B$1:$V$1, "CHEM-1520*")</f>
        <v/>
      </c>
      <c r="L35" s="195">
        <f>SUM(F35:K35)</f>
        <v/>
      </c>
      <c r="M35" s="13" t="n"/>
      <c r="N35" s="13" t="n"/>
      <c r="O35" s="13" t="n"/>
      <c r="P35" s="13" t="n"/>
      <c r="Q35" s="13" t="n"/>
      <c r="R35" s="13" t="n"/>
      <c r="S35" s="13" t="n"/>
      <c r="T35" s="13" t="n"/>
      <c r="U35" s="13" t="n"/>
    </row>
    <row r="36" ht="17.25" customHeight="1">
      <c r="A36" s="4" t="inlineStr">
        <is>
          <t>MATH-1130-1</t>
        </is>
      </c>
      <c r="B36" s="149" t="inlineStr">
        <is>
          <t>1b</t>
        </is>
      </c>
      <c r="C36" s="216" t="n"/>
      <c r="D36" s="189">
        <f>COUNTIF(A:A, "CMNS-1290*")</f>
        <v/>
      </c>
      <c r="E36" s="189" t="inlineStr">
        <is>
          <t>CMNS 1290</t>
        </is>
      </c>
      <c r="F36" s="196">
        <f>COUNTIF('1a'!$A$1:$W$1, "CMNS-1290*")</f>
        <v/>
      </c>
      <c r="G36" s="190">
        <f>COUNTIF('1b'!$B$1:$AC$1, "CMNS-1290*")</f>
        <v/>
      </c>
      <c r="H36" s="190">
        <f>COUNTIF('1c'!$B$1:$L$1, "CMNS-1290*")</f>
        <v/>
      </c>
      <c r="I36" s="190">
        <f>COUNTIF('1d'!$B$1:$AB$1, "CMNS-1290*")</f>
        <v/>
      </c>
      <c r="J36" s="194">
        <f>COUNTIFS('1e'!$B$1:$BQ$1, "CMNS-1290*")</f>
        <v/>
      </c>
      <c r="K36" s="190">
        <f>COUNTIF('1f'!$B$1:$V$1, "CMNS-1290*")</f>
        <v/>
      </c>
      <c r="L36" s="195">
        <f>SUM(F36:K36)</f>
        <v/>
      </c>
      <c r="M36" s="13" t="n"/>
      <c r="N36" s="13" t="n"/>
      <c r="O36" s="13" t="n"/>
      <c r="P36" s="13" t="n"/>
      <c r="Q36" s="13" t="n"/>
      <c r="R36" s="13" t="n"/>
      <c r="S36" s="13" t="n"/>
      <c r="T36" s="13" t="n"/>
      <c r="U36" s="13" t="n"/>
    </row>
    <row r="37" ht="17.25" customHeight="1">
      <c r="A37" s="4" t="inlineStr">
        <is>
          <t>MATH-1130-2</t>
        </is>
      </c>
      <c r="B37" s="149" t="inlineStr">
        <is>
          <t>1b</t>
        </is>
      </c>
      <c r="C37" s="216" t="n"/>
      <c r="D37" s="189">
        <f>COUNTIF(A:A, "COMP-3410*")</f>
        <v/>
      </c>
      <c r="E37" s="189" t="inlineStr">
        <is>
          <t>COMP 3410</t>
        </is>
      </c>
      <c r="F37" s="190">
        <f>COUNTIF('1a'!$A$1:$W$1, "COMP-3410*")</f>
        <v/>
      </c>
      <c r="G37" s="190">
        <f>COUNTIF('1b'!$B$1:$AC$1, "COMP-3410*")</f>
        <v/>
      </c>
      <c r="H37" s="190">
        <f>COUNTIF('1c'!$B$1:$L$1, "COMP-3410*")</f>
        <v/>
      </c>
      <c r="I37" s="190">
        <f>COUNTIF('1d'!$B$1:$AB$1, "COMP-3410*")</f>
        <v/>
      </c>
      <c r="J37" s="194">
        <f>COUNTIFS('1e'!$B$1:$BQ$1, "COMP-3410*")</f>
        <v/>
      </c>
      <c r="K37" s="190">
        <f>COUNTIF('1f'!$B$1:$V$1, "COMP-3410*")</f>
        <v/>
      </c>
      <c r="L37" s="192">
        <f>SUM(F37:K37)</f>
        <v/>
      </c>
      <c r="M37" s="13" t="n"/>
      <c r="N37" s="13" t="n"/>
      <c r="O37" s="13" t="n"/>
      <c r="P37" s="13" t="n"/>
      <c r="Q37" s="13" t="n"/>
      <c r="R37" s="13" t="n"/>
      <c r="S37" s="13" t="n"/>
      <c r="T37" s="13" t="n"/>
      <c r="U37" s="13" t="n"/>
    </row>
    <row r="38" ht="17.25" customHeight="1">
      <c r="A38" s="4" t="inlineStr">
        <is>
          <t>MATH-1130-3</t>
        </is>
      </c>
      <c r="B38" s="149" t="inlineStr">
        <is>
          <t>1b</t>
        </is>
      </c>
      <c r="C38" s="216" t="n"/>
      <c r="D38" s="189">
        <f>COUNTIF(A:A, "COMP-3610*")</f>
        <v/>
      </c>
      <c r="E38" s="189" t="inlineStr">
        <is>
          <t>COMP 3610</t>
        </is>
      </c>
      <c r="F38" s="190">
        <f>COUNTIF('1a'!$A$1:$W$1, "COMP-3610*")</f>
        <v/>
      </c>
      <c r="G38" s="190">
        <f>COUNTIF('1b'!$B$1:$AC$1, "COMP-3610*")</f>
        <v/>
      </c>
      <c r="H38" s="190">
        <f>COUNTIF('1c'!$B$1:$L$1, "COMP-3610*")</f>
        <v/>
      </c>
      <c r="I38" s="190">
        <f>COUNTIF('1d'!$B$1:$AB$1, "COMP-3610*")</f>
        <v/>
      </c>
      <c r="J38" s="194">
        <f>COUNTIFS('1e'!$B$1:$BQ$1, "COMP-3610*")</f>
        <v/>
      </c>
      <c r="K38" s="190">
        <f>COUNTIF('1f'!$B$1:$V$1, "COMP-3610*")</f>
        <v/>
      </c>
      <c r="L38" s="192">
        <f>SUM(F38:K38)</f>
        <v/>
      </c>
      <c r="M38" s="13" t="n"/>
      <c r="N38" s="13" t="n"/>
      <c r="O38" s="13" t="n"/>
      <c r="P38" s="13" t="n"/>
      <c r="Q38" s="13" t="n"/>
      <c r="R38" s="13" t="n"/>
      <c r="S38" s="13" t="n"/>
      <c r="T38" s="13" t="n"/>
      <c r="U38" s="13" t="n"/>
    </row>
    <row r="39" ht="17.25" customHeight="1">
      <c r="A39" s="4" t="inlineStr">
        <is>
          <t>MATH-1230-1</t>
        </is>
      </c>
      <c r="B39" s="149" t="inlineStr">
        <is>
          <t>1b</t>
        </is>
      </c>
      <c r="C39" s="216" t="n"/>
      <c r="D39" s="189">
        <f>COUNTIF(A:A, "EENG-3010*")</f>
        <v/>
      </c>
      <c r="E39" s="189" t="inlineStr">
        <is>
          <t>EENG 3010</t>
        </is>
      </c>
      <c r="F39" s="197">
        <f>COUNTIF('1a'!$A$1:$W$1, "EENG-3010*")</f>
        <v/>
      </c>
      <c r="G39" s="190">
        <f>COUNTIF('1b'!$B$1:$AC$1, "EENG-3010*")</f>
        <v/>
      </c>
      <c r="H39" s="190">
        <f>COUNTIF('1c'!$B$1:$L$1, "EENG-3010*")</f>
        <v/>
      </c>
      <c r="I39" s="190">
        <f>COUNTIF('1d'!$B$1:$AB$1, "EENG-3010*")</f>
        <v/>
      </c>
      <c r="J39" s="194">
        <f>COUNTIFS('1e'!$B$1:$BQ$1, "EENG-3010*")</f>
        <v/>
      </c>
      <c r="K39" s="190">
        <f>COUNTIF('1f'!$B$1:$V$1, "EENG-3010*")</f>
        <v/>
      </c>
      <c r="L39" s="198">
        <f>SUM(F39:K39)</f>
        <v/>
      </c>
      <c r="M39" s="13" t="n"/>
      <c r="N39" s="13" t="n"/>
      <c r="O39" s="13" t="n"/>
      <c r="P39" s="13" t="n"/>
      <c r="Q39" s="13" t="n"/>
      <c r="R39" s="13" t="n"/>
      <c r="S39" s="13" t="n"/>
      <c r="T39" s="13" t="n"/>
      <c r="U39" s="13" t="n"/>
    </row>
    <row r="40" ht="17.25" customHeight="1">
      <c r="A40" s="4" t="inlineStr">
        <is>
          <t>MATH-1230-2</t>
        </is>
      </c>
      <c r="B40" s="149" t="inlineStr">
        <is>
          <t>1b</t>
        </is>
      </c>
      <c r="C40" s="216" t="n"/>
      <c r="D40" s="189">
        <f>COUNTIF(A:A, "ENGL-1100*")</f>
        <v/>
      </c>
      <c r="E40" s="189" t="inlineStr">
        <is>
          <t>ENGL 1100</t>
        </is>
      </c>
      <c r="F40" s="197">
        <f>COUNTIF('1a'!$A$1:$W$1, "ENGL-1100*")</f>
        <v/>
      </c>
      <c r="G40" s="190">
        <f>COUNTIF('1b'!$B$1:$AC$1, "ENGL-1100*")</f>
        <v/>
      </c>
      <c r="H40" s="190">
        <f>COUNTIF('1c'!$B$1:$L$1, "ENGL-1100*")</f>
        <v/>
      </c>
      <c r="I40" s="190">
        <f>COUNTIF('1d'!$B$1:$AB$1, "ENGL-1100*")</f>
        <v/>
      </c>
      <c r="J40" s="194">
        <f>COUNTIFS('1e'!$B$1:$BQ$1, "ENGL-1100*")</f>
        <v/>
      </c>
      <c r="K40" s="190">
        <f>COUNTIF('1f'!$B$1:$V$1, "ENGL-1100*")</f>
        <v/>
      </c>
      <c r="L40" s="198">
        <f>SUM(F40:K40)</f>
        <v/>
      </c>
      <c r="M40" s="13" t="n"/>
      <c r="N40" s="13" t="n"/>
      <c r="O40" s="13" t="n"/>
      <c r="P40" s="13" t="n"/>
      <c r="Q40" s="13" t="n"/>
      <c r="R40" s="13" t="n"/>
      <c r="S40" s="13" t="n"/>
      <c r="T40" s="13" t="n"/>
      <c r="U40" s="13" t="n"/>
    </row>
    <row r="41" ht="17.25" customHeight="1">
      <c r="A41" s="4" t="inlineStr">
        <is>
          <t>MATH-1230-3</t>
        </is>
      </c>
      <c r="B41" s="149" t="inlineStr">
        <is>
          <t>1b</t>
        </is>
      </c>
      <c r="C41" s="216" t="n"/>
      <c r="D41" s="189">
        <f>COUNTIF(A:A, "ENGR-1100*")</f>
        <v/>
      </c>
      <c r="E41" s="189" t="inlineStr">
        <is>
          <t>ENGR 1100</t>
        </is>
      </c>
      <c r="F41" s="197">
        <f>COUNTIF('1a'!$A$1:$W$1, "ENGR-1100*")</f>
        <v/>
      </c>
      <c r="G41" s="190">
        <f>COUNTIF('1b'!$B$1:$AC$1, "ENGR-1100*")</f>
        <v/>
      </c>
      <c r="H41" s="190">
        <f>COUNTIF('1c'!$B$1:$L$1, "ENGR-1100*")</f>
        <v/>
      </c>
      <c r="I41" s="190">
        <f>COUNTIF('1d'!$B$1:$AB$1, "ENGR-1100*")</f>
        <v/>
      </c>
      <c r="J41" s="194">
        <f>COUNTIFS('1e'!$B$1:$BQ$1, "ENGR-1100*")</f>
        <v/>
      </c>
      <c r="K41" s="190">
        <f>COUNTIF('1f'!$B$1:$V$1, "ENGR-1100*")</f>
        <v/>
      </c>
      <c r="L41" s="198">
        <f>SUM(F41:K41)</f>
        <v/>
      </c>
      <c r="M41" s="13" t="n"/>
      <c r="N41" s="13" t="n"/>
      <c r="O41" s="13" t="n"/>
      <c r="P41" s="13" t="n"/>
      <c r="Q41" s="13" t="n"/>
      <c r="R41" s="13" t="n"/>
      <c r="S41" s="13" t="n"/>
      <c r="T41" s="13" t="n"/>
      <c r="U41" s="13" t="n"/>
    </row>
    <row r="42" ht="17.25" customHeight="1">
      <c r="A42" s="4" t="inlineStr">
        <is>
          <t>MATH-1230-4</t>
        </is>
      </c>
      <c r="B42" s="149" t="inlineStr">
        <is>
          <t>1b</t>
        </is>
      </c>
      <c r="C42" s="216" t="n"/>
      <c r="D42" s="189">
        <f>COUNTIF(A:A, "ENGR-1200*")</f>
        <v/>
      </c>
      <c r="E42" s="189" t="inlineStr">
        <is>
          <t>ENGR 1200</t>
        </is>
      </c>
      <c r="F42" s="197">
        <f>COUNTIF('1a'!$A$1:$W$1, "ENGR-1200*")</f>
        <v/>
      </c>
      <c r="G42" s="190">
        <f>COUNTIF('1b'!$B$1:$AC$1, "ENGR-1200*")</f>
        <v/>
      </c>
      <c r="H42" s="190">
        <f>COUNTIF('1c'!$B$1:$L$1, "ENGR-1200*")</f>
        <v/>
      </c>
      <c r="I42" s="190">
        <f>COUNTIF('1d'!$B$1:$AB$1, "ENGR-1200*")</f>
        <v/>
      </c>
      <c r="J42" s="194">
        <f>COUNTIFS('1e'!$B$1:$BQ$1, "ENGR-1200*")</f>
        <v/>
      </c>
      <c r="K42" s="190">
        <f>COUNTIF('1f'!$B$1:$V$1, "ENGR-1200*")</f>
        <v/>
      </c>
      <c r="L42" s="198">
        <f>SUM(F42:K42)</f>
        <v/>
      </c>
      <c r="M42" s="13" t="n"/>
      <c r="N42" s="13" t="n"/>
      <c r="O42" s="13" t="n"/>
      <c r="P42" s="13" t="n"/>
      <c r="Q42" s="13" t="n"/>
      <c r="R42" s="13" t="n"/>
      <c r="S42" s="13" t="n"/>
      <c r="T42" s="13" t="n"/>
      <c r="U42" s="13" t="n"/>
    </row>
    <row r="43" ht="17.25" customHeight="1">
      <c r="A43" s="4" t="inlineStr">
        <is>
          <t>STAT-2230-1</t>
        </is>
      </c>
      <c r="B43" s="149" t="inlineStr">
        <is>
          <t>1b</t>
        </is>
      </c>
      <c r="C43" s="216" t="n"/>
      <c r="D43" s="189">
        <f>COUNTIF(A:A, "ENGR-2000*")</f>
        <v/>
      </c>
      <c r="E43" s="189" t="inlineStr">
        <is>
          <t>ENGR 2000</t>
        </is>
      </c>
      <c r="F43" s="197">
        <f>COUNTIF('1a'!$A$1:$W$1, "ENGR-2000*")</f>
        <v/>
      </c>
      <c r="G43" s="190">
        <f>COUNTIF('1b'!$B$1:$AC$1, "ENGR-2000*")</f>
        <v/>
      </c>
      <c r="H43" s="190">
        <f>COUNTIF('1c'!$B$1:$L$1, "ENGR-2000*")</f>
        <v/>
      </c>
      <c r="I43" s="190">
        <f>COUNTIF('1d'!$B$1:$AB$1, "ENGR-2000*")</f>
        <v/>
      </c>
      <c r="J43" s="194">
        <f>COUNTIFS('1e'!$B$1:$BQ$1, "ENGR-2000*")</f>
        <v/>
      </c>
      <c r="K43" s="190">
        <f>COUNTIF('1f'!$B$1:$V$1, "ENGR-2000*")</f>
        <v/>
      </c>
      <c r="L43" s="198">
        <f>SUM(F43:K43)</f>
        <v/>
      </c>
      <c r="M43" s="13" t="n"/>
      <c r="N43" s="13" t="n"/>
      <c r="O43" s="13" t="n"/>
      <c r="P43" s="13" t="n"/>
      <c r="Q43" s="13" t="n"/>
      <c r="R43" s="13" t="n"/>
      <c r="S43" s="13" t="n"/>
      <c r="T43" s="13" t="n"/>
      <c r="U43" s="13" t="n"/>
    </row>
    <row r="44" ht="17.25" customHeight="1">
      <c r="A44" s="4" t="inlineStr">
        <is>
          <t>STAT-2230-2</t>
        </is>
      </c>
      <c r="B44" s="149" t="inlineStr">
        <is>
          <t>1b</t>
        </is>
      </c>
      <c r="C44" s="216" t="n"/>
      <c r="D44" s="189">
        <f>COUNTIF(A:A, "ENGR-2200*")</f>
        <v/>
      </c>
      <c r="E44" s="189" t="inlineStr">
        <is>
          <t>ENGR 2200</t>
        </is>
      </c>
      <c r="F44" s="197">
        <f>COUNTIF('1a'!$A$1:$W$1, "ENGR-2200*")</f>
        <v/>
      </c>
      <c r="G44" s="190">
        <f>COUNTIF('1b'!$B$1:$AC$1, "ENGR-2200*")</f>
        <v/>
      </c>
      <c r="H44" s="190">
        <f>COUNTIF('1c'!$B$1:$L$1, "ENGR-2200*")</f>
        <v/>
      </c>
      <c r="I44" s="190">
        <f>COUNTIF('1d'!$B$1:$AB$1, "ENGR-2200*")</f>
        <v/>
      </c>
      <c r="J44" s="194">
        <f>COUNTIFS('1e'!$B$1:$BQ$1, "ENGR-2200*")</f>
        <v/>
      </c>
      <c r="K44" s="190">
        <f>COUNTIF('1f'!$B$1:$V$1, "ENGR-2200*")</f>
        <v/>
      </c>
      <c r="L44" s="198">
        <f>SUM(F44:K44)</f>
        <v/>
      </c>
      <c r="M44" s="13" t="n"/>
      <c r="N44" s="13" t="n"/>
      <c r="O44" s="13" t="n"/>
      <c r="P44" s="13" t="n"/>
      <c r="Q44" s="13" t="n"/>
      <c r="R44" s="13" t="n"/>
      <c r="S44" s="13" t="n"/>
      <c r="T44" s="13" t="n"/>
      <c r="U44" s="13" t="n"/>
    </row>
    <row r="45" ht="17.25" customHeight="1">
      <c r="A45" s="4" t="inlineStr">
        <is>
          <t>STAT-2230-3</t>
        </is>
      </c>
      <c r="B45" s="149" t="inlineStr">
        <is>
          <t>1b</t>
        </is>
      </c>
      <c r="C45" s="216" t="n"/>
      <c r="D45" s="189">
        <f>COUNTIF(A:A, "ENGR-2300*")</f>
        <v/>
      </c>
      <c r="E45" s="189" t="inlineStr">
        <is>
          <t>ENGR 2300</t>
        </is>
      </c>
      <c r="F45" s="197">
        <f>COUNTIF('1a'!$A$1:$W$1, "ENGR-2300*")</f>
        <v/>
      </c>
      <c r="G45" s="190">
        <f>COUNTIF('1b'!$B$1:$AC$1, "ENGR-2300*")</f>
        <v/>
      </c>
      <c r="H45" s="190">
        <f>COUNTIF('1c'!$B$1:$L$1, "ENGR-2300*")</f>
        <v/>
      </c>
      <c r="I45" s="190">
        <f>COUNTIF('1d'!$B$1:$AB$1, "ENGR-2300*")</f>
        <v/>
      </c>
      <c r="J45" s="194">
        <f>COUNTIFS('1e'!$B$1:$BQ$1, "ENGR-2300*")</f>
        <v/>
      </c>
      <c r="K45" s="190">
        <f>COUNTIF('1f'!$B$1:$V$1, "ENGR-2300*")</f>
        <v/>
      </c>
      <c r="L45" s="198">
        <f>SUM(F45:K45)</f>
        <v/>
      </c>
      <c r="M45" s="13" t="n"/>
      <c r="N45" s="13" t="n"/>
      <c r="O45" s="13" t="n"/>
      <c r="P45" s="13" t="n"/>
      <c r="Q45" s="13" t="n"/>
      <c r="R45" s="13" t="n"/>
      <c r="S45" s="13" t="n"/>
      <c r="T45" s="13" t="n"/>
      <c r="U45" s="13" t="n"/>
    </row>
    <row r="46" ht="17.25" customHeight="1">
      <c r="A46" s="4" t="inlineStr">
        <is>
          <t>MATH-1700-1</t>
        </is>
      </c>
      <c r="B46" s="149" t="inlineStr">
        <is>
          <t>1b</t>
        </is>
      </c>
      <c r="C46" s="216" t="n"/>
      <c r="D46" s="189">
        <f>COUNTIF(A:A, "ENGR-2400*")</f>
        <v/>
      </c>
      <c r="E46" s="189" t="inlineStr">
        <is>
          <t>ENGR 2400</t>
        </is>
      </c>
      <c r="F46" s="197">
        <f>COUNTIF('1a'!$A$1:$W$1, "ENGR-2400*")</f>
        <v/>
      </c>
      <c r="G46" s="190">
        <f>COUNTIF('1b'!$B$1:$AC$1, "ENGR-2400*")</f>
        <v/>
      </c>
      <c r="H46" s="190">
        <f>COUNTIF('1c'!$B$1:$L$1, "ENGR-2400*")</f>
        <v/>
      </c>
      <c r="I46" s="190">
        <f>COUNTIF('1d'!$B$1:$AB$1, "ENGR-2400*")</f>
        <v/>
      </c>
      <c r="J46" s="194">
        <f>COUNTIFS('1e'!$B$1:$BQ$1, "ENGR-2400*")</f>
        <v/>
      </c>
      <c r="K46" s="190">
        <f>COUNTIF('1f'!$B$1:$V$1, "ENGR-2400*")</f>
        <v/>
      </c>
      <c r="L46" s="198">
        <f>SUM(F46:K46)</f>
        <v/>
      </c>
      <c r="M46" s="13" t="n"/>
      <c r="N46" s="13" t="n"/>
      <c r="O46" s="13" t="n"/>
      <c r="P46" s="13" t="n"/>
      <c r="Q46" s="13" t="n"/>
      <c r="R46" s="13" t="n"/>
      <c r="S46" s="13" t="n"/>
      <c r="T46" s="13" t="n"/>
      <c r="U46" s="13" t="n"/>
    </row>
    <row r="47" ht="17.25" customHeight="1">
      <c r="A47" s="4" t="inlineStr">
        <is>
          <t>MATH-1700-2</t>
        </is>
      </c>
      <c r="B47" s="149" t="inlineStr">
        <is>
          <t>1b</t>
        </is>
      </c>
      <c r="C47" s="216" t="n"/>
      <c r="D47" s="189">
        <f>COUNTIF(A:A, "ENGR-3300*")</f>
        <v/>
      </c>
      <c r="E47" s="189" t="inlineStr">
        <is>
          <t>ENGR 3300</t>
        </is>
      </c>
      <c r="F47" s="197">
        <f>COUNTIF('1a'!$A$1:$W$1, "ENGR-3300*")</f>
        <v/>
      </c>
      <c r="G47" s="190">
        <f>COUNTIF('1b'!$B$1:$AC$1, "ENGR-3300*")</f>
        <v/>
      </c>
      <c r="H47" s="190">
        <f>COUNTIF('1c'!$B$1:$L$1, "ENGR-3300*")</f>
        <v/>
      </c>
      <c r="I47" s="190">
        <f>COUNTIF('1d'!$B$1:$AB$1, "ENGR-3300*")</f>
        <v/>
      </c>
      <c r="J47" s="194">
        <f>COUNTIFS('1e'!$B$1:$BQ$1, "ENGR-3300*")</f>
        <v/>
      </c>
      <c r="K47" s="190">
        <f>COUNTIF('1f'!$B$1:$V$1, "ENGR-3300*")</f>
        <v/>
      </c>
      <c r="L47" s="198">
        <f>SUM(F47:K47)</f>
        <v/>
      </c>
      <c r="M47" s="13" t="n"/>
      <c r="N47" s="13" t="n"/>
      <c r="O47" s="13" t="n"/>
      <c r="P47" s="13" t="n"/>
      <c r="Q47" s="13" t="n"/>
      <c r="R47" s="13" t="n"/>
      <c r="S47" s="13" t="n"/>
      <c r="T47" s="13" t="n"/>
      <c r="U47" s="13" t="n"/>
    </row>
    <row r="48" ht="17.25" customHeight="1">
      <c r="A48" s="4" t="inlineStr">
        <is>
          <t>MATH-1700-3</t>
        </is>
      </c>
      <c r="B48" s="149" t="inlineStr">
        <is>
          <t>1b</t>
        </is>
      </c>
      <c r="C48" s="216" t="n"/>
      <c r="D48" s="189">
        <f>COUNTIF(A:A, "EPHY-1170*")</f>
        <v/>
      </c>
      <c r="E48" s="199" t="inlineStr">
        <is>
          <t xml:space="preserve">EPHY 1170 </t>
        </is>
      </c>
      <c r="F48" s="200">
        <f>COUNTIF('1a'!$A$1:$W$1, "EPHY-1170*")</f>
        <v/>
      </c>
      <c r="G48" s="190">
        <f>COUNTIF('1b'!$B$1:$AC$1, "EPHY-1170*")</f>
        <v/>
      </c>
      <c r="H48" s="190">
        <f>COUNTIF('1c'!$B$1:$L$1, "EPHY-1170*")</f>
        <v/>
      </c>
      <c r="I48" s="190">
        <f>COUNTIF('1d'!$B$1:$AB$1, "EPHY-1170*")</f>
        <v/>
      </c>
      <c r="J48" s="194">
        <f>COUNTIFS('1e'!$B$1:$BQ$1, "EPHY-1170*")</f>
        <v/>
      </c>
      <c r="K48" s="190">
        <f>COUNTIF('1f'!$B$1:$V$1, "EPHY-1170*")</f>
        <v/>
      </c>
      <c r="L48" s="195">
        <f>SUM(F48:K48)</f>
        <v/>
      </c>
      <c r="M48" s="13" t="n"/>
      <c r="N48" s="13" t="n"/>
      <c r="O48" s="13" t="n"/>
      <c r="P48" s="13" t="n"/>
      <c r="Q48" s="13" t="n"/>
      <c r="R48" s="13" t="n"/>
      <c r="S48" s="13" t="n"/>
      <c r="T48" s="13" t="n"/>
      <c r="U48" s="13" t="n"/>
    </row>
    <row r="49" ht="17.25" customHeight="1">
      <c r="A49" s="4" t="inlineStr">
        <is>
          <t>MATH-1700-4</t>
        </is>
      </c>
      <c r="B49" s="149" t="inlineStr">
        <is>
          <t>1b</t>
        </is>
      </c>
      <c r="C49" s="216" t="n"/>
      <c r="D49" s="189">
        <f>COUNTIF(A:A, "EPHY-1270*")</f>
        <v/>
      </c>
      <c r="E49" s="189" t="inlineStr">
        <is>
          <t>EPHY 1270</t>
        </is>
      </c>
      <c r="F49" s="201">
        <f>COUNTIF('1a'!$A$1:$W$1, "EPHY-1270*")</f>
        <v/>
      </c>
      <c r="G49" s="190">
        <f>COUNTIF('1b'!$B$1:$AC$1, "EPHY-1270*")</f>
        <v/>
      </c>
      <c r="H49" s="190">
        <f>COUNTIF('1c'!$B$1:$L$1, "EPHY-1270*")</f>
        <v/>
      </c>
      <c r="I49" s="190">
        <f>COUNTIF('1d'!$B$1:$AB$1, "EPHY-1270*")</f>
        <v/>
      </c>
      <c r="J49" s="194">
        <f>COUNTIFS('1e'!$B$1:$BQ$1, "EPHY-1270*")</f>
        <v/>
      </c>
      <c r="K49" s="190">
        <f>COUNTIF('1f'!$B$1:$V$1, "EPHY-1270*")</f>
        <v/>
      </c>
      <c r="L49" s="192">
        <f>SUM(F49:K49)</f>
        <v/>
      </c>
      <c r="M49" s="13" t="n"/>
      <c r="N49" s="13" t="n"/>
      <c r="O49" s="13" t="n"/>
      <c r="P49" s="13" t="n"/>
      <c r="Q49" s="13" t="n"/>
      <c r="R49" s="13" t="n"/>
      <c r="S49" s="13" t="n"/>
      <c r="T49" s="13" t="n"/>
      <c r="U49" s="13" t="n"/>
    </row>
    <row r="50" ht="17.25" customHeight="1">
      <c r="A50" s="4" t="inlineStr">
        <is>
          <t>MATH-1700-5</t>
        </is>
      </c>
      <c r="B50" s="149" t="inlineStr">
        <is>
          <t>1b</t>
        </is>
      </c>
      <c r="C50" s="216" t="n"/>
      <c r="D50" s="189">
        <f>COUNTIF(A:A, "EPHY-1700*")</f>
        <v/>
      </c>
      <c r="E50" s="189" t="inlineStr">
        <is>
          <t>EPHY 1700</t>
        </is>
      </c>
      <c r="F50" s="202">
        <f>COUNTIF('1a'!$A$1:$W$1, "EPHY-1700*")</f>
        <v/>
      </c>
      <c r="G50" s="190">
        <f>COUNTIF('1b'!$B$1:$AC$1, "EPHY-1700*")</f>
        <v/>
      </c>
      <c r="H50" s="190">
        <f>COUNTIF('1c'!$B$1:$L$1, "EPHY-1700*")</f>
        <v/>
      </c>
      <c r="I50" s="190">
        <f>COUNTIF('1d'!$B$1:$AB$1, "EPHY-1700*")</f>
        <v/>
      </c>
      <c r="J50" s="194">
        <f>COUNTIFS('1e'!$B$1:$BQ$1, "EPHY-1700*")</f>
        <v/>
      </c>
      <c r="K50" s="190">
        <f>COUNTIF('1f'!$B$1:$V$1, "EPHY-1700*")</f>
        <v/>
      </c>
      <c r="L50" s="203">
        <f>SUM(F50:K50)</f>
        <v/>
      </c>
      <c r="M50" s="13" t="n"/>
      <c r="N50" s="13" t="n"/>
      <c r="O50" s="13" t="n"/>
      <c r="P50" s="13" t="n"/>
      <c r="Q50" s="13" t="n"/>
      <c r="R50" s="13" t="n"/>
      <c r="S50" s="13" t="n"/>
      <c r="T50" s="13" t="n"/>
      <c r="U50" s="13" t="n"/>
    </row>
    <row r="51" ht="17.25" customHeight="1">
      <c r="A51" s="4" t="inlineStr">
        <is>
          <t>MATH-1700-6</t>
        </is>
      </c>
      <c r="B51" s="149" t="inlineStr">
        <is>
          <t>1b</t>
        </is>
      </c>
      <c r="C51" s="216" t="n"/>
      <c r="D51" s="189">
        <f>COUNTIF(A:A, "EPHY-2200*")</f>
        <v/>
      </c>
      <c r="E51" s="189" t="inlineStr">
        <is>
          <t>EPHY 2200</t>
        </is>
      </c>
      <c r="F51" s="190">
        <f>COUNTIF('1a'!$A$1:$W$1, "EPHY-2200*")</f>
        <v/>
      </c>
      <c r="G51" s="190">
        <f>COUNTIF('1b'!$B$1:$AC$1, "EPHY-2200*")</f>
        <v/>
      </c>
      <c r="H51" s="190">
        <f>COUNTIF('1c'!$B$1:$L$1, "EPHY-2200*")</f>
        <v/>
      </c>
      <c r="I51" s="190">
        <f>COUNTIF('1d'!$B$1:$AB$1, "EPHY-2200*")</f>
        <v/>
      </c>
      <c r="J51" s="194">
        <f>COUNTIFS('1e'!$B$1:$BQ$1, "EPHY-2200*")</f>
        <v/>
      </c>
      <c r="K51" s="190">
        <f>COUNTIF('1f'!$B$1:$V$1, "EPHY-2200*")</f>
        <v/>
      </c>
      <c r="L51" s="192">
        <f>SUM(F51:K51)</f>
        <v/>
      </c>
      <c r="M51" s="13" t="n"/>
      <c r="N51" s="13" t="n"/>
      <c r="O51" s="13" t="n"/>
      <c r="P51" s="13" t="n"/>
      <c r="Q51" s="13" t="n"/>
      <c r="R51" s="13" t="n"/>
      <c r="S51" s="13" t="n"/>
      <c r="T51" s="13" t="n"/>
      <c r="U51" s="13" t="n"/>
    </row>
    <row r="52" ht="17.25" customHeight="1">
      <c r="A52" s="4" t="inlineStr">
        <is>
          <t>MATH-1700-7</t>
        </is>
      </c>
      <c r="B52" s="149" t="inlineStr">
        <is>
          <t>1b</t>
        </is>
      </c>
      <c r="C52" s="216" t="n"/>
      <c r="D52" s="189">
        <f>COUNTIF(A:A, "EPHY-2300*")</f>
        <v/>
      </c>
      <c r="E52" s="204" t="inlineStr">
        <is>
          <t>EPHY 2300</t>
        </is>
      </c>
      <c r="F52" s="197">
        <f>COUNTIF('1a'!$A$1:$W$1, "EPHY-2300*")</f>
        <v/>
      </c>
      <c r="G52" s="190">
        <f>COUNTIF('1b'!$B$1:$AC$1, "EPHY-2300*")</f>
        <v/>
      </c>
      <c r="H52" s="190">
        <f>COUNTIF('1c'!$B$1:$L$1, "EPHY-2300*")</f>
        <v/>
      </c>
      <c r="I52" s="190">
        <f>COUNTIF('1d'!$B$1:$AB$1, "EPHY-2300*")</f>
        <v/>
      </c>
      <c r="J52" s="194">
        <f>COUNTIFS('1e'!$B$1:$BQ$1, "EPHY-2300*")</f>
        <v/>
      </c>
      <c r="K52" s="190">
        <f>COUNTIF('1f'!$B$1:$V$1, "EPHY-2300*")</f>
        <v/>
      </c>
      <c r="L52" s="198">
        <f>SUM(F52:K52)</f>
        <v/>
      </c>
      <c r="M52" s="13" t="n"/>
      <c r="N52" s="13" t="n"/>
      <c r="O52" s="13" t="n"/>
      <c r="P52" s="13" t="n"/>
      <c r="Q52" s="13" t="n"/>
      <c r="R52" s="13" t="n"/>
      <c r="S52" s="13" t="n"/>
      <c r="T52" s="13" t="n"/>
      <c r="U52" s="13" t="n"/>
    </row>
    <row r="53" ht="17.25" customHeight="1">
      <c r="A53" s="4" t="inlineStr">
        <is>
          <t>MATH-1700-8</t>
        </is>
      </c>
      <c r="B53" s="149" t="inlineStr">
        <is>
          <t>1b</t>
        </is>
      </c>
      <c r="C53" s="216" t="n"/>
      <c r="D53" s="189">
        <f>COUNTIF(A:A, "MATH-1130*")</f>
        <v/>
      </c>
      <c r="E53" s="205" t="inlineStr">
        <is>
          <t xml:space="preserve">MATH 1130 </t>
        </is>
      </c>
      <c r="F53" s="190">
        <f>COUNTIF('1a'!$A$1:$W$1, "MATH-1130*")</f>
        <v/>
      </c>
      <c r="G53" s="190">
        <f>COUNTIF('1b'!$B$1:$AC$1, "MATH-1130*")</f>
        <v/>
      </c>
      <c r="H53" s="190">
        <f>COUNTIF('1c'!$B$1:$L$1, "MATH-1130*")</f>
        <v/>
      </c>
      <c r="I53" s="190">
        <f>COUNTIF('1d'!$B$1:$AB$1, "MATH-1130*")</f>
        <v/>
      </c>
      <c r="J53" s="194">
        <f>COUNTIFS('1e'!$B$1:$BQ$1, "MATH-1130*")</f>
        <v/>
      </c>
      <c r="K53" s="190">
        <f>COUNTIF('1f'!$B$1:$V$1, "MATH-1130'*")</f>
        <v/>
      </c>
      <c r="L53" s="192">
        <f>SUM(F53:K53)</f>
        <v/>
      </c>
      <c r="M53" s="13" t="n"/>
      <c r="N53" s="13" t="n"/>
      <c r="O53" s="13" t="n"/>
      <c r="P53" s="13" t="n"/>
      <c r="Q53" s="13" t="n"/>
      <c r="R53" s="13" t="n"/>
      <c r="S53" s="13" t="n"/>
      <c r="T53" s="13" t="n"/>
      <c r="U53" s="13" t="n"/>
    </row>
    <row r="54" ht="17.25" customHeight="1">
      <c r="A54" s="4" t="inlineStr">
        <is>
          <t>SENG-1110-5</t>
        </is>
      </c>
      <c r="B54" s="206" t="inlineStr">
        <is>
          <t>1c</t>
        </is>
      </c>
      <c r="C54" s="216" t="n"/>
      <c r="D54" s="189">
        <f>COUNTIF(A:A, "MATH-1230*")</f>
        <v/>
      </c>
      <c r="E54" s="189" t="inlineStr">
        <is>
          <t>MATH 1230</t>
        </is>
      </c>
      <c r="F54" s="190">
        <f>COUNTIF('1a'!$A$1:$W$1, "MATH-1230*")</f>
        <v/>
      </c>
      <c r="G54" s="190">
        <f>COUNTIF('1b'!$B$1:$AC$1, "MATH-1230*")</f>
        <v/>
      </c>
      <c r="H54" s="190">
        <f>COUNTIF('1c'!$B$1:$L$1, "MATH-1230*")</f>
        <v/>
      </c>
      <c r="I54" s="190">
        <f>COUNTIF('1d'!$B$1:$AB$1, "MATH-1230*")</f>
        <v/>
      </c>
      <c r="J54" s="194">
        <f>COUNTIFS('1e'!$B$1:$BQ$1, "MATH-1230*")</f>
        <v/>
      </c>
      <c r="K54" s="190">
        <f>COUNTIF('1f'!$B$1:$V$1, "MATH-1230*")</f>
        <v/>
      </c>
      <c r="L54" s="192">
        <f>SUM(F54:K54)</f>
        <v/>
      </c>
      <c r="M54" s="13" t="n"/>
      <c r="N54" s="13" t="n"/>
      <c r="O54" s="13" t="n"/>
      <c r="P54" s="13" t="n"/>
      <c r="Q54" s="13" t="n"/>
      <c r="R54" s="13" t="n"/>
      <c r="S54" s="13" t="n"/>
      <c r="T54" s="13" t="n"/>
      <c r="U54" s="13" t="n"/>
    </row>
    <row r="55" ht="17.25" customHeight="1">
      <c r="A55" s="4" t="inlineStr">
        <is>
          <t>PHYS-2150-4</t>
        </is>
      </c>
      <c r="B55" s="149" t="inlineStr">
        <is>
          <t>1c</t>
        </is>
      </c>
      <c r="C55" s="216" t="n"/>
      <c r="D55" s="189">
        <f>COUNTIF(A:A, "MATH-1300*")</f>
        <v/>
      </c>
      <c r="E55" s="204" t="inlineStr">
        <is>
          <t xml:space="preserve">MATH 1300 </t>
        </is>
      </c>
      <c r="F55" s="190">
        <f>COUNTIF('1a'!$A$1:$W$1, "MATH-1300*")</f>
        <v/>
      </c>
      <c r="G55" s="190">
        <f>COUNTIF('1b'!$B$1:$AC$1, "MATH-1300*")</f>
        <v/>
      </c>
      <c r="H55" s="190">
        <f>COUNTIF('1c'!$B$1:$L$1, "MATH-1300*")</f>
        <v/>
      </c>
      <c r="I55" s="190">
        <f>COUNTIF('1d'!$B$1:$AB$1, "MATH-1300*")</f>
        <v/>
      </c>
      <c r="J55" s="194">
        <f>COUNTIFS('1e'!$B$1:$BQ$1, "MATH-1300*")</f>
        <v/>
      </c>
      <c r="K55" s="190">
        <f>COUNTIF('1f'!$B$1:$V$1, "MATH-1300*")</f>
        <v/>
      </c>
      <c r="L55" s="192">
        <f>SUM(F55:K55)</f>
        <v/>
      </c>
      <c r="M55" s="13" t="n"/>
      <c r="N55" s="13" t="n"/>
      <c r="O55" s="13" t="n"/>
      <c r="P55" s="13" t="n"/>
      <c r="Q55" s="13" t="n"/>
      <c r="R55" s="13" t="n"/>
      <c r="S55" s="13" t="n"/>
      <c r="T55" s="13" t="n"/>
      <c r="U55" s="13" t="n"/>
    </row>
    <row r="56" ht="17.25" customHeight="1">
      <c r="A56" s="4" t="inlineStr">
        <is>
          <t>PHYS-2150-5</t>
        </is>
      </c>
      <c r="B56" s="149" t="inlineStr">
        <is>
          <t>1c</t>
        </is>
      </c>
      <c r="C56" s="216" t="n"/>
      <c r="D56" s="189">
        <f>COUNTIF(A:A, "MATH-1700*")</f>
        <v/>
      </c>
      <c r="E56" s="205" t="inlineStr">
        <is>
          <t>MATH 1700</t>
        </is>
      </c>
      <c r="F56" s="190">
        <f>COUNTIF('1a'!$A$1:$W$1, "MATH-1700*")</f>
        <v/>
      </c>
      <c r="G56" s="190">
        <f>COUNTIF('1b'!$B$1:$AC$1, "MATH-1700*")</f>
        <v/>
      </c>
      <c r="H56" s="190">
        <f>COUNTIF('1c'!$B$1:$L$1, "MATH-1700*")</f>
        <v/>
      </c>
      <c r="I56" s="190">
        <f>COUNTIF('1d'!$B$1:$AB$1, "MATH-1700*")</f>
        <v/>
      </c>
      <c r="J56" s="194">
        <f>COUNTIFS('1e'!$B$1:$BQ$1, "MATH-1700*")</f>
        <v/>
      </c>
      <c r="K56" s="190">
        <f>COUNTIF('1f'!$B$1:$V$1, "MATH-1700*")</f>
        <v/>
      </c>
      <c r="L56" s="192">
        <f>SUM(F56:K56)</f>
        <v/>
      </c>
      <c r="M56" s="13" t="n"/>
      <c r="N56" s="13" t="n"/>
      <c r="O56" s="13" t="n"/>
      <c r="P56" s="13" t="n"/>
      <c r="Q56" s="13" t="n"/>
      <c r="R56" s="13" t="n"/>
      <c r="S56" s="13" t="n"/>
      <c r="T56" s="13" t="n"/>
      <c r="U56" s="13" t="n"/>
    </row>
    <row r="57" ht="17.25" customHeight="1">
      <c r="A57" s="4" t="inlineStr">
        <is>
          <t>EENG-3010-2</t>
        </is>
      </c>
      <c r="B57" s="149" t="inlineStr">
        <is>
          <t>1c</t>
        </is>
      </c>
      <c r="C57" s="216" t="n"/>
      <c r="D57" s="189">
        <f>COUNTIF(A:A, "PHYS-2150*")</f>
        <v/>
      </c>
      <c r="E57" s="205" t="inlineStr">
        <is>
          <t>PHYS 2150</t>
        </is>
      </c>
      <c r="F57" s="190">
        <f>COUNTIF('1a'!$A$1:$W$1, "PHYS-2150*")</f>
        <v/>
      </c>
      <c r="G57" s="190">
        <f>COUNTIF('1b'!$B$1:$AC$1, "PHYS-2150*")</f>
        <v/>
      </c>
      <c r="H57" s="190">
        <f>COUNTIF('1c'!$B$1:$L$1, "PHYS-2150*")</f>
        <v/>
      </c>
      <c r="I57" s="190">
        <f>COUNTIF('1d'!$B$1:$AB$1, "PHYS-2150*")</f>
        <v/>
      </c>
      <c r="J57" s="194">
        <f>COUNTIFS('1e'!$B$1:$BQ$1, "PHYS-2150*")</f>
        <v/>
      </c>
      <c r="K57" s="190">
        <f>COUNTIF('1f'!$B$1:$V$1, "PHYS-2150*")</f>
        <v/>
      </c>
      <c r="L57" s="192">
        <f>SUM(F57:K57)</f>
        <v/>
      </c>
      <c r="M57" s="13" t="n"/>
      <c r="N57" s="13" t="n"/>
      <c r="O57" s="13" t="n"/>
      <c r="P57" s="13" t="n"/>
      <c r="Q57" s="13" t="n"/>
      <c r="R57" s="13" t="n"/>
      <c r="S57" s="13" t="n"/>
      <c r="T57" s="13" t="n"/>
      <c r="U57" s="13" t="n"/>
    </row>
    <row r="58" ht="17.25" customHeight="1">
      <c r="A58" s="4" t="inlineStr">
        <is>
          <t>COMP-3610-7</t>
        </is>
      </c>
      <c r="B58" s="149" t="inlineStr">
        <is>
          <t>1c</t>
        </is>
      </c>
      <c r="C58" s="216" t="n"/>
      <c r="D58" s="189">
        <f>COUNTIF(A:A, "SENG-1110*")</f>
        <v/>
      </c>
      <c r="E58" s="205" t="inlineStr">
        <is>
          <t>SENG 1110</t>
        </is>
      </c>
      <c r="F58" s="190">
        <f>COUNTIF('1a'!$A$1:$W$1, "SENG-1110*")</f>
        <v/>
      </c>
      <c r="G58" s="190">
        <f>COUNTIF('1b'!$B$1:$AC$1, "SENG-1110*")</f>
        <v/>
      </c>
      <c r="H58" s="190">
        <f>COUNTIF('1c'!$B$1:$L$1, "SENG-1110*")</f>
        <v/>
      </c>
      <c r="I58" s="190">
        <f>COUNTIF('1d'!$B$1:$AB$1, "SENG-1110*")</f>
        <v/>
      </c>
      <c r="J58" s="194">
        <f>COUNTIFS('1e'!$B$1:$BQ$1, "SENG-1110*")</f>
        <v/>
      </c>
      <c r="K58" s="190">
        <f>COUNTIF('1f'!$B$1:$V$1, "SENG-1110*")</f>
        <v/>
      </c>
      <c r="L58" s="192">
        <f>SUM(F58:K58)</f>
        <v/>
      </c>
      <c r="M58" s="13" t="n"/>
      <c r="N58" s="13" t="n"/>
      <c r="O58" s="13" t="n"/>
      <c r="P58" s="13" t="n"/>
      <c r="Q58" s="13" t="n"/>
      <c r="R58" s="13" t="n"/>
      <c r="S58" s="13" t="n"/>
      <c r="T58" s="13" t="n"/>
      <c r="U58" s="13" t="n"/>
    </row>
    <row r="59" ht="17.25" customHeight="1">
      <c r="A59" s="4" t="inlineStr">
        <is>
          <t>SENG-4120-1</t>
        </is>
      </c>
      <c r="B59" s="149" t="inlineStr">
        <is>
          <t>1c</t>
        </is>
      </c>
      <c r="C59" s="216" t="n"/>
      <c r="D59" s="189">
        <f>COUNTIF(A:A, "SENG-1210*")</f>
        <v/>
      </c>
      <c r="E59" s="207" t="inlineStr">
        <is>
          <t>SENG 1210</t>
        </is>
      </c>
      <c r="F59" s="193">
        <f>COUNTIF('1a'!$A$1:$W$1, "SENG-1210*")</f>
        <v/>
      </c>
      <c r="G59" s="190">
        <f>COUNTIF('1b'!$B$1:$AC$1, "SENG-1210*")</f>
        <v/>
      </c>
      <c r="H59" s="190">
        <f>COUNTIF('1c'!$B$1:$L$1, "SENG-1210*")</f>
        <v/>
      </c>
      <c r="I59" s="190">
        <f>COUNTIF('1d'!$B$1:$AB$1, "SENG-1210*")</f>
        <v/>
      </c>
      <c r="J59" s="194">
        <f>COUNTIFS('1e'!$B$1:$BQ$1, "SENG-1210*")</f>
        <v/>
      </c>
      <c r="K59" s="190">
        <f>COUNTIF('1f'!$B$1:$V$1, "SENG-1210*")</f>
        <v/>
      </c>
      <c r="L59" s="195">
        <f>SUM(F59:K59)</f>
        <v/>
      </c>
      <c r="M59" s="13" t="n"/>
      <c r="N59" s="13" t="n"/>
      <c r="O59" s="13" t="n"/>
      <c r="P59" s="13" t="n"/>
      <c r="Q59" s="13" t="n"/>
      <c r="R59" s="13" t="n"/>
      <c r="S59" s="13" t="n"/>
      <c r="T59" s="13" t="n"/>
      <c r="U59" s="13" t="n"/>
    </row>
    <row r="60" ht="17.25" customHeight="1">
      <c r="A60" s="4" t="inlineStr">
        <is>
          <t>SENG-4120-2</t>
        </is>
      </c>
      <c r="B60" s="149" t="inlineStr">
        <is>
          <t>1c</t>
        </is>
      </c>
      <c r="C60" s="216" t="n"/>
      <c r="D60" s="189">
        <f>COUNTIF(A:A, "SENG-3110*")</f>
        <v/>
      </c>
      <c r="E60" s="189" t="inlineStr">
        <is>
          <t>SENG 3110</t>
        </is>
      </c>
      <c r="F60" s="190">
        <f>COUNTIF('1a'!$A$1:$W$1, "SENG-3110*")</f>
        <v/>
      </c>
      <c r="G60" s="190">
        <f>COUNTIF('1b'!$B$1:$AC$1, "SENG-3110*")</f>
        <v/>
      </c>
      <c r="H60" s="190">
        <f>COUNTIF('1c'!$B$1:$L$1, "SENG-3110*")</f>
        <v/>
      </c>
      <c r="I60" s="190">
        <f>COUNTIF('1d'!$B$1:$AB$1, "SENG-3110*")</f>
        <v/>
      </c>
      <c r="J60" s="194">
        <f>COUNTIFS('1e'!$B$1:$BQ$1, "SENG-3110*")</f>
        <v/>
      </c>
      <c r="K60" s="190">
        <f>COUNTIF('1f'!$B$1:$V$1, "SENG-3110*")</f>
        <v/>
      </c>
      <c r="L60" s="192">
        <f>SUM(F60:K60)</f>
        <v/>
      </c>
      <c r="M60" s="13" t="n"/>
      <c r="N60" s="13" t="n"/>
      <c r="O60" s="13" t="n"/>
      <c r="P60" s="13" t="n"/>
      <c r="Q60" s="13" t="n"/>
      <c r="R60" s="13" t="n"/>
      <c r="S60" s="13" t="n"/>
      <c r="T60" s="13" t="n"/>
      <c r="U60" s="13" t="n"/>
    </row>
    <row r="61" ht="17.25" customHeight="1">
      <c r="A61" s="4" t="inlineStr">
        <is>
          <t>SENG-4120-3</t>
        </is>
      </c>
      <c r="B61" s="149" t="inlineStr">
        <is>
          <t>1c</t>
        </is>
      </c>
      <c r="C61" s="216" t="n"/>
      <c r="D61" s="189">
        <f>COUNTIF(A:A, "SENG-3120*")</f>
        <v/>
      </c>
      <c r="E61" s="189" t="inlineStr">
        <is>
          <t>SENG 3120</t>
        </is>
      </c>
      <c r="F61" s="190">
        <f>COUNTIF('1a'!$A$1:$W$1, "SENG-3120*")</f>
        <v/>
      </c>
      <c r="G61" s="190">
        <f>COUNTIF('1b'!$B$1:$AC$1, "SENG-3120*")</f>
        <v/>
      </c>
      <c r="H61" s="190">
        <f>COUNTIF('1c'!$B$1:$L$1, "SENG-3120*")</f>
        <v/>
      </c>
      <c r="I61" s="190">
        <f>COUNTIF('1d'!$B$1:$AB$1, "SENG-3120*")</f>
        <v/>
      </c>
      <c r="J61" s="194">
        <f>COUNTIFS('1e'!$B$1:$BQ$1, "SENG-3120*")</f>
        <v/>
      </c>
      <c r="K61" s="190">
        <f>COUNTIF('1f'!$B$1:$V$1, "SENG-3120*")</f>
        <v/>
      </c>
      <c r="L61" s="192">
        <f>SUM(F61:K61)</f>
        <v/>
      </c>
      <c r="M61" s="13" t="n"/>
      <c r="N61" s="13" t="n"/>
      <c r="O61" s="13" t="n"/>
      <c r="P61" s="13" t="n"/>
      <c r="Q61" s="13" t="n"/>
      <c r="R61" s="13" t="n"/>
      <c r="S61" s="13" t="n"/>
      <c r="T61" s="13" t="n"/>
      <c r="U61" s="13" t="n"/>
    </row>
    <row r="62" ht="17.25" customHeight="1">
      <c r="A62" s="4" t="inlineStr">
        <is>
          <t>SENG-4120-4</t>
        </is>
      </c>
      <c r="B62" s="149" t="inlineStr">
        <is>
          <t>1c</t>
        </is>
      </c>
      <c r="C62" s="150" t="n"/>
      <c r="D62" s="189">
        <f>COUNTIF(A:A, "SENG-3130*")</f>
        <v/>
      </c>
      <c r="E62" s="189" t="inlineStr">
        <is>
          <t>SENG 3130</t>
        </is>
      </c>
      <c r="F62" s="190">
        <f>COUNTIF('1a'!$A$1:$W$1, "SENG-3130*")</f>
        <v/>
      </c>
      <c r="G62" s="190">
        <f>COUNTIF('1b'!$B$1:$AC$1, "SENG-3130*")</f>
        <v/>
      </c>
      <c r="H62" s="190">
        <f>COUNTIF('1c'!$B$1:$L$1, "SENG-3130*")</f>
        <v/>
      </c>
      <c r="I62" s="190">
        <f>COUNTIF('1d'!$B$1:$AB$1, "SENG-3130*")</f>
        <v/>
      </c>
      <c r="J62" s="194">
        <f>COUNTIFS('1e'!$B$1:$BQ$1, "SENG-3130*")</f>
        <v/>
      </c>
      <c r="K62" s="190">
        <f>COUNTIF('1f'!$B$1:$V$1, "SENG-3130*")</f>
        <v/>
      </c>
      <c r="L62" s="192">
        <f>SUM(F62:K62)</f>
        <v/>
      </c>
      <c r="M62" s="182" t="n"/>
      <c r="N62" s="13" t="n"/>
      <c r="O62" s="13" t="n"/>
      <c r="P62" s="13" t="n"/>
      <c r="Q62" s="13" t="n"/>
      <c r="R62" s="13" t="n"/>
      <c r="S62" s="13" t="n"/>
      <c r="T62" s="13" t="n"/>
      <c r="U62" s="13" t="n"/>
    </row>
    <row r="63" ht="17.25" customHeight="1">
      <c r="A63" s="4" t="inlineStr">
        <is>
          <t>SENG-4120-5</t>
        </is>
      </c>
      <c r="B63" s="149" t="inlineStr">
        <is>
          <t>1c</t>
        </is>
      </c>
      <c r="C63" s="150" t="n"/>
      <c r="D63" s="189">
        <f>COUNTIF(A:A, "SENG-3210*")</f>
        <v/>
      </c>
      <c r="E63" s="189" t="inlineStr">
        <is>
          <t>SENG 3210</t>
        </is>
      </c>
      <c r="F63" s="190">
        <f>COUNTIF('1a'!$A$1:$W$1, "SENG-3210*")</f>
        <v/>
      </c>
      <c r="G63" s="190">
        <f>COUNTIF('1b'!$B$1:$AC$1, "SENG-3210*")</f>
        <v/>
      </c>
      <c r="H63" s="190">
        <f>COUNTIF('1c'!$B$1:$L$1, "SENG-3210*")</f>
        <v/>
      </c>
      <c r="I63" s="190">
        <f>COUNTIF('1d'!$B$1:$AB$1, "SENG-3210*")</f>
        <v/>
      </c>
      <c r="J63" s="194">
        <f>COUNTIFS('1e'!$B$1:$BQ$1, "SENG-3210*")</f>
        <v/>
      </c>
      <c r="K63" s="190">
        <f>COUNTIF('1f'!$B$1:$V$1, "SENG-3210*")</f>
        <v/>
      </c>
      <c r="L63" s="192">
        <f>SUM(F63:K63)</f>
        <v/>
      </c>
      <c r="M63" s="182" t="n"/>
      <c r="N63" s="13" t="n"/>
      <c r="O63" s="13" t="n"/>
      <c r="P63" s="13" t="n"/>
      <c r="Q63" s="13" t="n"/>
      <c r="R63" s="13" t="n"/>
      <c r="S63" s="13" t="n"/>
      <c r="T63" s="13" t="n"/>
      <c r="U63" s="13" t="n"/>
    </row>
    <row r="64" ht="17.25" customHeight="1">
      <c r="A64" s="4" t="inlineStr">
        <is>
          <t>SENG-4120-6</t>
        </is>
      </c>
      <c r="B64" s="149" t="inlineStr">
        <is>
          <t>1c</t>
        </is>
      </c>
      <c r="C64" s="150" t="n"/>
      <c r="D64" s="189">
        <f>COUNTIF(A:A, "SENG-4100*")</f>
        <v/>
      </c>
      <c r="E64" s="208" t="inlineStr">
        <is>
          <t>SENG 4100</t>
        </is>
      </c>
      <c r="F64" s="209">
        <f>COUNTIF('1a'!$A$1:$W$1, "SENG-4100*")</f>
        <v/>
      </c>
      <c r="G64" s="190">
        <f>COUNTIF('1b'!$B$1:$AC$1, "SENG-4100*")</f>
        <v/>
      </c>
      <c r="H64" s="190">
        <f>COUNTIF('1c'!$B$1:$L$1, "SENG-4100*")</f>
        <v/>
      </c>
      <c r="I64" s="190">
        <f>COUNTIF('1d'!$B$1:$AB$1, "SENG-4100*")</f>
        <v/>
      </c>
      <c r="J64" s="194">
        <f>COUNTIFS('1e'!$B$1:$BQ$1, "SENG-4100*")</f>
        <v/>
      </c>
      <c r="K64" s="190">
        <f>COUNTIF('1f'!$B$1:$V$1, "SENG-4100*")</f>
        <v/>
      </c>
      <c r="L64" s="198">
        <f>SUM(F64:K64)</f>
        <v/>
      </c>
      <c r="M64" s="182" t="n"/>
      <c r="N64" s="13" t="n"/>
      <c r="O64" s="13" t="n"/>
      <c r="P64" s="13" t="n"/>
      <c r="Q64" s="13" t="n"/>
      <c r="R64" s="13" t="n"/>
      <c r="S64" s="13" t="n"/>
      <c r="T64" s="13" t="n"/>
      <c r="U64" s="13" t="n"/>
    </row>
    <row r="65" ht="17.25" customHeight="1">
      <c r="A65" s="4" t="inlineStr">
        <is>
          <t>EPHY-1170-9</t>
        </is>
      </c>
      <c r="B65" s="149" t="inlineStr">
        <is>
          <t>1d</t>
        </is>
      </c>
      <c r="C65" s="150" t="n"/>
      <c r="D65" s="189">
        <f>COUNTIF(A:A, "SENG-4110*")</f>
        <v/>
      </c>
      <c r="E65" s="208" t="inlineStr">
        <is>
          <t>SENG 4110</t>
        </is>
      </c>
      <c r="F65" s="209">
        <f>COUNTIF('1a'!$A$1:$W$1, "SENG-4110*")</f>
        <v/>
      </c>
      <c r="G65" s="190">
        <f>COUNTIF('1b'!$B$1:$AC$1, "SENG-4110*")</f>
        <v/>
      </c>
      <c r="H65" s="190">
        <f>COUNTIF('1c'!$B$1:$L$1, "SENG-4110*")</f>
        <v/>
      </c>
      <c r="I65" s="190">
        <f>COUNTIF('1d'!$B$1:$AB$1, "SENG-4110*")</f>
        <v/>
      </c>
      <c r="J65" s="194">
        <f>COUNTIFS('1e'!$B$1:$BQ$1, "SENG-4110*")</f>
        <v/>
      </c>
      <c r="K65" s="190">
        <f>COUNTIF('1f'!$B$1:$V$1, "SENG-4110*")</f>
        <v/>
      </c>
      <c r="L65" s="198">
        <f>SUM(F65:K65)</f>
        <v/>
      </c>
      <c r="M65" s="182" t="n"/>
      <c r="N65" s="13" t="n"/>
      <c r="O65" s="13" t="n"/>
      <c r="P65" s="13" t="n"/>
      <c r="Q65" s="13" t="n"/>
      <c r="R65" s="13" t="n"/>
      <c r="S65" s="13" t="n"/>
      <c r="T65" s="13" t="n"/>
      <c r="U65" s="13" t="n"/>
    </row>
    <row r="66" ht="17.25" customHeight="1">
      <c r="A66" s="4" t="inlineStr">
        <is>
          <t>EPHY-1700-1</t>
        </is>
      </c>
      <c r="B66" s="149" t="inlineStr">
        <is>
          <t>1d</t>
        </is>
      </c>
      <c r="C66" s="150" t="n"/>
      <c r="D66" s="189">
        <f>COUNTIF(A:A, "SENG-4120*")</f>
        <v/>
      </c>
      <c r="E66" s="208" t="inlineStr">
        <is>
          <t>SENG 4120</t>
        </is>
      </c>
      <c r="F66" s="209">
        <f>COUNTIF('1a'!$A$1:$W$1, "SENG-4120*")</f>
        <v/>
      </c>
      <c r="G66" s="190">
        <f>COUNTIF('1b'!$B$1:$AC$1, "SENG-4120*")</f>
        <v/>
      </c>
      <c r="H66" s="190">
        <f>COUNTIF('1c'!$B$1:$L$1, "SENG-4120*")</f>
        <v/>
      </c>
      <c r="I66" s="190">
        <f>COUNTIF('1d'!$B$1:$AB$1, "SENG-4120*")</f>
        <v/>
      </c>
      <c r="J66" s="194">
        <f>COUNTIFS('1e'!$B$1:$BQ$1, "SENG-4120*")</f>
        <v/>
      </c>
      <c r="K66" s="190">
        <f>COUNTIF('1f'!$B$1:$V$1, "SENG-4120*")</f>
        <v/>
      </c>
      <c r="L66" s="198">
        <f>SUM(F66:K66)</f>
        <v/>
      </c>
      <c r="M66" s="182" t="n"/>
      <c r="N66" s="13" t="n"/>
      <c r="O66" s="13" t="n"/>
      <c r="P66" s="13" t="n"/>
      <c r="Q66" s="13" t="n"/>
      <c r="R66" s="13" t="n"/>
      <c r="S66" s="13" t="n"/>
      <c r="T66" s="13" t="n"/>
      <c r="U66" s="13" t="n"/>
    </row>
    <row r="67" ht="17.25" customHeight="1">
      <c r="A67" s="4" t="inlineStr">
        <is>
          <t>EPHY-1700-2</t>
        </is>
      </c>
      <c r="B67" s="149" t="inlineStr">
        <is>
          <t>1d</t>
        </is>
      </c>
      <c r="C67" s="150" t="n"/>
      <c r="D67" s="189">
        <f>COUNTIF(A:A, "SENG-4130*")</f>
        <v/>
      </c>
      <c r="E67" s="189" t="inlineStr">
        <is>
          <t>SENG 4130</t>
        </is>
      </c>
      <c r="F67" s="210">
        <f>COUNTIF('1a'!$A$1:$W$1, "SENG-4130*")</f>
        <v/>
      </c>
      <c r="G67" s="190">
        <f>COUNTIF('1b'!$B$1:$AC$1, "SENG-4130*")</f>
        <v/>
      </c>
      <c r="H67" s="190">
        <f>COUNTIF('1c'!$B$1:$L$1, "SENG-4130*")</f>
        <v/>
      </c>
      <c r="I67" s="190">
        <f>COUNTIF('1d'!$B$1:$AB$1, "SENG-4130*")</f>
        <v/>
      </c>
      <c r="J67" s="194">
        <f>COUNTIFS('1e'!$B$1:$BQ$1, "SENG-4130*")</f>
        <v/>
      </c>
      <c r="K67" s="190">
        <f>COUNTIF('1f'!$B$1:$V$1, "SENG-4130*")</f>
        <v/>
      </c>
      <c r="L67" s="192">
        <f>SUM(F67:K67)</f>
        <v/>
      </c>
      <c r="M67" s="182" t="n"/>
      <c r="N67" s="13" t="n"/>
      <c r="O67" s="13" t="n"/>
      <c r="P67" s="13" t="n"/>
      <c r="Q67" s="13" t="n"/>
      <c r="R67" s="13" t="n"/>
      <c r="S67" s="13" t="n"/>
      <c r="T67" s="13" t="n"/>
      <c r="U67" s="13" t="n"/>
    </row>
    <row r="68" ht="17.25" customHeight="1">
      <c r="A68" s="4" t="inlineStr">
        <is>
          <t>EPHY-1700-3</t>
        </is>
      </c>
      <c r="B68" s="149" t="inlineStr">
        <is>
          <t>1d</t>
        </is>
      </c>
      <c r="C68" s="150" t="n"/>
      <c r="D68" s="189">
        <f>COUNTIF(A:A, "SENG-4230*")</f>
        <v/>
      </c>
      <c r="E68" s="189" t="inlineStr">
        <is>
          <t>SENG 4230</t>
        </is>
      </c>
      <c r="F68" s="210">
        <f>COUNTIF('1a'!$A$1:$W$1, "SENG-4230*")</f>
        <v/>
      </c>
      <c r="G68" s="190">
        <f>COUNTIF('1b'!$B$1:$AC$1, "SENG-4230*")</f>
        <v/>
      </c>
      <c r="H68" s="190">
        <f>COUNTIF('1c'!$B$1:$L$1, "SENG-4230*")</f>
        <v/>
      </c>
      <c r="I68" s="190">
        <f>COUNTIF('1d'!$B$1:$AB$1, "SENG-4230*")</f>
        <v/>
      </c>
      <c r="J68" s="194">
        <f>COUNTIFS('1e'!$B$1:$BQ$1, "SENG-4230*")</f>
        <v/>
      </c>
      <c r="K68" s="190">
        <f>COUNTIF('1f'!$B$1:$V$1, "SENG-4230*")</f>
        <v/>
      </c>
      <c r="L68" s="192">
        <f>SUM(F68:K68)</f>
        <v/>
      </c>
      <c r="M68" s="182" t="n"/>
      <c r="N68" s="13" t="n"/>
      <c r="O68" s="13" t="n"/>
      <c r="P68" s="13" t="n"/>
      <c r="Q68" s="13" t="n"/>
      <c r="R68" s="13" t="n"/>
      <c r="S68" s="13" t="n"/>
      <c r="T68" s="13" t="n"/>
      <c r="U68" s="13" t="n"/>
    </row>
    <row r="69" ht="17.25" customHeight="1">
      <c r="A69" s="4" t="inlineStr">
        <is>
          <t>EPHY-1700-4</t>
        </is>
      </c>
      <c r="B69" s="149" t="inlineStr">
        <is>
          <t>1d</t>
        </is>
      </c>
      <c r="C69" s="150" t="n"/>
      <c r="D69" s="189">
        <f>COUNTIF(A:A, "SENG-4220*")</f>
        <v/>
      </c>
      <c r="E69" s="189" t="inlineStr">
        <is>
          <t>SENG 4220</t>
        </is>
      </c>
      <c r="F69" s="210">
        <f>COUNTIF('1a'!$A$1:$W$1, "SENG-4220*")</f>
        <v/>
      </c>
      <c r="G69" s="190">
        <f>COUNTIF('1b'!$B$1:$AC$1, "SENG-4220*")</f>
        <v/>
      </c>
      <c r="H69" s="190">
        <f>COUNTIF('1c'!$B$1:$L$1, "SENG-4220*")</f>
        <v/>
      </c>
      <c r="I69" s="190">
        <f>COUNTIF('1d'!$B$1:$AB$1, "SENG-4220*")</f>
        <v/>
      </c>
      <c r="J69" s="194">
        <f>COUNTIFS('1e'!$B$1:$BQ$1, "SENG-4220*")</f>
        <v/>
      </c>
      <c r="K69" s="190">
        <f>COUNTIF('1f'!$B$1:$V$1, "SENG-4220*")</f>
        <v/>
      </c>
      <c r="L69" s="192">
        <f>SUM(F69:K69)</f>
        <v/>
      </c>
      <c r="M69" s="182" t="n"/>
      <c r="N69" s="13" t="n"/>
      <c r="O69" s="13" t="n"/>
      <c r="P69" s="13" t="n"/>
      <c r="Q69" s="13" t="n"/>
      <c r="R69" s="13" t="n"/>
      <c r="S69" s="13" t="n"/>
      <c r="T69" s="13" t="n"/>
      <c r="U69" s="13" t="n"/>
    </row>
    <row r="70" ht="17.25" customHeight="1">
      <c r="A70" s="4" t="inlineStr">
        <is>
          <t>EPHY-1700-5</t>
        </is>
      </c>
      <c r="B70" s="149" t="inlineStr">
        <is>
          <t>1d</t>
        </is>
      </c>
      <c r="C70" s="150" t="n"/>
      <c r="D70" s="189">
        <f>COUNTIF(A:A, "SENG-4140*")</f>
        <v/>
      </c>
      <c r="E70" s="189" t="inlineStr">
        <is>
          <t>SENG 4140</t>
        </is>
      </c>
      <c r="F70" s="210">
        <f>COUNTIF('1a'!$A$1:$W$1, "SENG-4140*")</f>
        <v/>
      </c>
      <c r="G70" s="190">
        <f>COUNTIF('1b'!$B$1:$AC$1, "SENG-4140*")</f>
        <v/>
      </c>
      <c r="H70" s="190">
        <f>COUNTIF('1c'!$B$1:$L$1, "SENG-4140*")</f>
        <v/>
      </c>
      <c r="I70" s="190">
        <f>COUNTIF('1d'!$B$1:$AB$1, "SENG-4140*")</f>
        <v/>
      </c>
      <c r="J70" s="194">
        <f>COUNTIFS('1e'!$B$1:$BQ$1, "SENG-4140*")</f>
        <v/>
      </c>
      <c r="K70" s="190">
        <f>COUNTIF('1f'!$B$1:$V$1, "SENG-4140*")</f>
        <v/>
      </c>
      <c r="L70" s="192">
        <f>SUM(F70:K70)</f>
        <v/>
      </c>
      <c r="M70" s="182" t="n"/>
      <c r="N70" s="13" t="n"/>
      <c r="O70" s="13" t="n"/>
      <c r="P70" s="13" t="n"/>
      <c r="Q70" s="13" t="n"/>
      <c r="R70" s="13" t="n"/>
      <c r="S70" s="13" t="n"/>
      <c r="T70" s="13" t="n"/>
      <c r="U70" s="13" t="n"/>
    </row>
    <row r="71" ht="17.25" customHeight="1">
      <c r="A71" s="4" t="inlineStr">
        <is>
          <t>EPHY-1700-6</t>
        </is>
      </c>
      <c r="B71" s="149" t="inlineStr">
        <is>
          <t>1d</t>
        </is>
      </c>
      <c r="C71" s="150" t="n"/>
      <c r="D71" s="189">
        <f>COUNTIF(A:A, "SENG-4610*")</f>
        <v/>
      </c>
      <c r="E71" s="189" t="inlineStr">
        <is>
          <t>SENG 4610</t>
        </is>
      </c>
      <c r="F71" s="210">
        <f>COUNTIF('1a'!$A$1:$W$1, "SENG-4610*")</f>
        <v/>
      </c>
      <c r="G71" s="190">
        <f>COUNTIF('1b'!$B$1:$AC$1, "SENG-4610*")</f>
        <v/>
      </c>
      <c r="H71" s="190">
        <f>COUNTIF('1c'!$B$1:$L$1, "SENG-4610*")</f>
        <v/>
      </c>
      <c r="I71" s="190">
        <f>COUNTIF('1d'!$B$1:$AB$1, "SENG-4610*")</f>
        <v/>
      </c>
      <c r="J71" s="194">
        <f>COUNTIFS('1e'!$B$1:$BQ$1, "SENG-4610*")</f>
        <v/>
      </c>
      <c r="K71" s="190">
        <f>COUNTIF('1f'!$B$1:$V$1, "SENG-4610*")</f>
        <v/>
      </c>
      <c r="L71" s="192">
        <f>SUM(F71:K71)</f>
        <v/>
      </c>
      <c r="M71" s="182" t="n"/>
      <c r="N71" s="13" t="n"/>
      <c r="O71" s="13" t="n"/>
      <c r="P71" s="13" t="n"/>
      <c r="Q71" s="13" t="n"/>
      <c r="R71" s="13" t="n"/>
      <c r="S71" s="13" t="n"/>
      <c r="T71" s="13" t="n"/>
      <c r="U71" s="13" t="n"/>
    </row>
    <row r="72" ht="17.25" customHeight="1">
      <c r="A72" s="4" t="inlineStr">
        <is>
          <t>EPHY-1700-7</t>
        </is>
      </c>
      <c r="B72" s="149" t="inlineStr">
        <is>
          <t>1d</t>
        </is>
      </c>
      <c r="C72" s="150" t="n"/>
      <c r="D72" s="189">
        <f>COUNTIF(A:A, "SENG-4620*")</f>
        <v/>
      </c>
      <c r="E72" s="189" t="inlineStr">
        <is>
          <t>SENG 4620</t>
        </is>
      </c>
      <c r="F72" s="210">
        <f>COUNTIF('1a'!$A$1:$W$1, "SENG-4620*")</f>
        <v/>
      </c>
      <c r="G72" s="190">
        <f>COUNTIF('1b'!$B$1:$AC$1, "SENG-4620*")</f>
        <v/>
      </c>
      <c r="H72" s="190">
        <f>COUNTIF('1c'!$B$1:$L$1, "SENG-4620*")</f>
        <v/>
      </c>
      <c r="I72" s="190">
        <f>COUNTIF('1d'!$B$1:$AB$1, "SENG-4620*")</f>
        <v/>
      </c>
      <c r="J72" s="194">
        <f>COUNTIFS('1e'!$B$1:$BQ$1, "SENG-4620*")</f>
        <v/>
      </c>
      <c r="K72" s="190">
        <f>COUNTIF('1f'!$B$1:$V$1, "SENG-4620*")</f>
        <v/>
      </c>
      <c r="L72" s="192">
        <f>SUM(F72:K72)</f>
        <v/>
      </c>
      <c r="M72" s="182" t="n"/>
      <c r="N72" s="13" t="n"/>
      <c r="O72" s="13" t="n"/>
      <c r="P72" s="13" t="n"/>
      <c r="Q72" s="13" t="n"/>
      <c r="R72" s="13" t="n"/>
      <c r="S72" s="13" t="n"/>
      <c r="T72" s="13" t="n"/>
      <c r="U72" s="13" t="n"/>
    </row>
    <row r="73" ht="17.25" customHeight="1">
      <c r="A73" s="4" t="inlineStr">
        <is>
          <t>PHYS-2150-1</t>
        </is>
      </c>
      <c r="B73" s="149" t="inlineStr">
        <is>
          <t>1d</t>
        </is>
      </c>
      <c r="C73" s="150" t="n"/>
      <c r="D73" s="189">
        <f>COUNTIF(A:A, "SENG-4630*")</f>
        <v/>
      </c>
      <c r="E73" s="189" t="inlineStr">
        <is>
          <t>SENG 4630</t>
        </is>
      </c>
      <c r="F73" s="210">
        <f>COUNTIF('1a'!$A$1:$W$1, "SENG-4630*")</f>
        <v/>
      </c>
      <c r="G73" s="190">
        <f>COUNTIF('1b'!$B$1:$AC$1, "SENG-4630*")</f>
        <v/>
      </c>
      <c r="H73" s="190">
        <f>COUNTIF('1c'!$B$1:$L$1, "SENG-4630*")</f>
        <v/>
      </c>
      <c r="I73" s="190">
        <f>COUNTIF('1d'!$B$1:$AB$1, "SENG-4630*")</f>
        <v/>
      </c>
      <c r="J73" s="194">
        <f>COUNTIFS('1e'!$B$1:$BQ$1, "SENG-4630*")</f>
        <v/>
      </c>
      <c r="K73" s="190">
        <f>COUNTIF('1f'!$B$1:$V$1, "SENG-4630*")</f>
        <v/>
      </c>
      <c r="L73" s="192">
        <f>SUM(F73:K73)</f>
        <v/>
      </c>
      <c r="M73" s="182" t="n"/>
      <c r="N73" s="13" t="n"/>
      <c r="O73" s="13" t="n"/>
      <c r="P73" s="13" t="n"/>
      <c r="Q73" s="13" t="n"/>
      <c r="R73" s="13" t="n"/>
      <c r="S73" s="13" t="n"/>
      <c r="T73" s="13" t="n"/>
      <c r="U73" s="13" t="n"/>
    </row>
    <row r="74" ht="17.25" customHeight="1">
      <c r="A74" s="4" t="inlineStr">
        <is>
          <t>PHYS-2150-2</t>
        </is>
      </c>
      <c r="B74" s="149" t="inlineStr">
        <is>
          <t>1d</t>
        </is>
      </c>
      <c r="C74" s="150" t="n"/>
      <c r="D74" s="189">
        <f>COUNTIF(A:A, "SENG-4640*")</f>
        <v/>
      </c>
      <c r="E74" s="189" t="inlineStr">
        <is>
          <t>SENG 4640</t>
        </is>
      </c>
      <c r="F74" s="210">
        <f>COUNTIF('1a'!$A$1:$W$1, "SENG-4640*")</f>
        <v/>
      </c>
      <c r="G74" s="190">
        <f>COUNTIF('1b'!$B$1:$AC$1, "SENG-4640*")</f>
        <v/>
      </c>
      <c r="H74" s="190">
        <f>COUNTIF('1c'!$B$1:$L$1, "SENG-4640*")</f>
        <v/>
      </c>
      <c r="I74" s="190">
        <f>COUNTIF('1d'!$B$1:$AB$1, "SENG-4640*")</f>
        <v/>
      </c>
      <c r="J74" s="194">
        <f>COUNTIFS('1e'!$B$1:$BQ$1, "SENG-4640*")</f>
        <v/>
      </c>
      <c r="K74" s="190">
        <f>COUNTIF('1f'!$B$1:$V$1, "SENG-4640*")</f>
        <v/>
      </c>
      <c r="L74" s="192">
        <f>SUM(F74:K74)</f>
        <v/>
      </c>
      <c r="M74" s="182" t="n"/>
      <c r="N74" s="13" t="n"/>
      <c r="O74" s="13" t="n"/>
      <c r="P74" s="13" t="n"/>
      <c r="Q74" s="13" t="n"/>
      <c r="R74" s="13" t="n"/>
      <c r="S74" s="13" t="n"/>
      <c r="T74" s="13" t="n"/>
      <c r="U74" s="13" t="n"/>
    </row>
    <row r="75" ht="17.25" customHeight="1">
      <c r="A75" s="4" t="inlineStr">
        <is>
          <t>PHYS-2150-3</t>
        </is>
      </c>
      <c r="B75" s="149" t="inlineStr">
        <is>
          <t>1d</t>
        </is>
      </c>
      <c r="C75" s="150" t="n"/>
      <c r="D75" s="189">
        <f>COUNTIF(A:A, "SENG-4650*")</f>
        <v/>
      </c>
      <c r="E75" s="189" t="inlineStr">
        <is>
          <t>SENG 4650</t>
        </is>
      </c>
      <c r="F75" s="210">
        <f>COUNTIF('1a'!$A$1:$W$1, "SENG-4650*")</f>
        <v/>
      </c>
      <c r="G75" s="190">
        <f>COUNTIF('1b'!$B$1:$AC$1, "SENG-4650*")</f>
        <v/>
      </c>
      <c r="H75" s="190">
        <f>COUNTIF('1c'!$B$1:$L$1, "SENG-4650*")</f>
        <v/>
      </c>
      <c r="I75" s="190">
        <f>COUNTIF('1d'!$B$1:$AB$1, "SENG-4650*")</f>
        <v/>
      </c>
      <c r="J75" s="194">
        <f>COUNTIFS('1e'!$B$1:$BQ$1, "SENG-4650*")</f>
        <v/>
      </c>
      <c r="K75" s="190">
        <f>COUNTIF('1f'!$B$1:$V$1, "SENG-4650*")</f>
        <v/>
      </c>
      <c r="L75" s="192">
        <f>SUM(F75:K75)</f>
        <v/>
      </c>
      <c r="M75" s="182" t="n"/>
      <c r="N75" s="13" t="n"/>
      <c r="O75" s="13" t="n"/>
      <c r="P75" s="13" t="n"/>
      <c r="Q75" s="13" t="n"/>
      <c r="R75" s="13" t="n"/>
      <c r="S75" s="13" t="n"/>
      <c r="T75" s="13" t="n"/>
      <c r="U75" s="13" t="n"/>
    </row>
    <row r="76" ht="17.25" customHeight="1">
      <c r="A76" s="4" t="inlineStr">
        <is>
          <t>EPHY-2200-1</t>
        </is>
      </c>
      <c r="B76" s="149" t="inlineStr">
        <is>
          <t>1d</t>
        </is>
      </c>
      <c r="C76" s="150" t="n"/>
      <c r="D76" s="189">
        <f>COUNTIF(A:A, "SENG-4660*")</f>
        <v/>
      </c>
      <c r="E76" s="189" t="inlineStr">
        <is>
          <t>SENG 4660</t>
        </is>
      </c>
      <c r="F76" s="210">
        <f>COUNTIF('1a'!$A$1:$W$1, "SENG-4660*")</f>
        <v/>
      </c>
      <c r="G76" s="190">
        <f>COUNTIF('1b'!$B$1:$AC$1, "SENG-4660*")</f>
        <v/>
      </c>
      <c r="H76" s="190">
        <f>COUNTIF('1c'!$B$1:$L$1, "SENG-4660*")</f>
        <v/>
      </c>
      <c r="I76" s="190">
        <f>COUNTIF('1d'!$B$1:$AB$1, "SENG-4660*")</f>
        <v/>
      </c>
      <c r="J76" s="194">
        <f>COUNTIFS('1e'!$B$1:$BQ$1, "SENG-4660*")</f>
        <v/>
      </c>
      <c r="K76" s="190">
        <f>COUNTIF('1f'!$B$1:$V$1, "SENG-4660*")</f>
        <v/>
      </c>
      <c r="L76" s="192">
        <f>SUM(F76:K76)</f>
        <v/>
      </c>
      <c r="M76" s="182" t="n"/>
      <c r="N76" s="13" t="n"/>
      <c r="O76" s="13" t="n"/>
      <c r="P76" s="13" t="n"/>
      <c r="Q76" s="13" t="n"/>
      <c r="R76" s="13" t="n"/>
      <c r="S76" s="13" t="n"/>
      <c r="T76" s="13" t="n"/>
      <c r="U76" s="13" t="n"/>
    </row>
    <row r="77" ht="17.25" customHeight="1">
      <c r="A77" s="4" t="inlineStr">
        <is>
          <t>EPHY-2200-2</t>
        </is>
      </c>
      <c r="B77" s="149" t="inlineStr">
        <is>
          <t>1d</t>
        </is>
      </c>
      <c r="C77" s="150" t="n"/>
      <c r="D77" s="189">
        <f>COUNTIF(A:A, "STAT-2230*")</f>
        <v/>
      </c>
      <c r="E77" s="189" t="inlineStr">
        <is>
          <t xml:space="preserve">STAT 2230 </t>
        </is>
      </c>
      <c r="F77" s="190">
        <f>COUNTIF('1a'!$A$1:$W$1, "STAT-2230*")</f>
        <v/>
      </c>
      <c r="G77" s="190">
        <f>COUNTIF('1b'!$B$1:$AC$1, "STAT-2230*")</f>
        <v/>
      </c>
      <c r="H77" s="190">
        <f>COUNTIF('1c'!$B$1:$L$1, "STAT-2230*")</f>
        <v/>
      </c>
      <c r="I77" s="190">
        <f>COUNTIF('1d'!$B$1:$AB$1, "STAT-2230*")</f>
        <v/>
      </c>
      <c r="J77" s="194">
        <f>COUNTIFS('1e'!$B$1:$BQ$1, "STAT-2230*")</f>
        <v/>
      </c>
      <c r="K77" s="190">
        <f>COUNTIF('1f'!$B$1:$V$1, "STAT-2230*")</f>
        <v/>
      </c>
      <c r="L77" s="192">
        <f>SUM(F77:K77)</f>
        <v/>
      </c>
      <c r="M77" s="182" t="n"/>
      <c r="N77" s="13" t="n"/>
      <c r="O77" s="13" t="n"/>
      <c r="P77" s="13" t="n"/>
      <c r="Q77" s="13" t="n"/>
      <c r="R77" s="13" t="n"/>
      <c r="S77" s="13" t="n"/>
      <c r="T77" s="13" t="n"/>
      <c r="U77" s="13" t="n"/>
    </row>
    <row r="78" ht="17.25" customHeight="1">
      <c r="A78" s="4" t="inlineStr">
        <is>
          <t>EPHY-2200-3</t>
        </is>
      </c>
      <c r="B78" s="149" t="inlineStr">
        <is>
          <t>1d</t>
        </is>
      </c>
      <c r="C78" s="150" t="n"/>
      <c r="D78" s="211">
        <f>SUM(D29:D76)</f>
        <v/>
      </c>
      <c r="E78" s="189" t="inlineStr">
        <is>
          <t>TOTAL</t>
        </is>
      </c>
      <c r="F78" s="160">
        <f>SUM(F29:F76)</f>
        <v/>
      </c>
      <c r="G78" s="160">
        <f>SUM(G29:G76)</f>
        <v/>
      </c>
      <c r="H78" s="160">
        <f>SUM(H29:H76)</f>
        <v/>
      </c>
      <c r="I78" s="160">
        <f>SUM(I29:I76)</f>
        <v/>
      </c>
      <c r="J78" s="160">
        <f>SUM(J29:J76)</f>
        <v/>
      </c>
      <c r="K78" s="160">
        <f>SUM(K29:K76)</f>
        <v/>
      </c>
      <c r="L78" s="212">
        <f>SUM(L29:L76)</f>
        <v/>
      </c>
      <c r="M78" s="182" t="n"/>
      <c r="N78" s="13" t="n"/>
      <c r="O78" s="13" t="n"/>
      <c r="P78" s="13" t="n"/>
      <c r="Q78" s="13" t="n"/>
      <c r="R78" s="13" t="n"/>
      <c r="S78" s="13" t="n"/>
      <c r="T78" s="13" t="n"/>
      <c r="U78" s="13" t="n"/>
    </row>
    <row r="79" ht="17.25" customHeight="1">
      <c r="A79" s="4" t="inlineStr">
        <is>
          <t>EPHY-2200-4</t>
        </is>
      </c>
      <c r="B79" s="149" t="inlineStr">
        <is>
          <t>1d</t>
        </is>
      </c>
      <c r="C79" s="150" t="n"/>
      <c r="D79" s="13" t="n"/>
      <c r="E79" s="182" t="n"/>
      <c r="F79" s="182" t="n"/>
      <c r="G79" s="182" t="n"/>
      <c r="H79" s="182" t="n"/>
      <c r="I79" s="182" t="n"/>
      <c r="J79" s="182" t="n"/>
      <c r="K79" s="182" t="n"/>
      <c r="L79" s="182" t="n"/>
      <c r="M79" s="182" t="n"/>
      <c r="N79" s="13" t="n"/>
      <c r="O79" s="13" t="n"/>
      <c r="P79" s="13" t="n"/>
      <c r="Q79" s="13" t="n"/>
      <c r="R79" s="13" t="n"/>
      <c r="S79" s="13" t="n"/>
      <c r="T79" s="13" t="n"/>
      <c r="U79" s="13" t="n"/>
    </row>
    <row r="80" ht="17.25" customHeight="1">
      <c r="A80" s="4" t="inlineStr">
        <is>
          <t>CENG-2030-1</t>
        </is>
      </c>
      <c r="B80" s="149" t="inlineStr">
        <is>
          <t>1d</t>
        </is>
      </c>
      <c r="C80" s="150" t="n"/>
      <c r="D80" s="13" t="n"/>
      <c r="E80" s="182" t="n"/>
      <c r="F80" s="182" t="n"/>
      <c r="G80" s="182" t="n"/>
      <c r="H80" s="182" t="n"/>
      <c r="I80" s="182" t="n"/>
      <c r="J80" s="182" t="n"/>
      <c r="K80" s="182" t="n"/>
      <c r="L80" s="182" t="n"/>
      <c r="M80" s="182" t="n"/>
      <c r="N80" s="13" t="n"/>
      <c r="O80" s="13" t="n"/>
      <c r="P80" s="13" t="n"/>
      <c r="Q80" s="13" t="n"/>
      <c r="R80" s="13" t="n"/>
      <c r="S80" s="13" t="n"/>
      <c r="T80" s="13" t="n"/>
      <c r="U80" s="13" t="n"/>
    </row>
    <row r="81" ht="17.25" customHeight="1">
      <c r="A81" s="4" t="inlineStr">
        <is>
          <t>CENG-2030-2</t>
        </is>
      </c>
      <c r="B81" s="149" t="inlineStr">
        <is>
          <t>1d</t>
        </is>
      </c>
      <c r="C81" s="150" t="n"/>
      <c r="D81" s="13" t="n"/>
      <c r="E81" s="182" t="n"/>
      <c r="F81" s="182" t="n"/>
      <c r="G81" s="182" t="n"/>
      <c r="H81" s="182" t="n"/>
      <c r="I81" s="182" t="n"/>
      <c r="J81" s="182" t="n"/>
      <c r="K81" s="182" t="n"/>
      <c r="L81" s="182" t="n"/>
      <c r="M81" s="182" t="n"/>
      <c r="N81" s="13" t="n"/>
      <c r="O81" s="13" t="n"/>
      <c r="P81" s="13" t="n"/>
      <c r="Q81" s="13" t="n"/>
      <c r="R81" s="13" t="n"/>
      <c r="S81" s="13" t="n"/>
      <c r="T81" s="13" t="n"/>
      <c r="U81" s="13" t="n"/>
    </row>
    <row r="82" ht="17.25" customHeight="1">
      <c r="A82" s="4" t="inlineStr">
        <is>
          <t>CENG-2030-3</t>
        </is>
      </c>
      <c r="B82" s="149" t="inlineStr">
        <is>
          <t>1d</t>
        </is>
      </c>
      <c r="C82" s="150" t="n"/>
      <c r="D82" s="13" t="n"/>
      <c r="E82" s="182" t="n"/>
      <c r="F82" s="182" t="n"/>
      <c r="G82" s="182" t="n"/>
      <c r="H82" s="182" t="n"/>
      <c r="I82" s="182" t="n"/>
      <c r="J82" s="182" t="n"/>
      <c r="K82" s="182" t="n"/>
      <c r="L82" s="182" t="n"/>
      <c r="M82" s="182" t="n"/>
      <c r="N82" s="13" t="n"/>
      <c r="O82" s="13" t="n"/>
      <c r="P82" s="13" t="n"/>
      <c r="Q82" s="13" t="n"/>
      <c r="R82" s="13" t="n"/>
      <c r="S82" s="13" t="n"/>
      <c r="T82" s="13" t="n"/>
      <c r="U82" s="13" t="n"/>
    </row>
    <row r="83" ht="17.25" customHeight="1">
      <c r="A83" s="4" t="inlineStr">
        <is>
          <t>CENG-2030-4</t>
        </is>
      </c>
      <c r="B83" s="149" t="inlineStr">
        <is>
          <t>1d</t>
        </is>
      </c>
      <c r="C83" s="150" t="n"/>
      <c r="D83" s="13" t="n"/>
      <c r="E83" s="182" t="n"/>
      <c r="F83" s="182" t="n"/>
      <c r="G83" s="182" t="n"/>
      <c r="H83" s="182" t="n"/>
      <c r="I83" s="182" t="n"/>
      <c r="J83" s="182" t="n"/>
      <c r="K83" s="182" t="n"/>
      <c r="L83" s="182" t="n"/>
      <c r="M83" s="182" t="n"/>
      <c r="N83" s="13" t="n"/>
      <c r="O83" s="13" t="n"/>
      <c r="P83" s="13" t="n"/>
      <c r="Q83" s="13" t="n"/>
      <c r="R83" s="13" t="n"/>
      <c r="S83" s="13" t="n"/>
      <c r="T83" s="13" t="n"/>
      <c r="U83" s="13" t="n"/>
    </row>
    <row r="84" ht="17.25" customHeight="1">
      <c r="A84" s="4" t="inlineStr">
        <is>
          <t>CENG-2030-5</t>
        </is>
      </c>
      <c r="B84" s="149" t="inlineStr">
        <is>
          <t>1d</t>
        </is>
      </c>
      <c r="C84" s="150" t="n"/>
      <c r="D84" s="13" t="n"/>
      <c r="E84" s="182" t="n"/>
      <c r="F84" s="182" t="n"/>
      <c r="G84" s="182" t="n"/>
      <c r="H84" s="182" t="n"/>
      <c r="I84" s="182" t="n"/>
      <c r="J84" s="182" t="n"/>
      <c r="K84" s="182" t="n"/>
      <c r="L84" s="182" t="n"/>
      <c r="M84" s="182" t="n"/>
      <c r="N84" s="13" t="n"/>
      <c r="O84" s="13" t="n"/>
      <c r="P84" s="13" t="n"/>
      <c r="Q84" s="13" t="n"/>
      <c r="R84" s="13" t="n"/>
      <c r="S84" s="13" t="n"/>
      <c r="T84" s="13" t="n"/>
      <c r="U84" s="13" t="n"/>
    </row>
    <row r="85" ht="17.25" customHeight="1">
      <c r="A85" s="4" t="inlineStr">
        <is>
          <t>EPHY-2300-1</t>
        </is>
      </c>
      <c r="B85" s="149" t="inlineStr">
        <is>
          <t>1d</t>
        </is>
      </c>
      <c r="C85" s="150" t="n"/>
      <c r="D85" s="13" t="n"/>
      <c r="E85" s="182" t="n"/>
      <c r="F85" s="182" t="n"/>
      <c r="G85" s="182" t="n"/>
      <c r="H85" s="182" t="n"/>
      <c r="I85" s="182" t="n"/>
      <c r="J85" s="182" t="n"/>
      <c r="K85" s="182" t="n"/>
      <c r="L85" s="182" t="n"/>
      <c r="M85" s="182" t="n"/>
      <c r="N85" s="13" t="n"/>
      <c r="O85" s="13" t="n"/>
      <c r="P85" s="13" t="n"/>
      <c r="Q85" s="13" t="n"/>
      <c r="R85" s="13" t="n"/>
      <c r="S85" s="13" t="n"/>
      <c r="T85" s="13" t="n"/>
      <c r="U85" s="13" t="n"/>
    </row>
    <row r="86" ht="17.25" customHeight="1">
      <c r="A86" s="4" t="inlineStr">
        <is>
          <t>EPHY-2300-2</t>
        </is>
      </c>
      <c r="B86" s="149" t="inlineStr">
        <is>
          <t>1d</t>
        </is>
      </c>
      <c r="C86" s="150" t="n"/>
      <c r="D86" s="13" t="n"/>
      <c r="E86" s="182" t="n"/>
      <c r="F86" s="182" t="n"/>
      <c r="G86" s="182" t="n"/>
      <c r="H86" s="182" t="n"/>
      <c r="I86" s="182" t="n"/>
      <c r="J86" s="182" t="n"/>
      <c r="K86" s="182" t="n"/>
      <c r="L86" s="182" t="n"/>
      <c r="M86" s="182" t="n"/>
      <c r="N86" s="13" t="n"/>
      <c r="O86" s="13" t="n"/>
      <c r="P86" s="13" t="n"/>
      <c r="Q86" s="13" t="n"/>
      <c r="R86" s="13" t="n"/>
      <c r="S86" s="13" t="n"/>
      <c r="T86" s="13" t="n"/>
      <c r="U86" s="13" t="n"/>
    </row>
    <row r="87" ht="17.25" customHeight="1">
      <c r="A87" s="4" t="inlineStr">
        <is>
          <t>EPHY-2300-3</t>
        </is>
      </c>
      <c r="B87" s="149" t="inlineStr">
        <is>
          <t>1d</t>
        </is>
      </c>
      <c r="C87" s="150" t="n"/>
      <c r="D87" s="13" t="n"/>
      <c r="E87" s="182" t="n"/>
      <c r="F87" s="182" t="n"/>
      <c r="G87" s="182" t="n"/>
      <c r="H87" s="182" t="n"/>
      <c r="I87" s="182" t="n"/>
      <c r="J87" s="182" t="n"/>
      <c r="K87" s="182" t="n"/>
      <c r="L87" s="182" t="n"/>
      <c r="M87" s="182" t="n"/>
      <c r="N87" s="13" t="n"/>
      <c r="O87" s="13" t="n"/>
      <c r="P87" s="13" t="n"/>
      <c r="Q87" s="13" t="n"/>
      <c r="R87" s="13" t="n"/>
      <c r="S87" s="13" t="n"/>
      <c r="T87" s="13" t="n"/>
      <c r="U87" s="13" t="n"/>
    </row>
    <row r="88" ht="17.25" customHeight="1">
      <c r="A88" s="4" t="inlineStr">
        <is>
          <t>EPHY-2300-4</t>
        </is>
      </c>
      <c r="B88" s="149" t="inlineStr">
        <is>
          <t>1d</t>
        </is>
      </c>
      <c r="C88" s="150" t="n"/>
      <c r="D88" s="13" t="n"/>
      <c r="E88" s="182" t="n"/>
      <c r="F88" s="182" t="n"/>
      <c r="G88" s="182" t="n"/>
      <c r="H88" s="182" t="n"/>
      <c r="I88" s="182" t="n"/>
      <c r="J88" s="182" t="n"/>
      <c r="K88" s="182" t="n"/>
      <c r="L88" s="182" t="n"/>
      <c r="M88" s="182" t="n"/>
      <c r="N88" s="13" t="n"/>
      <c r="O88" s="13" t="n"/>
      <c r="P88" s="13" t="n"/>
      <c r="Q88" s="13" t="n"/>
      <c r="R88" s="13" t="n"/>
      <c r="S88" s="13" t="n"/>
      <c r="T88" s="13" t="n"/>
      <c r="U88" s="13" t="n"/>
    </row>
    <row r="89" ht="17.25" customHeight="1">
      <c r="A89" s="4" t="inlineStr">
        <is>
          <t>EENG-3010-1</t>
        </is>
      </c>
      <c r="B89" s="149" t="inlineStr">
        <is>
          <t>1d</t>
        </is>
      </c>
      <c r="C89" s="150" t="n"/>
      <c r="D89" s="13" t="n"/>
      <c r="E89" s="182" t="n"/>
      <c r="F89" s="182" t="n"/>
      <c r="G89" s="182" t="n"/>
      <c r="H89" s="182" t="n"/>
      <c r="I89" s="182" t="n"/>
      <c r="J89" s="182" t="n"/>
      <c r="K89" s="182" t="n"/>
      <c r="L89" s="182" t="n"/>
      <c r="M89" s="182" t="n"/>
      <c r="N89" s="13" t="n"/>
      <c r="O89" s="13" t="n"/>
      <c r="P89" s="13" t="n"/>
      <c r="Q89" s="13" t="n"/>
      <c r="R89" s="13" t="n"/>
      <c r="S89" s="13" t="n"/>
      <c r="T89" s="13" t="n"/>
      <c r="U89" s="13" t="n"/>
    </row>
    <row r="90" ht="17.25" customHeight="1">
      <c r="A90" s="4" t="inlineStr">
        <is>
          <t>EENG-3010-3</t>
        </is>
      </c>
      <c r="B90" s="149" t="inlineStr">
        <is>
          <t>1d</t>
        </is>
      </c>
      <c r="C90" s="150" t="n"/>
      <c r="D90" s="13" t="n"/>
      <c r="E90" s="182" t="n"/>
      <c r="F90" s="182" t="n"/>
      <c r="G90" s="182" t="n"/>
      <c r="H90" s="182" t="n"/>
      <c r="I90" s="182" t="n"/>
      <c r="J90" s="182" t="n"/>
      <c r="K90" s="182" t="n"/>
      <c r="L90" s="182" t="n"/>
      <c r="M90" s="182" t="n"/>
      <c r="N90" s="13" t="n"/>
      <c r="O90" s="13" t="n"/>
      <c r="P90" s="13" t="n"/>
      <c r="Q90" s="13" t="n"/>
      <c r="R90" s="13" t="n"/>
      <c r="S90" s="13" t="n"/>
      <c r="T90" s="13" t="n"/>
      <c r="U90" s="13" t="n"/>
    </row>
    <row r="91" ht="17.25" customHeight="1">
      <c r="A91" s="4" t="inlineStr">
        <is>
          <t>EENG-3010-4</t>
        </is>
      </c>
      <c r="B91" s="149" t="inlineStr">
        <is>
          <t>1d</t>
        </is>
      </c>
      <c r="C91" s="150" t="n"/>
      <c r="D91" s="13" t="n"/>
      <c r="E91" s="182" t="n"/>
      <c r="F91" s="182" t="n"/>
      <c r="G91" s="182" t="n"/>
      <c r="H91" s="182" t="n"/>
      <c r="I91" s="182" t="n"/>
      <c r="J91" s="182" t="n"/>
      <c r="K91" s="182" t="n"/>
      <c r="L91" s="182" t="n"/>
      <c r="M91" s="182" t="n"/>
      <c r="N91" s="13" t="n"/>
      <c r="O91" s="13" t="n"/>
      <c r="P91" s="13" t="n"/>
      <c r="Q91" s="13" t="n"/>
      <c r="R91" s="13" t="n"/>
      <c r="S91" s="13" t="n"/>
      <c r="T91" s="13" t="n"/>
      <c r="U91" s="13" t="n"/>
    </row>
    <row r="92" ht="17.25" customHeight="1">
      <c r="A92" s="4" t="inlineStr">
        <is>
          <t>SENG-1110-1</t>
        </is>
      </c>
      <c r="B92" s="206" t="inlineStr">
        <is>
          <t>1e</t>
        </is>
      </c>
      <c r="C92" s="150" t="n"/>
      <c r="D92" s="13" t="n"/>
      <c r="E92" s="182" t="n"/>
      <c r="F92" s="182" t="n"/>
      <c r="G92" s="182" t="n"/>
      <c r="H92" s="182" t="n"/>
      <c r="I92" s="182" t="n"/>
      <c r="J92" s="182" t="n"/>
      <c r="K92" s="182" t="n"/>
      <c r="L92" s="182" t="n"/>
      <c r="M92" s="182" t="n"/>
      <c r="N92" s="13" t="n"/>
      <c r="O92" s="13" t="n"/>
      <c r="P92" s="13" t="n"/>
      <c r="Q92" s="13" t="n"/>
      <c r="R92" s="13" t="n"/>
      <c r="S92" s="13" t="n"/>
      <c r="T92" s="13" t="n"/>
      <c r="U92" s="13" t="n"/>
    </row>
    <row r="93" ht="17.25" customHeight="1">
      <c r="A93" s="4" t="inlineStr">
        <is>
          <t>SENG-1110-6</t>
        </is>
      </c>
      <c r="B93" s="206" t="inlineStr">
        <is>
          <t>1e</t>
        </is>
      </c>
      <c r="C93" s="150" t="n"/>
      <c r="D93" s="13" t="n"/>
      <c r="E93" s="182" t="n"/>
      <c r="F93" s="182" t="n"/>
      <c r="G93" s="182" t="n"/>
      <c r="H93" s="182" t="n"/>
      <c r="I93" s="182" t="n"/>
      <c r="J93" s="182" t="n"/>
      <c r="K93" s="182" t="n"/>
      <c r="L93" s="182" t="n"/>
      <c r="M93" s="182" t="n"/>
      <c r="N93" s="13" t="n"/>
      <c r="O93" s="13" t="n"/>
      <c r="P93" s="13" t="n"/>
      <c r="Q93" s="13" t="n"/>
      <c r="R93" s="13" t="n"/>
      <c r="S93" s="13" t="n"/>
      <c r="T93" s="13" t="n"/>
      <c r="U93" s="13" t="n"/>
    </row>
    <row r="94" ht="17.25" customHeight="1">
      <c r="A94" s="4" t="inlineStr">
        <is>
          <t>SENG-1210-1</t>
        </is>
      </c>
      <c r="B94" s="149" t="inlineStr">
        <is>
          <t>1e</t>
        </is>
      </c>
      <c r="C94" s="150" t="n"/>
      <c r="D94" s="13" t="n"/>
      <c r="E94" s="182" t="n"/>
      <c r="F94" s="182" t="n"/>
      <c r="G94" s="182" t="n"/>
      <c r="H94" s="182" t="n"/>
      <c r="I94" s="182" t="n"/>
      <c r="J94" s="182" t="n"/>
      <c r="K94" s="182" t="n"/>
      <c r="L94" s="182" t="n"/>
      <c r="M94" s="182" t="n"/>
      <c r="N94" s="13" t="n"/>
      <c r="O94" s="13" t="n"/>
      <c r="P94" s="13" t="n"/>
      <c r="Q94" s="13" t="n"/>
      <c r="R94" s="13" t="n"/>
      <c r="S94" s="13" t="n"/>
      <c r="T94" s="13" t="n"/>
      <c r="U94" s="13" t="n"/>
    </row>
    <row r="95" ht="17.25" customHeight="1">
      <c r="A95" s="4" t="inlineStr">
        <is>
          <t>SENG-1210-2</t>
        </is>
      </c>
      <c r="B95" s="149" t="inlineStr">
        <is>
          <t>1e</t>
        </is>
      </c>
      <c r="C95" s="150" t="n"/>
      <c r="D95" s="13" t="n"/>
      <c r="E95" s="182" t="n"/>
      <c r="F95" s="182" t="n"/>
      <c r="G95" s="182" t="n"/>
      <c r="H95" s="182" t="n"/>
      <c r="I95" s="182" t="n"/>
      <c r="J95" s="182" t="n"/>
      <c r="K95" s="182" t="n"/>
      <c r="L95" s="182" t="n"/>
      <c r="M95" s="182" t="n"/>
      <c r="N95" s="13" t="n"/>
      <c r="O95" s="13" t="n"/>
      <c r="P95" s="13" t="n"/>
      <c r="Q95" s="13" t="n"/>
      <c r="R95" s="13" t="n"/>
      <c r="S95" s="13" t="n"/>
      <c r="T95" s="13" t="n"/>
      <c r="U95" s="13" t="n"/>
    </row>
    <row r="96" ht="17.25" customHeight="1">
      <c r="A96" s="4" t="inlineStr">
        <is>
          <t>SENG-1210-3</t>
        </is>
      </c>
      <c r="B96" s="149" t="inlineStr">
        <is>
          <t>1e</t>
        </is>
      </c>
      <c r="C96" s="150" t="n"/>
      <c r="D96" s="13" t="n"/>
      <c r="E96" s="182" t="n"/>
      <c r="F96" s="182" t="n"/>
      <c r="G96" s="182" t="n"/>
      <c r="H96" s="182" t="n"/>
      <c r="I96" s="182" t="n"/>
      <c r="J96" s="182" t="n"/>
      <c r="K96" s="182" t="n"/>
      <c r="L96" s="182" t="n"/>
      <c r="M96" s="182" t="n"/>
      <c r="N96" s="13" t="n"/>
      <c r="O96" s="13" t="n"/>
      <c r="P96" s="13" t="n"/>
      <c r="Q96" s="13" t="n"/>
      <c r="R96" s="13" t="n"/>
      <c r="S96" s="13" t="n"/>
      <c r="T96" s="13" t="n"/>
      <c r="U96" s="13" t="n"/>
    </row>
    <row r="97" ht="17.25" customHeight="1">
      <c r="A97" s="4" t="inlineStr">
        <is>
          <t>SENG-1210-4</t>
        </is>
      </c>
      <c r="B97" s="149" t="inlineStr">
        <is>
          <t>1e</t>
        </is>
      </c>
      <c r="C97" s="150" t="n"/>
      <c r="D97" s="13" t="n"/>
      <c r="E97" s="182" t="n"/>
      <c r="F97" s="182" t="n"/>
      <c r="G97" s="182" t="n"/>
      <c r="H97" s="182" t="n"/>
      <c r="I97" s="182" t="n"/>
      <c r="J97" s="182" t="n"/>
      <c r="K97" s="182" t="n"/>
      <c r="L97" s="182" t="n"/>
      <c r="M97" s="182" t="n"/>
      <c r="N97" s="13" t="n"/>
      <c r="O97" s="13" t="n"/>
      <c r="P97" s="13" t="n"/>
      <c r="Q97" s="13" t="n"/>
      <c r="R97" s="13" t="n"/>
      <c r="S97" s="13" t="n"/>
      <c r="T97" s="13" t="n"/>
      <c r="U97" s="13" t="n"/>
    </row>
    <row r="98" ht="17.25" customHeight="1">
      <c r="A98" s="4" t="inlineStr">
        <is>
          <t>SENG-1210-5</t>
        </is>
      </c>
      <c r="B98" s="149" t="inlineStr">
        <is>
          <t>1e</t>
        </is>
      </c>
      <c r="C98" s="150" t="n"/>
      <c r="D98" s="13" t="n"/>
      <c r="E98" s="182" t="n"/>
      <c r="F98" s="182" t="n"/>
      <c r="G98" s="182" t="n"/>
      <c r="H98" s="182" t="n"/>
      <c r="I98" s="182" t="n"/>
      <c r="J98" s="182" t="n"/>
      <c r="K98" s="182" t="n"/>
      <c r="L98" s="182" t="n"/>
      <c r="M98" s="182" t="n"/>
      <c r="N98" s="13" t="n"/>
      <c r="O98" s="13" t="n"/>
      <c r="P98" s="13" t="n"/>
      <c r="Q98" s="13" t="n"/>
      <c r="R98" s="13" t="n"/>
      <c r="S98" s="13" t="n"/>
      <c r="T98" s="13" t="n"/>
      <c r="U98" s="13" t="n"/>
    </row>
    <row r="99" ht="17.25" customHeight="1">
      <c r="A99" s="4" t="inlineStr">
        <is>
          <t>SENG-1210-6</t>
        </is>
      </c>
      <c r="B99" s="149" t="inlineStr">
        <is>
          <t>1e</t>
        </is>
      </c>
      <c r="C99" s="150" t="n"/>
      <c r="D99" s="13" t="n"/>
      <c r="E99" s="13" t="n"/>
      <c r="F99" s="13" t="n"/>
      <c r="G99" s="13" t="n"/>
      <c r="H99" s="13" t="n"/>
      <c r="I99" s="13" t="n"/>
      <c r="J99" s="13" t="n"/>
      <c r="K99" s="13" t="n"/>
      <c r="L99" s="13" t="n"/>
      <c r="M99" s="13" t="n"/>
      <c r="N99" s="13" t="n"/>
      <c r="O99" s="13" t="n"/>
      <c r="P99" s="13" t="n"/>
      <c r="Q99" s="13" t="n"/>
      <c r="R99" s="13" t="n"/>
      <c r="S99" s="13" t="n"/>
      <c r="T99" s="13" t="n"/>
      <c r="U99" s="13" t="n"/>
    </row>
    <row r="100" ht="17.25" customHeight="1">
      <c r="A100" s="4" t="inlineStr">
        <is>
          <t>CENG-2010-1</t>
        </is>
      </c>
      <c r="B100" s="206" t="inlineStr">
        <is>
          <t>1e</t>
        </is>
      </c>
      <c r="C100" s="150" t="n"/>
      <c r="D100" s="13" t="n"/>
      <c r="E100" s="13" t="n"/>
      <c r="F100" s="13" t="n"/>
      <c r="G100" s="13" t="n"/>
      <c r="H100" s="13" t="n"/>
      <c r="I100" s="13" t="n"/>
      <c r="J100" s="13" t="n"/>
      <c r="K100" s="13" t="n"/>
      <c r="L100" s="13" t="n"/>
      <c r="M100" s="13" t="n"/>
      <c r="N100" s="13" t="n"/>
      <c r="O100" s="13" t="n"/>
      <c r="P100" s="13" t="n"/>
      <c r="Q100" s="13" t="n"/>
      <c r="R100" s="13" t="n"/>
      <c r="S100" s="13" t="n"/>
      <c r="T100" s="13" t="n"/>
      <c r="U100" s="13" t="n"/>
    </row>
    <row r="101" ht="17.25" customHeight="1">
      <c r="A101" s="4" t="inlineStr">
        <is>
          <t>CENG-2010-2</t>
        </is>
      </c>
      <c r="B101" s="206" t="inlineStr">
        <is>
          <t>1e</t>
        </is>
      </c>
      <c r="C101" s="150" t="n"/>
      <c r="D101" s="13" t="n"/>
      <c r="E101" s="13" t="n"/>
      <c r="F101" s="13" t="n"/>
      <c r="G101" s="13" t="n"/>
      <c r="H101" s="13" t="n"/>
      <c r="I101" s="13" t="n"/>
      <c r="J101" s="13" t="n"/>
      <c r="K101" s="13" t="n"/>
      <c r="L101" s="13" t="n"/>
      <c r="M101" s="13" t="n"/>
      <c r="N101" s="13" t="n"/>
      <c r="O101" s="13" t="n"/>
      <c r="P101" s="13" t="n"/>
      <c r="Q101" s="13" t="n"/>
      <c r="R101" s="13" t="n"/>
      <c r="S101" s="13" t="n"/>
      <c r="T101" s="13" t="n"/>
      <c r="U101" s="13" t="n"/>
    </row>
    <row r="102" ht="17.25" customHeight="1">
      <c r="A102" s="4" t="inlineStr">
        <is>
          <t>CENG-2010-3</t>
        </is>
      </c>
      <c r="B102" s="206" t="inlineStr">
        <is>
          <t>1e</t>
        </is>
      </c>
      <c r="C102" s="150" t="n"/>
      <c r="D102" s="13" t="n"/>
      <c r="E102" s="13" t="n"/>
      <c r="F102" s="13" t="n"/>
      <c r="G102" s="13" t="n"/>
      <c r="H102" s="13" t="n"/>
      <c r="I102" s="13" t="n"/>
      <c r="J102" s="13" t="n"/>
      <c r="K102" s="13" t="n"/>
      <c r="L102" s="13" t="n"/>
      <c r="M102" s="13" t="n"/>
      <c r="N102" s="13" t="n"/>
      <c r="O102" s="13" t="n"/>
      <c r="P102" s="13" t="n"/>
      <c r="Q102" s="13" t="n"/>
      <c r="R102" s="13" t="n"/>
      <c r="S102" s="13" t="n"/>
      <c r="T102" s="13" t="n"/>
      <c r="U102" s="13" t="n"/>
    </row>
    <row r="103" ht="17.25" customHeight="1">
      <c r="A103" s="4" t="inlineStr">
        <is>
          <t>CENG-2010-4</t>
        </is>
      </c>
      <c r="B103" s="206" t="inlineStr">
        <is>
          <t>1e</t>
        </is>
      </c>
      <c r="C103" s="150" t="n"/>
      <c r="D103" s="13" t="n"/>
      <c r="E103" s="13" t="n"/>
      <c r="F103" s="13" t="n"/>
      <c r="G103" s="13" t="n"/>
      <c r="H103" s="13" t="n"/>
      <c r="I103" s="13" t="n"/>
      <c r="J103" s="13" t="n"/>
      <c r="K103" s="13" t="n"/>
      <c r="L103" s="13" t="n"/>
      <c r="M103" s="13" t="n"/>
      <c r="N103" s="13" t="n"/>
      <c r="O103" s="13" t="n"/>
      <c r="P103" s="13" t="n"/>
      <c r="Q103" s="13" t="n"/>
      <c r="R103" s="13" t="n"/>
      <c r="S103" s="13" t="n"/>
      <c r="T103" s="13" t="n"/>
      <c r="U103" s="13" t="n"/>
    </row>
    <row r="104" ht="17.25" customHeight="1">
      <c r="A104" s="4" t="inlineStr">
        <is>
          <t>CENG-2010-5</t>
        </is>
      </c>
      <c r="B104" s="206" t="inlineStr">
        <is>
          <t>1e</t>
        </is>
      </c>
      <c r="C104" s="150" t="n"/>
      <c r="D104" s="13" t="n"/>
      <c r="E104" s="13" t="n"/>
      <c r="F104" s="13" t="n"/>
      <c r="G104" s="13" t="n"/>
      <c r="H104" s="13" t="n"/>
      <c r="I104" s="13" t="n"/>
      <c r="J104" s="13" t="n"/>
      <c r="K104" s="13" t="n"/>
      <c r="L104" s="13" t="n"/>
      <c r="M104" s="13" t="n"/>
      <c r="N104" s="13" t="n"/>
      <c r="O104" s="13" t="n"/>
      <c r="P104" s="13" t="n"/>
      <c r="Q104" s="13" t="n"/>
      <c r="R104" s="13" t="n"/>
      <c r="S104" s="13" t="n"/>
      <c r="T104" s="13" t="n"/>
      <c r="U104" s="13" t="n"/>
    </row>
    <row r="105" ht="17.25" customHeight="1">
      <c r="A105" s="4" t="inlineStr">
        <is>
          <t>CENG-2010-6</t>
        </is>
      </c>
      <c r="B105" s="206" t="inlineStr">
        <is>
          <t>1e</t>
        </is>
      </c>
      <c r="C105" s="150" t="n"/>
      <c r="D105" s="13" t="n"/>
      <c r="E105" s="13" t="n"/>
      <c r="F105" s="13" t="n"/>
      <c r="G105" s="13" t="n"/>
      <c r="H105" s="13" t="n"/>
      <c r="I105" s="13" t="n"/>
      <c r="J105" s="13" t="n"/>
      <c r="K105" s="13" t="n"/>
      <c r="L105" s="13" t="n"/>
      <c r="M105" s="13" t="n"/>
      <c r="N105" s="13" t="n"/>
      <c r="O105" s="13" t="n"/>
      <c r="P105" s="13" t="n"/>
      <c r="Q105" s="13" t="n"/>
      <c r="R105" s="13" t="n"/>
      <c r="S105" s="13" t="n"/>
      <c r="T105" s="13" t="n"/>
      <c r="U105" s="13" t="n"/>
    </row>
    <row r="106" ht="17.25" customHeight="1">
      <c r="A106" s="4" t="inlineStr">
        <is>
          <t>SENG-3110-1</t>
        </is>
      </c>
      <c r="B106" s="149" t="inlineStr">
        <is>
          <t>1e</t>
        </is>
      </c>
      <c r="C106" s="150" t="n"/>
      <c r="D106" s="13" t="n"/>
      <c r="E106" s="13" t="n"/>
      <c r="F106" s="13" t="n"/>
      <c r="G106" s="13" t="n"/>
      <c r="H106" s="13" t="n"/>
      <c r="I106" s="13" t="n"/>
      <c r="J106" s="13" t="n"/>
      <c r="K106" s="13" t="n"/>
      <c r="L106" s="13" t="n"/>
      <c r="M106" s="13" t="n"/>
      <c r="N106" s="13" t="n"/>
      <c r="O106" s="13" t="n"/>
      <c r="P106" s="13" t="n"/>
      <c r="Q106" s="13" t="n"/>
      <c r="R106" s="13" t="n"/>
      <c r="S106" s="13" t="n"/>
      <c r="T106" s="13" t="n"/>
      <c r="U106" s="13" t="n"/>
    </row>
    <row r="107" ht="17.25" customHeight="1">
      <c r="A107" s="4" t="inlineStr">
        <is>
          <t>SENG-3110-2</t>
        </is>
      </c>
      <c r="B107" s="149" t="inlineStr">
        <is>
          <t>1e</t>
        </is>
      </c>
      <c r="C107" s="150" t="n"/>
      <c r="D107" s="13" t="n"/>
      <c r="E107" s="13" t="n"/>
      <c r="F107" s="13" t="n"/>
      <c r="G107" s="13" t="n"/>
      <c r="H107" s="13" t="n"/>
      <c r="I107" s="13" t="n"/>
      <c r="J107" s="13" t="n"/>
      <c r="K107" s="13" t="n"/>
      <c r="L107" s="13" t="n"/>
      <c r="M107" s="13" t="n"/>
      <c r="N107" s="13" t="n"/>
      <c r="O107" s="13" t="n"/>
      <c r="P107" s="13" t="n"/>
      <c r="Q107" s="13" t="n"/>
      <c r="R107" s="13" t="n"/>
      <c r="S107" s="13" t="n"/>
      <c r="T107" s="13" t="n"/>
      <c r="U107" s="13" t="n"/>
    </row>
    <row r="108" ht="17.25" customHeight="1">
      <c r="A108" s="4" t="inlineStr">
        <is>
          <t>SENG-3110-3</t>
        </is>
      </c>
      <c r="B108" s="149" t="inlineStr">
        <is>
          <t>1e</t>
        </is>
      </c>
      <c r="C108" s="150" t="n"/>
      <c r="D108" s="13" t="n"/>
      <c r="E108" s="13" t="n"/>
      <c r="F108" s="13" t="n"/>
      <c r="G108" s="13" t="n"/>
      <c r="H108" s="13" t="n"/>
      <c r="I108" s="13" t="n"/>
      <c r="J108" s="13" t="n"/>
      <c r="K108" s="13" t="n"/>
      <c r="L108" s="13" t="n"/>
      <c r="M108" s="13" t="n"/>
      <c r="N108" s="13" t="n"/>
      <c r="O108" s="13" t="n"/>
      <c r="P108" s="13" t="n"/>
      <c r="Q108" s="13" t="n"/>
      <c r="R108" s="13" t="n"/>
      <c r="S108" s="13" t="n"/>
      <c r="T108" s="13" t="n"/>
      <c r="U108" s="13" t="n"/>
    </row>
    <row r="109" ht="17.25" customHeight="1">
      <c r="A109" s="4" t="inlineStr">
        <is>
          <t>CENG-3010-1</t>
        </is>
      </c>
      <c r="B109" s="149" t="inlineStr">
        <is>
          <t>1e</t>
        </is>
      </c>
      <c r="C109" s="150" t="n"/>
      <c r="D109" s="13" t="n"/>
      <c r="E109" s="13" t="n"/>
      <c r="F109" s="13" t="n"/>
      <c r="G109" s="13" t="n"/>
      <c r="H109" s="13" t="n"/>
      <c r="I109" s="13" t="n"/>
      <c r="J109" s="13" t="n"/>
      <c r="K109" s="13" t="n"/>
      <c r="L109" s="13" t="n"/>
      <c r="M109" s="13" t="n"/>
      <c r="N109" s="13" t="n"/>
      <c r="O109" s="13" t="n"/>
      <c r="P109" s="13" t="n"/>
      <c r="Q109" s="13" t="n"/>
      <c r="R109" s="13" t="n"/>
      <c r="S109" s="13" t="n"/>
      <c r="T109" s="13" t="n"/>
      <c r="U109" s="13" t="n"/>
    </row>
    <row r="110" ht="17.25" customHeight="1">
      <c r="A110" s="4" t="inlineStr">
        <is>
          <t>CENG-3010-2</t>
        </is>
      </c>
      <c r="B110" s="149" t="inlineStr">
        <is>
          <t>1e</t>
        </is>
      </c>
      <c r="C110" s="150" t="n"/>
      <c r="D110" s="13" t="n"/>
      <c r="E110" s="13" t="n"/>
      <c r="F110" s="13" t="n"/>
      <c r="G110" s="13" t="n"/>
      <c r="H110" s="13" t="n"/>
      <c r="I110" s="13" t="n"/>
      <c r="J110" s="13" t="n"/>
      <c r="K110" s="13" t="n"/>
      <c r="L110" s="13" t="n"/>
      <c r="M110" s="13" t="n"/>
      <c r="N110" s="13" t="n"/>
      <c r="O110" s="13" t="n"/>
      <c r="P110" s="13" t="n"/>
      <c r="Q110" s="13" t="n"/>
      <c r="R110" s="13" t="n"/>
      <c r="S110" s="13" t="n"/>
      <c r="T110" s="13" t="n"/>
      <c r="U110" s="13" t="n"/>
    </row>
    <row r="111" ht="17.25" customHeight="1">
      <c r="A111" s="4" t="inlineStr">
        <is>
          <t>CENG-3010-3</t>
        </is>
      </c>
      <c r="B111" s="149" t="inlineStr">
        <is>
          <t>1e</t>
        </is>
      </c>
      <c r="C111" s="150" t="n"/>
      <c r="D111" s="13" t="n"/>
      <c r="E111" s="13" t="n"/>
      <c r="F111" s="13" t="n"/>
      <c r="G111" s="13" t="n"/>
      <c r="H111" s="13" t="n"/>
      <c r="I111" s="13" t="n"/>
      <c r="J111" s="13" t="n"/>
      <c r="K111" s="13" t="n"/>
      <c r="L111" s="13" t="n"/>
      <c r="M111" s="13" t="n"/>
      <c r="N111" s="13" t="n"/>
      <c r="O111" s="13" t="n"/>
      <c r="P111" s="13" t="n"/>
      <c r="Q111" s="13" t="n"/>
      <c r="R111" s="13" t="n"/>
      <c r="S111" s="13" t="n"/>
      <c r="T111" s="13" t="n"/>
      <c r="U111" s="13" t="n"/>
    </row>
    <row r="112" ht="17.25" customHeight="1">
      <c r="A112" s="4" t="inlineStr">
        <is>
          <t>CENG-3010-4</t>
        </is>
      </c>
      <c r="B112" s="149" t="inlineStr">
        <is>
          <t>1e</t>
        </is>
      </c>
      <c r="C112" s="150" t="n"/>
      <c r="D112" s="13" t="n"/>
      <c r="E112" s="13" t="n"/>
      <c r="F112" s="13" t="n"/>
      <c r="G112" s="13" t="n"/>
      <c r="H112" s="13" t="n"/>
      <c r="I112" s="13" t="n"/>
      <c r="J112" s="13" t="n"/>
      <c r="K112" s="13" t="n"/>
      <c r="L112" s="13" t="n"/>
      <c r="M112" s="13" t="n"/>
      <c r="N112" s="13" t="n"/>
      <c r="O112" s="13" t="n"/>
      <c r="P112" s="13" t="n"/>
      <c r="Q112" s="13" t="n"/>
      <c r="R112" s="13" t="n"/>
      <c r="S112" s="13" t="n"/>
      <c r="T112" s="13" t="n"/>
      <c r="U112" s="13" t="n"/>
    </row>
    <row r="113" ht="17.25" customHeight="1">
      <c r="A113" s="4" t="inlineStr">
        <is>
          <t>CENG-3310-1</t>
        </is>
      </c>
      <c r="B113" s="206" t="inlineStr">
        <is>
          <t>1e</t>
        </is>
      </c>
      <c r="C113" s="150" t="n"/>
      <c r="D113" s="13" t="n"/>
      <c r="E113" s="13" t="n"/>
      <c r="F113" s="13" t="n"/>
      <c r="G113" s="13" t="n"/>
      <c r="H113" s="13" t="n"/>
      <c r="I113" s="13" t="n"/>
      <c r="J113" s="13" t="n"/>
      <c r="K113" s="13" t="n"/>
      <c r="L113" s="13" t="n"/>
      <c r="M113" s="13" t="n"/>
      <c r="N113" s="13" t="n"/>
      <c r="O113" s="13" t="n"/>
      <c r="P113" s="13" t="n"/>
      <c r="Q113" s="13" t="n"/>
      <c r="R113" s="13" t="n"/>
      <c r="S113" s="13" t="n"/>
      <c r="T113" s="13" t="n"/>
      <c r="U113" s="13" t="n"/>
    </row>
    <row r="114" ht="17.25" customHeight="1">
      <c r="A114" s="4" t="inlineStr">
        <is>
          <t>CENG-3310-2</t>
        </is>
      </c>
      <c r="B114" s="206" t="inlineStr">
        <is>
          <t>1e</t>
        </is>
      </c>
      <c r="C114" s="150" t="n"/>
      <c r="D114" s="13" t="n"/>
      <c r="E114" s="13" t="n"/>
      <c r="F114" s="13" t="n"/>
      <c r="G114" s="13" t="n"/>
      <c r="H114" s="13" t="n"/>
      <c r="I114" s="13" t="n"/>
      <c r="J114" s="13" t="n"/>
      <c r="K114" s="13" t="n"/>
      <c r="L114" s="13" t="n"/>
      <c r="M114" s="13" t="n"/>
      <c r="N114" s="13" t="n"/>
      <c r="O114" s="13" t="n"/>
      <c r="P114" s="13" t="n"/>
      <c r="Q114" s="13" t="n"/>
      <c r="R114" s="13" t="n"/>
      <c r="S114" s="13" t="n"/>
      <c r="T114" s="13" t="n"/>
      <c r="U114" s="13" t="n"/>
    </row>
    <row r="115" ht="17.25" customHeight="1">
      <c r="A115" s="4" t="inlineStr">
        <is>
          <t>CENG-3310-3</t>
        </is>
      </c>
      <c r="B115" s="206" t="inlineStr">
        <is>
          <t>1e</t>
        </is>
      </c>
      <c r="C115" s="150" t="n"/>
      <c r="D115" s="13" t="n"/>
      <c r="E115" s="13" t="n"/>
      <c r="F115" s="13" t="n"/>
      <c r="G115" s="13" t="n"/>
      <c r="H115" s="13" t="n"/>
      <c r="I115" s="13" t="n"/>
      <c r="J115" s="13" t="n"/>
      <c r="K115" s="13" t="n"/>
      <c r="L115" s="13" t="n"/>
      <c r="M115" s="13" t="n"/>
      <c r="N115" s="13" t="n"/>
      <c r="O115" s="13" t="n"/>
      <c r="P115" s="13" t="n"/>
      <c r="Q115" s="13" t="n"/>
      <c r="R115" s="13" t="n"/>
      <c r="S115" s="13" t="n"/>
      <c r="T115" s="13" t="n"/>
      <c r="U115" s="13" t="n"/>
    </row>
    <row r="116" ht="17.25" customHeight="1">
      <c r="A116" s="4" t="inlineStr">
        <is>
          <t>CENG-3310-4</t>
        </is>
      </c>
      <c r="B116" s="206" t="inlineStr">
        <is>
          <t>1e</t>
        </is>
      </c>
      <c r="C116" s="150" t="n"/>
      <c r="D116" s="13" t="n"/>
      <c r="E116" s="13" t="n"/>
      <c r="F116" s="13" t="n"/>
      <c r="G116" s="13" t="n"/>
      <c r="H116" s="13" t="n"/>
      <c r="I116" s="13" t="n"/>
      <c r="J116" s="13" t="n"/>
      <c r="K116" s="13" t="n"/>
      <c r="L116" s="13" t="n"/>
      <c r="M116" s="13" t="n"/>
      <c r="N116" s="13" t="n"/>
      <c r="O116" s="13" t="n"/>
      <c r="P116" s="13" t="n"/>
      <c r="Q116" s="13" t="n"/>
      <c r="R116" s="13" t="n"/>
      <c r="S116" s="13" t="n"/>
      <c r="T116" s="13" t="n"/>
      <c r="U116" s="13" t="n"/>
    </row>
    <row r="117" ht="17.25" customHeight="1">
      <c r="A117" s="4" t="inlineStr">
        <is>
          <t>CENG-3310-5</t>
        </is>
      </c>
      <c r="B117" s="206" t="inlineStr">
        <is>
          <t>1e</t>
        </is>
      </c>
      <c r="C117" s="150" t="n"/>
      <c r="D117" s="13" t="n"/>
      <c r="E117" s="13" t="n"/>
      <c r="F117" s="13" t="n"/>
      <c r="G117" s="13" t="n"/>
      <c r="H117" s="13" t="n"/>
      <c r="I117" s="13" t="n"/>
      <c r="J117" s="13" t="n"/>
      <c r="K117" s="13" t="n"/>
      <c r="L117" s="13" t="n"/>
      <c r="M117" s="13" t="n"/>
      <c r="N117" s="13" t="n"/>
      <c r="O117" s="13" t="n"/>
      <c r="P117" s="13" t="n"/>
      <c r="Q117" s="13" t="n"/>
      <c r="R117" s="13" t="n"/>
      <c r="S117" s="13" t="n"/>
      <c r="T117" s="13" t="n"/>
      <c r="U117" s="13" t="n"/>
    </row>
    <row r="118" ht="17.25" customHeight="1">
      <c r="A118" s="4" t="inlineStr">
        <is>
          <t>COMP-3410-1</t>
        </is>
      </c>
      <c r="B118" s="149" t="inlineStr">
        <is>
          <t>1e</t>
        </is>
      </c>
      <c r="C118" s="150" t="n"/>
      <c r="D118" s="13" t="n"/>
      <c r="E118" s="13" t="n"/>
      <c r="F118" s="13" t="n"/>
      <c r="G118" s="13" t="n"/>
      <c r="H118" s="13" t="n"/>
      <c r="I118" s="13" t="n"/>
      <c r="J118" s="13" t="n"/>
      <c r="K118" s="13" t="n"/>
      <c r="L118" s="13" t="n"/>
      <c r="M118" s="13" t="n"/>
      <c r="N118" s="13" t="n"/>
      <c r="O118" s="13" t="n"/>
      <c r="P118" s="13" t="n"/>
      <c r="Q118" s="13" t="n"/>
      <c r="R118" s="13" t="n"/>
      <c r="S118" s="13" t="n"/>
      <c r="T118" s="13" t="n"/>
      <c r="U118" s="13" t="n"/>
    </row>
    <row r="119" ht="17.25" customHeight="1">
      <c r="A119" s="4" t="inlineStr">
        <is>
          <t>COMP-3410-2</t>
        </is>
      </c>
      <c r="B119" s="149" t="inlineStr">
        <is>
          <t>1e</t>
        </is>
      </c>
      <c r="C119" s="150" t="n"/>
      <c r="D119" s="13" t="n"/>
      <c r="E119" s="13" t="n"/>
      <c r="F119" s="13" t="n"/>
      <c r="G119" s="13" t="n"/>
      <c r="H119" s="13" t="n"/>
      <c r="I119" s="13" t="n"/>
      <c r="J119" s="13" t="n"/>
      <c r="K119" s="13" t="n"/>
      <c r="L119" s="13" t="n"/>
      <c r="M119" s="13" t="n"/>
      <c r="N119" s="13" t="n"/>
      <c r="O119" s="13" t="n"/>
      <c r="P119" s="13" t="n"/>
      <c r="Q119" s="13" t="n"/>
      <c r="R119" s="13" t="n"/>
      <c r="S119" s="13" t="n"/>
      <c r="T119" s="13" t="n"/>
      <c r="U119" s="13" t="n"/>
    </row>
    <row r="120" ht="17.25" customHeight="1">
      <c r="A120" s="4" t="inlineStr">
        <is>
          <t>COMP-3410-3</t>
        </is>
      </c>
      <c r="B120" s="149" t="inlineStr">
        <is>
          <t>1e</t>
        </is>
      </c>
      <c r="C120" s="150" t="n"/>
      <c r="D120" s="13" t="n"/>
      <c r="E120" s="13" t="n"/>
      <c r="F120" s="13" t="n"/>
      <c r="G120" s="13" t="n"/>
      <c r="H120" s="13" t="n"/>
      <c r="I120" s="13" t="n"/>
      <c r="J120" s="13" t="n"/>
      <c r="K120" s="13" t="n"/>
      <c r="L120" s="13" t="n"/>
      <c r="M120" s="13" t="n"/>
      <c r="N120" s="13" t="n"/>
      <c r="O120" s="13" t="n"/>
      <c r="P120" s="13" t="n"/>
      <c r="Q120" s="13" t="n"/>
      <c r="R120" s="13" t="n"/>
      <c r="S120" s="13" t="n"/>
      <c r="T120" s="13" t="n"/>
      <c r="U120" s="13" t="n"/>
    </row>
    <row r="121" ht="17.25" customHeight="1">
      <c r="A121" s="4" t="inlineStr">
        <is>
          <t>COMP-3610-1</t>
        </is>
      </c>
      <c r="B121" s="149" t="inlineStr">
        <is>
          <t>1e</t>
        </is>
      </c>
      <c r="C121" s="150" t="n"/>
      <c r="D121" s="13" t="n"/>
      <c r="E121" s="13" t="n"/>
      <c r="F121" s="13" t="n"/>
      <c r="G121" s="13" t="n"/>
      <c r="H121" s="13" t="n"/>
      <c r="I121" s="13" t="n"/>
      <c r="J121" s="13" t="n"/>
      <c r="K121" s="13" t="n"/>
      <c r="L121" s="13" t="n"/>
      <c r="M121" s="13" t="n"/>
      <c r="N121" s="13" t="n"/>
      <c r="O121" s="13" t="n"/>
      <c r="P121" s="13" t="n"/>
      <c r="Q121" s="13" t="n"/>
      <c r="R121" s="13" t="n"/>
      <c r="S121" s="13" t="n"/>
      <c r="T121" s="13" t="n"/>
      <c r="U121" s="13" t="n"/>
    </row>
    <row r="122" ht="17.25" customHeight="1">
      <c r="A122" s="4" t="inlineStr">
        <is>
          <t>COMP-3610-2</t>
        </is>
      </c>
      <c r="B122" s="149" t="inlineStr">
        <is>
          <t>1e</t>
        </is>
      </c>
      <c r="C122" s="150" t="n"/>
      <c r="D122" s="13" t="n"/>
      <c r="E122" s="13" t="n"/>
      <c r="F122" s="13" t="n"/>
      <c r="G122" s="13" t="n"/>
      <c r="H122" s="13" t="n"/>
      <c r="I122" s="13" t="n"/>
      <c r="J122" s="13" t="n"/>
      <c r="K122" s="13" t="n"/>
      <c r="L122" s="13" t="n"/>
      <c r="M122" s="13" t="n"/>
      <c r="N122" s="13" t="n"/>
      <c r="O122" s="13" t="n"/>
      <c r="P122" s="13" t="n"/>
      <c r="Q122" s="13" t="n"/>
      <c r="R122" s="13" t="n"/>
      <c r="S122" s="13" t="n"/>
      <c r="T122" s="13" t="n"/>
      <c r="U122" s="13" t="n"/>
    </row>
    <row r="123" ht="17.25" customHeight="1">
      <c r="A123" s="4" t="inlineStr">
        <is>
          <t>COMP-3610-3</t>
        </is>
      </c>
      <c r="B123" s="149" t="inlineStr">
        <is>
          <t>1e</t>
        </is>
      </c>
      <c r="C123" s="150" t="n"/>
      <c r="D123" s="13" t="n"/>
      <c r="E123" s="13" t="n"/>
      <c r="F123" s="13" t="n"/>
      <c r="G123" s="13" t="n"/>
      <c r="H123" s="13" t="n"/>
      <c r="I123" s="13" t="n"/>
      <c r="J123" s="13" t="n"/>
      <c r="K123" s="13" t="n"/>
      <c r="L123" s="13" t="n"/>
      <c r="M123" s="13" t="n"/>
      <c r="N123" s="13" t="n"/>
      <c r="O123" s="13" t="n"/>
      <c r="P123" s="13" t="n"/>
      <c r="Q123" s="13" t="n"/>
      <c r="R123" s="13" t="n"/>
      <c r="S123" s="13" t="n"/>
      <c r="T123" s="13" t="n"/>
      <c r="U123" s="13" t="n"/>
    </row>
    <row r="124" ht="17.25" customHeight="1">
      <c r="A124" s="4" t="inlineStr">
        <is>
          <t>COMP-3610-4</t>
        </is>
      </c>
      <c r="B124" s="149" t="inlineStr">
        <is>
          <t>1e</t>
        </is>
      </c>
      <c r="C124" s="150" t="n"/>
      <c r="D124" s="13" t="n"/>
      <c r="E124" s="13" t="n"/>
      <c r="F124" s="13" t="n"/>
      <c r="G124" s="13" t="n"/>
      <c r="H124" s="13" t="n"/>
      <c r="I124" s="13" t="n"/>
      <c r="J124" s="13" t="n"/>
      <c r="K124" s="13" t="n"/>
      <c r="L124" s="13" t="n"/>
      <c r="M124" s="13" t="n"/>
      <c r="N124" s="13" t="n"/>
      <c r="O124" s="13" t="n"/>
      <c r="P124" s="13" t="n"/>
      <c r="Q124" s="13" t="n"/>
      <c r="R124" s="13" t="n"/>
      <c r="S124" s="13" t="n"/>
      <c r="T124" s="13" t="n"/>
      <c r="U124" s="13" t="n"/>
    </row>
    <row r="125" ht="17.25" customHeight="1">
      <c r="A125" s="4" t="inlineStr">
        <is>
          <t>COMP-3610-5</t>
        </is>
      </c>
      <c r="B125" s="149" t="inlineStr">
        <is>
          <t>1e</t>
        </is>
      </c>
      <c r="C125" s="150" t="n"/>
      <c r="D125" s="13" t="n"/>
      <c r="E125" s="13" t="n"/>
      <c r="F125" s="13" t="n"/>
      <c r="G125" s="13" t="n"/>
      <c r="H125" s="13" t="n"/>
      <c r="I125" s="13" t="n"/>
      <c r="J125" s="13" t="n"/>
      <c r="K125" s="13" t="n"/>
      <c r="L125" s="13" t="n"/>
      <c r="M125" s="13" t="n"/>
      <c r="N125" s="13" t="n"/>
      <c r="O125" s="13" t="n"/>
      <c r="P125" s="13" t="n"/>
      <c r="Q125" s="13" t="n"/>
      <c r="R125" s="13" t="n"/>
      <c r="S125" s="13" t="n"/>
      <c r="T125" s="13" t="n"/>
      <c r="U125" s="13" t="n"/>
    </row>
    <row r="126" ht="17.25" customHeight="1">
      <c r="A126" s="4" t="inlineStr">
        <is>
          <t>COMP-3610-6</t>
        </is>
      </c>
      <c r="B126" s="149" t="inlineStr">
        <is>
          <t>1e</t>
        </is>
      </c>
      <c r="C126" s="150" t="n"/>
      <c r="D126" s="13" t="n"/>
      <c r="E126" s="13" t="n"/>
      <c r="F126" s="13" t="n"/>
      <c r="G126" s="13" t="n"/>
      <c r="H126" s="13" t="n"/>
      <c r="I126" s="13" t="n"/>
      <c r="J126" s="13" t="n"/>
      <c r="K126" s="13" t="n"/>
      <c r="L126" s="13" t="n"/>
      <c r="M126" s="13" t="n"/>
      <c r="N126" s="13" t="n"/>
      <c r="O126" s="13" t="n"/>
      <c r="P126" s="13" t="n"/>
      <c r="Q126" s="13" t="n"/>
      <c r="R126" s="13" t="n"/>
      <c r="S126" s="13" t="n"/>
      <c r="T126" s="13" t="n"/>
      <c r="U126" s="13" t="n"/>
    </row>
    <row r="127" ht="17.25" customHeight="1">
      <c r="A127" s="4" t="inlineStr">
        <is>
          <t>COMP-3610-8</t>
        </is>
      </c>
      <c r="B127" s="149" t="inlineStr">
        <is>
          <t>1e</t>
        </is>
      </c>
      <c r="C127" s="150" t="n"/>
      <c r="D127" s="13" t="n"/>
      <c r="E127" s="13" t="n"/>
      <c r="F127" s="13" t="n"/>
      <c r="G127" s="13" t="n"/>
      <c r="H127" s="13" t="n"/>
      <c r="I127" s="13" t="n"/>
      <c r="J127" s="13" t="n"/>
      <c r="K127" s="13" t="n"/>
      <c r="L127" s="13" t="n"/>
      <c r="M127" s="13" t="n"/>
      <c r="N127" s="13" t="n"/>
      <c r="O127" s="13" t="n"/>
      <c r="P127" s="13" t="n"/>
      <c r="Q127" s="13" t="n"/>
      <c r="R127" s="13" t="n"/>
      <c r="S127" s="13" t="n"/>
      <c r="T127" s="13" t="n"/>
      <c r="U127" s="13" t="n"/>
    </row>
    <row r="128" ht="17.25" customHeight="1">
      <c r="A128" s="4" t="inlineStr">
        <is>
          <t>COMP-3610-9</t>
        </is>
      </c>
      <c r="B128" s="149" t="inlineStr">
        <is>
          <t>1e</t>
        </is>
      </c>
      <c r="C128" s="150" t="n"/>
      <c r="D128" s="13" t="n"/>
      <c r="E128" s="13" t="n"/>
      <c r="F128" s="13" t="n"/>
      <c r="G128" s="13" t="n"/>
      <c r="H128" s="13" t="n"/>
      <c r="I128" s="13" t="n"/>
      <c r="J128" s="13" t="n"/>
      <c r="K128" s="13" t="n"/>
      <c r="L128" s="13" t="n"/>
      <c r="M128" s="13" t="n"/>
      <c r="N128" s="13" t="n"/>
      <c r="O128" s="13" t="n"/>
      <c r="P128" s="13" t="n"/>
      <c r="Q128" s="13" t="n"/>
      <c r="R128" s="13" t="n"/>
      <c r="S128" s="13" t="n"/>
      <c r="T128" s="13" t="n"/>
      <c r="U128" s="13" t="n"/>
    </row>
    <row r="129" ht="17.25" customHeight="1">
      <c r="A129" s="4" t="inlineStr">
        <is>
          <t>SENG-4130-1</t>
        </is>
      </c>
      <c r="B129" s="149" t="inlineStr">
        <is>
          <t>1e</t>
        </is>
      </c>
      <c r="C129" s="150" t="n"/>
      <c r="D129" s="13" t="n"/>
      <c r="E129" s="13" t="n"/>
      <c r="F129" s="13" t="n"/>
      <c r="G129" s="13" t="n"/>
      <c r="H129" s="13" t="n"/>
      <c r="I129" s="13" t="n"/>
      <c r="J129" s="13" t="n"/>
      <c r="K129" s="13" t="n"/>
      <c r="L129" s="13" t="n"/>
      <c r="M129" s="13" t="n"/>
      <c r="N129" s="13" t="n"/>
      <c r="O129" s="13" t="n"/>
      <c r="P129" s="13" t="n"/>
      <c r="Q129" s="13" t="n"/>
      <c r="R129" s="13" t="n"/>
      <c r="S129" s="13" t="n"/>
      <c r="T129" s="13" t="n"/>
      <c r="U129" s="13" t="n"/>
    </row>
    <row r="130" ht="17.25" customHeight="1">
      <c r="A130" s="4" t="inlineStr">
        <is>
          <t>SENG-4130-2</t>
        </is>
      </c>
      <c r="B130" s="149" t="inlineStr">
        <is>
          <t>1e</t>
        </is>
      </c>
      <c r="C130" s="150" t="n"/>
      <c r="D130" s="13" t="n"/>
      <c r="E130" s="13" t="n"/>
      <c r="F130" s="13" t="n"/>
      <c r="G130" s="13" t="n"/>
      <c r="H130" s="13" t="n"/>
      <c r="I130" s="13" t="n"/>
      <c r="J130" s="13" t="n"/>
      <c r="K130" s="13" t="n"/>
      <c r="L130" s="13" t="n"/>
      <c r="M130" s="13" t="n"/>
      <c r="N130" s="13" t="n"/>
      <c r="O130" s="13" t="n"/>
      <c r="P130" s="13" t="n"/>
      <c r="Q130" s="13" t="n"/>
      <c r="R130" s="13" t="n"/>
      <c r="S130" s="13" t="n"/>
      <c r="T130" s="13" t="n"/>
      <c r="U130" s="13" t="n"/>
    </row>
    <row r="131" ht="17.25" customHeight="1">
      <c r="A131" s="4" t="inlineStr">
        <is>
          <t>SENG-4130-3</t>
        </is>
      </c>
      <c r="B131" s="149" t="inlineStr">
        <is>
          <t>1e</t>
        </is>
      </c>
      <c r="C131" s="150" t="n"/>
      <c r="D131" s="13" t="n"/>
      <c r="E131" s="13" t="n"/>
      <c r="F131" s="13" t="n"/>
      <c r="G131" s="13" t="n"/>
      <c r="H131" s="13" t="n"/>
      <c r="I131" s="13" t="n"/>
      <c r="J131" s="13" t="n"/>
      <c r="K131" s="13" t="n"/>
      <c r="L131" s="13" t="n"/>
      <c r="M131" s="13" t="n"/>
      <c r="N131" s="13" t="n"/>
      <c r="O131" s="13" t="n"/>
      <c r="P131" s="13" t="n"/>
      <c r="Q131" s="13" t="n"/>
      <c r="R131" s="13" t="n"/>
      <c r="S131" s="13" t="n"/>
      <c r="T131" s="13" t="n"/>
      <c r="U131" s="13" t="n"/>
    </row>
    <row r="132" ht="17.25" customHeight="1">
      <c r="A132" s="4" t="inlineStr">
        <is>
          <t>SENG-4130-4</t>
        </is>
      </c>
      <c r="B132" s="149" t="inlineStr">
        <is>
          <t>1e</t>
        </is>
      </c>
      <c r="C132" s="150" t="n"/>
      <c r="D132" s="13" t="n"/>
      <c r="E132" s="13" t="n"/>
      <c r="F132" s="13" t="n"/>
      <c r="G132" s="13" t="n"/>
      <c r="H132" s="13" t="n"/>
      <c r="I132" s="13" t="n"/>
      <c r="J132" s="13" t="n"/>
      <c r="K132" s="13" t="n"/>
      <c r="L132" s="13" t="n"/>
      <c r="M132" s="13" t="n"/>
      <c r="N132" s="13" t="n"/>
      <c r="O132" s="13" t="n"/>
      <c r="P132" s="13" t="n"/>
      <c r="Q132" s="13" t="n"/>
      <c r="R132" s="13" t="n"/>
      <c r="S132" s="13" t="n"/>
      <c r="T132" s="13" t="n"/>
      <c r="U132" s="13" t="n"/>
    </row>
    <row r="133" ht="17.25" customHeight="1">
      <c r="A133" s="4" t="inlineStr">
        <is>
          <t>SENG-4130-5</t>
        </is>
      </c>
      <c r="B133" s="149" t="inlineStr">
        <is>
          <t>1e</t>
        </is>
      </c>
      <c r="C133" s="150" t="n"/>
      <c r="D133" s="13" t="n"/>
      <c r="E133" s="13" t="n"/>
      <c r="F133" s="13" t="n"/>
      <c r="G133" s="13" t="n"/>
      <c r="H133" s="13" t="n"/>
      <c r="I133" s="13" t="n"/>
      <c r="J133" s="13" t="n"/>
      <c r="K133" s="13" t="n"/>
      <c r="L133" s="13" t="n"/>
      <c r="M133" s="13" t="n"/>
      <c r="N133" s="13" t="n"/>
      <c r="O133" s="13" t="n"/>
      <c r="P133" s="13" t="n"/>
      <c r="Q133" s="13" t="n"/>
      <c r="R133" s="13" t="n"/>
      <c r="S133" s="13" t="n"/>
      <c r="T133" s="13" t="n"/>
      <c r="U133" s="13" t="n"/>
    </row>
    <row r="134" ht="17.25" customHeight="1">
      <c r="A134" s="4" t="inlineStr">
        <is>
          <t>SENG-4230-1</t>
        </is>
      </c>
      <c r="B134" s="149" t="inlineStr">
        <is>
          <t>1e</t>
        </is>
      </c>
      <c r="C134" s="150" t="n"/>
      <c r="D134" s="13" t="n"/>
      <c r="E134" s="13" t="n"/>
      <c r="F134" s="13" t="n"/>
      <c r="G134" s="13" t="n"/>
      <c r="H134" s="13" t="n"/>
      <c r="I134" s="13" t="n"/>
      <c r="J134" s="13" t="n"/>
      <c r="K134" s="13" t="n"/>
      <c r="L134" s="13" t="n"/>
      <c r="M134" s="13" t="n"/>
      <c r="N134" s="13" t="n"/>
      <c r="O134" s="13" t="n"/>
      <c r="P134" s="13" t="n"/>
      <c r="Q134" s="13" t="n"/>
      <c r="R134" s="13" t="n"/>
      <c r="S134" s="13" t="n"/>
      <c r="T134" s="13" t="n"/>
      <c r="U134" s="13" t="n"/>
    </row>
    <row r="135" ht="17.25" customHeight="1">
      <c r="A135" s="4" t="inlineStr">
        <is>
          <t>SENG-4230-3</t>
        </is>
      </c>
      <c r="B135" s="149" t="inlineStr">
        <is>
          <t>1e</t>
        </is>
      </c>
      <c r="C135" s="150" t="n"/>
      <c r="D135" s="13" t="n"/>
      <c r="E135" s="13" t="n"/>
      <c r="F135" s="13" t="n"/>
      <c r="G135" s="13" t="n"/>
      <c r="H135" s="13" t="n"/>
      <c r="I135" s="13" t="n"/>
      <c r="J135" s="13" t="n"/>
      <c r="K135" s="13" t="n"/>
      <c r="L135" s="13" t="n"/>
      <c r="M135" s="13" t="n"/>
      <c r="N135" s="13" t="n"/>
      <c r="O135" s="13" t="n"/>
      <c r="P135" s="13" t="n"/>
      <c r="Q135" s="13" t="n"/>
      <c r="R135" s="13" t="n"/>
      <c r="S135" s="13" t="n"/>
      <c r="T135" s="13" t="n"/>
      <c r="U135" s="13" t="n"/>
    </row>
    <row r="136" ht="17.25" customHeight="1">
      <c r="A136" s="4" t="inlineStr">
        <is>
          <t>SENG-4230-5</t>
        </is>
      </c>
      <c r="B136" s="149" t="inlineStr">
        <is>
          <t>1e</t>
        </is>
      </c>
      <c r="C136" s="150" t="n"/>
      <c r="D136" s="13" t="n"/>
      <c r="E136" s="13" t="n"/>
      <c r="F136" s="13" t="n"/>
      <c r="G136" s="13" t="n"/>
      <c r="H136" s="13" t="n"/>
      <c r="I136" s="13" t="n"/>
      <c r="J136" s="13" t="n"/>
      <c r="K136" s="13" t="n"/>
      <c r="L136" s="13" t="n"/>
      <c r="M136" s="13" t="n"/>
      <c r="N136" s="13" t="n"/>
      <c r="O136" s="13" t="n"/>
      <c r="P136" s="13" t="n"/>
      <c r="Q136" s="13" t="n"/>
      <c r="R136" s="13" t="n"/>
      <c r="S136" s="13" t="n"/>
      <c r="T136" s="13" t="n"/>
      <c r="U136" s="13" t="n"/>
    </row>
    <row r="137" ht="17.25" customHeight="1">
      <c r="A137" s="4" t="inlineStr">
        <is>
          <t>SENG-4220-1</t>
        </is>
      </c>
      <c r="B137" s="206" t="inlineStr">
        <is>
          <t>1e</t>
        </is>
      </c>
      <c r="C137" s="150" t="n"/>
      <c r="D137" s="13" t="n"/>
      <c r="E137" s="13" t="n"/>
      <c r="F137" s="13" t="n"/>
      <c r="G137" s="13" t="n"/>
      <c r="H137" s="13" t="n"/>
      <c r="I137" s="13" t="n"/>
      <c r="J137" s="13" t="n"/>
      <c r="K137" s="13" t="n"/>
      <c r="L137" s="13" t="n"/>
      <c r="M137" s="13" t="n"/>
      <c r="N137" s="13" t="n"/>
      <c r="O137" s="13" t="n"/>
      <c r="P137" s="13" t="n"/>
      <c r="Q137" s="13" t="n"/>
      <c r="R137" s="13" t="n"/>
      <c r="S137" s="13" t="n"/>
      <c r="T137" s="13" t="n"/>
      <c r="U137" s="13" t="n"/>
    </row>
    <row r="138" ht="17.25" customHeight="1">
      <c r="A138" s="4" t="inlineStr">
        <is>
          <t>SENG-4220-2</t>
        </is>
      </c>
      <c r="B138" s="206" t="inlineStr">
        <is>
          <t>1e</t>
        </is>
      </c>
      <c r="C138" s="150" t="n"/>
      <c r="D138" s="13" t="n"/>
      <c r="E138" s="13" t="n"/>
      <c r="F138" s="13" t="n"/>
      <c r="G138" s="13" t="n"/>
      <c r="H138" s="13" t="n"/>
      <c r="I138" s="13" t="n"/>
      <c r="J138" s="13" t="n"/>
      <c r="K138" s="13" t="n"/>
      <c r="L138" s="13" t="n"/>
      <c r="M138" s="13" t="n"/>
      <c r="N138" s="13" t="n"/>
      <c r="O138" s="13" t="n"/>
      <c r="P138" s="13" t="n"/>
      <c r="Q138" s="13" t="n"/>
      <c r="R138" s="13" t="n"/>
      <c r="S138" s="13" t="n"/>
      <c r="T138" s="13" t="n"/>
      <c r="U138" s="13" t="n"/>
    </row>
    <row r="139" ht="17.25" customHeight="1">
      <c r="A139" s="4" t="inlineStr">
        <is>
          <t>SENG-4220-4</t>
        </is>
      </c>
      <c r="B139" s="206" t="inlineStr">
        <is>
          <t>1e</t>
        </is>
      </c>
      <c r="C139" s="150" t="n"/>
      <c r="D139" s="13" t="n"/>
      <c r="E139" s="13" t="n"/>
      <c r="F139" s="13" t="n"/>
      <c r="G139" s="13" t="n"/>
      <c r="H139" s="13" t="n"/>
      <c r="I139" s="13" t="n"/>
      <c r="J139" s="13" t="n"/>
      <c r="K139" s="13" t="n"/>
      <c r="L139" s="13" t="n"/>
      <c r="M139" s="13" t="n"/>
      <c r="N139" s="13" t="n"/>
      <c r="O139" s="13" t="n"/>
      <c r="P139" s="13" t="n"/>
      <c r="Q139" s="13" t="n"/>
      <c r="R139" s="13" t="n"/>
      <c r="S139" s="13" t="n"/>
      <c r="T139" s="13" t="n"/>
      <c r="U139" s="13" t="n"/>
    </row>
    <row r="140" ht="17.25" customHeight="1">
      <c r="A140" s="4" t="inlineStr">
        <is>
          <t>SENG-4140-1</t>
        </is>
      </c>
      <c r="B140" s="206" t="inlineStr">
        <is>
          <t>1e</t>
        </is>
      </c>
      <c r="C140" s="150" t="n"/>
      <c r="D140" s="13" t="n"/>
      <c r="E140" s="13" t="n"/>
      <c r="F140" s="13" t="n"/>
      <c r="G140" s="13" t="n"/>
      <c r="H140" s="13" t="n"/>
      <c r="I140" s="13" t="n"/>
      <c r="J140" s="13" t="n"/>
      <c r="K140" s="13" t="n"/>
      <c r="L140" s="13" t="n"/>
      <c r="M140" s="13" t="n"/>
      <c r="N140" s="13" t="n"/>
      <c r="O140" s="13" t="n"/>
      <c r="P140" s="13" t="n"/>
      <c r="Q140" s="13" t="n"/>
      <c r="R140" s="13" t="n"/>
      <c r="S140" s="13" t="n"/>
      <c r="T140" s="13" t="n"/>
      <c r="U140" s="13" t="n"/>
    </row>
    <row r="141" ht="17.25" customHeight="1">
      <c r="A141" s="4" t="inlineStr">
        <is>
          <t>SENG-4140-2</t>
        </is>
      </c>
      <c r="B141" s="206" t="inlineStr">
        <is>
          <t>1e</t>
        </is>
      </c>
      <c r="C141" s="150" t="n"/>
      <c r="D141" s="13" t="n"/>
      <c r="E141" s="13" t="n"/>
      <c r="F141" s="13" t="n"/>
      <c r="G141" s="13" t="n"/>
      <c r="H141" s="13" t="n"/>
      <c r="I141" s="13" t="n"/>
      <c r="J141" s="13" t="n"/>
      <c r="K141" s="13" t="n"/>
      <c r="L141" s="13" t="n"/>
      <c r="M141" s="13" t="n"/>
      <c r="N141" s="13" t="n"/>
      <c r="O141" s="13" t="n"/>
      <c r="P141" s="13" t="n"/>
      <c r="Q141" s="13" t="n"/>
      <c r="R141" s="13" t="n"/>
      <c r="S141" s="13" t="n"/>
      <c r="T141" s="13" t="n"/>
      <c r="U141" s="13" t="n"/>
    </row>
    <row r="142" ht="17.25" customHeight="1">
      <c r="A142" s="4" t="inlineStr">
        <is>
          <t>SENG-4140-3</t>
        </is>
      </c>
      <c r="B142" s="206" t="inlineStr">
        <is>
          <t>1e</t>
        </is>
      </c>
      <c r="C142" s="150" t="n"/>
      <c r="D142" s="13" t="n"/>
      <c r="E142" s="13" t="n"/>
      <c r="F142" s="13" t="n"/>
      <c r="G142" s="13" t="n"/>
      <c r="H142" s="13" t="n"/>
      <c r="I142" s="13" t="n"/>
      <c r="J142" s="13" t="n"/>
      <c r="K142" s="13" t="n"/>
      <c r="L142" s="13" t="n"/>
      <c r="M142" s="13" t="n"/>
      <c r="N142" s="13" t="n"/>
      <c r="O142" s="13" t="n"/>
      <c r="P142" s="13" t="n"/>
      <c r="Q142" s="13" t="n"/>
      <c r="R142" s="13" t="n"/>
      <c r="S142" s="13" t="n"/>
      <c r="T142" s="13" t="n"/>
      <c r="U142" s="13" t="n"/>
    </row>
    <row r="143" ht="17.25" customHeight="1">
      <c r="A143" s="4" t="inlineStr">
        <is>
          <t>SENG-4610-1</t>
        </is>
      </c>
      <c r="B143" s="206" t="inlineStr">
        <is>
          <t>1e</t>
        </is>
      </c>
      <c r="C143" s="150" t="n"/>
      <c r="D143" s="13" t="n"/>
      <c r="E143" s="13" t="n"/>
      <c r="F143" s="13" t="n"/>
      <c r="G143" s="13" t="n"/>
      <c r="H143" s="13" t="n"/>
      <c r="I143" s="13" t="n"/>
      <c r="J143" s="13" t="n"/>
      <c r="K143" s="13" t="n"/>
      <c r="L143" s="13" t="n"/>
      <c r="M143" s="13" t="n"/>
      <c r="N143" s="13" t="n"/>
      <c r="O143" s="13" t="n"/>
      <c r="P143" s="13" t="n"/>
      <c r="Q143" s="13" t="n"/>
      <c r="R143" s="13" t="n"/>
      <c r="S143" s="13" t="n"/>
      <c r="T143" s="13" t="n"/>
      <c r="U143" s="13" t="n"/>
    </row>
    <row r="144" ht="17.25" customHeight="1">
      <c r="A144" s="4" t="inlineStr">
        <is>
          <t>SENG-4610-2</t>
        </is>
      </c>
      <c r="B144" s="206" t="inlineStr">
        <is>
          <t>1e</t>
        </is>
      </c>
      <c r="C144" s="150" t="n"/>
      <c r="D144" s="13" t="n"/>
      <c r="E144" s="13" t="n"/>
      <c r="F144" s="13" t="n"/>
      <c r="G144" s="13" t="n"/>
      <c r="H144" s="13" t="n"/>
      <c r="I144" s="13" t="n"/>
      <c r="J144" s="13" t="n"/>
      <c r="K144" s="13" t="n"/>
      <c r="L144" s="13" t="n"/>
      <c r="M144" s="13" t="n"/>
      <c r="N144" s="13" t="n"/>
      <c r="O144" s="13" t="n"/>
      <c r="P144" s="13" t="n"/>
      <c r="Q144" s="13" t="n"/>
      <c r="R144" s="13" t="n"/>
      <c r="S144" s="13" t="n"/>
      <c r="T144" s="13" t="n"/>
      <c r="U144" s="13" t="n"/>
    </row>
    <row r="145" ht="17.25" customHeight="1">
      <c r="A145" s="4" t="inlineStr">
        <is>
          <t>SENG-4610-4</t>
        </is>
      </c>
      <c r="B145" s="206" t="inlineStr">
        <is>
          <t>1e</t>
        </is>
      </c>
      <c r="C145" s="150" t="n"/>
      <c r="D145" s="13" t="n"/>
      <c r="E145" s="13" t="n"/>
      <c r="F145" s="13" t="n"/>
      <c r="G145" s="13" t="n"/>
      <c r="H145" s="13" t="n"/>
      <c r="I145" s="13" t="n"/>
      <c r="J145" s="13" t="n"/>
      <c r="K145" s="13" t="n"/>
      <c r="L145" s="13" t="n"/>
      <c r="M145" s="13" t="n"/>
      <c r="N145" s="13" t="n"/>
      <c r="O145" s="13" t="n"/>
      <c r="P145" s="13" t="n"/>
      <c r="Q145" s="13" t="n"/>
      <c r="R145" s="13" t="n"/>
      <c r="S145" s="13" t="n"/>
      <c r="T145" s="13" t="n"/>
      <c r="U145" s="13" t="n"/>
    </row>
    <row r="146" ht="17.25" customHeight="1">
      <c r="A146" s="4" t="inlineStr">
        <is>
          <t>SENG-4620-1</t>
        </is>
      </c>
      <c r="B146" s="206" t="inlineStr">
        <is>
          <t>1e</t>
        </is>
      </c>
      <c r="C146" s="150" t="n"/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  <c r="T146" s="13" t="n"/>
      <c r="U146" s="13" t="n"/>
    </row>
    <row r="147" ht="17.25" customHeight="1">
      <c r="A147" s="4" t="inlineStr">
        <is>
          <t>SENG-4620-4</t>
        </is>
      </c>
      <c r="B147" s="206" t="inlineStr">
        <is>
          <t>1e</t>
        </is>
      </c>
      <c r="C147" s="150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  <c r="T147" s="13" t="n"/>
      <c r="U147" s="13" t="n"/>
    </row>
    <row r="148" ht="17.25" customHeight="1">
      <c r="A148" s="4" t="inlineStr">
        <is>
          <t>SENG-4620-5</t>
        </is>
      </c>
      <c r="B148" s="206" t="inlineStr">
        <is>
          <t>1e</t>
        </is>
      </c>
      <c r="C148" s="150" t="n"/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  <c r="T148" s="13" t="n"/>
      <c r="U148" s="13" t="n"/>
    </row>
    <row r="149" ht="17.25" customHeight="1">
      <c r="A149" s="4" t="inlineStr">
        <is>
          <t>SENG-4630-1</t>
        </is>
      </c>
      <c r="B149" s="206" t="inlineStr">
        <is>
          <t>1e</t>
        </is>
      </c>
      <c r="C149" s="150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  <c r="T149" s="13" t="n"/>
      <c r="U149" s="13" t="n"/>
    </row>
    <row r="150" ht="17.25" customHeight="1">
      <c r="A150" s="4" t="inlineStr">
        <is>
          <t>SENG-4630-2</t>
        </is>
      </c>
      <c r="B150" s="206" t="inlineStr">
        <is>
          <t>1e</t>
        </is>
      </c>
      <c r="C150" s="150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  <c r="T150" s="13" t="n"/>
      <c r="U150" s="13" t="n"/>
    </row>
    <row r="151" ht="17.25" customHeight="1">
      <c r="A151" s="4" t="inlineStr">
        <is>
          <t>SENG-4650-1</t>
        </is>
      </c>
      <c r="B151" s="206" t="inlineStr">
        <is>
          <t>1e</t>
        </is>
      </c>
      <c r="C151" s="150" t="n"/>
      <c r="D151" s="13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  <c r="T151" s="13" t="n"/>
      <c r="U151" s="13" t="n"/>
    </row>
    <row r="152" ht="17.25" customHeight="1">
      <c r="A152" s="4" t="inlineStr">
        <is>
          <t>SENG-4650-2</t>
        </is>
      </c>
      <c r="B152" s="206" t="inlineStr">
        <is>
          <t>1e</t>
        </is>
      </c>
      <c r="C152" s="150" t="n"/>
      <c r="D152" s="13" t="n"/>
      <c r="E152" s="13" t="n"/>
      <c r="F152" s="13" t="n"/>
      <c r="G152" s="13" t="n"/>
      <c r="H152" s="13" t="n"/>
      <c r="I152" s="13" t="n"/>
      <c r="J152" s="13" t="n"/>
      <c r="K152" s="13" t="n"/>
      <c r="L152" s="13" t="n"/>
      <c r="M152" s="13" t="n"/>
      <c r="N152" s="13" t="n"/>
      <c r="O152" s="13" t="n"/>
      <c r="P152" s="13" t="n"/>
      <c r="Q152" s="13" t="n"/>
      <c r="R152" s="13" t="n"/>
      <c r="S152" s="13" t="n"/>
      <c r="T152" s="13" t="n"/>
      <c r="U152" s="13" t="n"/>
    </row>
    <row r="153" ht="17.25" customHeight="1">
      <c r="A153" s="4" t="inlineStr">
        <is>
          <t>SENG-4650-3</t>
        </is>
      </c>
      <c r="B153" s="206" t="inlineStr">
        <is>
          <t>1e</t>
        </is>
      </c>
      <c r="C153" s="150" t="n"/>
      <c r="D153" s="13" t="n"/>
      <c r="E153" s="13" t="n"/>
      <c r="F153" s="13" t="n"/>
      <c r="G153" s="13" t="n"/>
      <c r="H153" s="13" t="n"/>
      <c r="I153" s="13" t="n"/>
      <c r="J153" s="13" t="n"/>
      <c r="K153" s="13" t="n"/>
      <c r="L153" s="13" t="n"/>
      <c r="M153" s="13" t="n"/>
      <c r="N153" s="13" t="n"/>
      <c r="O153" s="13" t="n"/>
      <c r="P153" s="13" t="n"/>
      <c r="Q153" s="13" t="n"/>
      <c r="R153" s="13" t="n"/>
      <c r="S153" s="13" t="n"/>
      <c r="T153" s="13" t="n"/>
      <c r="U153" s="13" t="n"/>
    </row>
    <row r="154" ht="17.25" customHeight="1">
      <c r="A154" s="4" t="inlineStr">
        <is>
          <t>SENG-4660-1</t>
        </is>
      </c>
      <c r="B154" s="206" t="inlineStr">
        <is>
          <t>1e</t>
        </is>
      </c>
      <c r="C154" s="150" t="n"/>
      <c r="D154" s="13" t="n"/>
      <c r="E154" s="13" t="n"/>
      <c r="F154" s="13" t="n"/>
      <c r="G154" s="13" t="n"/>
      <c r="H154" s="13" t="n"/>
      <c r="I154" s="13" t="n"/>
      <c r="J154" s="13" t="n"/>
      <c r="K154" s="13" t="n"/>
      <c r="L154" s="13" t="n"/>
      <c r="M154" s="13" t="n"/>
      <c r="N154" s="13" t="n"/>
      <c r="O154" s="13" t="n"/>
      <c r="P154" s="13" t="n"/>
      <c r="Q154" s="13" t="n"/>
      <c r="R154" s="13" t="n"/>
      <c r="S154" s="13" t="n"/>
      <c r="T154" s="13" t="n"/>
      <c r="U154" s="13" t="n"/>
    </row>
    <row r="155" ht="17.25" customHeight="1">
      <c r="A155" s="4" t="inlineStr">
        <is>
          <t>SENG-4660-2</t>
        </is>
      </c>
      <c r="B155" s="206" t="inlineStr">
        <is>
          <t>1e</t>
        </is>
      </c>
      <c r="C155" s="150" t="n"/>
      <c r="D155" s="13" t="n"/>
      <c r="E155" s="13" t="n"/>
      <c r="F155" s="13" t="n"/>
      <c r="G155" s="13" t="n"/>
      <c r="H155" s="13" t="n"/>
      <c r="I155" s="13" t="n"/>
      <c r="J155" s="13" t="n"/>
      <c r="K155" s="13" t="n"/>
      <c r="L155" s="13" t="n"/>
      <c r="M155" s="13" t="n"/>
      <c r="N155" s="13" t="n"/>
      <c r="O155" s="13" t="n"/>
      <c r="P155" s="13" t="n"/>
      <c r="Q155" s="13" t="n"/>
      <c r="R155" s="13" t="n"/>
      <c r="S155" s="13" t="n"/>
      <c r="T155" s="13" t="n"/>
      <c r="U155" s="13" t="n"/>
    </row>
    <row r="156" ht="17.25" customHeight="1">
      <c r="A156" s="4" t="inlineStr">
        <is>
          <t>SENG-4660-3</t>
        </is>
      </c>
      <c r="B156" s="206" t="inlineStr">
        <is>
          <t>1e</t>
        </is>
      </c>
      <c r="C156" s="150" t="n"/>
      <c r="D156" s="13" t="n"/>
      <c r="E156" s="13" t="n"/>
      <c r="F156" s="13" t="n"/>
      <c r="G156" s="13" t="n"/>
      <c r="H156" s="13" t="n"/>
      <c r="I156" s="13" t="n"/>
      <c r="J156" s="13" t="n"/>
      <c r="K156" s="13" t="n"/>
      <c r="L156" s="13" t="n"/>
      <c r="M156" s="13" t="n"/>
      <c r="N156" s="13" t="n"/>
      <c r="O156" s="13" t="n"/>
      <c r="P156" s="13" t="n"/>
      <c r="Q156" s="13" t="n"/>
      <c r="R156" s="13" t="n"/>
      <c r="S156" s="13" t="n"/>
      <c r="T156" s="13" t="n"/>
      <c r="U156" s="13" t="n"/>
    </row>
    <row r="157" ht="17.25" customHeight="1">
      <c r="A157" s="4" t="inlineStr">
        <is>
          <t>CENG-4320-1</t>
        </is>
      </c>
      <c r="B157" s="206" t="inlineStr">
        <is>
          <t>1e</t>
        </is>
      </c>
      <c r="C157" s="150" t="n"/>
      <c r="D157" s="13" t="n"/>
      <c r="E157" s="13" t="n"/>
      <c r="F157" s="13" t="n"/>
      <c r="G157" s="13" t="n"/>
      <c r="H157" s="13" t="n"/>
      <c r="I157" s="13" t="n"/>
      <c r="J157" s="13" t="n"/>
      <c r="K157" s="13" t="n"/>
      <c r="L157" s="13" t="n"/>
      <c r="M157" s="13" t="n"/>
      <c r="N157" s="13" t="n"/>
      <c r="O157" s="13" t="n"/>
      <c r="P157" s="13" t="n"/>
      <c r="Q157" s="13" t="n"/>
      <c r="R157" s="13" t="n"/>
      <c r="S157" s="13" t="n"/>
      <c r="T157" s="13" t="n"/>
      <c r="U157" s="13" t="n"/>
    </row>
    <row r="158" ht="17.25" customHeight="1">
      <c r="A158" s="4" t="inlineStr">
        <is>
          <t>CENG-4320-2</t>
        </is>
      </c>
      <c r="B158" s="206" t="inlineStr">
        <is>
          <t>1e</t>
        </is>
      </c>
      <c r="C158" s="150" t="n"/>
      <c r="D158" s="13" t="n"/>
      <c r="E158" s="13" t="n"/>
      <c r="F158" s="13" t="n"/>
      <c r="G158" s="13" t="n"/>
      <c r="H158" s="13" t="n"/>
      <c r="I158" s="13" t="n"/>
      <c r="J158" s="13" t="n"/>
      <c r="K158" s="13" t="n"/>
      <c r="L158" s="13" t="n"/>
      <c r="M158" s="13" t="n"/>
      <c r="N158" s="13" t="n"/>
      <c r="O158" s="13" t="n"/>
      <c r="P158" s="13" t="n"/>
      <c r="Q158" s="13" t="n"/>
      <c r="R158" s="13" t="n"/>
      <c r="S158" s="13" t="n"/>
      <c r="T158" s="13" t="n"/>
      <c r="U158" s="13" t="n"/>
    </row>
    <row r="159" ht="17.25" customHeight="1">
      <c r="A159" s="4" t="inlineStr">
        <is>
          <t>CENG-4320-3</t>
        </is>
      </c>
      <c r="B159" s="206" t="inlineStr">
        <is>
          <t>1e</t>
        </is>
      </c>
      <c r="C159" s="150" t="n"/>
      <c r="D159" s="13" t="n"/>
      <c r="E159" s="13" t="n"/>
      <c r="F159" s="13" t="n"/>
      <c r="G159" s="13" t="n"/>
      <c r="H159" s="13" t="n"/>
      <c r="I159" s="13" t="n"/>
      <c r="J159" s="13" t="n"/>
      <c r="K159" s="13" t="n"/>
      <c r="L159" s="13" t="n"/>
      <c r="M159" s="13" t="n"/>
      <c r="N159" s="13" t="n"/>
      <c r="O159" s="13" t="n"/>
      <c r="P159" s="13" t="n"/>
      <c r="Q159" s="13" t="n"/>
      <c r="R159" s="13" t="n"/>
      <c r="S159" s="13" t="n"/>
      <c r="T159" s="13" t="n"/>
      <c r="U159" s="13" t="n"/>
    </row>
    <row r="160" ht="17.25" customHeight="1">
      <c r="A160" s="4" t="inlineStr">
        <is>
          <t>SENG-1110-3</t>
        </is>
      </c>
      <c r="B160" s="206" t="inlineStr">
        <is>
          <t>1f</t>
        </is>
      </c>
      <c r="C160" s="150" t="n"/>
      <c r="D160" s="13" t="n"/>
      <c r="E160" s="13" t="n"/>
      <c r="F160" s="13" t="n"/>
      <c r="G160" s="13" t="n"/>
      <c r="H160" s="13" t="n"/>
      <c r="I160" s="13" t="n"/>
      <c r="J160" s="13" t="n"/>
      <c r="K160" s="13" t="n"/>
      <c r="L160" s="13" t="n"/>
      <c r="M160" s="13" t="n"/>
      <c r="N160" s="13" t="n"/>
      <c r="O160" s="13" t="n"/>
      <c r="P160" s="13" t="n"/>
      <c r="Q160" s="13" t="n"/>
      <c r="R160" s="13" t="n"/>
      <c r="S160" s="13" t="n"/>
      <c r="T160" s="13" t="n"/>
      <c r="U160" s="13" t="n"/>
    </row>
    <row r="161" ht="17.25" customHeight="1">
      <c r="A161" s="4" t="inlineStr">
        <is>
          <t>SENG-1110-4</t>
        </is>
      </c>
      <c r="B161" s="206" t="inlineStr">
        <is>
          <t>1f</t>
        </is>
      </c>
      <c r="C161" s="150" t="n"/>
      <c r="D161" s="13" t="n"/>
      <c r="E161" s="13" t="n"/>
      <c r="F161" s="13" t="n"/>
      <c r="G161" s="13" t="n"/>
      <c r="H161" s="13" t="n"/>
      <c r="I161" s="13" t="n"/>
      <c r="J161" s="13" t="n"/>
      <c r="K161" s="13" t="n"/>
      <c r="L161" s="13" t="n"/>
      <c r="M161" s="13" t="n"/>
      <c r="N161" s="13" t="n"/>
      <c r="O161" s="13" t="n"/>
      <c r="P161" s="13" t="n"/>
      <c r="Q161" s="13" t="n"/>
      <c r="R161" s="13" t="n"/>
      <c r="S161" s="13" t="n"/>
      <c r="T161" s="13" t="n"/>
      <c r="U161" s="13" t="n"/>
    </row>
    <row r="162" ht="17.25" customHeight="1">
      <c r="A162" s="4" t="inlineStr">
        <is>
          <t>EPHY-2300-5</t>
        </is>
      </c>
      <c r="B162" s="149" t="inlineStr">
        <is>
          <t>1f</t>
        </is>
      </c>
      <c r="C162" s="150" t="n"/>
      <c r="D162" s="13" t="n"/>
      <c r="E162" s="13" t="n"/>
      <c r="F162" s="13" t="n"/>
      <c r="G162" s="13" t="n"/>
      <c r="H162" s="13" t="n"/>
      <c r="I162" s="13" t="n"/>
      <c r="J162" s="13" t="n"/>
      <c r="K162" s="13" t="n"/>
      <c r="L162" s="13" t="n"/>
      <c r="M162" s="13" t="n"/>
      <c r="N162" s="13" t="n"/>
      <c r="O162" s="13" t="n"/>
      <c r="P162" s="13" t="n"/>
      <c r="Q162" s="13" t="n"/>
      <c r="R162" s="13" t="n"/>
      <c r="S162" s="13" t="n"/>
      <c r="T162" s="13" t="n"/>
      <c r="U162" s="13" t="n"/>
    </row>
    <row r="163" ht="17.25" customHeight="1">
      <c r="A163" s="4" t="inlineStr">
        <is>
          <t>SENG-3110-4</t>
        </is>
      </c>
      <c r="B163" s="149" t="inlineStr">
        <is>
          <t>1f</t>
        </is>
      </c>
      <c r="C163" s="150" t="n"/>
      <c r="D163" s="13" t="n"/>
      <c r="E163" s="13" t="n"/>
      <c r="F163" s="13" t="n"/>
      <c r="G163" s="13" t="n"/>
      <c r="H163" s="13" t="n"/>
      <c r="I163" s="13" t="n"/>
      <c r="J163" s="13" t="n"/>
      <c r="K163" s="13" t="n"/>
      <c r="L163" s="13" t="n"/>
      <c r="M163" s="13" t="n"/>
      <c r="N163" s="13" t="n"/>
      <c r="O163" s="13" t="n"/>
      <c r="P163" s="13" t="n"/>
      <c r="Q163" s="13" t="n"/>
      <c r="R163" s="13" t="n"/>
      <c r="S163" s="13" t="n"/>
      <c r="T163" s="13" t="n"/>
      <c r="U163" s="13" t="n"/>
    </row>
    <row r="164" ht="17.25" customHeight="1">
      <c r="A164" s="4" t="inlineStr">
        <is>
          <t>SENG-3110-5</t>
        </is>
      </c>
      <c r="B164" s="149" t="inlineStr">
        <is>
          <t>1f</t>
        </is>
      </c>
      <c r="C164" s="150" t="n"/>
      <c r="D164" s="13" t="n"/>
      <c r="E164" s="13" t="n"/>
      <c r="F164" s="13" t="n"/>
      <c r="G164" s="13" t="n"/>
      <c r="H164" s="13" t="n"/>
      <c r="I164" s="13" t="n"/>
      <c r="J164" s="13" t="n"/>
      <c r="K164" s="13" t="n"/>
      <c r="L164" s="13" t="n"/>
      <c r="M164" s="13" t="n"/>
      <c r="N164" s="13" t="n"/>
      <c r="O164" s="13" t="n"/>
      <c r="P164" s="13" t="n"/>
      <c r="Q164" s="13" t="n"/>
      <c r="R164" s="13" t="n"/>
      <c r="S164" s="13" t="n"/>
      <c r="T164" s="13" t="n"/>
      <c r="U164" s="13" t="n"/>
    </row>
    <row r="165" ht="17.25" customHeight="1">
      <c r="A165" s="4" t="inlineStr">
        <is>
          <t>CENG-3010-5</t>
        </is>
      </c>
      <c r="B165" s="149" t="inlineStr">
        <is>
          <t>1f</t>
        </is>
      </c>
      <c r="C165" s="150" t="n"/>
      <c r="D165" s="13" t="n"/>
      <c r="E165" s="13" t="n"/>
      <c r="F165" s="13" t="n"/>
      <c r="G165" s="13" t="n"/>
      <c r="H165" s="13" t="n"/>
      <c r="I165" s="13" t="n"/>
      <c r="J165" s="13" t="n"/>
      <c r="K165" s="13" t="n"/>
      <c r="L165" s="13" t="n"/>
      <c r="M165" s="13" t="n"/>
      <c r="N165" s="13" t="n"/>
      <c r="O165" s="13" t="n"/>
      <c r="P165" s="13" t="n"/>
      <c r="Q165" s="13" t="n"/>
      <c r="R165" s="13" t="n"/>
      <c r="S165" s="13" t="n"/>
      <c r="T165" s="13" t="n"/>
      <c r="U165" s="13" t="n"/>
    </row>
    <row r="166" ht="17.25" customHeight="1">
      <c r="A166" s="4" t="inlineStr">
        <is>
          <t>EENG-3010-5</t>
        </is>
      </c>
      <c r="B166" s="149" t="inlineStr">
        <is>
          <t>1f</t>
        </is>
      </c>
      <c r="C166" s="150" t="n"/>
      <c r="D166" s="13" t="n"/>
      <c r="E166" s="13" t="n"/>
      <c r="F166" s="13" t="n"/>
      <c r="G166" s="13" t="n"/>
      <c r="H166" s="13" t="n"/>
      <c r="I166" s="13" t="n"/>
      <c r="J166" s="13" t="n"/>
      <c r="K166" s="13" t="n"/>
      <c r="L166" s="13" t="n"/>
      <c r="M166" s="13" t="n"/>
      <c r="N166" s="13" t="n"/>
      <c r="O166" s="13" t="n"/>
      <c r="P166" s="13" t="n"/>
      <c r="Q166" s="13" t="n"/>
      <c r="R166" s="13" t="n"/>
      <c r="S166" s="13" t="n"/>
      <c r="T166" s="13" t="n"/>
      <c r="U166" s="13" t="n"/>
    </row>
    <row r="167" ht="17.25" customHeight="1">
      <c r="A167" s="4" t="inlineStr">
        <is>
          <t>COMP-3610-10</t>
        </is>
      </c>
      <c r="B167" s="149" t="inlineStr">
        <is>
          <t>1f</t>
        </is>
      </c>
      <c r="C167" s="150" t="n"/>
      <c r="D167" s="13" t="n"/>
      <c r="E167" s="13" t="n"/>
      <c r="F167" s="13" t="n"/>
      <c r="G167" s="13" t="n"/>
      <c r="H167" s="13" t="n"/>
      <c r="I167" s="13" t="n"/>
      <c r="J167" s="13" t="n"/>
      <c r="K167" s="13" t="n"/>
      <c r="L167" s="13" t="n"/>
      <c r="M167" s="13" t="n"/>
      <c r="N167" s="13" t="n"/>
      <c r="O167" s="13" t="n"/>
      <c r="P167" s="13" t="n"/>
      <c r="Q167" s="13" t="n"/>
      <c r="R167" s="13" t="n"/>
      <c r="S167" s="13" t="n"/>
      <c r="T167" s="13" t="n"/>
      <c r="U167" s="13" t="n"/>
    </row>
    <row r="168" ht="17.25" customHeight="1">
      <c r="A168" s="4" t="inlineStr">
        <is>
          <t>SENG-4130-6</t>
        </is>
      </c>
      <c r="B168" s="149" t="inlineStr">
        <is>
          <t>1f</t>
        </is>
      </c>
      <c r="C168" s="150" t="n"/>
      <c r="D168" s="13" t="n"/>
      <c r="E168" s="13" t="n"/>
      <c r="F168" s="13" t="n"/>
      <c r="G168" s="13" t="n"/>
      <c r="H168" s="13" t="n"/>
      <c r="I168" s="13" t="n"/>
      <c r="J168" s="13" t="n"/>
      <c r="K168" s="13" t="n"/>
      <c r="L168" s="13" t="n"/>
      <c r="M168" s="13" t="n"/>
      <c r="N168" s="13" t="n"/>
      <c r="O168" s="13" t="n"/>
      <c r="P168" s="13" t="n"/>
      <c r="Q168" s="13" t="n"/>
      <c r="R168" s="13" t="n"/>
      <c r="S168" s="13" t="n"/>
      <c r="T168" s="13" t="n"/>
      <c r="U168" s="13" t="n"/>
    </row>
    <row r="169" ht="17.25" customHeight="1">
      <c r="A169" s="4" t="inlineStr">
        <is>
          <t>SENG-4230-2</t>
        </is>
      </c>
      <c r="B169" s="149" t="inlineStr">
        <is>
          <t>1f</t>
        </is>
      </c>
      <c r="C169" s="150" t="n"/>
      <c r="D169" s="13" t="n"/>
      <c r="E169" s="13" t="n"/>
      <c r="F169" s="13" t="n"/>
      <c r="G169" s="13" t="n"/>
      <c r="H169" s="13" t="n"/>
      <c r="I169" s="13" t="n"/>
      <c r="J169" s="13" t="n"/>
      <c r="K169" s="13" t="n"/>
      <c r="L169" s="13" t="n"/>
      <c r="M169" s="13" t="n"/>
      <c r="N169" s="13" t="n"/>
      <c r="O169" s="13" t="n"/>
      <c r="P169" s="13" t="n"/>
      <c r="Q169" s="13" t="n"/>
      <c r="R169" s="13" t="n"/>
      <c r="S169" s="13" t="n"/>
      <c r="T169" s="13" t="n"/>
      <c r="U169" s="13" t="n"/>
    </row>
    <row r="170" ht="17.25" customHeight="1">
      <c r="A170" s="4" t="inlineStr">
        <is>
          <t>SENG-4220-5</t>
        </is>
      </c>
      <c r="B170" s="206" t="inlineStr">
        <is>
          <t>1f</t>
        </is>
      </c>
      <c r="C170" s="150" t="n"/>
      <c r="D170" s="13" t="n"/>
      <c r="E170" s="13" t="n"/>
      <c r="F170" s="13" t="n"/>
      <c r="G170" s="13" t="n"/>
      <c r="H170" s="13" t="n"/>
      <c r="I170" s="13" t="n"/>
      <c r="J170" s="13" t="n"/>
      <c r="K170" s="13" t="n"/>
      <c r="L170" s="13" t="n"/>
      <c r="M170" s="13" t="n"/>
      <c r="N170" s="13" t="n"/>
      <c r="O170" s="13" t="n"/>
      <c r="P170" s="13" t="n"/>
      <c r="Q170" s="13" t="n"/>
      <c r="R170" s="13" t="n"/>
      <c r="S170" s="13" t="n"/>
      <c r="T170" s="13" t="n"/>
      <c r="U170" s="13" t="n"/>
    </row>
    <row r="171" ht="17.25" customHeight="1">
      <c r="A171" s="4" t="inlineStr">
        <is>
          <t>SENG-4140-4</t>
        </is>
      </c>
      <c r="B171" s="206" t="inlineStr">
        <is>
          <t>1f</t>
        </is>
      </c>
      <c r="C171" s="150" t="n"/>
      <c r="D171" s="13" t="n"/>
      <c r="E171" s="13" t="n"/>
      <c r="F171" s="13" t="n"/>
      <c r="G171" s="13" t="n"/>
      <c r="H171" s="13" t="n"/>
      <c r="I171" s="13" t="n"/>
      <c r="J171" s="13" t="n"/>
      <c r="K171" s="13" t="n"/>
      <c r="L171" s="13" t="n"/>
      <c r="M171" s="13" t="n"/>
      <c r="N171" s="13" t="n"/>
      <c r="O171" s="13" t="n"/>
      <c r="P171" s="13" t="n"/>
      <c r="Q171" s="13" t="n"/>
      <c r="R171" s="13" t="n"/>
      <c r="S171" s="13" t="n"/>
      <c r="T171" s="13" t="n"/>
      <c r="U171" s="13" t="n"/>
    </row>
    <row r="172" ht="17.25" customHeight="1">
      <c r="A172" s="4" t="inlineStr">
        <is>
          <t>SENG-4620-2</t>
        </is>
      </c>
      <c r="B172" s="206" t="inlineStr">
        <is>
          <t>1f</t>
        </is>
      </c>
      <c r="C172" s="150" t="n"/>
      <c r="D172" s="13" t="n"/>
      <c r="E172" s="13" t="n"/>
      <c r="F172" s="13" t="n"/>
      <c r="G172" s="13" t="n"/>
      <c r="H172" s="13" t="n"/>
      <c r="I172" s="13" t="n"/>
      <c r="J172" s="13" t="n"/>
      <c r="K172" s="13" t="n"/>
      <c r="L172" s="13" t="n"/>
      <c r="M172" s="13" t="n"/>
      <c r="N172" s="13" t="n"/>
      <c r="O172" s="13" t="n"/>
      <c r="P172" s="13" t="n"/>
      <c r="Q172" s="13" t="n"/>
      <c r="R172" s="13" t="n"/>
      <c r="S172" s="13" t="n"/>
      <c r="T172" s="13" t="n"/>
      <c r="U172" s="13" t="n"/>
    </row>
    <row r="173" ht="17.25" customHeight="1">
      <c r="A173" s="4" t="inlineStr">
        <is>
          <t>SENG-4620-3</t>
        </is>
      </c>
      <c r="B173" s="206" t="inlineStr">
        <is>
          <t>1f</t>
        </is>
      </c>
      <c r="C173" s="150" t="n"/>
      <c r="D173" s="13" t="n"/>
      <c r="E173" s="13" t="n"/>
      <c r="F173" s="13" t="n"/>
      <c r="G173" s="13" t="n"/>
      <c r="H173" s="13" t="n"/>
      <c r="I173" s="13" t="n"/>
      <c r="J173" s="13" t="n"/>
      <c r="K173" s="13" t="n"/>
      <c r="L173" s="13" t="n"/>
      <c r="M173" s="13" t="n"/>
      <c r="N173" s="13" t="n"/>
      <c r="O173" s="13" t="n"/>
      <c r="P173" s="13" t="n"/>
      <c r="Q173" s="13" t="n"/>
      <c r="R173" s="13" t="n"/>
      <c r="S173" s="13" t="n"/>
      <c r="T173" s="13" t="n"/>
      <c r="U173" s="13" t="n"/>
    </row>
    <row r="174" ht="17.25" customHeight="1">
      <c r="A174" s="4" t="inlineStr">
        <is>
          <t>SENG-4630-3</t>
        </is>
      </c>
      <c r="B174" s="206" t="inlineStr">
        <is>
          <t>1f</t>
        </is>
      </c>
      <c r="C174" s="150" t="n"/>
      <c r="D174" s="13" t="n"/>
      <c r="E174" s="13" t="n"/>
      <c r="F174" s="13" t="n"/>
      <c r="G174" s="13" t="n"/>
      <c r="H174" s="13" t="n"/>
      <c r="I174" s="13" t="n"/>
      <c r="J174" s="13" t="n"/>
      <c r="K174" s="13" t="n"/>
      <c r="L174" s="13" t="n"/>
      <c r="M174" s="13" t="n"/>
      <c r="N174" s="13" t="n"/>
      <c r="O174" s="13" t="n"/>
      <c r="P174" s="13" t="n"/>
      <c r="Q174" s="13" t="n"/>
      <c r="R174" s="13" t="n"/>
      <c r="S174" s="13" t="n"/>
      <c r="T174" s="13" t="n"/>
      <c r="U174" s="13" t="n"/>
    </row>
    <row r="175" ht="17.25" customHeight="1">
      <c r="A175" s="4" t="inlineStr">
        <is>
          <t>SENG-4630-4</t>
        </is>
      </c>
      <c r="B175" s="206" t="inlineStr">
        <is>
          <t>1f</t>
        </is>
      </c>
      <c r="C175" s="150" t="n"/>
      <c r="D175" s="13" t="n"/>
      <c r="E175" s="13" t="n"/>
      <c r="F175" s="13" t="n"/>
      <c r="G175" s="13" t="n"/>
      <c r="H175" s="13" t="n"/>
      <c r="I175" s="13" t="n"/>
      <c r="J175" s="13" t="n"/>
      <c r="K175" s="13" t="n"/>
      <c r="L175" s="13" t="n"/>
      <c r="M175" s="13" t="n"/>
      <c r="N175" s="13" t="n"/>
      <c r="O175" s="13" t="n"/>
      <c r="P175" s="13" t="n"/>
      <c r="Q175" s="13" t="n"/>
      <c r="R175" s="13" t="n"/>
      <c r="S175" s="13" t="n"/>
      <c r="T175" s="13" t="n"/>
      <c r="U175" s="13" t="n"/>
    </row>
    <row r="176" ht="17.25" customHeight="1">
      <c r="A176" s="4" t="inlineStr">
        <is>
          <t>SENG-4630-5</t>
        </is>
      </c>
      <c r="B176" s="206" t="inlineStr">
        <is>
          <t>1f</t>
        </is>
      </c>
      <c r="C176" s="150" t="n"/>
      <c r="D176" s="13" t="n"/>
      <c r="E176" s="13" t="n"/>
      <c r="F176" s="13" t="n"/>
      <c r="G176" s="13" t="n"/>
      <c r="H176" s="13" t="n"/>
      <c r="I176" s="13" t="n"/>
      <c r="J176" s="13" t="n"/>
      <c r="K176" s="13" t="n"/>
      <c r="L176" s="13" t="n"/>
      <c r="M176" s="13" t="n"/>
      <c r="N176" s="13" t="n"/>
      <c r="O176" s="13" t="n"/>
      <c r="P176" s="13" t="n"/>
      <c r="Q176" s="13" t="n"/>
      <c r="R176" s="13" t="n"/>
      <c r="S176" s="13" t="n"/>
      <c r="T176" s="13" t="n"/>
      <c r="U176" s="13" t="n"/>
    </row>
    <row r="177" ht="17.25" customHeight="1">
      <c r="A177" s="4" t="inlineStr">
        <is>
          <t>SENG-4650-4</t>
        </is>
      </c>
      <c r="B177" s="206" t="inlineStr">
        <is>
          <t>1f</t>
        </is>
      </c>
      <c r="C177" s="150" t="n"/>
      <c r="D177" s="13" t="n"/>
      <c r="E177" s="13" t="n"/>
      <c r="F177" s="13" t="n"/>
      <c r="G177" s="13" t="n"/>
      <c r="H177" s="13" t="n"/>
      <c r="I177" s="13" t="n"/>
      <c r="J177" s="13" t="n"/>
      <c r="K177" s="13" t="n"/>
      <c r="L177" s="13" t="n"/>
      <c r="M177" s="13" t="n"/>
      <c r="N177" s="13" t="n"/>
      <c r="O177" s="13" t="n"/>
      <c r="P177" s="13" t="n"/>
      <c r="Q177" s="13" t="n"/>
      <c r="R177" s="13" t="n"/>
      <c r="S177" s="13" t="n"/>
      <c r="T177" s="13" t="n"/>
      <c r="U177" s="13" t="n"/>
    </row>
    <row r="178" ht="17.25" customHeight="1">
      <c r="A178" s="4" t="inlineStr">
        <is>
          <t>SENG-4650-5</t>
        </is>
      </c>
      <c r="B178" s="206" t="inlineStr">
        <is>
          <t>1f</t>
        </is>
      </c>
      <c r="C178" s="150" t="n"/>
      <c r="D178" s="13" t="n"/>
      <c r="E178" s="13" t="n"/>
      <c r="F178" s="13" t="n"/>
      <c r="G178" s="13" t="n"/>
      <c r="H178" s="13" t="n"/>
      <c r="I178" s="13" t="n"/>
      <c r="J178" s="13" t="n"/>
      <c r="K178" s="13" t="n"/>
      <c r="L178" s="13" t="n"/>
      <c r="M178" s="13" t="n"/>
      <c r="N178" s="13" t="n"/>
      <c r="O178" s="13" t="n"/>
      <c r="P178" s="13" t="n"/>
      <c r="Q178" s="13" t="n"/>
      <c r="R178" s="13" t="n"/>
      <c r="S178" s="13" t="n"/>
      <c r="T178" s="13" t="n"/>
      <c r="U178" s="13" t="n"/>
    </row>
    <row r="179" ht="17.25" customHeight="1">
      <c r="A179" s="4" t="inlineStr">
        <is>
          <t>SENG-4660-4</t>
        </is>
      </c>
      <c r="B179" s="206" t="inlineStr">
        <is>
          <t>1f</t>
        </is>
      </c>
      <c r="C179" s="150" t="n"/>
      <c r="D179" s="13" t="n"/>
      <c r="E179" s="13" t="n"/>
      <c r="F179" s="13" t="n"/>
      <c r="G179" s="13" t="n"/>
      <c r="H179" s="13" t="n"/>
      <c r="I179" s="13" t="n"/>
      <c r="J179" s="13" t="n"/>
      <c r="K179" s="13" t="n"/>
      <c r="L179" s="13" t="n"/>
      <c r="M179" s="13" t="n"/>
      <c r="N179" s="13" t="n"/>
      <c r="O179" s="13" t="n"/>
      <c r="P179" s="13" t="n"/>
      <c r="Q179" s="13" t="n"/>
      <c r="R179" s="13" t="n"/>
      <c r="S179" s="13" t="n"/>
      <c r="T179" s="13" t="n"/>
      <c r="U179" s="13" t="n"/>
    </row>
    <row r="180" ht="17.25" customHeight="1">
      <c r="A180" s="4" t="inlineStr">
        <is>
          <t>SENG-4660-5</t>
        </is>
      </c>
      <c r="B180" s="206" t="inlineStr">
        <is>
          <t>1f</t>
        </is>
      </c>
      <c r="C180" s="150" t="n"/>
      <c r="D180" s="13" t="n"/>
      <c r="E180" s="13" t="n"/>
      <c r="F180" s="13" t="n"/>
      <c r="G180" s="13" t="n"/>
      <c r="H180" s="13" t="n"/>
      <c r="I180" s="13" t="n"/>
      <c r="J180" s="13" t="n"/>
      <c r="K180" s="13" t="n"/>
      <c r="L180" s="13" t="n"/>
      <c r="M180" s="13" t="n"/>
      <c r="N180" s="13" t="n"/>
      <c r="O180" s="13" t="n"/>
      <c r="P180" s="13" t="n"/>
      <c r="Q180" s="13" t="n"/>
      <c r="R180" s="13" t="n"/>
      <c r="S180" s="13" t="n"/>
      <c r="T180" s="13" t="n"/>
      <c r="U180" s="13" t="n"/>
    </row>
    <row r="181" ht="17.25" customHeight="1">
      <c r="A181" s="213" t="inlineStr">
        <is>
          <t>CENG-4320-4</t>
        </is>
      </c>
      <c r="B181" s="206" t="inlineStr">
        <is>
          <t>1f</t>
        </is>
      </c>
      <c r="C181" s="150" t="n"/>
      <c r="D181" s="13" t="n"/>
      <c r="E181" s="13" t="n"/>
      <c r="F181" s="13" t="n"/>
      <c r="G181" s="13" t="n"/>
      <c r="H181" s="13" t="n"/>
      <c r="I181" s="13" t="n"/>
      <c r="J181" s="13" t="n"/>
      <c r="K181" s="13" t="n"/>
      <c r="L181" s="13" t="n"/>
      <c r="M181" s="13" t="n"/>
      <c r="N181" s="13" t="n"/>
      <c r="O181" s="13" t="n"/>
      <c r="P181" s="13" t="n"/>
      <c r="Q181" s="13" t="n"/>
      <c r="R181" s="13" t="n"/>
      <c r="S181" s="13" t="n"/>
      <c r="T181" s="13" t="n"/>
      <c r="U181" s="13" t="n"/>
    </row>
    <row r="182" ht="16.5" customHeight="1">
      <c r="A182" s="213" t="inlineStr">
        <is>
          <t>CENG-4320-5</t>
        </is>
      </c>
      <c r="B182" s="214" t="inlineStr">
        <is>
          <t>1f</t>
        </is>
      </c>
      <c r="C182" s="150" t="n"/>
      <c r="D182" s="13" t="n"/>
      <c r="E182" s="13" t="n"/>
      <c r="F182" s="13" t="n"/>
      <c r="G182" s="13" t="n"/>
      <c r="H182" s="13" t="n"/>
      <c r="I182" s="13" t="n"/>
      <c r="J182" s="13" t="n"/>
      <c r="K182" s="13" t="n"/>
      <c r="L182" s="13" t="n"/>
      <c r="M182" s="13" t="n"/>
      <c r="N182" s="13" t="n"/>
      <c r="O182" s="13" t="n"/>
      <c r="P182" s="13" t="n"/>
      <c r="Q182" s="13" t="n"/>
      <c r="R182" s="13" t="n"/>
      <c r="S182" s="13" t="n"/>
      <c r="T182" s="13" t="n"/>
      <c r="U182" s="13" t="n"/>
    </row>
  </sheetData>
  <mergeCells count="4">
    <mergeCell ref="E1:N1"/>
    <mergeCell ref="E3:L3"/>
    <mergeCell ref="O3:U3"/>
    <mergeCell ref="O6:U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/>
    <pageSetUpPr/>
  </sheetPr>
  <dimension ref="A1:AB65"/>
  <sheetViews>
    <sheetView workbookViewId="0">
      <selection activeCell="A1" sqref="A1"/>
    </sheetView>
  </sheetViews>
  <sheetFormatPr baseColWidth="8" defaultRowHeight="15" outlineLevelCol="0"/>
  <cols>
    <col width="44.86214285714286" bestFit="1" customWidth="1" style="64" min="1" max="1"/>
    <col width="18.86214285714286" bestFit="1" customWidth="1" style="78" min="2" max="2"/>
    <col width="14.29071428571429" bestFit="1" customWidth="1" style="66" min="3" max="3"/>
    <col width="15.86214285714286" bestFit="1" customWidth="1" style="79" min="4" max="4"/>
    <col width="17.71928571428571" bestFit="1" customWidth="1" style="79" min="5" max="5"/>
    <col width="14.29071428571429" bestFit="1" customWidth="1" style="79" min="6" max="6"/>
    <col width="14.29071428571429" bestFit="1" customWidth="1" style="79" min="7" max="7"/>
    <col width="17.71928571428571" bestFit="1" customWidth="1" style="79" min="8" max="8"/>
    <col width="14.29071428571429" bestFit="1" customWidth="1" style="105" min="9" max="9"/>
    <col width="14.29071428571429" bestFit="1" customWidth="1" style="105" min="10" max="10"/>
    <col width="14.57642857142857" bestFit="1" customWidth="1" style="105" min="11" max="11"/>
    <col width="14.57642857142857" bestFit="1" customWidth="1" style="105" min="12" max="12"/>
    <col width="14.57642857142857" bestFit="1" customWidth="1" style="105" min="13" max="13"/>
    <col width="14.57642857142857" bestFit="1" customWidth="1" style="105" min="14" max="14"/>
    <col width="14.57642857142857" bestFit="1" customWidth="1" style="105" min="15" max="15"/>
    <col width="14.57642857142857" bestFit="1" customWidth="1" style="105" min="16" max="16"/>
    <col width="14.57642857142857" bestFit="1" customWidth="1" style="105" min="17" max="17"/>
    <col width="14.43357142857143" bestFit="1" customWidth="1" style="105" min="18" max="18"/>
    <col width="14.86214285714286" bestFit="1" customWidth="1" style="105" min="19" max="19"/>
    <col width="14.86214285714286" bestFit="1" customWidth="1" style="105" min="20" max="20"/>
    <col width="14.86214285714286" bestFit="1" customWidth="1" style="105" min="21" max="21"/>
    <col width="14.86214285714286" bestFit="1" customWidth="1" style="105" min="22" max="22"/>
    <col width="14.86214285714286" bestFit="1" customWidth="1" style="105" min="23" max="23"/>
    <col width="9.290714285714287" bestFit="1" customWidth="1" style="132" min="24" max="24"/>
    <col width="14.14785714285714" bestFit="1" customWidth="1" style="13" min="25" max="25"/>
    <col width="14.14785714285714" bestFit="1" customWidth="1" style="13" min="26" max="26"/>
    <col width="14.14785714285714" bestFit="1" customWidth="1" style="13" min="27" max="27"/>
    <col width="4.290714285714285" bestFit="1" customWidth="1" style="13" min="28" max="28"/>
  </cols>
  <sheetData>
    <row r="1" ht="19.5" customHeight="1">
      <c r="A1" s="14" t="inlineStr">
        <is>
          <t>Student Number</t>
        </is>
      </c>
      <c r="B1" s="71" t="inlineStr">
        <is>
          <t>EPHY-1170-1</t>
        </is>
      </c>
      <c r="C1" s="117" t="inlineStr">
        <is>
          <t>EPHY-1170-2</t>
        </is>
      </c>
      <c r="D1" s="118" t="inlineStr">
        <is>
          <t>EPHY-1170-3</t>
        </is>
      </c>
      <c r="E1" s="118" t="inlineStr">
        <is>
          <t>EPHY-1170-4</t>
        </is>
      </c>
      <c r="F1" s="118" t="inlineStr">
        <is>
          <t>EPHY-1170-5</t>
        </is>
      </c>
      <c r="G1" s="118" t="inlineStr">
        <is>
          <t>EPHY-1170-6</t>
        </is>
      </c>
      <c r="H1" s="118" t="inlineStr">
        <is>
          <t>EPHY-1170-7</t>
        </is>
      </c>
      <c r="I1" s="119" t="inlineStr">
        <is>
          <t>EPHY-1170-8</t>
        </is>
      </c>
      <c r="J1" s="108" t="inlineStr">
        <is>
          <t>EPHY-1270-1</t>
        </is>
      </c>
      <c r="K1" s="108" t="inlineStr">
        <is>
          <t>EPHY-1270-2</t>
        </is>
      </c>
      <c r="L1" s="108" t="inlineStr">
        <is>
          <t>EPHY-1270-3</t>
        </is>
      </c>
      <c r="M1" s="108" t="inlineStr">
        <is>
          <t>EPHY-1270-4</t>
        </is>
      </c>
      <c r="N1" s="108" t="inlineStr">
        <is>
          <t>EPHY-1270-5</t>
        </is>
      </c>
      <c r="O1" s="108" t="inlineStr">
        <is>
          <t>EPHY-1270-6</t>
        </is>
      </c>
      <c r="P1" s="108" t="inlineStr">
        <is>
          <t>EPHY-1270-7</t>
        </is>
      </c>
      <c r="Q1" s="108" t="inlineStr">
        <is>
          <t>EPHY-1270-8</t>
        </is>
      </c>
      <c r="R1" s="120" t="inlineStr">
        <is>
          <t>CHEM-1520-1</t>
        </is>
      </c>
      <c r="S1" s="120" t="inlineStr">
        <is>
          <t>CHEM-1520-2</t>
        </is>
      </c>
      <c r="T1" s="120" t="inlineStr">
        <is>
          <t>CHEM-1520-3</t>
        </is>
      </c>
      <c r="U1" s="120" t="inlineStr">
        <is>
          <t>CHEM-1520-4</t>
        </is>
      </c>
      <c r="V1" s="120" t="inlineStr">
        <is>
          <t>CHEM-1520-5</t>
        </is>
      </c>
      <c r="W1" s="120" t="inlineStr">
        <is>
          <t>CHEM-1520-6</t>
        </is>
      </c>
      <c r="X1" s="121">
        <f>COUNTA(B1:W1)</f>
        <v/>
      </c>
      <c r="Y1" s="13" t="n"/>
      <c r="Z1" s="13" t="n"/>
      <c r="AA1" s="13" t="n"/>
      <c r="AB1" s="13" t="n"/>
    </row>
    <row r="2" ht="30" customHeight="1">
      <c r="A2" s="20" t="inlineStr">
        <is>
          <t>Assessment
Tool</t>
        </is>
      </c>
      <c r="B2" s="73" t="inlineStr">
        <is>
          <t>Midterm</t>
        </is>
      </c>
      <c r="C2" s="122" t="inlineStr">
        <is>
          <t>Midterm</t>
        </is>
      </c>
      <c r="D2" s="73" t="inlineStr">
        <is>
          <t>Final Exam</t>
        </is>
      </c>
      <c r="E2" s="73" t="inlineStr">
        <is>
          <t>Final Exam</t>
        </is>
      </c>
      <c r="F2" s="73" t="inlineStr">
        <is>
          <t>Final Exam</t>
        </is>
      </c>
      <c r="G2" s="73" t="inlineStr">
        <is>
          <t>Final Exam</t>
        </is>
      </c>
      <c r="H2" s="73" t="inlineStr">
        <is>
          <t>Final Exam</t>
        </is>
      </c>
      <c r="I2" s="123" t="inlineStr">
        <is>
          <t>Final Exam</t>
        </is>
      </c>
      <c r="J2" s="123" t="inlineStr">
        <is>
          <t>Final Exam</t>
        </is>
      </c>
      <c r="K2" s="123" t="inlineStr">
        <is>
          <t>Midterm</t>
        </is>
      </c>
      <c r="L2" s="123" t="inlineStr">
        <is>
          <t>Lab</t>
        </is>
      </c>
      <c r="M2" s="123" t="inlineStr">
        <is>
          <t>Midterm</t>
        </is>
      </c>
      <c r="N2" s="123" t="inlineStr">
        <is>
          <t>Final Exam</t>
        </is>
      </c>
      <c r="O2" s="123" t="inlineStr">
        <is>
          <t>Lab</t>
        </is>
      </c>
      <c r="P2" s="123" t="inlineStr">
        <is>
          <t>Final Exam</t>
        </is>
      </c>
      <c r="Q2" s="123" t="inlineStr">
        <is>
          <t>Final Exam</t>
        </is>
      </c>
      <c r="R2" s="123" t="inlineStr">
        <is>
          <t xml:space="preserve"> Final Exam</t>
        </is>
      </c>
      <c r="S2" s="123" t="inlineStr">
        <is>
          <t>Final Exam</t>
        </is>
      </c>
      <c r="T2" s="123" t="inlineStr">
        <is>
          <t>Final Exam</t>
        </is>
      </c>
      <c r="U2" s="123" t="inlineStr">
        <is>
          <t>Final Exam</t>
        </is>
      </c>
      <c r="V2" s="123" t="inlineStr">
        <is>
          <t>Final Exam</t>
        </is>
      </c>
      <c r="W2" s="123" t="inlineStr">
        <is>
          <t>Final Exam</t>
        </is>
      </c>
      <c r="X2" s="121">
        <f>COUNTIF(B2:W2, "&lt;&gt;")</f>
        <v/>
      </c>
      <c r="Y2" s="13" t="n"/>
      <c r="Z2" s="13" t="n"/>
      <c r="AA2" s="13" t="n"/>
      <c r="AB2" s="13" t="n"/>
    </row>
    <row r="3" ht="19.5" customHeight="1">
      <c r="A3" s="23" t="n">
        <v>1</v>
      </c>
      <c r="B3" s="24" t="n">
        <v>0.6</v>
      </c>
      <c r="C3" s="24" t="n">
        <v>1</v>
      </c>
      <c r="D3" s="24" t="n">
        <v>0.1</v>
      </c>
      <c r="E3" s="24" t="n">
        <v>1</v>
      </c>
      <c r="F3" s="24" t="n">
        <v>0.9</v>
      </c>
      <c r="G3" s="24" t="n">
        <v>1</v>
      </c>
      <c r="H3" s="24" t="n">
        <v>0.9</v>
      </c>
      <c r="I3" s="24" t="n">
        <v>0.55</v>
      </c>
      <c r="J3" s="24" t="n">
        <v>0.4821428571428572</v>
      </c>
      <c r="K3" s="24" t="n">
        <v>0.625</v>
      </c>
      <c r="L3" s="24" t="n">
        <v>1</v>
      </c>
      <c r="M3" s="24" t="n">
        <v>0.2857142857142857</v>
      </c>
      <c r="N3" s="24" t="n">
        <v>0.25</v>
      </c>
      <c r="O3" s="24" t="n">
        <v>1</v>
      </c>
      <c r="P3" s="24" t="n">
        <v>0.875</v>
      </c>
      <c r="Q3" s="24" t="n">
        <v>0.875</v>
      </c>
      <c r="R3" s="124" t="n">
        <v>0.8333333333333334</v>
      </c>
      <c r="S3" s="124" t="n">
        <v>1</v>
      </c>
      <c r="T3" s="124" t="n">
        <v>0.9166666666666666</v>
      </c>
      <c r="U3" s="124" t="n">
        <v>0.6666666666666666</v>
      </c>
      <c r="V3" s="124" t="n">
        <v>0.08333333333333333</v>
      </c>
      <c r="W3" s="24" t="n">
        <v>0.9166666666666666</v>
      </c>
      <c r="X3" s="25" t="n"/>
      <c r="Y3" s="13" t="n"/>
      <c r="Z3" s="13" t="n"/>
      <c r="AA3" s="13" t="n"/>
      <c r="AB3" s="27" t="inlineStr">
        <is>
          <t>A</t>
        </is>
      </c>
    </row>
    <row r="4" ht="19.5" customHeight="1">
      <c r="A4" s="23" t="n">
        <v>2</v>
      </c>
      <c r="B4" s="24" t="n">
        <v>0.3</v>
      </c>
      <c r="C4" s="24" t="n">
        <v>0.1</v>
      </c>
      <c r="D4" s="24" t="n">
        <v>1</v>
      </c>
      <c r="E4" s="24" t="n">
        <v>0.7</v>
      </c>
      <c r="F4" s="24" t="n">
        <v>0.4</v>
      </c>
      <c r="G4" s="24" t="n">
        <v>0</v>
      </c>
      <c r="H4" s="24" t="n">
        <v>0.4</v>
      </c>
      <c r="I4" s="24" t="n">
        <v>0.35</v>
      </c>
      <c r="J4" s="24" t="n">
        <v>0.625</v>
      </c>
      <c r="K4" s="24" t="n">
        <v>0.6875</v>
      </c>
      <c r="L4" s="24" t="n">
        <v>1</v>
      </c>
      <c r="M4" s="24" t="n">
        <v>1</v>
      </c>
      <c r="N4" s="24" t="n">
        <v>0.95</v>
      </c>
      <c r="O4" s="24" t="n">
        <v>1</v>
      </c>
      <c r="P4" s="24" t="n">
        <v>0.875</v>
      </c>
      <c r="Q4" s="24" t="n">
        <v>1</v>
      </c>
      <c r="R4" s="24" t="n">
        <v>1</v>
      </c>
      <c r="S4" s="24" t="n">
        <v>0.8333333333333334</v>
      </c>
      <c r="T4" s="24" t="n">
        <v>0.6666666666666666</v>
      </c>
      <c r="U4" s="24" t="n">
        <v>0.8333333333333334</v>
      </c>
      <c r="V4" s="24" t="n">
        <v>0.9166666666666666</v>
      </c>
      <c r="W4" s="24" t="n">
        <v>0.8333333333333334</v>
      </c>
      <c r="X4" s="222" t="n"/>
      <c r="Y4" s="13" t="n"/>
      <c r="Z4" s="13" t="n"/>
      <c r="AA4" s="13" t="n"/>
      <c r="AB4" s="27" t="inlineStr">
        <is>
          <t>Q</t>
        </is>
      </c>
    </row>
    <row r="5" ht="19.5" customHeight="1">
      <c r="A5" s="23" t="n">
        <v>3</v>
      </c>
      <c r="B5" s="24" t="n">
        <v>0.7</v>
      </c>
      <c r="C5" s="24" t="n">
        <v>1</v>
      </c>
      <c r="D5" s="24" t="n">
        <v>0.1</v>
      </c>
      <c r="E5" s="24" t="n">
        <v>0</v>
      </c>
      <c r="F5" s="24" t="n">
        <v>0.1</v>
      </c>
      <c r="G5" s="24" t="n">
        <v>0.25</v>
      </c>
      <c r="H5" s="24" t="n">
        <v>0.15</v>
      </c>
      <c r="I5" s="24" t="n">
        <v>0</v>
      </c>
      <c r="J5" s="24" t="n">
        <v>0.9821428571428571</v>
      </c>
      <c r="K5" s="24" t="n">
        <v>1</v>
      </c>
      <c r="L5" s="24" t="n">
        <v>1</v>
      </c>
      <c r="M5" s="24" t="n">
        <v>0.9285714285714286</v>
      </c>
      <c r="N5" s="24" t="n">
        <v>0.85</v>
      </c>
      <c r="O5" s="24" t="n">
        <v>0.9800000000000001</v>
      </c>
      <c r="P5" s="24" t="n">
        <v>0.75</v>
      </c>
      <c r="Q5" s="24" t="n">
        <v>0.75</v>
      </c>
      <c r="R5" s="24" t="n">
        <v>0.8333333333333334</v>
      </c>
      <c r="S5" s="24" t="n">
        <v>0.8333333333333334</v>
      </c>
      <c r="T5" s="24" t="n">
        <v>0.9166666666666666</v>
      </c>
      <c r="U5" s="24" t="n">
        <v>0.5</v>
      </c>
      <c r="V5" s="24" t="n">
        <v>0.6666666666666666</v>
      </c>
      <c r="W5" s="24" t="n">
        <v>1</v>
      </c>
      <c r="X5" s="222" t="n"/>
      <c r="Y5" s="13" t="n"/>
      <c r="Z5" s="13" t="n"/>
      <c r="AA5" s="13" t="n"/>
      <c r="AB5" s="27" t="inlineStr">
        <is>
          <t>M</t>
        </is>
      </c>
    </row>
    <row r="6" ht="19.5" customHeight="1">
      <c r="A6" s="23" t="n">
        <v>4</v>
      </c>
      <c r="B6" s="24" t="n">
        <v>0.6</v>
      </c>
      <c r="C6" s="24" t="n">
        <v>1</v>
      </c>
      <c r="D6" s="24" t="n">
        <v>1</v>
      </c>
      <c r="E6" s="24" t="n">
        <v>1</v>
      </c>
      <c r="F6" s="24" t="n">
        <v>0.15</v>
      </c>
      <c r="G6" s="24" t="n">
        <v>0.3</v>
      </c>
      <c r="H6" s="24" t="n">
        <v>0.6</v>
      </c>
      <c r="I6" s="24" t="n">
        <v>0.6</v>
      </c>
      <c r="J6" s="24" t="n">
        <v>0.8571428571428571</v>
      </c>
      <c r="K6" s="24" t="n">
        <v>0.6875</v>
      </c>
      <c r="L6" s="24" t="n">
        <v>1</v>
      </c>
      <c r="M6" s="24" t="n">
        <v>1</v>
      </c>
      <c r="N6" s="24" t="n">
        <v>0.7</v>
      </c>
      <c r="O6" s="24" t="n">
        <v>1</v>
      </c>
      <c r="P6" s="24" t="n">
        <v>0.6875</v>
      </c>
      <c r="Q6" s="24" t="n">
        <v>0.625</v>
      </c>
      <c r="R6" s="24" t="n">
        <v>0.8333333333333334</v>
      </c>
      <c r="S6" s="24" t="n">
        <v>0.75</v>
      </c>
      <c r="T6" s="24" t="n">
        <v>0.8333333333333334</v>
      </c>
      <c r="U6" s="24" t="n">
        <v>0.8333333333333334</v>
      </c>
      <c r="V6" s="24" t="n">
        <v>0.6666666666666666</v>
      </c>
      <c r="W6" s="24" t="n">
        <v>0.9166666666666666</v>
      </c>
      <c r="X6" s="222" t="n"/>
      <c r="Y6" s="13" t="n"/>
      <c r="Z6" s="13" t="n"/>
      <c r="AA6" s="13" t="n"/>
      <c r="AB6" s="27" t="inlineStr">
        <is>
          <t>F</t>
        </is>
      </c>
    </row>
    <row r="7" ht="19.5" customHeight="1">
      <c r="A7" s="23" t="n">
        <v>5</v>
      </c>
      <c r="B7" s="24" t="n">
        <v>1</v>
      </c>
      <c r="C7" s="24" t="n">
        <v>1</v>
      </c>
      <c r="D7" s="24" t="n">
        <v>0.1</v>
      </c>
      <c r="E7" s="24" t="n">
        <v>0.25</v>
      </c>
      <c r="F7" s="24" t="n">
        <v>0.6</v>
      </c>
      <c r="G7" s="24" t="n">
        <v>0.95</v>
      </c>
      <c r="H7" s="24" t="n">
        <v>0.65</v>
      </c>
      <c r="I7" s="24" t="n">
        <v>0.7</v>
      </c>
      <c r="J7" s="24" t="n">
        <v>0.6785714285714286</v>
      </c>
      <c r="K7" s="24" t="n">
        <v>0.8125</v>
      </c>
      <c r="L7" s="24" t="n">
        <v>1</v>
      </c>
      <c r="M7" s="24" t="n">
        <v>0.8571428571428571</v>
      </c>
      <c r="N7" s="24" t="n">
        <v>0.7</v>
      </c>
      <c r="O7" s="24" t="n">
        <v>0.9800000000000001</v>
      </c>
      <c r="P7" s="24" t="n">
        <v>0.9375</v>
      </c>
      <c r="Q7" s="24" t="n">
        <v>0.5</v>
      </c>
      <c r="R7" s="24" t="n">
        <v>0.5833333333333334</v>
      </c>
      <c r="S7" s="24" t="n">
        <v>0.75</v>
      </c>
      <c r="T7" s="24" t="n">
        <v>0.4166666666666667</v>
      </c>
      <c r="U7" s="24" t="n">
        <v>0.3333333333333333</v>
      </c>
      <c r="V7" s="24" t="n">
        <v>0.08333333333333333</v>
      </c>
      <c r="W7" s="24" t="n">
        <v>0.8333333333333334</v>
      </c>
      <c r="X7" s="222" t="n"/>
      <c r="Y7" s="13" t="n"/>
      <c r="Z7" s="13" t="n"/>
      <c r="AA7" s="13" t="n"/>
      <c r="AB7" s="27" t="inlineStr">
        <is>
          <t>P</t>
        </is>
      </c>
    </row>
    <row r="8" ht="19.5" customHeight="1">
      <c r="A8" s="23" t="n">
        <v>6</v>
      </c>
      <c r="B8" s="24" t="n">
        <v>0.8</v>
      </c>
      <c r="C8" s="24" t="n">
        <v>1</v>
      </c>
      <c r="D8" s="24" t="n">
        <v>1</v>
      </c>
      <c r="E8" s="24" t="n">
        <v>1</v>
      </c>
      <c r="F8" s="24" t="n">
        <v>1</v>
      </c>
      <c r="G8" s="24" t="n">
        <v>1</v>
      </c>
      <c r="H8" s="24" t="n">
        <v>0.9</v>
      </c>
      <c r="I8" s="24" t="n">
        <v>1</v>
      </c>
      <c r="J8" s="24" t="n">
        <v>0.625</v>
      </c>
      <c r="K8" s="24" t="n">
        <v>0.8125</v>
      </c>
      <c r="L8" s="24" t="n">
        <v>1</v>
      </c>
      <c r="M8" s="24" t="n">
        <v>0.5714285714285714</v>
      </c>
      <c r="N8" s="24" t="n">
        <v>0.7</v>
      </c>
      <c r="O8" s="24" t="n">
        <v>0.95</v>
      </c>
      <c r="P8" s="24" t="n">
        <v>0.625</v>
      </c>
      <c r="Q8" s="24" t="n">
        <v>0.25</v>
      </c>
      <c r="R8" s="24" t="n">
        <v>0.9166666666666666</v>
      </c>
      <c r="S8" s="24" t="n">
        <v>0.8333333333333334</v>
      </c>
      <c r="T8" s="24" t="n">
        <v>0.6666666666666666</v>
      </c>
      <c r="U8" s="24" t="n">
        <v>0.6666666666666666</v>
      </c>
      <c r="V8" s="24" t="n">
        <v>0.75</v>
      </c>
      <c r="W8" s="24" t="n">
        <v>1</v>
      </c>
      <c r="X8" s="222" t="n"/>
      <c r="Y8" s="13" t="n"/>
      <c r="Z8" s="13" t="n"/>
      <c r="AA8" s="13" t="n"/>
      <c r="AB8" s="27" t="inlineStr">
        <is>
          <t>L</t>
        </is>
      </c>
    </row>
    <row r="9" ht="19.5" customHeight="1">
      <c r="A9" s="23" t="n">
        <v>7</v>
      </c>
      <c r="B9" s="24" t="n">
        <v>0.8</v>
      </c>
      <c r="C9" s="24" t="n">
        <v>1</v>
      </c>
      <c r="D9" s="24" t="n">
        <v>0.1</v>
      </c>
      <c r="E9" s="24" t="n">
        <v>1</v>
      </c>
      <c r="F9" s="24" t="n">
        <v>0</v>
      </c>
      <c r="G9" s="24" t="n">
        <v>0.8</v>
      </c>
      <c r="H9" s="24" t="n">
        <v>0.7</v>
      </c>
      <c r="I9" s="24" t="n">
        <v>0</v>
      </c>
      <c r="J9" s="24" t="n">
        <v>0.7142857142857143</v>
      </c>
      <c r="K9" s="24" t="n">
        <v>0.625</v>
      </c>
      <c r="L9" s="24" t="n">
        <v>1</v>
      </c>
      <c r="M9" s="24" t="n">
        <v>1</v>
      </c>
      <c r="N9" s="24" t="n">
        <v>0.875</v>
      </c>
      <c r="O9" s="24" t="n">
        <v>0.96</v>
      </c>
      <c r="P9" s="24" t="n">
        <v>0.625</v>
      </c>
      <c r="Q9" s="24" t="n">
        <v>0.875</v>
      </c>
      <c r="R9" s="24" t="n">
        <v>1</v>
      </c>
      <c r="S9" s="24" t="n">
        <v>0.5833333333333334</v>
      </c>
      <c r="T9" s="24" t="n">
        <v>0.1666666666666667</v>
      </c>
      <c r="U9" s="24" t="n">
        <v>0.25</v>
      </c>
      <c r="V9" s="24" t="n">
        <v>0</v>
      </c>
      <c r="W9" s="24" t="n">
        <v>0.75</v>
      </c>
      <c r="X9" s="222" t="n"/>
      <c r="Y9" s="13" t="n"/>
      <c r="Z9" s="13" t="n"/>
      <c r="AA9" s="13" t="n"/>
      <c r="AB9" s="27" t="inlineStr">
        <is>
          <t>OT</t>
        </is>
      </c>
    </row>
    <row r="10" ht="19.5" customHeight="1">
      <c r="A10" s="23" t="n">
        <v>8</v>
      </c>
      <c r="B10" s="24" t="n">
        <v>0.7</v>
      </c>
      <c r="C10" s="24" t="n">
        <v>0.1</v>
      </c>
      <c r="D10" s="24" t="n">
        <v>1</v>
      </c>
      <c r="E10" s="24" t="n">
        <v>0.25</v>
      </c>
      <c r="F10" s="24" t="n">
        <v>0.75</v>
      </c>
      <c r="G10" s="24" t="n">
        <v>0</v>
      </c>
      <c r="H10" s="24" t="n">
        <v>0.35</v>
      </c>
      <c r="I10" s="24" t="n">
        <v>0.35</v>
      </c>
      <c r="J10" s="24" t="n">
        <v>0.9821428571428571</v>
      </c>
      <c r="K10" s="24" t="n">
        <v>0.5625</v>
      </c>
      <c r="L10" s="24" t="n">
        <v>1</v>
      </c>
      <c r="M10" s="24" t="n">
        <v>1</v>
      </c>
      <c r="N10" s="24" t="n">
        <v>0.75</v>
      </c>
      <c r="O10" s="24" t="n">
        <v>0.99</v>
      </c>
      <c r="P10" s="24" t="n">
        <v>0.625</v>
      </c>
      <c r="Q10" s="24" t="n">
        <v>0.625</v>
      </c>
      <c r="R10" s="24" t="n">
        <v>0.9166666666666666</v>
      </c>
      <c r="S10" s="24" t="n">
        <v>0.6666666666666666</v>
      </c>
      <c r="T10" s="24" t="n">
        <v>0.08333333333333333</v>
      </c>
      <c r="U10" s="24" t="n">
        <v>0.3333333333333333</v>
      </c>
      <c r="V10" s="24" t="n">
        <v>0.5</v>
      </c>
      <c r="W10" s="24" t="n">
        <v>0.6666666666666666</v>
      </c>
      <c r="X10" s="222" t="n"/>
      <c r="Y10" s="13" t="n"/>
      <c r="Z10" s="13" t="n"/>
      <c r="AA10" s="13" t="n"/>
      <c r="AB10" s="13" t="n"/>
    </row>
    <row r="11" ht="19.5" customHeight="1">
      <c r="A11" s="23" t="n">
        <v>9</v>
      </c>
      <c r="B11" s="24" t="n">
        <v>0.7</v>
      </c>
      <c r="C11" s="24" t="n">
        <v>0.5</v>
      </c>
      <c r="D11" s="24" t="n">
        <v>0.5</v>
      </c>
      <c r="E11" s="24" t="n">
        <v>0.75</v>
      </c>
      <c r="F11" s="24" t="n">
        <v>0</v>
      </c>
      <c r="G11" s="24" t="n">
        <v>0</v>
      </c>
      <c r="H11" s="24" t="n">
        <v>0.45</v>
      </c>
      <c r="I11" s="24" t="n">
        <v>0.15</v>
      </c>
      <c r="J11" s="24" t="n">
        <v>0.7142857142857143</v>
      </c>
      <c r="K11" s="24" t="n">
        <v>0.875</v>
      </c>
      <c r="L11" s="24" t="n">
        <v>1</v>
      </c>
      <c r="M11" s="24" t="n">
        <v>1</v>
      </c>
      <c r="N11" s="24" t="n">
        <v>0.675</v>
      </c>
      <c r="O11" s="24" t="n">
        <v>0.99</v>
      </c>
      <c r="P11" s="24" t="n">
        <v>1</v>
      </c>
      <c r="Q11" s="24" t="n">
        <v>0.25</v>
      </c>
      <c r="R11" s="24" t="n">
        <v>1</v>
      </c>
      <c r="S11" s="24" t="n">
        <v>0.8333333333333334</v>
      </c>
      <c r="T11" s="24" t="n">
        <v>0.08333333333333333</v>
      </c>
      <c r="U11" s="24" t="n">
        <v>0.6666666666666666</v>
      </c>
      <c r="V11" s="24" t="n">
        <v>0.9166666666666666</v>
      </c>
      <c r="W11" s="24" t="n">
        <v>0.9166666666666666</v>
      </c>
      <c r="X11" s="222" t="n"/>
      <c r="Y11" s="13" t="n"/>
      <c r="Z11" s="13" t="n"/>
      <c r="AA11" s="13" t="n"/>
      <c r="AB11" s="13" t="n"/>
    </row>
    <row r="12" ht="19.5" customHeight="1">
      <c r="A12" s="23" t="n">
        <v>10</v>
      </c>
      <c r="B12" s="24" t="n">
        <v>0.7</v>
      </c>
      <c r="C12" s="24" t="n">
        <v>1</v>
      </c>
      <c r="D12" s="24" t="n">
        <v>1</v>
      </c>
      <c r="E12" s="24" t="n">
        <v>1</v>
      </c>
      <c r="F12" s="24" t="n">
        <v>0.1</v>
      </c>
      <c r="G12" s="24" t="n">
        <v>1</v>
      </c>
      <c r="H12" s="24" t="n">
        <v>0.25</v>
      </c>
      <c r="I12" s="24" t="n">
        <v>0.3</v>
      </c>
      <c r="J12" s="24" t="n">
        <v>0.8035714285714286</v>
      </c>
      <c r="K12" s="24" t="n">
        <v>0.9375</v>
      </c>
      <c r="L12" s="24" t="n">
        <v>1</v>
      </c>
      <c r="M12" s="24" t="n">
        <v>0.8571428571428571</v>
      </c>
      <c r="N12" s="24" t="n">
        <v>0.6</v>
      </c>
      <c r="O12" s="24" t="n">
        <v>1</v>
      </c>
      <c r="P12" s="24" t="n">
        <v>1</v>
      </c>
      <c r="Q12" s="24" t="n">
        <v>1</v>
      </c>
      <c r="R12" s="24" t="n">
        <v>1</v>
      </c>
      <c r="S12" s="24" t="n">
        <v>0.6666666666666666</v>
      </c>
      <c r="T12" s="24" t="n">
        <v>0.25</v>
      </c>
      <c r="U12" s="24" t="n">
        <v>0.8333333333333334</v>
      </c>
      <c r="V12" s="24" t="n">
        <v>0.6666666666666666</v>
      </c>
      <c r="W12" s="24" t="n">
        <v>0.75</v>
      </c>
      <c r="X12" s="222" t="n"/>
      <c r="Y12" s="13" t="n"/>
      <c r="Z12" s="13" t="n"/>
      <c r="AA12" s="13" t="n"/>
      <c r="AB12" s="13" t="n"/>
    </row>
    <row r="13" ht="19.5" customHeight="1">
      <c r="A13" s="23" t="n">
        <v>11</v>
      </c>
      <c r="B13" s="24" t="n">
        <v>0.7</v>
      </c>
      <c r="C13" s="24" t="n">
        <v>0.2</v>
      </c>
      <c r="D13" s="24" t="n">
        <v>0.5</v>
      </c>
      <c r="E13" s="24" t="n">
        <v>1</v>
      </c>
      <c r="F13" s="24" t="n">
        <v>1</v>
      </c>
      <c r="G13" s="24" t="n">
        <v>1</v>
      </c>
      <c r="H13" s="24" t="n">
        <v>0.65</v>
      </c>
      <c r="I13" s="24" t="n">
        <v>0</v>
      </c>
      <c r="J13" s="24" t="n">
        <v>0.7678571428571429</v>
      </c>
      <c r="K13" s="24" t="n">
        <v>0.25</v>
      </c>
      <c r="L13" s="24" t="n">
        <v>1</v>
      </c>
      <c r="M13" s="24" t="n">
        <v>0.1428571428571428</v>
      </c>
      <c r="N13" s="24" t="n">
        <v>0.425</v>
      </c>
      <c r="O13" s="24" t="n">
        <v>0.9800000000000001</v>
      </c>
      <c r="P13" s="24" t="n">
        <v>0.875</v>
      </c>
      <c r="Q13" s="24" t="n">
        <v>1</v>
      </c>
      <c r="R13" s="24" t="n">
        <v>1</v>
      </c>
      <c r="S13" s="24" t="n">
        <v>0.8333333333333334</v>
      </c>
      <c r="T13" s="24" t="n">
        <v>0.75</v>
      </c>
      <c r="U13" s="24" t="n">
        <v>0.8333333333333334</v>
      </c>
      <c r="V13" s="24" t="n">
        <v>0.75</v>
      </c>
      <c r="W13" s="24" t="n">
        <v>0.9166666666666666</v>
      </c>
      <c r="X13" s="222" t="n"/>
      <c r="Y13" s="13" t="n"/>
      <c r="Z13" s="13" t="n"/>
      <c r="AA13" s="13" t="n"/>
      <c r="AB13" s="13" t="n"/>
    </row>
    <row r="14" ht="19.5" customHeight="1">
      <c r="A14" s="23" t="n">
        <v>12</v>
      </c>
      <c r="B14" s="24" t="n">
        <v>1</v>
      </c>
      <c r="C14" s="24" t="n">
        <v>1</v>
      </c>
      <c r="D14" s="24" t="n">
        <v>0.5</v>
      </c>
      <c r="E14" s="24" t="n">
        <v>0.9</v>
      </c>
      <c r="F14" s="24" t="n">
        <v>0</v>
      </c>
      <c r="G14" s="24" t="n">
        <v>0.95</v>
      </c>
      <c r="H14" s="24" t="n">
        <v>0</v>
      </c>
      <c r="I14" s="24" t="n">
        <v>0</v>
      </c>
      <c r="J14" s="24" t="n">
        <v>0.7678571428571429</v>
      </c>
      <c r="K14" s="24" t="n">
        <v>0.75</v>
      </c>
      <c r="L14" s="24" t="n">
        <v>1</v>
      </c>
      <c r="M14" s="24" t="n">
        <v>1</v>
      </c>
      <c r="N14" s="24" t="n">
        <v>0.575</v>
      </c>
      <c r="O14" s="24" t="n">
        <v>1</v>
      </c>
      <c r="P14" s="24" t="n">
        <v>1</v>
      </c>
      <c r="Q14" s="24" t="n">
        <v>1</v>
      </c>
      <c r="R14" s="24" t="n">
        <v>1</v>
      </c>
      <c r="S14" s="24" t="n">
        <v>0.75</v>
      </c>
      <c r="T14" s="24" t="n">
        <v>0.9166666666666666</v>
      </c>
      <c r="U14" s="24" t="n">
        <v>0.75</v>
      </c>
      <c r="V14" s="24" t="n">
        <v>0.9166666666666666</v>
      </c>
      <c r="W14" s="24" t="n">
        <v>0.4166666666666667</v>
      </c>
      <c r="X14" s="222" t="n"/>
      <c r="Y14" s="13" t="n"/>
      <c r="Z14" s="13" t="n"/>
      <c r="AA14" s="13" t="n"/>
      <c r="AB14" s="13" t="n"/>
    </row>
    <row r="15" ht="19.5" customHeight="1">
      <c r="A15" s="23" t="n">
        <v>13</v>
      </c>
      <c r="B15" s="24" t="n">
        <v>1</v>
      </c>
      <c r="C15" s="24" t="n">
        <v>1</v>
      </c>
      <c r="D15" s="24" t="n">
        <v>1</v>
      </c>
      <c r="E15" s="24" t="n">
        <v>0.9</v>
      </c>
      <c r="F15" s="24" t="n">
        <v>0.9</v>
      </c>
      <c r="G15" s="24" t="n">
        <v>1</v>
      </c>
      <c r="H15" s="24" t="n">
        <v>0.9</v>
      </c>
      <c r="I15" s="24" t="n">
        <v>1</v>
      </c>
      <c r="J15" s="24" t="n">
        <v>0.75</v>
      </c>
      <c r="K15" s="24" t="n">
        <v>0.5625</v>
      </c>
      <c r="L15" s="24" t="n">
        <v>0</v>
      </c>
      <c r="M15" s="24" t="n">
        <v>0.2857142857142857</v>
      </c>
      <c r="N15" s="24" t="n">
        <v>0.4</v>
      </c>
      <c r="O15" s="24" t="n">
        <v>1</v>
      </c>
      <c r="P15" s="24" t="n">
        <v>0.625</v>
      </c>
      <c r="Q15" s="24" t="n">
        <v>0.25</v>
      </c>
      <c r="R15" s="24" t="n">
        <v>0.5</v>
      </c>
      <c r="S15" s="24" t="n">
        <v>0.5</v>
      </c>
      <c r="T15" s="24" t="n">
        <v>0</v>
      </c>
      <c r="U15" s="24" t="n">
        <v>0.08333333333333333</v>
      </c>
      <c r="V15" s="24" t="n">
        <v>0.1666666666666667</v>
      </c>
      <c r="W15" s="24" t="n">
        <v>0.75</v>
      </c>
      <c r="X15" s="222" t="n"/>
      <c r="Y15" s="13" t="n"/>
      <c r="Z15" s="13" t="n"/>
      <c r="AA15" s="13" t="n"/>
      <c r="AB15" s="13" t="n"/>
    </row>
    <row r="16" ht="19.5" customHeight="1">
      <c r="A16" s="23" t="n">
        <v>14</v>
      </c>
      <c r="B16" s="24" t="n">
        <v>0.3</v>
      </c>
      <c r="C16" s="24" t="n">
        <v>0.1</v>
      </c>
      <c r="D16" s="24" t="n">
        <v>1</v>
      </c>
      <c r="E16" s="24" t="n">
        <v>0.25</v>
      </c>
      <c r="F16" s="24" t="n">
        <v>1</v>
      </c>
      <c r="G16" s="24" t="n">
        <v>0.35</v>
      </c>
      <c r="H16" s="24" t="n">
        <v>0.75</v>
      </c>
      <c r="I16" s="24" t="n">
        <v>0.25</v>
      </c>
      <c r="J16" s="24" t="n">
        <v>0.6428571428571429</v>
      </c>
      <c r="K16" s="24" t="n">
        <v>0.4375</v>
      </c>
      <c r="L16" s="24" t="n">
        <v>1</v>
      </c>
      <c r="M16" s="24" t="n">
        <v>0.2142857142857143</v>
      </c>
      <c r="N16" s="24" t="n">
        <v>0.75</v>
      </c>
      <c r="O16" s="24" t="n">
        <v>0.9800000000000001</v>
      </c>
      <c r="P16" s="24" t="n">
        <v>0.875</v>
      </c>
      <c r="Q16" s="24" t="n">
        <v>0</v>
      </c>
      <c r="R16" s="24" t="n">
        <v>1</v>
      </c>
      <c r="S16" s="24" t="n">
        <v>0.8333333333333334</v>
      </c>
      <c r="T16" s="24" t="n">
        <v>0.8333333333333334</v>
      </c>
      <c r="U16" s="24" t="n">
        <v>0.8333333333333334</v>
      </c>
      <c r="V16" s="24" t="n">
        <v>0.9166666666666666</v>
      </c>
      <c r="W16" s="24" t="n">
        <v>1</v>
      </c>
      <c r="X16" s="222" t="n"/>
      <c r="Y16" s="13" t="n"/>
      <c r="Z16" s="13" t="n"/>
      <c r="AA16" s="13" t="n"/>
      <c r="AB16" s="13" t="n"/>
    </row>
    <row r="17" ht="19.5" customHeight="1">
      <c r="A17" s="23" t="n">
        <v>15</v>
      </c>
      <c r="B17" s="24" t="n">
        <v>0.8</v>
      </c>
      <c r="C17" s="24" t="n">
        <v>0.2</v>
      </c>
      <c r="D17" s="24" t="n">
        <v>1</v>
      </c>
      <c r="E17" s="24" t="n">
        <v>1</v>
      </c>
      <c r="F17" s="24" t="n">
        <v>1</v>
      </c>
      <c r="G17" s="24" t="n">
        <v>0.7</v>
      </c>
      <c r="H17" s="24" t="n">
        <v>0.6</v>
      </c>
      <c r="I17" s="24" t="n">
        <v>0.35</v>
      </c>
      <c r="J17" s="24" t="n">
        <v>0.8035714285714286</v>
      </c>
      <c r="K17" s="24" t="n">
        <v>0.8125</v>
      </c>
      <c r="L17" s="24" t="n">
        <v>1</v>
      </c>
      <c r="M17" s="24" t="n">
        <v>0.7857142857142857</v>
      </c>
      <c r="N17" s="24" t="n">
        <v>0.8</v>
      </c>
      <c r="O17" s="24" t="n">
        <v>0.95</v>
      </c>
      <c r="P17" s="24" t="n">
        <v>0.75</v>
      </c>
      <c r="Q17" s="24" t="n">
        <v>0.25</v>
      </c>
      <c r="R17" s="24" t="n">
        <v>1</v>
      </c>
      <c r="S17" s="24" t="n">
        <v>0.75</v>
      </c>
      <c r="T17" s="24" t="n">
        <v>0</v>
      </c>
      <c r="U17" s="24" t="n">
        <v>0.8333333333333334</v>
      </c>
      <c r="V17" s="24" t="n">
        <v>0.5833333333333334</v>
      </c>
      <c r="W17" s="24" t="n">
        <v>1</v>
      </c>
      <c r="X17" s="222" t="n"/>
      <c r="Y17" s="13" t="n"/>
      <c r="Z17" s="13" t="n"/>
      <c r="AA17" s="13" t="n"/>
      <c r="AB17" s="13" t="n"/>
    </row>
    <row r="18" ht="19.5" customHeight="1">
      <c r="A18" s="23" t="n">
        <v>16</v>
      </c>
      <c r="B18" s="24" t="n">
        <v>0.7</v>
      </c>
      <c r="C18" s="24" t="n">
        <v>1</v>
      </c>
      <c r="D18" s="24" t="n">
        <v>1</v>
      </c>
      <c r="E18" s="24" t="n">
        <v>0.85</v>
      </c>
      <c r="F18" s="24" t="n">
        <v>0.35</v>
      </c>
      <c r="G18" s="24" t="n">
        <v>0.1</v>
      </c>
      <c r="H18" s="24" t="n">
        <v>0.5</v>
      </c>
      <c r="I18" s="24" t="n">
        <v>0</v>
      </c>
      <c r="J18" s="24" t="n"/>
      <c r="K18" s="24" t="n"/>
      <c r="L18" s="24" t="n"/>
      <c r="M18" s="24" t="n"/>
      <c r="N18" s="24" t="n"/>
      <c r="O18" s="24" t="n"/>
      <c r="P18" s="24" t="n"/>
      <c r="Q18" s="24" t="n"/>
      <c r="R18" s="24" t="n">
        <v>1</v>
      </c>
      <c r="S18" s="24" t="n">
        <v>0.8333333333333334</v>
      </c>
      <c r="T18" s="24" t="n">
        <v>0.75</v>
      </c>
      <c r="U18" s="24" t="n">
        <v>0.75</v>
      </c>
      <c r="V18" s="24" t="n">
        <v>1</v>
      </c>
      <c r="W18" s="24" t="n">
        <v>0.8333333333333334</v>
      </c>
      <c r="X18" s="222" t="n"/>
      <c r="Y18" s="13" t="n"/>
      <c r="Z18" s="13" t="n"/>
      <c r="AA18" s="13" t="n"/>
      <c r="AB18" s="13" t="n"/>
    </row>
    <row r="19" ht="19.5" customHeight="1">
      <c r="A19" s="23" t="n">
        <v>17</v>
      </c>
      <c r="B19" s="24" t="n">
        <v>1</v>
      </c>
      <c r="C19" s="24" t="n">
        <v>1</v>
      </c>
      <c r="D19" s="24" t="n">
        <v>0.1</v>
      </c>
      <c r="E19" s="24" t="n">
        <v>1</v>
      </c>
      <c r="F19" s="24" t="n">
        <v>0.1</v>
      </c>
      <c r="G19" s="24" t="n">
        <v>0.75</v>
      </c>
      <c r="H19" s="24" t="n">
        <v>0.2</v>
      </c>
      <c r="I19" s="24" t="n">
        <v>0</v>
      </c>
      <c r="J19" s="24" t="n"/>
      <c r="K19" s="24" t="n"/>
      <c r="L19" s="24" t="n"/>
      <c r="M19" s="24" t="n"/>
      <c r="N19" s="24" t="n"/>
      <c r="O19" s="24" t="n"/>
      <c r="P19" s="24" t="n"/>
      <c r="Q19" s="24" t="n"/>
      <c r="R19" s="24" t="n">
        <v>0.5833333333333334</v>
      </c>
      <c r="S19" s="24" t="n">
        <v>0.75</v>
      </c>
      <c r="T19" s="24" t="n">
        <v>0.1666666666666667</v>
      </c>
      <c r="U19" s="24" t="n">
        <v>0.6666666666666666</v>
      </c>
      <c r="V19" s="24" t="n">
        <v>0.5</v>
      </c>
      <c r="W19" s="24" t="n">
        <v>0.9166666666666666</v>
      </c>
      <c r="X19" s="222" t="n"/>
      <c r="Y19" s="13" t="n"/>
      <c r="Z19" s="13" t="n"/>
      <c r="AA19" s="13" t="n"/>
      <c r="AB19" s="13" t="n"/>
    </row>
    <row r="20" ht="19.5" customHeight="1">
      <c r="A20" s="23" t="n">
        <v>18</v>
      </c>
      <c r="B20" s="24" t="n">
        <v>1</v>
      </c>
      <c r="C20" s="24" t="n">
        <v>1</v>
      </c>
      <c r="D20" s="24" t="n">
        <v>1</v>
      </c>
      <c r="E20" s="24" t="n">
        <v>0.95</v>
      </c>
      <c r="F20" s="24" t="n">
        <v>0.95</v>
      </c>
      <c r="G20" s="24" t="n">
        <v>0.95</v>
      </c>
      <c r="H20" s="24" t="n">
        <v>0.75</v>
      </c>
      <c r="I20" s="24" t="n">
        <v>0.35</v>
      </c>
      <c r="J20" s="24" t="n"/>
      <c r="K20" s="24" t="n"/>
      <c r="L20" s="24" t="n"/>
      <c r="M20" s="24" t="n"/>
      <c r="N20" s="24" t="n"/>
      <c r="O20" s="24" t="n"/>
      <c r="P20" s="24" t="n"/>
      <c r="Q20" s="24" t="n"/>
      <c r="R20" s="24" t="n"/>
      <c r="S20" s="24" t="n"/>
      <c r="T20" s="24" t="n"/>
      <c r="U20" s="24" t="n"/>
      <c r="V20" s="24" t="n"/>
      <c r="W20" s="24" t="n"/>
      <c r="X20" s="222" t="n"/>
      <c r="Y20" s="13" t="n"/>
      <c r="Z20" s="13" t="n"/>
      <c r="AA20" s="13" t="n"/>
      <c r="AB20" s="13" t="n"/>
    </row>
    <row r="21" ht="19.5" customHeight="1">
      <c r="A21" s="23" t="n">
        <v>19</v>
      </c>
      <c r="B21" s="24" t="n">
        <v>1</v>
      </c>
      <c r="C21" s="24" t="n">
        <v>0.9</v>
      </c>
      <c r="D21" s="24" t="n">
        <v>0.9</v>
      </c>
      <c r="E21" s="24" t="n">
        <v>1</v>
      </c>
      <c r="F21" s="24" t="n">
        <v>0.95</v>
      </c>
      <c r="G21" s="24" t="n">
        <v>1</v>
      </c>
      <c r="H21" s="24" t="n">
        <v>0.9</v>
      </c>
      <c r="I21" s="24" t="n">
        <v>1</v>
      </c>
      <c r="J21" s="24" t="n"/>
      <c r="K21" s="24" t="n"/>
      <c r="L21" s="24" t="n"/>
      <c r="M21" s="24" t="n"/>
      <c r="N21" s="24" t="n"/>
      <c r="O21" s="24" t="n"/>
      <c r="P21" s="24" t="n"/>
      <c r="Q21" s="24" t="n"/>
      <c r="R21" s="24" t="n"/>
      <c r="S21" s="24" t="n"/>
      <c r="T21" s="24" t="n"/>
      <c r="U21" s="24" t="n"/>
      <c r="V21" s="24" t="n"/>
      <c r="W21" s="24" t="n"/>
      <c r="X21" s="222" t="n"/>
      <c r="Y21" s="13" t="n"/>
      <c r="Z21" s="13" t="n"/>
      <c r="AA21" s="13" t="n"/>
      <c r="AB21" s="13" t="n"/>
    </row>
    <row r="22" ht="19.5" customHeight="1">
      <c r="A22" s="110" t="n">
        <v>20</v>
      </c>
      <c r="B22" s="126" t="n"/>
      <c r="C22" s="126" t="n"/>
      <c r="D22" s="126" t="n"/>
      <c r="E22" s="126" t="n"/>
      <c r="F22" s="126" t="n"/>
      <c r="G22" s="126" t="n"/>
      <c r="H22" s="126" t="n"/>
      <c r="I22" s="126" t="n"/>
      <c r="J22" s="126" t="n"/>
      <c r="K22" s="126" t="n"/>
      <c r="L22" s="126" t="n"/>
      <c r="M22" s="126" t="n"/>
      <c r="N22" s="126" t="n"/>
      <c r="O22" s="126" t="n"/>
      <c r="P22" s="126" t="n"/>
      <c r="Q22" s="126" t="n"/>
      <c r="R22" s="126" t="n"/>
      <c r="S22" s="126" t="n"/>
      <c r="T22" s="126" t="n"/>
      <c r="U22" s="126" t="n"/>
      <c r="V22" s="126" t="n"/>
      <c r="W22" s="126" t="n"/>
      <c r="X22" s="222" t="n"/>
      <c r="Y22" s="13" t="n"/>
      <c r="Z22" s="13" t="n"/>
      <c r="AA22" s="13" t="n"/>
      <c r="AB22" s="13" t="n"/>
    </row>
    <row r="23" ht="19.5" customHeight="1">
      <c r="A23" s="110" t="n">
        <v>21</v>
      </c>
      <c r="B23" s="126" t="n"/>
      <c r="C23" s="126" t="n"/>
      <c r="D23" s="126" t="n"/>
      <c r="E23" s="126" t="n"/>
      <c r="F23" s="126" t="n"/>
      <c r="G23" s="126" t="n"/>
      <c r="H23" s="126" t="n"/>
      <c r="I23" s="126" t="n"/>
      <c r="J23" s="126" t="n"/>
      <c r="K23" s="126" t="n"/>
      <c r="L23" s="126" t="n"/>
      <c r="M23" s="126" t="n"/>
      <c r="N23" s="126" t="n"/>
      <c r="O23" s="126" t="n"/>
      <c r="P23" s="126" t="n"/>
      <c r="Q23" s="126" t="n"/>
      <c r="R23" s="126" t="n"/>
      <c r="S23" s="126" t="n"/>
      <c r="T23" s="126" t="n"/>
      <c r="U23" s="126" t="n"/>
      <c r="V23" s="126" t="n"/>
      <c r="W23" s="126" t="n"/>
      <c r="X23" s="222" t="n"/>
      <c r="Y23" s="13" t="n"/>
      <c r="Z23" s="13" t="n"/>
      <c r="AA23" s="13" t="n"/>
      <c r="AB23" s="13" t="n"/>
    </row>
    <row r="24" ht="19.5" customHeight="1">
      <c r="A24" s="23" t="n">
        <v>22</v>
      </c>
      <c r="B24" s="24" t="n"/>
      <c r="C24" s="24" t="n"/>
      <c r="D24" s="24" t="n"/>
      <c r="E24" s="24" t="n"/>
      <c r="F24" s="24" t="n"/>
      <c r="G24" s="24" t="n"/>
      <c r="H24" s="24" t="n"/>
      <c r="I24" s="24" t="n"/>
      <c r="J24" s="24" t="n"/>
      <c r="K24" s="24" t="n"/>
      <c r="L24" s="24" t="n"/>
      <c r="M24" s="24" t="n"/>
      <c r="N24" s="24" t="n"/>
      <c r="O24" s="24" t="n"/>
      <c r="P24" s="24" t="n"/>
      <c r="Q24" s="24" t="n"/>
      <c r="R24" s="24" t="n"/>
      <c r="S24" s="24" t="n"/>
      <c r="T24" s="24" t="n"/>
      <c r="U24" s="24" t="n"/>
      <c r="V24" s="24" t="n"/>
      <c r="W24" s="24" t="n"/>
      <c r="X24" s="222" t="n"/>
      <c r="Y24" s="13" t="n"/>
      <c r="Z24" s="13" t="n"/>
      <c r="AA24" s="13" t="n"/>
      <c r="AB24" s="13" t="n"/>
    </row>
    <row r="25" ht="19.5" customHeight="1">
      <c r="A25" s="23" t="n">
        <v>23</v>
      </c>
      <c r="B25" s="24" t="n"/>
      <c r="C25" s="24" t="n"/>
      <c r="D25" s="24" t="n"/>
      <c r="E25" s="24" t="n"/>
      <c r="F25" s="24" t="n"/>
      <c r="G25" s="24" t="n"/>
      <c r="H25" s="24" t="n"/>
      <c r="I25" s="24" t="n"/>
      <c r="J25" s="24" t="n"/>
      <c r="K25" s="24" t="n"/>
      <c r="L25" s="24" t="n"/>
      <c r="M25" s="24" t="n"/>
      <c r="N25" s="24" t="n"/>
      <c r="O25" s="24" t="n"/>
      <c r="P25" s="24" t="n"/>
      <c r="Q25" s="24" t="n"/>
      <c r="R25" s="24" t="n"/>
      <c r="S25" s="24" t="n"/>
      <c r="T25" s="24" t="n"/>
      <c r="U25" s="24" t="n"/>
      <c r="V25" s="24" t="n"/>
      <c r="W25" s="24" t="n"/>
      <c r="X25" s="222" t="n"/>
      <c r="Y25" s="13" t="n"/>
      <c r="Z25" s="13" t="n"/>
      <c r="AA25" s="13" t="n"/>
      <c r="AB25" s="13" t="n"/>
    </row>
    <row r="26" ht="19.5" customHeight="1">
      <c r="A26" s="23" t="n">
        <v>24</v>
      </c>
      <c r="B26" s="24" t="n"/>
      <c r="C26" s="24" t="n"/>
      <c r="D26" s="24" t="n"/>
      <c r="E26" s="24" t="n"/>
      <c r="F26" s="24" t="n"/>
      <c r="G26" s="24" t="n"/>
      <c r="H26" s="24" t="n"/>
      <c r="I26" s="24" t="n"/>
      <c r="J26" s="24" t="n"/>
      <c r="K26" s="24" t="n"/>
      <c r="L26" s="24" t="n"/>
      <c r="M26" s="24" t="n"/>
      <c r="N26" s="24" t="n"/>
      <c r="O26" s="24" t="n"/>
      <c r="P26" s="24" t="n"/>
      <c r="Q26" s="24" t="n"/>
      <c r="R26" s="24" t="n"/>
      <c r="S26" s="24" t="n"/>
      <c r="T26" s="24" t="n"/>
      <c r="U26" s="24" t="n"/>
      <c r="V26" s="24" t="n"/>
      <c r="W26" s="24" t="n"/>
      <c r="X26" s="222" t="n"/>
      <c r="Y26" s="13" t="n"/>
      <c r="Z26" s="13" t="n"/>
      <c r="AA26" s="13" t="n"/>
      <c r="AB26" s="13" t="n"/>
    </row>
    <row r="27" ht="19.5" customHeight="1">
      <c r="A27" s="23" t="n">
        <v>25</v>
      </c>
      <c r="B27" s="24" t="n"/>
      <c r="C27" s="24" t="n"/>
      <c r="D27" s="24" t="n"/>
      <c r="E27" s="24" t="n"/>
      <c r="F27" s="24" t="n"/>
      <c r="G27" s="24" t="n"/>
      <c r="H27" s="24" t="n"/>
      <c r="I27" s="24" t="n"/>
      <c r="J27" s="24" t="n"/>
      <c r="K27" s="24" t="n"/>
      <c r="L27" s="24" t="n"/>
      <c r="M27" s="24" t="n"/>
      <c r="N27" s="24" t="n"/>
      <c r="O27" s="24" t="n"/>
      <c r="P27" s="24" t="n"/>
      <c r="Q27" s="24" t="n"/>
      <c r="R27" s="24" t="n"/>
      <c r="S27" s="24" t="n"/>
      <c r="T27" s="24" t="n"/>
      <c r="U27" s="24" t="n"/>
      <c r="V27" s="24" t="n"/>
      <c r="W27" s="24" t="n"/>
      <c r="X27" s="222" t="n"/>
      <c r="Y27" s="13" t="n"/>
      <c r="Z27" s="13" t="n"/>
      <c r="AA27" s="13" t="n"/>
      <c r="AB27" s="13" t="n"/>
    </row>
    <row r="28" ht="19.5" customHeight="1">
      <c r="A28" s="110" t="n">
        <v>26</v>
      </c>
      <c r="B28" s="126" t="n"/>
      <c r="C28" s="126" t="n"/>
      <c r="D28" s="126" t="n"/>
      <c r="E28" s="126" t="n"/>
      <c r="F28" s="126" t="n"/>
      <c r="G28" s="126" t="n"/>
      <c r="H28" s="126" t="n"/>
      <c r="I28" s="126" t="n"/>
      <c r="J28" s="126" t="n"/>
      <c r="K28" s="126" t="n"/>
      <c r="L28" s="126" t="n"/>
      <c r="M28" s="126" t="n"/>
      <c r="N28" s="126" t="n"/>
      <c r="O28" s="126" t="n"/>
      <c r="P28" s="126" t="n"/>
      <c r="Q28" s="126" t="n"/>
      <c r="R28" s="126" t="n"/>
      <c r="S28" s="126" t="n"/>
      <c r="T28" s="126" t="n"/>
      <c r="U28" s="126" t="n"/>
      <c r="V28" s="126" t="n"/>
      <c r="W28" s="126" t="n"/>
      <c r="X28" s="222" t="n"/>
      <c r="Y28" s="13" t="n"/>
      <c r="Z28" s="13" t="n"/>
      <c r="AA28" s="13" t="n"/>
      <c r="AB28" s="13" t="n"/>
    </row>
    <row r="29" ht="19.5" customHeight="1">
      <c r="A29" s="110" t="n">
        <v>27</v>
      </c>
      <c r="B29" s="126" t="n"/>
      <c r="C29" s="126" t="n"/>
      <c r="D29" s="126" t="n"/>
      <c r="E29" s="126" t="n"/>
      <c r="F29" s="126" t="n"/>
      <c r="G29" s="126" t="n"/>
      <c r="H29" s="126" t="n"/>
      <c r="I29" s="126" t="n"/>
      <c r="J29" s="126" t="n"/>
      <c r="K29" s="126" t="n"/>
      <c r="L29" s="126" t="n"/>
      <c r="M29" s="126" t="n"/>
      <c r="N29" s="126" t="n"/>
      <c r="O29" s="126" t="n"/>
      <c r="P29" s="126" t="n"/>
      <c r="Q29" s="126" t="n"/>
      <c r="R29" s="126" t="n"/>
      <c r="S29" s="126" t="n"/>
      <c r="T29" s="126" t="n"/>
      <c r="U29" s="126" t="n"/>
      <c r="V29" s="126" t="n"/>
      <c r="W29" s="126" t="n"/>
      <c r="X29" s="222" t="n"/>
      <c r="Y29" s="13" t="n"/>
      <c r="Z29" s="13" t="n"/>
      <c r="AA29" s="13" t="n"/>
      <c r="AB29" s="13" t="n"/>
    </row>
    <row r="30" ht="19.5" customHeight="1">
      <c r="A30" s="23" t="n">
        <v>28</v>
      </c>
      <c r="B30" s="24" t="n"/>
      <c r="C30" s="24" t="n"/>
      <c r="D30" s="24" t="n"/>
      <c r="E30" s="24" t="n"/>
      <c r="F30" s="24" t="n"/>
      <c r="G30" s="24" t="n"/>
      <c r="H30" s="24" t="n"/>
      <c r="I30" s="24" t="n"/>
      <c r="J30" s="24" t="n"/>
      <c r="K30" s="24" t="n"/>
      <c r="L30" s="24" t="n"/>
      <c r="M30" s="24" t="n"/>
      <c r="N30" s="24" t="n"/>
      <c r="O30" s="24" t="n"/>
      <c r="P30" s="24" t="n"/>
      <c r="Q30" s="24" t="n"/>
      <c r="R30" s="24" t="n"/>
      <c r="S30" s="24" t="n"/>
      <c r="T30" s="24" t="n"/>
      <c r="U30" s="24" t="n"/>
      <c r="V30" s="24" t="n"/>
      <c r="W30" s="24" t="n"/>
      <c r="X30" s="222" t="n"/>
      <c r="Y30" s="13" t="n"/>
      <c r="Z30" s="13" t="n"/>
      <c r="AA30" s="13" t="n"/>
      <c r="AB30" s="13" t="n"/>
    </row>
    <row r="31" ht="19.5" customHeight="1">
      <c r="A31" s="23" t="n">
        <v>29</v>
      </c>
      <c r="B31" s="24" t="n"/>
      <c r="C31" s="24" t="n"/>
      <c r="D31" s="24" t="n"/>
      <c r="E31" s="24" t="n"/>
      <c r="F31" s="24" t="n"/>
      <c r="G31" s="24" t="n"/>
      <c r="H31" s="24" t="n"/>
      <c r="I31" s="24" t="n"/>
      <c r="J31" s="24" t="n"/>
      <c r="K31" s="24" t="n"/>
      <c r="L31" s="24" t="n"/>
      <c r="M31" s="24" t="n"/>
      <c r="N31" s="24" t="n"/>
      <c r="O31" s="24" t="n"/>
      <c r="P31" s="24" t="n"/>
      <c r="Q31" s="24" t="n"/>
      <c r="R31" s="24" t="n"/>
      <c r="S31" s="24" t="n"/>
      <c r="T31" s="24" t="n"/>
      <c r="U31" s="24" t="n"/>
      <c r="V31" s="24" t="n"/>
      <c r="W31" s="24" t="n"/>
      <c r="X31" s="222" t="n"/>
      <c r="Y31" s="13" t="n"/>
      <c r="Z31" s="13" t="n"/>
      <c r="AA31" s="13" t="n"/>
      <c r="AB31" s="13" t="n"/>
    </row>
    <row r="32" ht="19.5" customHeight="1">
      <c r="A32" s="23" t="n">
        <v>30</v>
      </c>
      <c r="B32" s="24" t="n"/>
      <c r="C32" s="24" t="n"/>
      <c r="D32" s="24" t="n"/>
      <c r="E32" s="24" t="n"/>
      <c r="F32" s="24" t="n"/>
      <c r="G32" s="24" t="n"/>
      <c r="H32" s="24" t="n"/>
      <c r="I32" s="24" t="n"/>
      <c r="J32" s="24" t="n"/>
      <c r="K32" s="24" t="n"/>
      <c r="L32" s="24" t="n"/>
      <c r="M32" s="24" t="n"/>
      <c r="N32" s="24" t="n"/>
      <c r="O32" s="24" t="n"/>
      <c r="P32" s="24" t="n"/>
      <c r="Q32" s="24" t="n"/>
      <c r="R32" s="24" t="n"/>
      <c r="S32" s="24" t="n"/>
      <c r="T32" s="24" t="n"/>
      <c r="U32" s="24" t="n"/>
      <c r="V32" s="24" t="n"/>
      <c r="W32" s="24" t="n"/>
      <c r="X32" s="222" t="n"/>
      <c r="Y32" s="13" t="n"/>
      <c r="Z32" s="13" t="n"/>
      <c r="AA32" s="13" t="n"/>
      <c r="AB32" s="13" t="n"/>
    </row>
    <row r="33" ht="19.5" customHeight="1">
      <c r="A33" s="23" t="n">
        <v>31</v>
      </c>
      <c r="B33" s="24" t="n"/>
      <c r="C33" s="24" t="n"/>
      <c r="D33" s="24" t="n"/>
      <c r="E33" s="24" t="n"/>
      <c r="F33" s="24" t="n"/>
      <c r="G33" s="24" t="n"/>
      <c r="H33" s="24" t="n"/>
      <c r="I33" s="24" t="n"/>
      <c r="J33" s="24" t="n"/>
      <c r="K33" s="24" t="n"/>
      <c r="L33" s="24" t="n"/>
      <c r="M33" s="24" t="n"/>
      <c r="N33" s="24" t="n"/>
      <c r="O33" s="24" t="n"/>
      <c r="P33" s="24" t="n"/>
      <c r="Q33" s="24" t="n"/>
      <c r="R33" s="24" t="n"/>
      <c r="S33" s="24" t="n"/>
      <c r="T33" s="24" t="n"/>
      <c r="U33" s="24" t="n"/>
      <c r="V33" s="24" t="n"/>
      <c r="W33" s="24" t="n"/>
      <c r="X33" s="222" t="n"/>
      <c r="Y33" s="13" t="n"/>
      <c r="Z33" s="13" t="n"/>
      <c r="AA33" s="13" t="n"/>
      <c r="AB33" s="13" t="n"/>
    </row>
    <row r="34" ht="19.5" customHeight="1">
      <c r="A34" s="23" t="n">
        <v>32</v>
      </c>
      <c r="B34" s="24" t="n"/>
      <c r="C34" s="24" t="n"/>
      <c r="D34" s="24" t="n"/>
      <c r="E34" s="24" t="n"/>
      <c r="F34" s="24" t="n"/>
      <c r="G34" s="24" t="n"/>
      <c r="H34" s="24" t="n"/>
      <c r="I34" s="24" t="n"/>
      <c r="J34" s="24" t="n"/>
      <c r="K34" s="24" t="n"/>
      <c r="L34" s="24" t="n"/>
      <c r="M34" s="24" t="n"/>
      <c r="N34" s="24" t="n"/>
      <c r="O34" s="24" t="n"/>
      <c r="P34" s="24" t="n"/>
      <c r="Q34" s="24" t="n"/>
      <c r="R34" s="24" t="n"/>
      <c r="S34" s="24" t="n"/>
      <c r="T34" s="24" t="n"/>
      <c r="U34" s="24" t="n"/>
      <c r="V34" s="24" t="n"/>
      <c r="W34" s="24" t="n"/>
      <c r="X34" s="222" t="n"/>
      <c r="Y34" s="13" t="n"/>
      <c r="Z34" s="13" t="n"/>
      <c r="AA34" s="13" t="n"/>
      <c r="AB34" s="13" t="n"/>
    </row>
    <row r="35" ht="19.5" customHeight="1">
      <c r="A35" s="110" t="n">
        <v>33</v>
      </c>
      <c r="B35" s="126" t="n"/>
      <c r="C35" s="126" t="n"/>
      <c r="D35" s="126" t="n"/>
      <c r="E35" s="126" t="n"/>
      <c r="F35" s="126" t="n"/>
      <c r="G35" s="126" t="n"/>
      <c r="H35" s="126" t="n"/>
      <c r="I35" s="126" t="n"/>
      <c r="J35" s="126" t="n"/>
      <c r="K35" s="126" t="n"/>
      <c r="L35" s="126" t="n"/>
      <c r="M35" s="126" t="n"/>
      <c r="N35" s="126" t="n"/>
      <c r="O35" s="126" t="n"/>
      <c r="P35" s="126" t="n"/>
      <c r="Q35" s="126" t="n"/>
      <c r="R35" s="126" t="n"/>
      <c r="S35" s="126" t="n"/>
      <c r="T35" s="126" t="n"/>
      <c r="U35" s="126" t="n"/>
      <c r="V35" s="126" t="n"/>
      <c r="W35" s="126" t="n"/>
      <c r="X35" s="222" t="n"/>
      <c r="Y35" s="13" t="n"/>
      <c r="Z35" s="13" t="n"/>
      <c r="AA35" s="13" t="n"/>
      <c r="AB35" s="13" t="n"/>
    </row>
    <row r="36" ht="19.5" customHeight="1">
      <c r="A36" s="110" t="n">
        <v>34</v>
      </c>
      <c r="B36" s="126" t="n"/>
      <c r="C36" s="126" t="n"/>
      <c r="D36" s="126" t="n"/>
      <c r="E36" s="126" t="n"/>
      <c r="F36" s="126" t="n"/>
      <c r="G36" s="126" t="n"/>
      <c r="H36" s="126" t="n"/>
      <c r="I36" s="126" t="n"/>
      <c r="J36" s="126" t="n"/>
      <c r="K36" s="126" t="n"/>
      <c r="L36" s="126" t="n"/>
      <c r="M36" s="126" t="n"/>
      <c r="N36" s="126" t="n"/>
      <c r="O36" s="126" t="n"/>
      <c r="P36" s="126" t="n"/>
      <c r="Q36" s="126" t="n"/>
      <c r="R36" s="126" t="n"/>
      <c r="S36" s="126" t="n"/>
      <c r="T36" s="126" t="n"/>
      <c r="U36" s="126" t="n"/>
      <c r="V36" s="126" t="n"/>
      <c r="W36" s="126" t="n"/>
      <c r="X36" s="222" t="n"/>
      <c r="Y36" s="13" t="n"/>
      <c r="Z36" s="13" t="n"/>
      <c r="AA36" s="13" t="n"/>
      <c r="AB36" s="13" t="n"/>
    </row>
    <row r="37" ht="19.5" customHeight="1">
      <c r="A37" s="23" t="n">
        <v>35</v>
      </c>
      <c r="B37" s="24" t="n"/>
      <c r="C37" s="24" t="n"/>
      <c r="D37" s="24" t="n"/>
      <c r="E37" s="24" t="n"/>
      <c r="F37" s="24" t="n"/>
      <c r="G37" s="24" t="n"/>
      <c r="H37" s="24" t="n"/>
      <c r="I37" s="24" t="n"/>
      <c r="J37" s="24" t="n"/>
      <c r="K37" s="24" t="n"/>
      <c r="L37" s="24" t="n"/>
      <c r="M37" s="24" t="n"/>
      <c r="N37" s="24" t="n"/>
      <c r="O37" s="24" t="n"/>
      <c r="P37" s="24" t="n"/>
      <c r="Q37" s="24" t="n"/>
      <c r="R37" s="24" t="n"/>
      <c r="S37" s="24" t="n"/>
      <c r="T37" s="24" t="n"/>
      <c r="U37" s="24" t="n"/>
      <c r="V37" s="24" t="n"/>
      <c r="W37" s="24" t="n"/>
      <c r="X37" s="222" t="n"/>
      <c r="Y37" s="13" t="n"/>
      <c r="Z37" s="13" t="n"/>
      <c r="AA37" s="13" t="n"/>
      <c r="AB37" s="13" t="n"/>
    </row>
    <row r="38" ht="19.5" customHeight="1">
      <c r="A38" s="23" t="n">
        <v>36</v>
      </c>
      <c r="B38" s="24" t="n"/>
      <c r="C38" s="24" t="n"/>
      <c r="D38" s="24" t="n"/>
      <c r="E38" s="24" t="n"/>
      <c r="F38" s="24" t="n"/>
      <c r="G38" s="24" t="n"/>
      <c r="H38" s="24" t="n"/>
      <c r="I38" s="24" t="n"/>
      <c r="J38" s="24" t="n"/>
      <c r="K38" s="24" t="n"/>
      <c r="L38" s="24" t="n"/>
      <c r="M38" s="24" t="n"/>
      <c r="N38" s="24" t="n"/>
      <c r="O38" s="24" t="n"/>
      <c r="P38" s="24" t="n"/>
      <c r="Q38" s="24" t="n"/>
      <c r="R38" s="24" t="n"/>
      <c r="S38" s="24" t="n"/>
      <c r="T38" s="24" t="n"/>
      <c r="U38" s="24" t="n"/>
      <c r="V38" s="24" t="n"/>
      <c r="W38" s="24" t="n"/>
      <c r="X38" s="222" t="n"/>
      <c r="Y38" s="13" t="n"/>
      <c r="Z38" s="13" t="n"/>
      <c r="AA38" s="13" t="n"/>
      <c r="AB38" s="13" t="n"/>
    </row>
    <row r="39" ht="19.5" customHeight="1">
      <c r="A39" s="23" t="n">
        <v>37</v>
      </c>
      <c r="B39" s="24" t="n"/>
      <c r="C39" s="24" t="n"/>
      <c r="D39" s="24" t="n"/>
      <c r="E39" s="24" t="n"/>
      <c r="F39" s="24" t="n"/>
      <c r="G39" s="24" t="n"/>
      <c r="H39" s="24" t="n"/>
      <c r="I39" s="24" t="n"/>
      <c r="J39" s="24" t="n"/>
      <c r="K39" s="24" t="n"/>
      <c r="L39" s="24" t="n"/>
      <c r="M39" s="24" t="n"/>
      <c r="N39" s="24" t="n"/>
      <c r="O39" s="24" t="n"/>
      <c r="P39" s="24" t="n"/>
      <c r="Q39" s="24" t="n"/>
      <c r="R39" s="24" t="n"/>
      <c r="S39" s="24" t="n"/>
      <c r="T39" s="24" t="n"/>
      <c r="U39" s="24" t="n"/>
      <c r="V39" s="24" t="n"/>
      <c r="W39" s="24" t="n"/>
      <c r="X39" s="222" t="n"/>
      <c r="Y39" s="13" t="n"/>
      <c r="Z39" s="13" t="n"/>
      <c r="AA39" s="13" t="n"/>
      <c r="AB39" s="13" t="n"/>
    </row>
    <row r="40" ht="19.5" customHeight="1">
      <c r="A40" s="23" t="n">
        <v>38</v>
      </c>
      <c r="B40" s="24" t="n"/>
      <c r="C40" s="24" t="n"/>
      <c r="D40" s="24" t="n"/>
      <c r="E40" s="24" t="n"/>
      <c r="F40" s="24" t="n"/>
      <c r="G40" s="24" t="n"/>
      <c r="H40" s="24" t="n"/>
      <c r="I40" s="24" t="n"/>
      <c r="J40" s="24" t="n"/>
      <c r="K40" s="24" t="n"/>
      <c r="L40" s="24" t="n"/>
      <c r="M40" s="24" t="n"/>
      <c r="N40" s="24" t="n"/>
      <c r="O40" s="24" t="n"/>
      <c r="P40" s="24" t="n"/>
      <c r="Q40" s="24" t="n"/>
      <c r="R40" s="24" t="n"/>
      <c r="S40" s="24" t="n"/>
      <c r="T40" s="24" t="n"/>
      <c r="U40" s="24" t="n"/>
      <c r="V40" s="24" t="n"/>
      <c r="W40" s="24" t="n"/>
      <c r="X40" s="222" t="n"/>
      <c r="Y40" s="13" t="n"/>
      <c r="Z40" s="13" t="n"/>
      <c r="AA40" s="13" t="n"/>
      <c r="AB40" s="13" t="n"/>
    </row>
    <row r="41" ht="19.5" customHeight="1">
      <c r="A41" s="110" t="n">
        <v>39</v>
      </c>
      <c r="B41" s="126" t="n"/>
      <c r="C41" s="126" t="n"/>
      <c r="D41" s="126" t="n"/>
      <c r="E41" s="126" t="n"/>
      <c r="F41" s="126" t="n"/>
      <c r="G41" s="126" t="n"/>
      <c r="H41" s="126" t="n"/>
      <c r="I41" s="126" t="n"/>
      <c r="J41" s="126" t="n"/>
      <c r="K41" s="126" t="n"/>
      <c r="L41" s="126" t="n"/>
      <c r="M41" s="126" t="n"/>
      <c r="N41" s="126" t="n"/>
      <c r="O41" s="126" t="n"/>
      <c r="P41" s="126" t="n"/>
      <c r="Q41" s="126" t="n"/>
      <c r="R41" s="126" t="n"/>
      <c r="S41" s="126" t="n"/>
      <c r="T41" s="126" t="n"/>
      <c r="U41" s="126" t="n"/>
      <c r="V41" s="126" t="n"/>
      <c r="W41" s="126" t="n"/>
      <c r="X41" s="222" t="n"/>
      <c r="Y41" s="13" t="n"/>
      <c r="Z41" s="13" t="n"/>
      <c r="AA41" s="13" t="n"/>
      <c r="AB41" s="13" t="n"/>
    </row>
    <row r="42" ht="15.75" customHeight="1">
      <c r="A42" s="110" t="n">
        <v>40</v>
      </c>
      <c r="B42" s="126" t="n"/>
      <c r="C42" s="126" t="n"/>
      <c r="D42" s="126" t="n"/>
      <c r="E42" s="126" t="n"/>
      <c r="F42" s="126" t="n"/>
      <c r="G42" s="126" t="n"/>
      <c r="H42" s="126" t="n"/>
      <c r="I42" s="126" t="n"/>
      <c r="J42" s="126" t="n"/>
      <c r="K42" s="126" t="n"/>
      <c r="L42" s="126" t="n"/>
      <c r="M42" s="126" t="n"/>
      <c r="N42" s="126" t="n"/>
      <c r="O42" s="126" t="n"/>
      <c r="P42" s="126" t="n"/>
      <c r="Q42" s="126" t="n"/>
      <c r="R42" s="126" t="n"/>
      <c r="S42" s="126" t="n"/>
      <c r="T42" s="126" t="n"/>
      <c r="U42" s="126" t="n"/>
      <c r="V42" s="126" t="n"/>
      <c r="W42" s="126" t="n"/>
      <c r="X42" s="223" t="n"/>
      <c r="Y42" s="13" t="n"/>
      <c r="Z42" s="13" t="n"/>
      <c r="AA42" s="13" t="n"/>
      <c r="AB42" s="13" t="n"/>
    </row>
    <row r="43" ht="15.75" customHeight="1">
      <c r="A43" s="74" t="inlineStr">
        <is>
          <t>Average</t>
        </is>
      </c>
      <c r="B43" s="32">
        <f>AVERAGE(B3:B42)</f>
        <v/>
      </c>
      <c r="C43" s="32">
        <f>AVERAGE(C3:C42)</f>
        <v/>
      </c>
      <c r="D43" s="32">
        <f>AVERAGE(D3:D42)</f>
        <v/>
      </c>
      <c r="E43" s="32">
        <f>AVERAGE(E3:E42)</f>
        <v/>
      </c>
      <c r="F43" s="32">
        <f>AVERAGE(F3:F42)</f>
        <v/>
      </c>
      <c r="G43" s="32">
        <f>AVERAGE(G3:G42)</f>
        <v/>
      </c>
      <c r="H43" s="32">
        <f>AVERAGE(H3:H42)</f>
        <v/>
      </c>
      <c r="I43" s="32">
        <f>AVERAGE(I3:I42)</f>
        <v/>
      </c>
      <c r="J43" s="32">
        <f>AVERAGE(J3:J42)</f>
        <v/>
      </c>
      <c r="K43" s="32">
        <f>AVERAGE(K3:K42)</f>
        <v/>
      </c>
      <c r="L43" s="32">
        <f>AVERAGE(L3:L42)</f>
        <v/>
      </c>
      <c r="M43" s="32">
        <f>AVERAGE(M3:M42)</f>
        <v/>
      </c>
      <c r="N43" s="32">
        <f>AVERAGE(N3:N42)</f>
        <v/>
      </c>
      <c r="O43" s="32">
        <f>AVERAGE(O3:O42)</f>
        <v/>
      </c>
      <c r="P43" s="32">
        <f>AVERAGE(P3:P42)</f>
        <v/>
      </c>
      <c r="Q43" s="32">
        <f>AVERAGE(Q3:Q42)</f>
        <v/>
      </c>
      <c r="R43" s="32">
        <f>AVERAGE(R3:R42)</f>
        <v/>
      </c>
      <c r="S43" s="32">
        <f>AVERAGE(S3:S42)</f>
        <v/>
      </c>
      <c r="T43" s="32">
        <f>AVERAGE(T3:T42)</f>
        <v/>
      </c>
      <c r="U43" s="32">
        <f>AVERAGE(U3:U42)</f>
        <v/>
      </c>
      <c r="V43" s="32">
        <f>AVERAGE(V3:V42)</f>
        <v/>
      </c>
      <c r="W43" s="32">
        <f>AVERAGE(W3:W42)</f>
        <v/>
      </c>
      <c r="X43" s="33" t="n"/>
      <c r="Y43" s="13" t="n"/>
      <c r="Z43" s="13" t="n"/>
      <c r="AA43" s="13" t="n"/>
      <c r="AB43" s="13" t="n"/>
    </row>
    <row r="44" ht="19.5" customHeight="1">
      <c r="A44" s="23" t="inlineStr">
        <is>
          <t>Overall Average</t>
        </is>
      </c>
      <c r="B44" s="24">
        <f>AVERAGEIF(B43:W43, "&lt;&gt;#DIV/0!")</f>
        <v/>
      </c>
      <c r="C44" s="24" t="n"/>
      <c r="D44" s="24" t="n"/>
      <c r="E44" s="24" t="n"/>
      <c r="F44" s="24" t="n"/>
      <c r="G44" s="24" t="n"/>
      <c r="H44" s="24" t="n"/>
      <c r="I44" s="24" t="n"/>
      <c r="J44" s="24" t="n"/>
      <c r="K44" s="24" t="n"/>
      <c r="L44" s="24" t="n"/>
      <c r="M44" s="24" t="n"/>
      <c r="N44" s="24" t="n"/>
      <c r="O44" s="24" t="n"/>
      <c r="P44" s="24" t="n"/>
      <c r="Q44" s="24" t="n"/>
      <c r="R44" s="24" t="n"/>
      <c r="S44" s="24" t="n"/>
      <c r="T44" s="24" t="n"/>
      <c r="U44" s="24" t="n"/>
      <c r="V44" s="24" t="n"/>
      <c r="W44" s="24" t="n"/>
      <c r="X44" s="34" t="n"/>
      <c r="Y44" s="13" t="n"/>
      <c r="Z44" s="13" t="n"/>
      <c r="AA44" s="13" t="n"/>
      <c r="AB44" s="13" t="n"/>
    </row>
    <row r="45" ht="19.5" customHeight="1">
      <c r="A45" s="23" t="inlineStr">
        <is>
          <t>Total Students</t>
        </is>
      </c>
      <c r="B45" s="34">
        <f>COUNTIF(B3:B42, "&lt;&gt;")</f>
        <v/>
      </c>
      <c r="C45" s="34">
        <f>COUNTIF(C3:C42, "&lt;&gt;")</f>
        <v/>
      </c>
      <c r="D45" s="34">
        <f>COUNTIF(D3:D42, "&lt;&gt;")</f>
        <v/>
      </c>
      <c r="E45" s="34">
        <f>COUNTIF(E3:E42, "&lt;&gt;")</f>
        <v/>
      </c>
      <c r="F45" s="34">
        <f>COUNTIF(F3:F42, "&lt;&gt;")</f>
        <v/>
      </c>
      <c r="G45" s="34">
        <f>COUNTIF(G3:G42, "&lt;&gt;")</f>
        <v/>
      </c>
      <c r="H45" s="34">
        <f>COUNTIF(H3:H42, "&lt;&gt;")</f>
        <v/>
      </c>
      <c r="I45" s="34">
        <f>COUNTIF(I3:I42, "&lt;&gt;")</f>
        <v/>
      </c>
      <c r="J45" s="34">
        <f>COUNTIF(J3:J42, "&lt;&gt;")</f>
        <v/>
      </c>
      <c r="K45" s="34">
        <f>COUNTIF(K3:K42, "&lt;&gt;")</f>
        <v/>
      </c>
      <c r="L45" s="34">
        <f>COUNTIF(L3:L42, "&lt;&gt;")</f>
        <v/>
      </c>
      <c r="M45" s="34">
        <f>COUNTIF(M3:M42, "&lt;&gt;")</f>
        <v/>
      </c>
      <c r="N45" s="34">
        <f>COUNTIF(N3:N42, "&lt;&gt;")</f>
        <v/>
      </c>
      <c r="O45" s="34">
        <f>COUNTIF(O3:O42, "&lt;&gt;")</f>
        <v/>
      </c>
      <c r="P45" s="34">
        <f>COUNTIF(P3:P42, "&lt;&gt;")</f>
        <v/>
      </c>
      <c r="Q45" s="34">
        <f>COUNTIF(Q3:Q42, "&lt;&gt;")</f>
        <v/>
      </c>
      <c r="R45" s="34">
        <f>COUNTIF(R3:R42, "&lt;&gt;")</f>
        <v/>
      </c>
      <c r="S45" s="34">
        <f>COUNTIF(S3:S42, "&lt;&gt;")</f>
        <v/>
      </c>
      <c r="T45" s="34">
        <f>COUNTIF(T3:T42, "&lt;&gt;")</f>
        <v/>
      </c>
      <c r="U45" s="34">
        <f>COUNTIF(U3:U42, "&lt;&gt;")</f>
        <v/>
      </c>
      <c r="V45" s="34">
        <f>COUNTIF(V3:V42, "&lt;&gt;")</f>
        <v/>
      </c>
      <c r="W45" s="34">
        <f>COUNTIF(W3:W42, "&lt;&gt;")</f>
        <v/>
      </c>
      <c r="X45" s="36" t="n"/>
      <c r="Y45" s="13" t="n"/>
      <c r="Z45" s="13" t="n"/>
      <c r="AA45" s="13" t="n"/>
      <c r="AB45" s="13" t="n"/>
    </row>
    <row r="46" ht="19.5" customHeight="1">
      <c r="A46" s="58" t="n"/>
      <c r="B46" s="76" t="n"/>
      <c r="C46" s="60" t="n"/>
      <c r="D46" s="58" t="n"/>
      <c r="E46" s="58" t="n"/>
      <c r="F46" s="58" t="n"/>
      <c r="G46" s="58" t="n"/>
      <c r="H46" s="58" t="n"/>
      <c r="I46" s="89" t="n"/>
      <c r="J46" s="89" t="n"/>
      <c r="K46" s="89" t="n"/>
      <c r="L46" s="89" t="n"/>
      <c r="M46" s="89" t="n"/>
      <c r="N46" s="89" t="n"/>
      <c r="O46" s="89" t="n"/>
      <c r="P46" s="89" t="n"/>
      <c r="Q46" s="89" t="n"/>
      <c r="R46" s="89" t="n"/>
      <c r="S46" s="89" t="n"/>
      <c r="T46" s="89" t="n"/>
      <c r="U46" s="89" t="n"/>
      <c r="V46" s="89" t="n"/>
      <c r="W46" s="89" t="n"/>
      <c r="X46" s="128" t="n"/>
      <c r="Y46" s="13" t="n"/>
      <c r="Z46" s="13" t="n"/>
      <c r="AA46" s="13" t="n"/>
      <c r="AB46" s="13" t="n"/>
    </row>
    <row r="47" ht="19.5" customHeight="1">
      <c r="A47" s="58" t="n"/>
      <c r="B47" s="112" t="inlineStr">
        <is>
          <t>Assignment (A)</t>
        </is>
      </c>
      <c r="C47" s="22" t="inlineStr">
        <is>
          <t>Quiz (Q)</t>
        </is>
      </c>
      <c r="D47" s="14" t="inlineStr">
        <is>
          <t>Mid Term (M)</t>
        </is>
      </c>
      <c r="E47" s="14" t="inlineStr">
        <is>
          <t>Final Exam (F)</t>
        </is>
      </c>
      <c r="F47" s="14" t="inlineStr">
        <is>
          <t>Project (P)</t>
        </is>
      </c>
      <c r="G47" s="14" t="inlineStr">
        <is>
          <t>Lab (L)</t>
        </is>
      </c>
      <c r="H47" s="14" t="inlineStr">
        <is>
          <t>Anyother (OT)</t>
        </is>
      </c>
      <c r="I47" s="91" t="inlineStr">
        <is>
          <t>Total</t>
        </is>
      </c>
      <c r="J47" s="89" t="n"/>
      <c r="K47" s="89" t="n"/>
      <c r="L47" s="89" t="n"/>
      <c r="M47" s="89" t="n"/>
      <c r="N47" s="89" t="n"/>
      <c r="O47" s="89" t="n"/>
      <c r="P47" s="89" t="n"/>
      <c r="Q47" s="89" t="n"/>
      <c r="R47" s="89" t="n"/>
      <c r="S47" s="89" t="n"/>
      <c r="T47" s="89" t="n"/>
      <c r="U47" s="89" t="n"/>
      <c r="V47" s="89" t="n"/>
      <c r="W47" s="89" t="n"/>
      <c r="X47" s="128" t="n"/>
      <c r="Y47" s="13" t="n"/>
      <c r="Z47" s="13" t="n"/>
      <c r="AA47" s="13" t="n"/>
      <c r="AB47" s="13" t="n"/>
    </row>
    <row r="48" ht="19.5" customHeight="1">
      <c r="A48" s="37" t="inlineStr">
        <is>
          <t>I (1st, 2nd yr)</t>
        </is>
      </c>
      <c r="B48" s="23">
        <f>COUNTIF($B$2:$Q$2,"A")</f>
        <v/>
      </c>
      <c r="C48" s="39">
        <f>COUNTIF($B$2:$Q$2,"Q")</f>
        <v/>
      </c>
      <c r="D48" s="23">
        <f>COUNTIF($B$2:$Q$2,"M")</f>
        <v/>
      </c>
      <c r="E48" s="23">
        <f>COUNTIF($B$2:$Q$2,"F")</f>
        <v/>
      </c>
      <c r="F48" s="23">
        <f>COUNTIF($B$2:$Q$2,"P")</f>
        <v/>
      </c>
      <c r="G48" s="23">
        <f>COUNTIF($B$2:$Q$2,"L")</f>
        <v/>
      </c>
      <c r="H48" s="23">
        <f>COUNTIF($B$2:$Q$2,"OT")</f>
        <v/>
      </c>
      <c r="I48" s="91">
        <f>SUM(B48:H48)</f>
        <v/>
      </c>
      <c r="J48" s="89" t="n"/>
      <c r="K48" s="89" t="n"/>
      <c r="L48" s="89" t="n"/>
      <c r="M48" s="89" t="n"/>
      <c r="N48" s="89" t="n"/>
      <c r="O48" s="89" t="n"/>
      <c r="P48" s="89" t="n"/>
      <c r="Q48" s="89" t="n"/>
      <c r="R48" s="89" t="n"/>
      <c r="S48" s="89" t="n"/>
      <c r="T48" s="89" t="n"/>
      <c r="U48" s="89" t="n"/>
      <c r="V48" s="89" t="n"/>
      <c r="W48" s="89" t="n"/>
      <c r="X48" s="128" t="n"/>
      <c r="Y48" s="13" t="n"/>
      <c r="Z48" s="13" t="n"/>
      <c r="AA48" s="13" t="n"/>
      <c r="AB48" s="13" t="n"/>
    </row>
    <row r="49" ht="19.5" customHeight="1">
      <c r="A49" s="41" t="inlineStr">
        <is>
          <t>D (2nd &amp; 3rd yr)</t>
        </is>
      </c>
      <c r="B49" s="23">
        <f>COUNTIF(R2:W2, "A")</f>
        <v/>
      </c>
      <c r="C49" s="39">
        <f>COUNTIF(R2:W2, "Q")</f>
        <v/>
      </c>
      <c r="D49" s="23">
        <f>COUNTIF(R2:W2, "M")</f>
        <v/>
      </c>
      <c r="E49" s="23">
        <f>COUNTIF(R2:W2, "F")</f>
        <v/>
      </c>
      <c r="F49" s="23">
        <f>COUNTIF(R2:W2, "P")</f>
        <v/>
      </c>
      <c r="G49" s="23">
        <f>COUNTIF(R2:W2, "L")</f>
        <v/>
      </c>
      <c r="H49" s="23">
        <f>COUNTIF(R2:W2, "OT")</f>
        <v/>
      </c>
      <c r="I49" s="91">
        <f>SUM(B49:H49)</f>
        <v/>
      </c>
      <c r="J49" s="89" t="n"/>
      <c r="K49" s="89" t="n"/>
      <c r="L49" s="89" t="n"/>
      <c r="M49" s="89" t="n"/>
      <c r="N49" s="89" t="n"/>
      <c r="O49" s="89" t="n"/>
      <c r="P49" s="89" t="n"/>
      <c r="Q49" s="89" t="n"/>
      <c r="R49" s="89" t="n"/>
      <c r="S49" s="89" t="n"/>
      <c r="T49" s="89" t="n"/>
      <c r="U49" s="89" t="n"/>
      <c r="V49" s="89" t="n"/>
      <c r="W49" s="89" t="n"/>
      <c r="X49" s="128" t="n"/>
      <c r="Y49" s="13" t="n"/>
      <c r="Z49" s="13" t="n"/>
      <c r="AA49" s="13" t="n"/>
      <c r="AB49" s="13" t="n"/>
    </row>
    <row r="50" ht="19.5" customHeight="1">
      <c r="A50" s="42" t="inlineStr">
        <is>
          <t>A (3rd, 4yr)</t>
        </is>
      </c>
      <c r="B50" s="23" t="n">
        <v>0</v>
      </c>
      <c r="C50" s="23" t="n">
        <v>0</v>
      </c>
      <c r="D50" s="23" t="n">
        <v>0</v>
      </c>
      <c r="E50" s="23" t="n">
        <v>0</v>
      </c>
      <c r="F50" s="23" t="n">
        <v>0</v>
      </c>
      <c r="G50" s="23" t="n">
        <v>0</v>
      </c>
      <c r="H50" s="23" t="n">
        <v>0</v>
      </c>
      <c r="I50" s="91">
        <f>SUM(B50:H50)</f>
        <v/>
      </c>
      <c r="J50" s="89" t="n"/>
      <c r="K50" s="89" t="n"/>
      <c r="L50" s="89" t="n"/>
      <c r="M50" s="89" t="n"/>
      <c r="N50" s="89" t="n"/>
      <c r="O50" s="89" t="n"/>
      <c r="P50" s="89" t="n"/>
      <c r="Q50" s="89" t="n"/>
      <c r="R50" s="89" t="n"/>
      <c r="S50" s="89" t="n"/>
      <c r="T50" s="89" t="n"/>
      <c r="U50" s="89" t="n"/>
      <c r="V50" s="89" t="n"/>
      <c r="W50" s="89" t="n"/>
      <c r="X50" s="128" t="n"/>
      <c r="Y50" s="13" t="n"/>
      <c r="Z50" s="13" t="n"/>
      <c r="AA50" s="13" t="n"/>
      <c r="AB50" s="13" t="n"/>
    </row>
    <row r="51" ht="19.5" customHeight="1">
      <c r="A51" s="14" t="inlineStr">
        <is>
          <t>Total</t>
        </is>
      </c>
      <c r="B51" s="14">
        <f>SUM(B48:B50)</f>
        <v/>
      </c>
      <c r="C51" s="22">
        <f>SUM(C48:C50)</f>
        <v/>
      </c>
      <c r="D51" s="14">
        <f>SUM(D48:D50)</f>
        <v/>
      </c>
      <c r="E51" s="14">
        <f>SUM(E48:E50)</f>
        <v/>
      </c>
      <c r="F51" s="14">
        <f>SUM(F48:F50)</f>
        <v/>
      </c>
      <c r="G51" s="14">
        <f>SUM(G48:G50)</f>
        <v/>
      </c>
      <c r="H51" s="14">
        <f>SUM(H48:H50)</f>
        <v/>
      </c>
      <c r="I51" s="91">
        <f>SUM(B51:H51)</f>
        <v/>
      </c>
      <c r="J51" s="89" t="n"/>
      <c r="K51" s="89" t="n"/>
      <c r="L51" s="89" t="n"/>
      <c r="M51" s="89" t="n"/>
      <c r="N51" s="89" t="n"/>
      <c r="O51" s="89" t="n"/>
      <c r="P51" s="89" t="n"/>
      <c r="Q51" s="89" t="n"/>
      <c r="R51" s="89" t="n"/>
      <c r="S51" s="89" t="n"/>
      <c r="T51" s="89" t="n"/>
      <c r="U51" s="89" t="n"/>
      <c r="V51" s="89" t="n"/>
      <c r="W51" s="89" t="n"/>
      <c r="X51" s="128" t="n"/>
      <c r="Y51" s="13" t="n"/>
      <c r="Z51" s="13" t="n"/>
      <c r="AA51" s="13" t="n"/>
      <c r="AB51" s="13" t="n"/>
    </row>
    <row r="52" ht="19.5" customHeight="1">
      <c r="A52" s="58" t="n"/>
      <c r="B52" s="76" t="n"/>
      <c r="C52" s="60" t="n"/>
      <c r="D52" s="58" t="n"/>
      <c r="E52" s="58" t="n"/>
      <c r="F52" s="58" t="n"/>
      <c r="G52" s="58" t="n"/>
      <c r="H52" s="58" t="n"/>
      <c r="I52" s="89" t="n"/>
      <c r="J52" s="89" t="n"/>
      <c r="K52" s="89" t="n"/>
      <c r="L52" s="89" t="n"/>
      <c r="M52" s="89" t="n"/>
      <c r="N52" s="89" t="n"/>
      <c r="O52" s="89" t="n"/>
      <c r="P52" s="89" t="n"/>
      <c r="Q52" s="89" t="n"/>
      <c r="R52" s="89" t="n"/>
      <c r="S52" s="89" t="n"/>
      <c r="T52" s="89" t="n"/>
      <c r="U52" s="89" t="n"/>
      <c r="V52" s="89" t="n"/>
      <c r="W52" s="89" t="n"/>
      <c r="X52" s="128" t="n"/>
      <c r="Y52" s="13" t="n"/>
      <c r="Z52" s="13" t="n"/>
      <c r="AA52" s="13" t="n"/>
      <c r="AB52" s="13" t="n"/>
    </row>
    <row r="53" ht="18.75" customHeight="1">
      <c r="A53" s="115" t="inlineStr">
        <is>
          <t>Frequency Distribution Analysis</t>
        </is>
      </c>
      <c r="B53" s="44" t="n"/>
      <c r="C53" s="44" t="n"/>
      <c r="D53" s="44" t="n"/>
      <c r="E53" s="44" t="n"/>
      <c r="F53" s="44" t="n"/>
      <c r="G53" s="44" t="n"/>
      <c r="H53" s="36" t="n"/>
      <c r="I53" s="36" t="n"/>
      <c r="J53" s="36" t="n"/>
      <c r="K53" s="36" t="n"/>
      <c r="L53" s="36" t="n"/>
      <c r="M53" s="36" t="n"/>
      <c r="N53" s="36" t="n"/>
      <c r="O53" s="36" t="n"/>
      <c r="P53" s="36" t="n"/>
      <c r="Q53" s="36" t="n"/>
      <c r="R53" s="36" t="n"/>
      <c r="S53" s="36" t="n"/>
      <c r="T53" s="36" t="n"/>
      <c r="U53" s="36" t="n"/>
      <c r="V53" s="36" t="n"/>
      <c r="W53" s="36" t="n"/>
      <c r="X53" s="128" t="n"/>
      <c r="Y53" s="13" t="n"/>
      <c r="Z53" s="13" t="n"/>
      <c r="AA53" s="13" t="n"/>
      <c r="AB53" s="13" t="n"/>
    </row>
    <row r="54" ht="16.5" customHeight="1">
      <c r="A54" s="93" t="inlineStr">
        <is>
          <t>Scale</t>
        </is>
      </c>
      <c r="B54" s="71" t="inlineStr">
        <is>
          <t>EPHY-1170-1</t>
        </is>
      </c>
      <c r="C54" s="117" t="inlineStr">
        <is>
          <t>EPHY-1170-2</t>
        </is>
      </c>
      <c r="D54" s="118" t="inlineStr">
        <is>
          <t>EPHY-1170-3</t>
        </is>
      </c>
      <c r="E54" s="118" t="inlineStr">
        <is>
          <t>EPHY-1170-4</t>
        </is>
      </c>
      <c r="F54" s="118" t="inlineStr">
        <is>
          <t>EPHY-1170-5</t>
        </is>
      </c>
      <c r="G54" s="118" t="inlineStr">
        <is>
          <t>EPHY-1170-6</t>
        </is>
      </c>
      <c r="H54" s="118" t="inlineStr">
        <is>
          <t>EPHY-1170-7</t>
        </is>
      </c>
      <c r="I54" s="119" t="inlineStr">
        <is>
          <t>EPHY-1170-8</t>
        </is>
      </c>
      <c r="J54" s="108" t="inlineStr">
        <is>
          <t>EPHY-1270-1</t>
        </is>
      </c>
      <c r="K54" s="108" t="inlineStr">
        <is>
          <t>EPHY-1270-2</t>
        </is>
      </c>
      <c r="L54" s="108" t="inlineStr">
        <is>
          <t>EPHY-1270-3</t>
        </is>
      </c>
      <c r="M54" s="108" t="inlineStr">
        <is>
          <t>EPHY-1270-4</t>
        </is>
      </c>
      <c r="N54" s="108" t="inlineStr">
        <is>
          <t>EPHY-1270-5</t>
        </is>
      </c>
      <c r="O54" s="108" t="inlineStr">
        <is>
          <t>EPHY-1270-6</t>
        </is>
      </c>
      <c r="P54" s="108" t="inlineStr">
        <is>
          <t>EPHY-1270-7</t>
        </is>
      </c>
      <c r="Q54" s="108" t="inlineStr">
        <is>
          <t>EPHY-1270-8</t>
        </is>
      </c>
      <c r="R54" s="120" t="inlineStr">
        <is>
          <t>CHEM-1520-1</t>
        </is>
      </c>
      <c r="S54" s="120" t="inlineStr">
        <is>
          <t>CHEM-1520-2</t>
        </is>
      </c>
      <c r="T54" s="120" t="inlineStr">
        <is>
          <t>CHEM-1520-3</t>
        </is>
      </c>
      <c r="U54" s="120" t="inlineStr">
        <is>
          <t>CHEM-1520-4</t>
        </is>
      </c>
      <c r="V54" s="120" t="inlineStr">
        <is>
          <t>CHEM-1520-5</t>
        </is>
      </c>
      <c r="W54" s="120" t="inlineStr">
        <is>
          <t>CHEM-1520-6</t>
        </is>
      </c>
      <c r="X54" s="129" t="inlineStr">
        <is>
          <t>Average</t>
        </is>
      </c>
      <c r="Y54" s="13" t="n"/>
      <c r="Z54" s="13" t="n"/>
      <c r="AA54" s="13" t="n"/>
      <c r="AB54" s="13" t="n"/>
    </row>
    <row r="55" ht="16.5" customHeight="1">
      <c r="A55" s="95" t="inlineStr">
        <is>
          <t>Below Expectation (C- and below)  (%)</t>
        </is>
      </c>
      <c r="B55" s="48">
        <f>(COUNTIF(B3:B42, "&lt;=59%"))/B45</f>
        <v/>
      </c>
      <c r="C55" s="48">
        <f>(COUNTIF(C3:C42, "&lt;=59%"))/C45</f>
        <v/>
      </c>
      <c r="D55" s="48">
        <f>(COUNTIF(D3:D42, "&lt;=59%"))/D45</f>
        <v/>
      </c>
      <c r="E55" s="48">
        <f>(COUNTIF(E3:E42, "&lt;=59%"))/E45</f>
        <v/>
      </c>
      <c r="F55" s="48">
        <f>(COUNTIF(F3:F42, "&lt;=59%"))/F45</f>
        <v/>
      </c>
      <c r="G55" s="48">
        <f>(COUNTIF(G3:G42, "&lt;=59%"))/G45</f>
        <v/>
      </c>
      <c r="H55" s="48">
        <f>(COUNTIF(H3:H42, "&lt;=59%"))/H45</f>
        <v/>
      </c>
      <c r="I55" s="48">
        <f>(COUNTIF(I3:I42, "&lt;=59%"))/I45</f>
        <v/>
      </c>
      <c r="J55" s="48">
        <f>(COUNTIF(J3:J42, "&lt;=59%"))/J45</f>
        <v/>
      </c>
      <c r="K55" s="48">
        <f>(COUNTIF(K3:K42, "&lt;=59%"))/K45</f>
        <v/>
      </c>
      <c r="L55" s="48">
        <f>(COUNTIF(L3:L42, "&lt;=59%"))/L45</f>
        <v/>
      </c>
      <c r="M55" s="48">
        <f>(COUNTIF(M3:M42, "&lt;=59%"))/M45</f>
        <v/>
      </c>
      <c r="N55" s="48">
        <f>(COUNTIF(N3:N42, "&lt;=59%"))/N45</f>
        <v/>
      </c>
      <c r="O55" s="48">
        <f>(COUNTIF(O3:O42, "&lt;=59%"))/O45</f>
        <v/>
      </c>
      <c r="P55" s="48">
        <f>(COUNTIF(P3:P42, "&lt;=59%"))/P45</f>
        <v/>
      </c>
      <c r="Q55" s="48">
        <f>(COUNTIF(Q3:Q42, "&lt;=59%"))/Q45</f>
        <v/>
      </c>
      <c r="R55" s="48">
        <f>(COUNTIF(R3:R42, "&lt;=59%"))/R45</f>
        <v/>
      </c>
      <c r="S55" s="48">
        <f>(COUNTIF(S3:S42, "&lt;=59%"))/S45</f>
        <v/>
      </c>
      <c r="T55" s="48">
        <f>(COUNTIF(T3:T42, "&lt;=59%"))/T45</f>
        <v/>
      </c>
      <c r="U55" s="48">
        <f>(COUNTIF(U3:U42, "&lt;=59%"))/U45</f>
        <v/>
      </c>
      <c r="V55" s="48">
        <f>(COUNTIF(V3:V42, "&lt;=59%"))/V45</f>
        <v/>
      </c>
      <c r="W55" s="48">
        <f>(COUNTIF(W3:W42, "&lt;=59%"))/W45</f>
        <v/>
      </c>
      <c r="X55" s="49">
        <f>AVERAGEIF(B55:W55, "&lt;&gt;#DIV/0!")</f>
        <v/>
      </c>
      <c r="Y55" s="13" t="n"/>
      <c r="Z55" s="13" t="n"/>
      <c r="AA55" s="13" t="n"/>
      <c r="AB55" s="13" t="n"/>
    </row>
    <row r="56" ht="16.5" customHeight="1">
      <c r="A56" s="96" t="inlineStr">
        <is>
          <t>Marginal (C+, C)  (%)</t>
        </is>
      </c>
      <c r="B56" s="48">
        <f>(COUNTIFS(B3:B42, "&gt;= 60%", B3:B42, "&lt;=69%" ))/B45</f>
        <v/>
      </c>
      <c r="C56" s="48">
        <f>(COUNTIFS(C3:C42, "&gt;= 60%", C3:C42, "&lt;=69%" ))/C45</f>
        <v/>
      </c>
      <c r="D56" s="48">
        <f>(COUNTIFS(D3:D42, "&gt;= 60%", D3:D42, "&lt;=69%" ))/D45</f>
        <v/>
      </c>
      <c r="E56" s="48">
        <f>(COUNTIFS(E3:E42, "&gt;= 60%", E3:E42, "&lt;=69%" ))/E45</f>
        <v/>
      </c>
      <c r="F56" s="48">
        <f>(COUNTIFS(F3:F42, "&gt;= 60%", F3:F42, "&lt;=69%" ))/F45</f>
        <v/>
      </c>
      <c r="G56" s="48">
        <f>(COUNTIFS(G3:G42, "&gt;= 60%", G3:G42, "&lt;=69%" ))/G45</f>
        <v/>
      </c>
      <c r="H56" s="48">
        <f>(COUNTIFS(H3:H42, "&gt;= 60%", H3:H42, "&lt;=69%" ))/H45</f>
        <v/>
      </c>
      <c r="I56" s="48">
        <f>(COUNTIFS(I3:I42, "&gt;= 60%", I3:I42, "&lt;=69%" ))/I45</f>
        <v/>
      </c>
      <c r="J56" s="48">
        <f>(COUNTIFS(J3:J42, "&gt;= 60%", J3:J42, "&lt;=69%" ))/J45</f>
        <v/>
      </c>
      <c r="K56" s="48">
        <f>(COUNTIFS(K3:K42, "&gt;= 60%", K3:K42, "&lt;=69%" ))/K45</f>
        <v/>
      </c>
      <c r="L56" s="48">
        <f>(COUNTIFS(L3:L42, "&gt;= 60%", L3:L42, "&lt;=69%" ))/L45</f>
        <v/>
      </c>
      <c r="M56" s="48">
        <f>(COUNTIFS(M3:M42, "&gt;= 60%", M3:M42, "&lt;=69%" ))/M45</f>
        <v/>
      </c>
      <c r="N56" s="48">
        <f>(COUNTIFS(N3:N42, "&gt;= 60%", N3:N42, "&lt;=69%" ))/N45</f>
        <v/>
      </c>
      <c r="O56" s="48">
        <f>(COUNTIFS(O3:O42, "&gt;= 60%", O3:O42, "&lt;=69%" ))/O45</f>
        <v/>
      </c>
      <c r="P56" s="48">
        <f>(COUNTIFS(P3:P42, "&gt;= 60%", P3:P42, "&lt;=69%" ))/P45</f>
        <v/>
      </c>
      <c r="Q56" s="48">
        <f>(COUNTIFS(Q3:Q42, "&gt;= 60%", Q3:Q42, "&lt;=69%" ))/Q45</f>
        <v/>
      </c>
      <c r="R56" s="48">
        <f>(COUNTIFS(R3:R42, "&gt;= 60%", R3:R42, "&lt;=69%" ))/R45</f>
        <v/>
      </c>
      <c r="S56" s="48">
        <f>(COUNTIFS(S3:S42, "&gt;= 60%", S3:S42, "&lt;=69%" ))/S45</f>
        <v/>
      </c>
      <c r="T56" s="48">
        <f>(COUNTIFS(T3:T42, "&gt;= 60%", T3:T42, "&lt;=69%" ))/T45</f>
        <v/>
      </c>
      <c r="U56" s="48">
        <f>(COUNTIFS(U3:U42, "&gt;= 60%", U3:U42, "&lt;=69%" ))/U45</f>
        <v/>
      </c>
      <c r="V56" s="48">
        <f>(COUNTIFS(V3:V42, "&gt;= 60%", V3:V42, "&lt;=69%" ))/V45</f>
        <v/>
      </c>
      <c r="W56" s="48">
        <f>(COUNTIFS(W3:W42, "&gt;= 60%", W3:W42, "&lt;=69%" ))/W45</f>
        <v/>
      </c>
      <c r="X56" s="49">
        <f>AVERAGEIF(B56:W56, "&lt;&gt;#DIV/0!")</f>
        <v/>
      </c>
      <c r="Y56" s="13" t="n"/>
      <c r="Z56" s="13" t="n"/>
      <c r="AA56" s="13" t="n"/>
      <c r="AB56" s="13" t="n"/>
    </row>
    <row r="57" ht="16.5" customHeight="1">
      <c r="A57" s="97" t="inlineStr">
        <is>
          <t>Meets Expectation (B+, B, B-) (%)</t>
        </is>
      </c>
      <c r="B57" s="48">
        <f>(COUNTIFS(B3:B42, "&gt;= 70%", B3:B42, "&lt;=79%" ))/B45</f>
        <v/>
      </c>
      <c r="C57" s="48">
        <f>(COUNTIFS(C3:C42, "&gt;= 70%", C3:C42, "&lt;=79%" ))/C45</f>
        <v/>
      </c>
      <c r="D57" s="48">
        <f>(COUNTIFS(D3:D42, "&gt;= 70%", D3:D42, "&lt;=79%" ))/D45</f>
        <v/>
      </c>
      <c r="E57" s="48">
        <f>(COUNTIFS(E3:E42, "&gt;= 70%", E3:E42, "&lt;=79%" ))/E45</f>
        <v/>
      </c>
      <c r="F57" s="48">
        <f>(COUNTIFS(F3:F42, "&gt;= 70%", F3:F42, "&lt;=79%" ))/F45</f>
        <v/>
      </c>
      <c r="G57" s="48">
        <f>(COUNTIFS(G3:G42, "&gt;= 70%", G3:G42, "&lt;=79%" ))/G45</f>
        <v/>
      </c>
      <c r="H57" s="48">
        <f>(COUNTIFS(H3:H42, "&gt;= 70%", H3:H42, "&lt;=79%" ))/H45</f>
        <v/>
      </c>
      <c r="I57" s="48">
        <f>(COUNTIFS(I3:I42, "&gt;= 70%", I3:I42, "&lt;=79%" ))/I45</f>
        <v/>
      </c>
      <c r="J57" s="48">
        <f>(COUNTIFS(J3:J42, "&gt;= 70%", J3:J42, "&lt;=79%" ))/J45</f>
        <v/>
      </c>
      <c r="K57" s="48">
        <f>(COUNTIFS(K3:K42, "&gt;= 70%", K3:K42, "&lt;=79%" ))/K45</f>
        <v/>
      </c>
      <c r="L57" s="48">
        <f>(COUNTIFS(L3:L42, "&gt;= 70%", L3:L42, "&lt;=79%" ))/L45</f>
        <v/>
      </c>
      <c r="M57" s="48">
        <f>(COUNTIFS(M3:M42, "&gt;= 70%", M3:M42, "&lt;=79%" ))/M45</f>
        <v/>
      </c>
      <c r="N57" s="48">
        <f>(COUNTIFS(N3:N42, "&gt;= 70%", N3:N42, "&lt;=79%" ))/N45</f>
        <v/>
      </c>
      <c r="O57" s="48">
        <f>(COUNTIFS(O3:O42, "&gt;= 70%", O3:O42, "&lt;=79%" ))/O45</f>
        <v/>
      </c>
      <c r="P57" s="48">
        <f>(COUNTIFS(P3:P42, "&gt;= 70%", P3:P42, "&lt;=79%" ))/P45</f>
        <v/>
      </c>
      <c r="Q57" s="48">
        <f>(COUNTIFS(Q3:Q42, "&gt;= 70%", Q3:Q42, "&lt;=79%" ))/Q45</f>
        <v/>
      </c>
      <c r="R57" s="48">
        <f>(COUNTIFS(R3:R42, "&gt;= 70%", R3:R42, "&lt;=79%" ))/R45</f>
        <v/>
      </c>
      <c r="S57" s="48">
        <f>(COUNTIFS(S3:S42, "&gt;= 70%", S3:S42, "&lt;=79%" ))/S45</f>
        <v/>
      </c>
      <c r="T57" s="48">
        <f>(COUNTIFS(T3:T42, "&gt;= 70%", T3:T42, "&lt;=79%" ))/T45</f>
        <v/>
      </c>
      <c r="U57" s="48">
        <f>(COUNTIFS(U3:U42, "&gt;= 70%", U3:U42, "&lt;=79%" ))/U45</f>
        <v/>
      </c>
      <c r="V57" s="48">
        <f>(COUNTIFS(V3:V42, "&gt;= 70%", V3:V42, "&lt;=79%" ))/V45</f>
        <v/>
      </c>
      <c r="W57" s="48">
        <f>(COUNTIFS(W3:W42, "&gt;= 70%", W3:W42, "&lt;=79%" ))/W45</f>
        <v/>
      </c>
      <c r="X57" s="49">
        <f>AVERAGEIF(B57:W57, "&lt;&gt;#DIV/0!")</f>
        <v/>
      </c>
      <c r="Y57" s="13" t="n"/>
      <c r="Z57" s="13" t="n"/>
      <c r="AA57" s="13" t="n"/>
      <c r="AB57" s="13" t="n"/>
    </row>
    <row r="58" ht="16.5" customHeight="1">
      <c r="A58" s="98" t="inlineStr">
        <is>
          <t>Exceeds Expectation (A+, A, A-) (%)</t>
        </is>
      </c>
      <c r="B58" s="48">
        <f>(COUNTIF(B3:B42,"&gt;= 80%")/B45)</f>
        <v/>
      </c>
      <c r="C58" s="48">
        <f>(COUNTIF(C3:C42,"&gt;= 80%")/C45)</f>
        <v/>
      </c>
      <c r="D58" s="48">
        <f>(COUNTIF(D3:D42,"&gt;= 80%")/D45)</f>
        <v/>
      </c>
      <c r="E58" s="48">
        <f>(COUNTIF(E3:E42,"&gt;= 80%")/E45)</f>
        <v/>
      </c>
      <c r="F58" s="48">
        <f>(COUNTIF(F3:F42,"&gt;= 80%")/F45)</f>
        <v/>
      </c>
      <c r="G58" s="48">
        <f>(COUNTIF(G3:G42,"&gt;= 80%")/G45)</f>
        <v/>
      </c>
      <c r="H58" s="48">
        <f>(COUNTIF(H3:H42,"&gt;= 80%")/H45)</f>
        <v/>
      </c>
      <c r="I58" s="48">
        <f>(COUNTIF(I3:I42,"&gt;= 80%")/I45)</f>
        <v/>
      </c>
      <c r="J58" s="48">
        <f>(COUNTIF(J3:J42,"&gt;= 80%")/J45)</f>
        <v/>
      </c>
      <c r="K58" s="48">
        <f>(COUNTIF(K3:K42,"&gt;= 80%")/K45)</f>
        <v/>
      </c>
      <c r="L58" s="48">
        <f>(COUNTIF(L3:L42,"&gt;= 80%")/L45)</f>
        <v/>
      </c>
      <c r="M58" s="48">
        <f>(COUNTIF(M3:M42,"&gt;= 80%")/M45)</f>
        <v/>
      </c>
      <c r="N58" s="48">
        <f>(COUNTIF(N3:N42,"&gt;= 80%")/N45)</f>
        <v/>
      </c>
      <c r="O58" s="48">
        <f>(COUNTIF(O3:O42,"&gt;= 80%")/O45)</f>
        <v/>
      </c>
      <c r="P58" s="48">
        <f>(COUNTIF(P3:P42,"&gt;= 80%")/P45)</f>
        <v/>
      </c>
      <c r="Q58" s="48">
        <f>(COUNTIF(Q3:Q42,"&gt;= 80%")/Q45)</f>
        <v/>
      </c>
      <c r="R58" s="48">
        <f>(COUNTIF(R3:R42,"&gt;= 80%")/R45)</f>
        <v/>
      </c>
      <c r="S58" s="48">
        <f>(COUNTIF(S3:S42,"&gt;= 80%")/S45)</f>
        <v/>
      </c>
      <c r="T58" s="48">
        <f>(COUNTIF(T3:T42,"&gt;= 80%")/T45)</f>
        <v/>
      </c>
      <c r="U58" s="48">
        <f>(COUNTIF(U3:U42,"&gt;= 80%")/U45)</f>
        <v/>
      </c>
      <c r="V58" s="48">
        <f>(COUNTIF(V3:V42,"&gt;= 80%")/V45)</f>
        <v/>
      </c>
      <c r="W58" s="48">
        <f>(COUNTIF(W3:W42,"&gt;= 80%")/W45)</f>
        <v/>
      </c>
      <c r="X58" s="49">
        <f>AVERAGEIF(B58:W58, "&lt;&gt;#DIV/0!")</f>
        <v/>
      </c>
      <c r="Y58" s="13" t="n"/>
      <c r="Z58" s="13" t="n"/>
      <c r="AA58" s="13" t="n"/>
      <c r="AB58" s="13" t="n"/>
    </row>
    <row r="59" ht="15.75" customHeight="1">
      <c r="A59" s="103" t="n"/>
      <c r="B59" s="55">
        <f>SUMIF(B55:B58, "&lt;&gt;#DIV/0!")</f>
        <v/>
      </c>
      <c r="C59" s="130">
        <f>SUMIF(C55:C58, "&lt;&gt;#DIV/0!")</f>
        <v/>
      </c>
      <c r="D59" s="130">
        <f>SUMIF(D55:D58, "&lt;&gt;#DIV/0!")</f>
        <v/>
      </c>
      <c r="E59" s="130">
        <f>SUMIF(E55:E58, "&lt;&gt;#DIV/0!")</f>
        <v/>
      </c>
      <c r="F59" s="130">
        <f>SUMIF(F55:F58, "&lt;&gt;#DIV/0!")</f>
        <v/>
      </c>
      <c r="G59" s="130">
        <f>SUMIF(G55:G58, "&lt;&gt;#DIV/0!")</f>
        <v/>
      </c>
      <c r="H59" s="130">
        <f>SUMIF(H55:H58, "&lt;&gt;#DIV/0!")</f>
        <v/>
      </c>
      <c r="I59" s="130">
        <f>SUMIF(I55:I58, "&lt;&gt;#DIV/0!")</f>
        <v/>
      </c>
      <c r="J59" s="130">
        <f>SUMIF(J55:J58, "&lt;&gt;#DIV/0!")</f>
        <v/>
      </c>
      <c r="K59" s="130">
        <f>SUMIF(K55:K58, "&lt;&gt;#DIV/0!")</f>
        <v/>
      </c>
      <c r="L59" s="130">
        <f>SUMIF(L55:L58, "&lt;&gt;#DIV/0!")</f>
        <v/>
      </c>
      <c r="M59" s="130">
        <f>SUMIF(M55:M58, "&lt;&gt;#DIV/0!")</f>
        <v/>
      </c>
      <c r="N59" s="130">
        <f>SUMIF(N55:N58, "&lt;&gt;#DIV/0!")</f>
        <v/>
      </c>
      <c r="O59" s="130">
        <f>SUMIF(O55:O58, "&lt;&gt;#DIV/0!")</f>
        <v/>
      </c>
      <c r="P59" s="130">
        <f>SUMIF(P55:P58, "&lt;&gt;#DIV/0!")</f>
        <v/>
      </c>
      <c r="Q59" s="130">
        <f>SUMIF(Q55:Q58, "&lt;&gt;#DIV/0!")</f>
        <v/>
      </c>
      <c r="R59" s="130">
        <f>SUMIF(R55:R58, "&lt;&gt;#DIV/0!")</f>
        <v/>
      </c>
      <c r="S59" s="130">
        <f>SUMIF(S55:S58, "&lt;&gt;#DIV/0!")</f>
        <v/>
      </c>
      <c r="T59" s="130">
        <f>SUMIF(T55:T58, "&lt;&gt;#DIV/0!")</f>
        <v/>
      </c>
      <c r="U59" s="130">
        <f>SUMIF(U55:U58, "&lt;&gt;#DIV/0!")</f>
        <v/>
      </c>
      <c r="V59" s="130">
        <f>SUMIF(V55:V58, "&lt;&gt;#DIV/0!")</f>
        <v/>
      </c>
      <c r="W59" s="130">
        <f>SUMIF(W55:W58, "&lt;&gt;#DIV/0!")</f>
        <v/>
      </c>
      <c r="X59" s="116" t="n"/>
      <c r="Y59" s="13" t="n"/>
      <c r="Z59" s="13" t="n"/>
      <c r="AA59" s="13" t="n"/>
      <c r="AB59" s="13" t="n"/>
    </row>
    <row r="60" ht="15.75" customHeight="1">
      <c r="A60" s="58" t="n"/>
      <c r="B60" s="76" t="n"/>
      <c r="C60" s="60" t="n"/>
      <c r="D60" s="58" t="n"/>
      <c r="E60" s="58" t="n"/>
      <c r="F60" s="58" t="n"/>
      <c r="G60" s="58" t="n"/>
      <c r="H60" s="58" t="n"/>
      <c r="I60" s="89" t="n"/>
      <c r="J60" s="89" t="n"/>
      <c r="K60" s="89" t="n"/>
      <c r="L60" s="89" t="n"/>
      <c r="M60" s="89" t="n"/>
      <c r="N60" s="89" t="n"/>
      <c r="O60" s="89" t="n"/>
      <c r="P60" s="89" t="n"/>
      <c r="Q60" s="89" t="n"/>
      <c r="R60" s="89" t="n"/>
      <c r="S60" s="89" t="n"/>
      <c r="T60" s="89" t="n"/>
      <c r="U60" s="89" t="n"/>
      <c r="V60" s="89" t="n"/>
      <c r="W60" s="89" t="n"/>
      <c r="X60" s="128" t="n"/>
      <c r="Y60" s="13" t="n"/>
      <c r="Z60" s="13" t="n"/>
      <c r="AA60" s="13" t="n"/>
      <c r="AB60" s="13" t="n"/>
    </row>
    <row r="61" ht="15.75" customHeight="1">
      <c r="A61" s="35" t="n"/>
      <c r="B61" s="77" t="inlineStr">
        <is>
          <t>Class Limit</t>
        </is>
      </c>
      <c r="C61" s="62" t="inlineStr">
        <is>
          <t>Bin</t>
        </is>
      </c>
      <c r="D61" s="58" t="n"/>
      <c r="E61" s="58" t="n"/>
      <c r="F61" s="58" t="n"/>
      <c r="G61" s="58" t="n"/>
      <c r="H61" s="58" t="n"/>
      <c r="I61" s="89" t="n"/>
      <c r="J61" s="89" t="n"/>
      <c r="K61" s="89" t="n"/>
      <c r="L61" s="89" t="n"/>
      <c r="M61" s="89" t="n"/>
      <c r="N61" s="89" t="n"/>
      <c r="O61" s="89" t="n"/>
      <c r="P61" s="89" t="n"/>
      <c r="Q61" s="89" t="n"/>
      <c r="R61" s="89" t="n"/>
      <c r="S61" s="89" t="n"/>
      <c r="T61" s="89" t="n"/>
      <c r="U61" s="89" t="n"/>
      <c r="V61" s="89" t="n"/>
      <c r="W61" s="89" t="n"/>
      <c r="X61" s="128" t="n"/>
      <c r="Y61" s="13" t="n"/>
      <c r="Z61" s="13" t="n"/>
      <c r="AA61" s="13" t="n"/>
      <c r="AB61" s="13" t="n"/>
    </row>
    <row r="62" ht="16.5" customHeight="1">
      <c r="A62" s="131" t="inlineStr">
        <is>
          <t>Exceeds Expectation (A+, A, A-) (%)</t>
        </is>
      </c>
      <c r="B62" s="77" t="inlineStr">
        <is>
          <t>80-100</t>
        </is>
      </c>
      <c r="C62" s="62" t="n">
        <v>100</v>
      </c>
      <c r="D62" s="58" t="n"/>
      <c r="E62" s="58" t="n"/>
      <c r="F62" s="58" t="n"/>
      <c r="G62" s="58" t="n"/>
      <c r="H62" s="58" t="n"/>
      <c r="I62" s="89" t="n"/>
      <c r="J62" s="89" t="n"/>
      <c r="K62" s="89" t="n"/>
      <c r="L62" s="89" t="n"/>
      <c r="M62" s="89" t="n"/>
      <c r="N62" s="89" t="n"/>
      <c r="O62" s="89" t="n"/>
      <c r="P62" s="89" t="n"/>
      <c r="Q62" s="89" t="n"/>
      <c r="R62" s="89" t="n"/>
      <c r="S62" s="89" t="n"/>
      <c r="T62" s="89" t="n"/>
      <c r="U62" s="89" t="n"/>
      <c r="V62" s="89" t="n"/>
      <c r="W62" s="89" t="n"/>
      <c r="X62" s="128" t="n"/>
      <c r="Y62" s="13" t="n"/>
      <c r="Z62" s="13" t="n"/>
      <c r="AA62" s="13" t="n"/>
      <c r="AB62" s="13" t="n"/>
    </row>
    <row r="63" ht="16.5" customHeight="1">
      <c r="A63" s="131" t="inlineStr">
        <is>
          <t>Meets Expectation (B+, B, B-) (%)</t>
        </is>
      </c>
      <c r="B63" s="77" t="inlineStr">
        <is>
          <t>70-79</t>
        </is>
      </c>
      <c r="C63" s="62" t="n">
        <v>79</v>
      </c>
      <c r="D63" s="58" t="n"/>
      <c r="E63" s="58" t="n"/>
      <c r="F63" s="58" t="n"/>
      <c r="G63" s="58" t="n"/>
      <c r="H63" s="58" t="n"/>
      <c r="I63" s="89" t="n"/>
      <c r="J63" s="89" t="n"/>
      <c r="K63" s="89" t="n"/>
      <c r="L63" s="89" t="n"/>
      <c r="M63" s="89" t="n"/>
      <c r="N63" s="89" t="n"/>
      <c r="O63" s="89" t="n"/>
      <c r="P63" s="89" t="n"/>
      <c r="Q63" s="89" t="n"/>
      <c r="R63" s="89" t="n"/>
      <c r="S63" s="89" t="n"/>
      <c r="T63" s="89" t="n"/>
      <c r="U63" s="89" t="n"/>
      <c r="V63" s="89" t="n"/>
      <c r="W63" s="89" t="n"/>
      <c r="X63" s="128" t="n"/>
      <c r="Y63" s="13" t="n"/>
      <c r="Z63" s="13" t="n"/>
      <c r="AA63" s="13" t="n"/>
      <c r="AB63" s="13" t="n"/>
    </row>
    <row r="64" ht="16.5" customHeight="1">
      <c r="A64" s="131" t="inlineStr">
        <is>
          <t>Marginal (C+, C)  (%)</t>
        </is>
      </c>
      <c r="B64" s="77" t="inlineStr">
        <is>
          <t>60-69</t>
        </is>
      </c>
      <c r="C64" s="62" t="n">
        <v>69</v>
      </c>
      <c r="D64" s="58" t="n"/>
      <c r="E64" s="58" t="n"/>
      <c r="F64" s="58" t="n"/>
      <c r="G64" s="58" t="n"/>
      <c r="H64" s="58" t="n"/>
      <c r="I64" s="89" t="n"/>
      <c r="J64" s="89" t="n"/>
      <c r="K64" s="89" t="n"/>
      <c r="L64" s="89" t="n"/>
      <c r="M64" s="89" t="n"/>
      <c r="N64" s="89" t="n"/>
      <c r="O64" s="89" t="n"/>
      <c r="P64" s="89" t="n"/>
      <c r="Q64" s="89" t="n"/>
      <c r="R64" s="89" t="n"/>
      <c r="S64" s="89" t="n"/>
      <c r="T64" s="89" t="n"/>
      <c r="U64" s="89" t="n"/>
      <c r="V64" s="89" t="n"/>
      <c r="W64" s="89" t="n"/>
      <c r="X64" s="128" t="n"/>
      <c r="Y64" s="13" t="n"/>
      <c r="Z64" s="13" t="n"/>
      <c r="AA64" s="13" t="n"/>
      <c r="AB64" s="13" t="n"/>
    </row>
    <row r="65" ht="16.5" customHeight="1">
      <c r="A65" s="131" t="inlineStr">
        <is>
          <t>Below Expectation (C- and below)  (%)</t>
        </is>
      </c>
      <c r="B65" s="77" t="inlineStr">
        <is>
          <t>0-59</t>
        </is>
      </c>
      <c r="C65" s="62" t="n">
        <v>59</v>
      </c>
      <c r="D65" s="58" t="n"/>
      <c r="E65" s="58" t="n"/>
      <c r="F65" s="58" t="n"/>
      <c r="G65" s="58" t="n"/>
      <c r="H65" s="58" t="n"/>
      <c r="I65" s="89" t="n"/>
      <c r="J65" s="89" t="n"/>
      <c r="K65" s="89" t="n"/>
      <c r="L65" s="89" t="n"/>
      <c r="M65" s="89" t="n"/>
      <c r="N65" s="89" t="n"/>
      <c r="O65" s="89" t="n"/>
      <c r="P65" s="89" t="n"/>
      <c r="Q65" s="89" t="n"/>
      <c r="R65" s="89" t="n"/>
      <c r="S65" s="89" t="n"/>
      <c r="T65" s="89" t="n"/>
      <c r="U65" s="89" t="n"/>
      <c r="V65" s="89" t="n"/>
      <c r="W65" s="89" t="n"/>
      <c r="X65" s="128" t="n"/>
      <c r="Y65" s="13" t="n"/>
      <c r="Z65" s="13" t="n"/>
      <c r="AA65" s="13" t="n"/>
      <c r="AB65" s="13" t="n"/>
    </row>
  </sheetData>
  <mergeCells count="1">
    <mergeCell ref="X3:X4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/>
    <pageSetUpPr/>
  </sheetPr>
  <dimension ref="A1:AF65"/>
  <sheetViews>
    <sheetView workbookViewId="0">
      <selection activeCell="A1" sqref="A1"/>
    </sheetView>
  </sheetViews>
  <sheetFormatPr baseColWidth="8" defaultRowHeight="15" outlineLevelCol="0"/>
  <cols>
    <col width="43.86214285714286" bestFit="1" customWidth="1" style="64" min="1" max="1"/>
    <col width="14.86214285714286" bestFit="1" customWidth="1" style="78" min="2" max="2"/>
    <col width="13.43357142857143" bestFit="1" customWidth="1" style="66" min="3" max="3"/>
    <col width="13.71928571428571" bestFit="1" customWidth="1" style="79" min="4" max="4"/>
    <col width="13.71928571428571" bestFit="1" customWidth="1" style="79" min="5" max="5"/>
    <col width="13.43357142857143" bestFit="1" customWidth="1" style="79" min="6" max="6"/>
    <col width="13.43357142857143" bestFit="1" customWidth="1" style="79" min="7" max="7"/>
    <col width="14.005" bestFit="1" customWidth="1" style="79" min="8" max="8"/>
    <col width="13.43357142857143" bestFit="1" customWidth="1" style="105" min="9" max="9"/>
    <col width="13.43357142857143" bestFit="1" customWidth="1" style="105" min="10" max="10"/>
    <col width="13.43357142857143" bestFit="1" customWidth="1" style="105" min="11" max="11"/>
    <col width="13.43357142857143" bestFit="1" customWidth="1" style="105" min="12" max="12"/>
    <col width="13.43357142857143" bestFit="1" customWidth="1" style="105" min="13" max="13"/>
    <col width="14.57642857142857" bestFit="1" customWidth="1" style="105" min="14" max="14"/>
    <col width="13.43357142857143" bestFit="1" customWidth="1" style="105" min="15" max="15"/>
    <col width="13.43357142857143" bestFit="1" customWidth="1" style="105" min="16" max="16"/>
    <col width="13.43357142857143" bestFit="1" customWidth="1" style="105" min="17" max="17"/>
    <col width="13.43357142857143" bestFit="1" customWidth="1" style="105" min="18" max="18"/>
    <col width="13.43357142857143" bestFit="1" customWidth="1" style="105" min="19" max="19"/>
    <col width="13.43357142857143" bestFit="1" customWidth="1" style="105" min="20" max="20"/>
    <col width="13.43357142857143" bestFit="1" customWidth="1" style="105" min="21" max="21"/>
    <col width="13.43357142857143" bestFit="1" customWidth="1" style="105" min="22" max="22"/>
    <col width="13.43357142857143" bestFit="1" customWidth="1" style="105" min="23" max="23"/>
    <col width="13.43357142857143" bestFit="1" customWidth="1" style="105" min="24" max="24"/>
    <col width="13.43357142857143" bestFit="1" customWidth="1" style="105" min="25" max="25"/>
    <col width="13.43357142857143" bestFit="1" customWidth="1" style="105" min="26" max="26"/>
    <col width="12.14785714285714" bestFit="1" customWidth="1" style="105" min="27" max="27"/>
    <col width="12.14785714285714" bestFit="1" customWidth="1" style="105" min="28" max="28"/>
    <col width="12.14785714285714" bestFit="1" customWidth="1" style="105" min="29" max="29"/>
    <col width="8.290714285714287" bestFit="1" customWidth="1" style="13" min="30" max="30"/>
    <col width="14.14785714285714" bestFit="1" customWidth="1" style="13" min="31" max="31"/>
    <col width="3.576428571428572" bestFit="1" customWidth="1" style="13" min="32" max="32"/>
  </cols>
  <sheetData>
    <row r="1" ht="19.5" customHeight="1">
      <c r="A1" s="14" t="inlineStr">
        <is>
          <t>Student Number</t>
        </is>
      </c>
      <c r="B1" s="106" t="inlineStr">
        <is>
          <t>MATH-1130-1</t>
        </is>
      </c>
      <c r="C1" s="16" t="inlineStr">
        <is>
          <t>MATH-1130-2</t>
        </is>
      </c>
      <c r="D1" s="72" t="inlineStr">
        <is>
          <t>MATH-1130-3</t>
        </is>
      </c>
      <c r="E1" s="107" t="inlineStr">
        <is>
          <t>MATH-1300-1</t>
        </is>
      </c>
      <c r="F1" s="72" t="inlineStr">
        <is>
          <t>MATH-1300-2</t>
        </is>
      </c>
      <c r="G1" s="72" t="inlineStr">
        <is>
          <t>MATH-1300-3</t>
        </is>
      </c>
      <c r="H1" s="72" t="inlineStr">
        <is>
          <t>MATH-1300-4</t>
        </is>
      </c>
      <c r="I1" s="108" t="inlineStr">
        <is>
          <t>MATH-1300-5</t>
        </is>
      </c>
      <c r="J1" s="108" t="inlineStr">
        <is>
          <t>MATH-1300-6</t>
        </is>
      </c>
      <c r="K1" s="108" t="inlineStr">
        <is>
          <t>MATH-1300-7</t>
        </is>
      </c>
      <c r="L1" s="108" t="inlineStr">
        <is>
          <t>MATH-1300-8</t>
        </is>
      </c>
      <c r="M1" s="108" t="inlineStr">
        <is>
          <t>MATH-1300-9</t>
        </is>
      </c>
      <c r="N1" s="108" t="inlineStr">
        <is>
          <t>MATH-1300-10</t>
        </is>
      </c>
      <c r="O1" s="108" t="inlineStr">
        <is>
          <t>MATH-1700-1</t>
        </is>
      </c>
      <c r="P1" s="108" t="inlineStr">
        <is>
          <t>MATH-1700-2</t>
        </is>
      </c>
      <c r="Q1" s="108" t="inlineStr">
        <is>
          <t>MATH-1700-3</t>
        </is>
      </c>
      <c r="R1" s="108" t="inlineStr">
        <is>
          <t>MATH-1700-4</t>
        </is>
      </c>
      <c r="S1" s="108" t="inlineStr">
        <is>
          <t>MATH-1700-5</t>
        </is>
      </c>
      <c r="T1" s="108" t="inlineStr">
        <is>
          <t>MATH-1700-6</t>
        </is>
      </c>
      <c r="U1" s="108" t="inlineStr">
        <is>
          <t>MATH-1700-7</t>
        </is>
      </c>
      <c r="V1" s="108" t="inlineStr">
        <is>
          <t>MATH-1700-8</t>
        </is>
      </c>
      <c r="W1" s="108" t="inlineStr">
        <is>
          <t>MATH-1230-1</t>
        </is>
      </c>
      <c r="X1" s="108" t="inlineStr">
        <is>
          <t>MATH-1230-2</t>
        </is>
      </c>
      <c r="Y1" s="108" t="inlineStr">
        <is>
          <t>MATH-1230-3</t>
        </is>
      </c>
      <c r="Z1" s="108" t="inlineStr">
        <is>
          <t>MATH-1230-4</t>
        </is>
      </c>
      <c r="AA1" s="108" t="inlineStr">
        <is>
          <t>STAT-2230-1</t>
        </is>
      </c>
      <c r="AB1" s="108" t="inlineStr">
        <is>
          <t>STAT-2230-2</t>
        </is>
      </c>
      <c r="AC1" s="108" t="inlineStr">
        <is>
          <t>STAT-2230-3</t>
        </is>
      </c>
      <c r="AD1" s="19">
        <f>COUNTA(B1:AC1)</f>
        <v/>
      </c>
      <c r="AE1" s="13" t="n"/>
      <c r="AF1" s="13" t="n"/>
    </row>
    <row r="2" ht="30" customHeight="1">
      <c r="A2" s="20" t="inlineStr">
        <is>
          <t>Assessment
Tool</t>
        </is>
      </c>
      <c r="B2" s="109" t="inlineStr">
        <is>
          <t>Quiz</t>
        </is>
      </c>
      <c r="C2" s="87" t="inlineStr">
        <is>
          <t>Quiz</t>
        </is>
      </c>
      <c r="D2" s="109" t="inlineStr">
        <is>
          <t>Quiz</t>
        </is>
      </c>
      <c r="E2" s="109" t="inlineStr">
        <is>
          <t>Other</t>
        </is>
      </c>
      <c r="F2" s="109" t="inlineStr">
        <is>
          <t>Other</t>
        </is>
      </c>
      <c r="G2" s="109" t="inlineStr">
        <is>
          <t>Final Exam</t>
        </is>
      </c>
      <c r="H2" s="109" t="inlineStr">
        <is>
          <t>Other</t>
        </is>
      </c>
      <c r="I2" s="86" t="inlineStr">
        <is>
          <t>Other</t>
        </is>
      </c>
      <c r="J2" s="86" t="inlineStr">
        <is>
          <t>Quiz</t>
        </is>
      </c>
      <c r="K2" s="86" t="inlineStr">
        <is>
          <t>Quiz</t>
        </is>
      </c>
      <c r="L2" s="86" t="inlineStr">
        <is>
          <t>Final Exam</t>
        </is>
      </c>
      <c r="M2" s="86" t="inlineStr">
        <is>
          <t>Final Exam</t>
        </is>
      </c>
      <c r="N2" s="86" t="inlineStr">
        <is>
          <t>Final Exam</t>
        </is>
      </c>
      <c r="O2" s="86" t="inlineStr">
        <is>
          <t>Final Exam</t>
        </is>
      </c>
      <c r="P2" s="86" t="inlineStr">
        <is>
          <t xml:space="preserve">Quiz </t>
        </is>
      </c>
      <c r="Q2" s="86" t="inlineStr">
        <is>
          <t>Midterm</t>
        </is>
      </c>
      <c r="R2" s="86" t="inlineStr">
        <is>
          <t>Final Exam</t>
        </is>
      </c>
      <c r="S2" s="86" t="inlineStr">
        <is>
          <t>Final Exam</t>
        </is>
      </c>
      <c r="T2" s="86" t="inlineStr">
        <is>
          <t>Final Exam</t>
        </is>
      </c>
      <c r="U2" s="86" t="inlineStr">
        <is>
          <t xml:space="preserve">Quiz </t>
        </is>
      </c>
      <c r="V2" s="86" t="inlineStr">
        <is>
          <t>Final Exam</t>
        </is>
      </c>
      <c r="W2" s="86" t="inlineStr">
        <is>
          <t>Other</t>
        </is>
      </c>
      <c r="X2" s="86" t="inlineStr">
        <is>
          <t>Quiz</t>
        </is>
      </c>
      <c r="Y2" s="86" t="inlineStr">
        <is>
          <t>Quiz</t>
        </is>
      </c>
      <c r="Z2" s="86" t="inlineStr">
        <is>
          <t>Quiz</t>
        </is>
      </c>
      <c r="AA2" s="86" t="inlineStr">
        <is>
          <t>Assignment</t>
        </is>
      </c>
      <c r="AB2" s="86" t="inlineStr">
        <is>
          <t>Midterm</t>
        </is>
      </c>
      <c r="AC2" s="86" t="inlineStr">
        <is>
          <t>Final Exam</t>
        </is>
      </c>
      <c r="AD2" s="19">
        <f>COUNTIF(B2:AC2, "&lt;&gt;")</f>
        <v/>
      </c>
      <c r="AE2" s="13" t="n"/>
      <c r="AF2" s="13" t="n"/>
    </row>
    <row r="3" ht="19.5" customHeight="1">
      <c r="A3" s="23" t="n">
        <v>1</v>
      </c>
      <c r="B3" s="24" t="n">
        <v>1</v>
      </c>
      <c r="C3" s="24" t="n">
        <v>1</v>
      </c>
      <c r="D3" s="24" t="n">
        <v>0.75</v>
      </c>
      <c r="E3" s="24" t="n">
        <v>0.8333333333333334</v>
      </c>
      <c r="F3" s="24" t="n">
        <v>1</v>
      </c>
      <c r="G3" s="24" t="n">
        <v>1</v>
      </c>
      <c r="H3" s="24" t="n">
        <v>0.8333333333333334</v>
      </c>
      <c r="I3" s="24" t="n">
        <v>1</v>
      </c>
      <c r="J3" s="24" t="n">
        <v>0.5</v>
      </c>
      <c r="K3" s="24" t="n">
        <v>0.8</v>
      </c>
      <c r="L3" s="24" t="n">
        <v>0.8333333333333334</v>
      </c>
      <c r="M3" s="24" t="n">
        <v>1</v>
      </c>
      <c r="N3" s="24" t="n">
        <v>0.875</v>
      </c>
      <c r="O3" s="24" t="n">
        <v>0.6</v>
      </c>
      <c r="P3" s="24" t="n">
        <v>0.25</v>
      </c>
      <c r="Q3" s="24" t="n">
        <v>0.3333333333333333</v>
      </c>
      <c r="R3" s="24" t="n">
        <v>0</v>
      </c>
      <c r="S3" s="24" t="n">
        <v>0</v>
      </c>
      <c r="T3" s="24" t="n">
        <v>0.6666666666666666</v>
      </c>
      <c r="U3" s="24" t="n">
        <v>0.6666666666666666</v>
      </c>
      <c r="V3" s="24" t="n">
        <v>0.6666666666666666</v>
      </c>
      <c r="W3" s="24" t="n">
        <v>0.5</v>
      </c>
      <c r="X3" s="24" t="n">
        <v>0.6666666666666666</v>
      </c>
      <c r="Y3" s="24" t="n">
        <v>0.7777777777777778</v>
      </c>
      <c r="Z3" s="24" t="n">
        <v>0.8</v>
      </c>
      <c r="AA3" s="24" t="n">
        <v>0.9565217391304348</v>
      </c>
      <c r="AB3" s="24" t="n">
        <v>0.4375</v>
      </c>
      <c r="AC3" s="24" t="n">
        <v>0.6666666666666666</v>
      </c>
      <c r="AD3" s="25" t="n"/>
      <c r="AE3" s="13" t="n"/>
      <c r="AF3" s="13" t="n"/>
    </row>
    <row r="4" ht="19.5" customHeight="1">
      <c r="A4" s="23" t="n">
        <v>2</v>
      </c>
      <c r="B4" s="24" t="n">
        <v>1</v>
      </c>
      <c r="C4" s="24" t="n">
        <v>1</v>
      </c>
      <c r="D4" s="24" t="n">
        <v>0.875</v>
      </c>
      <c r="E4" s="24" t="n">
        <v>0.3333333333333333</v>
      </c>
      <c r="F4" s="24" t="n">
        <v>0.6</v>
      </c>
      <c r="G4" s="24" t="n">
        <v>0.4285714285714285</v>
      </c>
      <c r="H4" s="24" t="n">
        <v>0.6666666666666666</v>
      </c>
      <c r="I4" s="24" t="n">
        <v>0.8</v>
      </c>
      <c r="J4" s="24" t="n">
        <v>0.4</v>
      </c>
      <c r="K4" s="24" t="n">
        <v>0.4</v>
      </c>
      <c r="L4" s="24" t="n">
        <v>0.3333333333333333</v>
      </c>
      <c r="M4" s="24" t="n">
        <v>0.5</v>
      </c>
      <c r="N4" s="24" t="n">
        <v>0.625</v>
      </c>
      <c r="O4" s="24" t="n">
        <v>1</v>
      </c>
      <c r="P4" s="24" t="n">
        <v>0.75</v>
      </c>
      <c r="Q4" s="24" t="n">
        <v>1</v>
      </c>
      <c r="R4" s="24" t="n">
        <v>1</v>
      </c>
      <c r="S4" s="24" t="n">
        <v>1</v>
      </c>
      <c r="T4" s="24" t="n">
        <v>1</v>
      </c>
      <c r="U4" s="24" t="n">
        <v>0.6666666666666666</v>
      </c>
      <c r="V4" s="24" t="n">
        <v>1</v>
      </c>
      <c r="W4" s="24" t="n">
        <v>0.75</v>
      </c>
      <c r="X4" s="24" t="n">
        <v>0.8333333333333334</v>
      </c>
      <c r="Y4" s="24" t="n">
        <v>0.7777777777777778</v>
      </c>
      <c r="Z4" s="24" t="n">
        <v>1</v>
      </c>
      <c r="AA4" s="24" t="n">
        <v>0.9021739130434783</v>
      </c>
      <c r="AB4" s="24" t="n">
        <v>0.375</v>
      </c>
      <c r="AC4" s="24" t="n">
        <v>0.6666666666666666</v>
      </c>
      <c r="AD4" s="222" t="n"/>
      <c r="AE4" s="13" t="n"/>
      <c r="AF4" s="13" t="n"/>
    </row>
    <row r="5" ht="19.5" customHeight="1">
      <c r="A5" s="23" t="n">
        <v>3</v>
      </c>
      <c r="B5" s="24" t="n">
        <v>0</v>
      </c>
      <c r="C5" s="24" t="n">
        <v>0</v>
      </c>
      <c r="D5" s="24" t="n">
        <v>0</v>
      </c>
      <c r="E5" s="24" t="n">
        <v>1</v>
      </c>
      <c r="F5" s="24" t="n">
        <v>1</v>
      </c>
      <c r="G5" s="24" t="n">
        <v>0.7142857142857143</v>
      </c>
      <c r="H5" s="24" t="n">
        <v>0.6666666666666666</v>
      </c>
      <c r="I5" s="24" t="n">
        <v>0.6</v>
      </c>
      <c r="J5" s="24" t="n">
        <v>0</v>
      </c>
      <c r="K5" s="24" t="n">
        <v>1</v>
      </c>
      <c r="L5" s="24" t="n">
        <v>0.8333333333333334</v>
      </c>
      <c r="M5" s="24" t="n">
        <v>0.75</v>
      </c>
      <c r="N5" s="24" t="n">
        <v>1</v>
      </c>
      <c r="O5" s="24" t="n">
        <v>0.4</v>
      </c>
      <c r="P5" s="24" t="n">
        <v>0.25</v>
      </c>
      <c r="Q5" s="24" t="n">
        <v>1</v>
      </c>
      <c r="R5" s="24" t="n">
        <v>0.25</v>
      </c>
      <c r="S5" s="24" t="n">
        <v>0.3333333333333333</v>
      </c>
      <c r="T5" s="24" t="n">
        <v>0.6666666666666666</v>
      </c>
      <c r="U5" s="24" t="n">
        <v>1</v>
      </c>
      <c r="V5" s="24" t="n">
        <v>0.6666666666666666</v>
      </c>
      <c r="W5" s="24" t="n">
        <v>1</v>
      </c>
      <c r="X5" s="24" t="n">
        <v>1</v>
      </c>
      <c r="Y5" s="24" t="n">
        <v>0.7777777777777778</v>
      </c>
      <c r="Z5" s="24" t="n">
        <v>1</v>
      </c>
      <c r="AA5" s="24" t="n">
        <v>0.8913043478260869</v>
      </c>
      <c r="AB5" s="24" t="n">
        <v>1</v>
      </c>
      <c r="AC5" s="24" t="n">
        <v>0.7666666666666667</v>
      </c>
      <c r="AD5" s="222" t="n"/>
      <c r="AE5" s="13" t="n"/>
      <c r="AF5" s="13" t="n"/>
    </row>
    <row r="6" ht="19.5" customHeight="1">
      <c r="A6" s="23" t="n">
        <v>4</v>
      </c>
      <c r="B6" s="24" t="n">
        <v>0.75</v>
      </c>
      <c r="C6" s="24" t="n">
        <v>1</v>
      </c>
      <c r="D6" s="24" t="n">
        <v>0</v>
      </c>
      <c r="E6" s="24" t="n">
        <v>1</v>
      </c>
      <c r="F6" s="24" t="n">
        <v>0.8</v>
      </c>
      <c r="G6" s="24" t="n">
        <v>0.8571428571428571</v>
      </c>
      <c r="H6" s="24" t="n">
        <v>0.8333333333333334</v>
      </c>
      <c r="I6" s="24" t="n">
        <v>0.8</v>
      </c>
      <c r="J6" s="24" t="n">
        <v>0.7</v>
      </c>
      <c r="K6" s="24" t="n">
        <v>1</v>
      </c>
      <c r="L6" s="24" t="n">
        <v>1</v>
      </c>
      <c r="M6" s="24" t="n">
        <v>1</v>
      </c>
      <c r="N6" s="24" t="n">
        <v>1</v>
      </c>
      <c r="O6" s="24" t="n">
        <v>1</v>
      </c>
      <c r="P6" s="24" t="n">
        <v>1</v>
      </c>
      <c r="Q6" s="24" t="n">
        <v>1</v>
      </c>
      <c r="R6" s="24" t="n">
        <v>1</v>
      </c>
      <c r="S6" s="24" t="n">
        <v>1</v>
      </c>
      <c r="T6" s="24" t="n">
        <v>0.3333333333333333</v>
      </c>
      <c r="U6" s="24" t="n">
        <v>1</v>
      </c>
      <c r="V6" s="24" t="n">
        <v>1</v>
      </c>
      <c r="W6" s="24" t="n">
        <v>1</v>
      </c>
      <c r="X6" s="24" t="n">
        <v>1</v>
      </c>
      <c r="Y6" s="24" t="n">
        <v>1</v>
      </c>
      <c r="Z6" s="24" t="n">
        <v>1</v>
      </c>
      <c r="AA6" s="24" t="n">
        <v>0.7608695652173914</v>
      </c>
      <c r="AB6" s="24" t="n">
        <v>0.5625</v>
      </c>
      <c r="AC6" s="24" t="n">
        <v>0.03333333333333333</v>
      </c>
      <c r="AD6" s="222" t="n"/>
      <c r="AE6" s="13" t="n"/>
      <c r="AF6" s="27" t="inlineStr">
        <is>
          <t>A</t>
        </is>
      </c>
    </row>
    <row r="7" ht="19.5" customHeight="1">
      <c r="A7" s="23" t="n">
        <v>5</v>
      </c>
      <c r="B7" s="24" t="n">
        <v>1</v>
      </c>
      <c r="C7" s="24" t="n">
        <v>0.5</v>
      </c>
      <c r="D7" s="24" t="n">
        <v>0.625</v>
      </c>
      <c r="E7" s="24" t="n">
        <v>0.5</v>
      </c>
      <c r="F7" s="24" t="n">
        <v>0.6</v>
      </c>
      <c r="G7" s="24" t="n">
        <v>0.5714285714285714</v>
      </c>
      <c r="H7" s="24" t="n">
        <v>0.5</v>
      </c>
      <c r="I7" s="24" t="n">
        <v>0.4</v>
      </c>
      <c r="J7" s="24" t="n">
        <v>0.4</v>
      </c>
      <c r="K7" s="24" t="n">
        <v>0.7</v>
      </c>
      <c r="L7" s="24" t="n">
        <v>0.3333333333333333</v>
      </c>
      <c r="M7" s="24" t="n">
        <v>0.25</v>
      </c>
      <c r="N7" s="24" t="n">
        <v>0.5</v>
      </c>
      <c r="O7" s="24" t="n"/>
      <c r="P7" s="24" t="n"/>
      <c r="Q7" s="24" t="n"/>
      <c r="R7" s="24" t="n"/>
      <c r="S7" s="24" t="n"/>
      <c r="T7" s="24" t="n"/>
      <c r="U7" s="24" t="n"/>
      <c r="V7" s="24" t="n"/>
      <c r="W7" s="24" t="n">
        <v>1</v>
      </c>
      <c r="X7" s="24" t="n">
        <v>0.8333333333333334</v>
      </c>
      <c r="Y7" s="24" t="n">
        <v>0.7777777777777778</v>
      </c>
      <c r="Z7" s="24" t="n">
        <v>0.8</v>
      </c>
      <c r="AA7" s="24" t="n">
        <v>0.9565217391304348</v>
      </c>
      <c r="AB7" s="24" t="n"/>
      <c r="AC7" s="24" t="n">
        <v>0.3333333333333333</v>
      </c>
      <c r="AD7" s="222" t="n"/>
      <c r="AE7" s="13" t="n"/>
      <c r="AF7" s="27" t="inlineStr">
        <is>
          <t>Q</t>
        </is>
      </c>
    </row>
    <row r="8" ht="19.5" customHeight="1">
      <c r="A8" s="23" t="n">
        <v>6</v>
      </c>
      <c r="B8" s="24" t="n">
        <v>0.5</v>
      </c>
      <c r="C8" s="24" t="n">
        <v>0</v>
      </c>
      <c r="D8" s="24" t="n">
        <v>0.6875</v>
      </c>
      <c r="E8" s="24" t="n">
        <v>0.5</v>
      </c>
      <c r="F8" s="24" t="n">
        <v>0.2</v>
      </c>
      <c r="G8" s="24" t="n">
        <v>0.2857142857142857</v>
      </c>
      <c r="H8" s="24" t="n">
        <v>0.3333333333333333</v>
      </c>
      <c r="I8" s="24" t="n">
        <v>1</v>
      </c>
      <c r="J8" s="24" t="n">
        <v>0.7</v>
      </c>
      <c r="K8" s="24" t="n">
        <v>0.9</v>
      </c>
      <c r="L8" s="24" t="n">
        <v>0.5</v>
      </c>
      <c r="M8" s="24" t="n">
        <v>0.25</v>
      </c>
      <c r="N8" s="24" t="n">
        <v>0.75</v>
      </c>
      <c r="O8" s="24" t="n"/>
      <c r="P8" s="24" t="n"/>
      <c r="Q8" s="24" t="n"/>
      <c r="R8" s="24" t="n"/>
      <c r="S8" s="24" t="n"/>
      <c r="T8" s="24" t="n"/>
      <c r="U8" s="24" t="n"/>
      <c r="V8" s="24" t="n"/>
      <c r="W8" s="24" t="n">
        <v>0.75</v>
      </c>
      <c r="X8" s="24" t="n">
        <v>0.5</v>
      </c>
      <c r="Y8" s="24" t="n">
        <v>0.5555555555555556</v>
      </c>
      <c r="Z8" s="24" t="n">
        <v>0.6</v>
      </c>
      <c r="AA8" s="24" t="n">
        <v>0.8478260869565217</v>
      </c>
      <c r="AB8" s="24" t="n">
        <v>0.3125</v>
      </c>
      <c r="AC8" s="24" t="n">
        <v>0.2333333333333333</v>
      </c>
      <c r="AD8" s="222" t="n"/>
      <c r="AE8" s="13" t="n"/>
      <c r="AF8" s="27" t="inlineStr">
        <is>
          <t>M</t>
        </is>
      </c>
    </row>
    <row r="9" ht="19.5" customHeight="1">
      <c r="A9" s="23" t="n">
        <v>7</v>
      </c>
      <c r="B9" s="24" t="n">
        <v>0.375</v>
      </c>
      <c r="C9" s="24" t="n">
        <v>0.75</v>
      </c>
      <c r="D9" s="24" t="n">
        <v>0.625</v>
      </c>
      <c r="E9" s="24" t="n">
        <v>0.3333333333333333</v>
      </c>
      <c r="F9" s="24" t="n">
        <v>0.4</v>
      </c>
      <c r="G9" s="24" t="n">
        <v>0.5714285714285714</v>
      </c>
      <c r="H9" s="24" t="n">
        <v>0.3333333333333333</v>
      </c>
      <c r="I9" s="24" t="n">
        <v>0.6</v>
      </c>
      <c r="J9" s="24" t="n">
        <v>0.5</v>
      </c>
      <c r="K9" s="24" t="n">
        <v>0.5</v>
      </c>
      <c r="L9" s="24" t="n">
        <v>0.6666666666666666</v>
      </c>
      <c r="M9" s="24" t="n">
        <v>0.75</v>
      </c>
      <c r="N9" s="24" t="n">
        <v>0.625</v>
      </c>
      <c r="O9" s="24" t="n"/>
      <c r="P9" s="24" t="n"/>
      <c r="Q9" s="24" t="n"/>
      <c r="R9" s="24" t="n"/>
      <c r="S9" s="24" t="n"/>
      <c r="T9" s="24" t="n"/>
      <c r="U9" s="24" t="n"/>
      <c r="V9" s="24" t="n"/>
      <c r="W9" s="24" t="n">
        <v>1</v>
      </c>
      <c r="X9" s="24" t="n">
        <v>1</v>
      </c>
      <c r="Y9" s="24" t="n">
        <v>0.8888888888888888</v>
      </c>
      <c r="Z9" s="24" t="n">
        <v>1</v>
      </c>
      <c r="AA9" s="24" t="n">
        <v>0</v>
      </c>
      <c r="AB9" s="24" t="n">
        <v>1</v>
      </c>
      <c r="AC9" s="24" t="n">
        <v>0</v>
      </c>
      <c r="AD9" s="222" t="n"/>
      <c r="AE9" s="13" t="n"/>
      <c r="AF9" s="27" t="inlineStr">
        <is>
          <t>F</t>
        </is>
      </c>
    </row>
    <row r="10" ht="19.5" customHeight="1">
      <c r="A10" s="23" t="n">
        <v>8</v>
      </c>
      <c r="B10" s="24" t="n">
        <v>0.4375</v>
      </c>
      <c r="C10" s="24" t="n">
        <v>0.5</v>
      </c>
      <c r="D10" s="24" t="n">
        <v>0.5</v>
      </c>
      <c r="E10" s="24" t="n">
        <v>1</v>
      </c>
      <c r="F10" s="24" t="n">
        <v>1</v>
      </c>
      <c r="G10" s="24" t="n">
        <v>0.5714285714285714</v>
      </c>
      <c r="H10" s="24" t="n">
        <v>0.8333333333333334</v>
      </c>
      <c r="I10" s="24" t="n">
        <v>1</v>
      </c>
      <c r="J10" s="24" t="n">
        <v>0.7</v>
      </c>
      <c r="K10" s="24" t="n">
        <v>0.7</v>
      </c>
      <c r="L10" s="24" t="n">
        <v>0.5</v>
      </c>
      <c r="M10" s="24" t="n">
        <v>1</v>
      </c>
      <c r="N10" s="24" t="n">
        <v>0.625</v>
      </c>
      <c r="O10" s="24" t="n"/>
      <c r="P10" s="24" t="n"/>
      <c r="Q10" s="24" t="n"/>
      <c r="R10" s="24" t="n"/>
      <c r="S10" s="24" t="n"/>
      <c r="T10" s="24" t="n"/>
      <c r="U10" s="24" t="n"/>
      <c r="V10" s="24" t="n"/>
      <c r="W10" s="24" t="n">
        <v>1</v>
      </c>
      <c r="X10" s="24" t="n">
        <v>1</v>
      </c>
      <c r="Y10" s="24" t="n">
        <v>0.5555555555555556</v>
      </c>
      <c r="Z10" s="24" t="n">
        <v>0.4</v>
      </c>
      <c r="AA10" s="24" t="n">
        <v>0.8913043478260869</v>
      </c>
      <c r="AB10" s="24" t="n">
        <v>0.875</v>
      </c>
      <c r="AC10" s="24" t="n">
        <v>0.5333333333333333</v>
      </c>
      <c r="AD10" s="222" t="n"/>
      <c r="AE10" s="13" t="n"/>
      <c r="AF10" s="27" t="inlineStr">
        <is>
          <t>P</t>
        </is>
      </c>
    </row>
    <row r="11" ht="19.5" customHeight="1">
      <c r="A11" s="23" t="n">
        <v>9</v>
      </c>
      <c r="B11" s="24" t="n">
        <v>0.8125</v>
      </c>
      <c r="C11" s="24" t="n">
        <v>1</v>
      </c>
      <c r="D11" s="24" t="n">
        <v>0.875</v>
      </c>
      <c r="E11" s="24" t="n">
        <v>0.6666666666666666</v>
      </c>
      <c r="F11" s="24" t="n">
        <v>0.6</v>
      </c>
      <c r="G11" s="24" t="n">
        <v>0.4285714285714285</v>
      </c>
      <c r="H11" s="24" t="n">
        <v>0.5</v>
      </c>
      <c r="I11" s="24" t="n">
        <v>0.4</v>
      </c>
      <c r="J11" s="24" t="n">
        <v>0.9</v>
      </c>
      <c r="K11" s="24" t="n">
        <v>0.7</v>
      </c>
      <c r="L11" s="24" t="n">
        <v>0</v>
      </c>
      <c r="M11" s="24" t="n">
        <v>0.5</v>
      </c>
      <c r="N11" s="24" t="n">
        <v>0</v>
      </c>
      <c r="O11" s="24" t="n"/>
      <c r="P11" s="24" t="n"/>
      <c r="Q11" s="24" t="n"/>
      <c r="R11" s="24" t="n"/>
      <c r="S11" s="24" t="n"/>
      <c r="T11" s="24" t="n"/>
      <c r="U11" s="24" t="n"/>
      <c r="V11" s="24" t="n"/>
      <c r="W11" s="24" t="n">
        <v>1</v>
      </c>
      <c r="X11" s="24" t="n">
        <v>1</v>
      </c>
      <c r="Y11" s="24" t="n">
        <v>0.5555555555555556</v>
      </c>
      <c r="Z11" s="24" t="n">
        <v>0.8</v>
      </c>
      <c r="AA11" s="24" t="n">
        <v>0.6956521739130435</v>
      </c>
      <c r="AB11" s="24" t="n">
        <v>0.25</v>
      </c>
      <c r="AC11" s="24" t="n">
        <v>0.4333333333333333</v>
      </c>
      <c r="AD11" s="222" t="n"/>
      <c r="AE11" s="13" t="n"/>
      <c r="AF11" s="27" t="inlineStr">
        <is>
          <t>L</t>
        </is>
      </c>
    </row>
    <row r="12" ht="19.5" customHeight="1">
      <c r="A12" s="23" t="n">
        <v>10</v>
      </c>
      <c r="B12" s="24" t="n">
        <v>0.375</v>
      </c>
      <c r="C12" s="24" t="n">
        <v>0.75</v>
      </c>
      <c r="D12" s="24" t="n">
        <v>0.5625</v>
      </c>
      <c r="E12" s="24" t="n">
        <v>0.6666666666666666</v>
      </c>
      <c r="F12" s="24" t="n">
        <v>1</v>
      </c>
      <c r="G12" s="24" t="n">
        <v>0.7142857142857143</v>
      </c>
      <c r="H12" s="24" t="n">
        <v>1</v>
      </c>
      <c r="I12" s="24" t="n">
        <v>0.8</v>
      </c>
      <c r="J12" s="24" t="n">
        <v>0.8</v>
      </c>
      <c r="K12" s="24" t="n">
        <v>1</v>
      </c>
      <c r="L12" s="24" t="n">
        <v>0.8333333333333334</v>
      </c>
      <c r="M12" s="24" t="n">
        <v>0.75</v>
      </c>
      <c r="N12" s="24" t="n">
        <v>0.875</v>
      </c>
      <c r="O12" s="24" t="n"/>
      <c r="P12" s="24" t="n"/>
      <c r="Q12" s="24" t="n"/>
      <c r="R12" s="24" t="n"/>
      <c r="S12" s="24" t="n"/>
      <c r="T12" s="24" t="n"/>
      <c r="U12" s="24" t="n"/>
      <c r="V12" s="24" t="n"/>
      <c r="W12" s="24" t="n">
        <v>1</v>
      </c>
      <c r="X12" s="24" t="n">
        <v>0.8333333333333334</v>
      </c>
      <c r="Y12" s="24" t="n">
        <v>0.4444444444444444</v>
      </c>
      <c r="Z12" s="24" t="n">
        <v>0.8</v>
      </c>
      <c r="AA12" s="24" t="n">
        <v>0.8478260869565217</v>
      </c>
      <c r="AB12" s="24" t="n">
        <v>0.75</v>
      </c>
      <c r="AC12" s="24" t="n">
        <v>0</v>
      </c>
      <c r="AD12" s="222" t="n"/>
      <c r="AE12" s="13" t="n"/>
      <c r="AF12" s="27" t="inlineStr">
        <is>
          <t>OT</t>
        </is>
      </c>
    </row>
    <row r="13" ht="19.5" customHeight="1">
      <c r="A13" s="23" t="n">
        <v>11</v>
      </c>
      <c r="B13" s="24" t="n">
        <v>0.75</v>
      </c>
      <c r="C13" s="24" t="n">
        <v>1</v>
      </c>
      <c r="D13" s="24" t="n">
        <v>0.8125</v>
      </c>
      <c r="E13" s="24" t="n">
        <v>0.5</v>
      </c>
      <c r="F13" s="24" t="n">
        <v>1</v>
      </c>
      <c r="G13" s="24" t="n">
        <v>0.4285714285714285</v>
      </c>
      <c r="H13" s="24" t="n">
        <v>0.6666666666666666</v>
      </c>
      <c r="I13" s="24" t="n">
        <v>1</v>
      </c>
      <c r="J13" s="24" t="n">
        <v>0.7</v>
      </c>
      <c r="K13" s="24" t="n">
        <v>0.5</v>
      </c>
      <c r="L13" s="24" t="n">
        <v>0.6666666666666666</v>
      </c>
      <c r="M13" s="24" t="n">
        <v>0</v>
      </c>
      <c r="N13" s="24" t="n">
        <v>1</v>
      </c>
      <c r="O13" s="24" t="n"/>
      <c r="P13" s="24" t="n"/>
      <c r="Q13" s="24" t="n"/>
      <c r="R13" s="24" t="n"/>
      <c r="S13" s="24" t="n"/>
      <c r="T13" s="24" t="n"/>
      <c r="U13" s="24" t="n"/>
      <c r="V13" s="24" t="n"/>
      <c r="W13" s="24" t="n">
        <v>0.5</v>
      </c>
      <c r="X13" s="24" t="n">
        <v>0.5</v>
      </c>
      <c r="Y13" s="24" t="n">
        <v>0.7777777777777778</v>
      </c>
      <c r="Z13" s="24" t="n">
        <v>0.8</v>
      </c>
      <c r="AA13" s="24" t="n">
        <v>0.6956521739130435</v>
      </c>
      <c r="AB13" s="24" t="n"/>
      <c r="AC13" s="24" t="n">
        <v>0.3666666666666666</v>
      </c>
      <c r="AD13" s="222" t="n"/>
      <c r="AE13" s="13" t="n"/>
      <c r="AF13" s="13" t="n"/>
    </row>
    <row r="14" ht="19.5" customHeight="1">
      <c r="A14" s="23" t="n">
        <v>12</v>
      </c>
      <c r="B14" s="24" t="n">
        <v>0.4375</v>
      </c>
      <c r="C14" s="24" t="n">
        <v>0</v>
      </c>
      <c r="D14" s="24" t="n">
        <v>0.375</v>
      </c>
      <c r="E14" s="24" t="n">
        <v>0.8333333333333334</v>
      </c>
      <c r="F14" s="24" t="n">
        <v>0.6</v>
      </c>
      <c r="G14" s="24" t="n">
        <v>0.4285714285714285</v>
      </c>
      <c r="H14" s="24" t="n">
        <v>0.8333333333333334</v>
      </c>
      <c r="I14" s="24" t="n">
        <v>0.8</v>
      </c>
      <c r="J14" s="24" t="n">
        <v>1</v>
      </c>
      <c r="K14" s="24" t="n">
        <v>1</v>
      </c>
      <c r="L14" s="24" t="n">
        <v>0.8333333333333334</v>
      </c>
      <c r="M14" s="24" t="n">
        <v>1</v>
      </c>
      <c r="N14" s="24" t="n">
        <v>0.875</v>
      </c>
      <c r="O14" s="24" t="n"/>
      <c r="P14" s="24" t="n"/>
      <c r="Q14" s="24" t="n"/>
      <c r="R14" s="24" t="n"/>
      <c r="S14" s="24" t="n"/>
      <c r="T14" s="24" t="n"/>
      <c r="U14" s="24" t="n"/>
      <c r="V14" s="24" t="n"/>
      <c r="W14" s="24" t="n">
        <v>1</v>
      </c>
      <c r="X14" s="24" t="n">
        <v>1</v>
      </c>
      <c r="Y14" s="24" t="n">
        <v>1</v>
      </c>
      <c r="Z14" s="24" t="n">
        <v>0.8</v>
      </c>
      <c r="AA14" s="24" t="n">
        <v>0.8913043478260869</v>
      </c>
      <c r="AB14" s="24" t="n"/>
      <c r="AC14" s="24" t="n">
        <v>0.7333333333333333</v>
      </c>
      <c r="AD14" s="222" t="n"/>
      <c r="AE14" s="13" t="n"/>
      <c r="AF14" s="13" t="n"/>
    </row>
    <row r="15" ht="19.5" customHeight="1">
      <c r="A15" s="23" t="n">
        <v>13</v>
      </c>
      <c r="B15" s="24" t="n">
        <v>1</v>
      </c>
      <c r="C15" s="24" t="n">
        <v>1</v>
      </c>
      <c r="D15" s="24" t="n">
        <v>0.6875</v>
      </c>
      <c r="E15" s="24" t="n">
        <v>0.6666666666666666</v>
      </c>
      <c r="F15" s="24" t="n">
        <v>1</v>
      </c>
      <c r="G15" s="24" t="n">
        <v>0.5714285714285714</v>
      </c>
      <c r="H15" s="24" t="n">
        <v>0.8333333333333334</v>
      </c>
      <c r="I15" s="24" t="n">
        <v>1</v>
      </c>
      <c r="J15" s="24" t="n">
        <v>0.8</v>
      </c>
      <c r="K15" s="24" t="n">
        <v>0.9</v>
      </c>
      <c r="L15" s="24" t="n">
        <v>0.3333333333333333</v>
      </c>
      <c r="M15" s="24" t="n">
        <v>0.75</v>
      </c>
      <c r="N15" s="24" t="n">
        <v>1</v>
      </c>
      <c r="O15" s="24" t="n"/>
      <c r="P15" s="24" t="n"/>
      <c r="Q15" s="24" t="n"/>
      <c r="R15" s="24" t="n"/>
      <c r="S15" s="24" t="n"/>
      <c r="T15" s="24" t="n"/>
      <c r="U15" s="24" t="n"/>
      <c r="V15" s="24" t="n"/>
      <c r="W15" s="24" t="n">
        <v>1</v>
      </c>
      <c r="X15" s="24" t="n">
        <v>0.8333333333333334</v>
      </c>
      <c r="Y15" s="24" t="n">
        <v>0.5555555555555556</v>
      </c>
      <c r="Z15" s="24" t="n">
        <v>0.4</v>
      </c>
      <c r="AA15" s="24" t="n">
        <v>0.9782608695652174</v>
      </c>
      <c r="AB15" s="24" t="n">
        <v>1</v>
      </c>
      <c r="AC15" s="24" t="n">
        <v>0.8666666666666667</v>
      </c>
      <c r="AD15" s="222" t="n"/>
      <c r="AE15" s="13" t="n"/>
      <c r="AF15" s="13" t="n"/>
    </row>
    <row r="16" ht="19.5" customHeight="1">
      <c r="A16" s="23" t="n">
        <v>14</v>
      </c>
      <c r="B16" s="24" t="n">
        <v>0.125</v>
      </c>
      <c r="C16" s="24" t="n">
        <v>0.75</v>
      </c>
      <c r="D16" s="24" t="n">
        <v>0.5</v>
      </c>
      <c r="E16" s="24" t="n">
        <v>0.6666666666666666</v>
      </c>
      <c r="F16" s="24" t="n">
        <v>0.6</v>
      </c>
      <c r="G16" s="24" t="n">
        <v>0.2857142857142857</v>
      </c>
      <c r="H16" s="24" t="n">
        <v>0.3333333333333333</v>
      </c>
      <c r="I16" s="24" t="n">
        <v>1</v>
      </c>
      <c r="J16" s="24" t="n">
        <v>0.5</v>
      </c>
      <c r="K16" s="24" t="n">
        <v>0.3</v>
      </c>
      <c r="L16" s="24" t="n">
        <v>0.1666666666666667</v>
      </c>
      <c r="M16" s="24" t="n">
        <v>0.5</v>
      </c>
      <c r="N16" s="24" t="n">
        <v>0.625</v>
      </c>
      <c r="O16" s="24" t="n"/>
      <c r="P16" s="24" t="n"/>
      <c r="Q16" s="24" t="n"/>
      <c r="R16" s="24" t="n"/>
      <c r="S16" s="24" t="n"/>
      <c r="T16" s="24" t="n"/>
      <c r="U16" s="24" t="n"/>
      <c r="V16" s="24" t="n"/>
      <c r="W16" s="24" t="n">
        <v>1</v>
      </c>
      <c r="X16" s="24" t="n">
        <v>1</v>
      </c>
      <c r="Y16" s="24" t="n">
        <v>0.4444444444444444</v>
      </c>
      <c r="Z16" s="24" t="n">
        <v>0.8</v>
      </c>
      <c r="AA16" s="24" t="n">
        <v>0.8913043478260869</v>
      </c>
      <c r="AB16" s="24" t="n">
        <v>0.75</v>
      </c>
      <c r="AC16" s="24" t="n">
        <v>0.9666666666666667</v>
      </c>
      <c r="AD16" s="222" t="n"/>
      <c r="AE16" s="13" t="n"/>
      <c r="AF16" s="13" t="n"/>
    </row>
    <row r="17" ht="19.5" customHeight="1">
      <c r="A17" s="23" t="n">
        <v>15</v>
      </c>
      <c r="B17" s="24" t="n">
        <v>0.9375</v>
      </c>
      <c r="C17" s="24" t="n">
        <v>1</v>
      </c>
      <c r="D17" s="24" t="n">
        <v>0.75</v>
      </c>
      <c r="E17" s="24" t="n">
        <v>0.8333333333333334</v>
      </c>
      <c r="F17" s="24" t="n">
        <v>0.8</v>
      </c>
      <c r="G17" s="24" t="n">
        <v>0.5714285714285714</v>
      </c>
      <c r="H17" s="24" t="n">
        <v>0.8333333333333334</v>
      </c>
      <c r="I17" s="24" t="n">
        <v>0.8</v>
      </c>
      <c r="J17" s="24" t="n">
        <v>0.9</v>
      </c>
      <c r="K17" s="24" t="n">
        <v>1</v>
      </c>
      <c r="L17" s="24" t="n">
        <v>1</v>
      </c>
      <c r="M17" s="24" t="n">
        <v>1</v>
      </c>
      <c r="N17" s="24" t="n">
        <v>0.875</v>
      </c>
      <c r="O17" s="24" t="n"/>
      <c r="P17" s="24" t="n"/>
      <c r="Q17" s="24" t="n"/>
      <c r="R17" s="24" t="n"/>
      <c r="S17" s="24" t="n"/>
      <c r="T17" s="24" t="n"/>
      <c r="U17" s="24" t="n"/>
      <c r="V17" s="24" t="n"/>
      <c r="W17" s="24" t="n">
        <v>1</v>
      </c>
      <c r="X17" s="24" t="n">
        <v>0.1666666666666667</v>
      </c>
      <c r="Y17" s="24" t="n">
        <v>0.7777777777777778</v>
      </c>
      <c r="Z17" s="24" t="n">
        <v>0.6</v>
      </c>
      <c r="AA17" s="24" t="n">
        <v>0.8043478260869565</v>
      </c>
      <c r="AB17" s="24" t="n"/>
      <c r="AC17" s="24" t="n">
        <v>0</v>
      </c>
      <c r="AD17" s="222" t="n"/>
      <c r="AE17" s="13" t="n"/>
      <c r="AF17" s="13" t="n"/>
    </row>
    <row r="18" ht="19.5" customHeight="1">
      <c r="A18" s="23" t="n">
        <v>16</v>
      </c>
      <c r="B18" s="24" t="n">
        <v>0</v>
      </c>
      <c r="C18" s="24" t="n">
        <v>0</v>
      </c>
      <c r="D18" s="24" t="n">
        <v>0.5</v>
      </c>
      <c r="E18" s="24" t="n"/>
      <c r="F18" s="24" t="n"/>
      <c r="G18" s="24" t="n"/>
      <c r="H18" s="24" t="n"/>
      <c r="I18" s="24" t="n"/>
      <c r="J18" s="24" t="n"/>
      <c r="K18" s="24" t="n"/>
      <c r="L18" s="24" t="n"/>
      <c r="M18" s="24" t="n"/>
      <c r="N18" s="24" t="n"/>
      <c r="O18" s="24" t="n"/>
      <c r="P18" s="24" t="n"/>
      <c r="Q18" s="24" t="n"/>
      <c r="R18" s="24" t="n"/>
      <c r="S18" s="24" t="n"/>
      <c r="T18" s="24" t="n"/>
      <c r="U18" s="24" t="n"/>
      <c r="V18" s="24" t="n"/>
      <c r="W18" s="24" t="n">
        <v>0.75</v>
      </c>
      <c r="X18" s="24" t="n">
        <v>0.8333333333333334</v>
      </c>
      <c r="Y18" s="24" t="n">
        <v>0.6666666666666666</v>
      </c>
      <c r="Z18" s="24" t="n">
        <v>1</v>
      </c>
      <c r="AA18" s="24" t="n">
        <v>0.8695652173913043</v>
      </c>
      <c r="AB18" s="24" t="n"/>
      <c r="AC18" s="24" t="n">
        <v>0.9</v>
      </c>
      <c r="AD18" s="222" t="n"/>
      <c r="AE18" s="13" t="n"/>
      <c r="AF18" s="13" t="n"/>
    </row>
    <row r="19" ht="19.5" customHeight="1">
      <c r="A19" s="23" t="n">
        <v>17</v>
      </c>
      <c r="B19" s="24" t="n">
        <v>0.5625</v>
      </c>
      <c r="C19" s="24" t="n">
        <v>0.5</v>
      </c>
      <c r="D19" s="24" t="n">
        <v>0.375</v>
      </c>
      <c r="E19" s="24" t="n"/>
      <c r="F19" s="24" t="n"/>
      <c r="G19" s="24" t="n"/>
      <c r="H19" s="24" t="n"/>
      <c r="I19" s="24" t="n"/>
      <c r="J19" s="24" t="n"/>
      <c r="K19" s="24" t="n"/>
      <c r="L19" s="24" t="n"/>
      <c r="M19" s="24" t="n"/>
      <c r="N19" s="24" t="n"/>
      <c r="O19" s="24" t="n"/>
      <c r="P19" s="24" t="n"/>
      <c r="Q19" s="24" t="n"/>
      <c r="R19" s="24" t="n"/>
      <c r="S19" s="24" t="n"/>
      <c r="T19" s="24" t="n"/>
      <c r="U19" s="24" t="n"/>
      <c r="V19" s="24" t="n"/>
      <c r="W19" s="24" t="n"/>
      <c r="X19" s="24" t="n"/>
      <c r="Y19" s="24" t="n"/>
      <c r="Z19" s="24" t="n"/>
      <c r="AA19" s="24" t="n">
        <v>0.6304347826086957</v>
      </c>
      <c r="AB19" s="24" t="n">
        <v>0.375</v>
      </c>
      <c r="AC19" s="24" t="n">
        <v>0.3333333333333333</v>
      </c>
      <c r="AD19" s="222" t="n"/>
      <c r="AE19" s="13" t="n"/>
      <c r="AF19" s="13" t="n"/>
    </row>
    <row r="20" ht="19.5" customHeight="1">
      <c r="A20" s="23" t="n">
        <v>18</v>
      </c>
      <c r="B20" s="24" t="n">
        <v>0.5</v>
      </c>
      <c r="C20" s="24" t="n">
        <v>0.75</v>
      </c>
      <c r="D20" s="24" t="n">
        <v>0.9375</v>
      </c>
      <c r="E20" s="24" t="n"/>
      <c r="F20" s="24" t="n"/>
      <c r="G20" s="24" t="n"/>
      <c r="H20" s="24" t="n"/>
      <c r="I20" s="24" t="n"/>
      <c r="J20" s="24" t="n"/>
      <c r="K20" s="24" t="n"/>
      <c r="L20" s="24" t="n"/>
      <c r="M20" s="24" t="n"/>
      <c r="N20" s="24" t="n"/>
      <c r="O20" s="24" t="n"/>
      <c r="P20" s="24" t="n"/>
      <c r="Q20" s="24" t="n"/>
      <c r="R20" s="24" t="n"/>
      <c r="S20" s="24" t="n"/>
      <c r="T20" s="24" t="n"/>
      <c r="U20" s="24" t="n"/>
      <c r="V20" s="24" t="n"/>
      <c r="W20" s="24" t="n"/>
      <c r="X20" s="24" t="n"/>
      <c r="Y20" s="24" t="n"/>
      <c r="Z20" s="24" t="n"/>
      <c r="AA20" s="24" t="n">
        <v>0.9130434782608695</v>
      </c>
      <c r="AB20" s="24" t="n">
        <v>1</v>
      </c>
      <c r="AC20" s="24" t="n">
        <v>0.7666666666666667</v>
      </c>
      <c r="AD20" s="222" t="n"/>
      <c r="AE20" s="13" t="n"/>
      <c r="AF20" s="13" t="n"/>
    </row>
    <row r="21" ht="19.5" customHeight="1">
      <c r="A21" s="23" t="n">
        <v>19</v>
      </c>
      <c r="B21" s="24" t="n">
        <v>0.125</v>
      </c>
      <c r="C21" s="24" t="n">
        <v>0</v>
      </c>
      <c r="D21" s="24" t="n">
        <v>0.5</v>
      </c>
      <c r="E21" s="24" t="n"/>
      <c r="F21" s="24" t="n"/>
      <c r="G21" s="24" t="n"/>
      <c r="H21" s="24" t="n"/>
      <c r="I21" s="24" t="n"/>
      <c r="J21" s="24" t="n"/>
      <c r="K21" s="24" t="n"/>
      <c r="L21" s="24" t="n"/>
      <c r="M21" s="24" t="n"/>
      <c r="N21" s="24" t="n"/>
      <c r="O21" s="24" t="n"/>
      <c r="P21" s="24" t="n"/>
      <c r="Q21" s="24" t="n"/>
      <c r="R21" s="24" t="n"/>
      <c r="S21" s="24" t="n"/>
      <c r="T21" s="24" t="n"/>
      <c r="U21" s="24" t="n"/>
      <c r="V21" s="24" t="n"/>
      <c r="W21" s="24" t="n"/>
      <c r="X21" s="24" t="n"/>
      <c r="Y21" s="24" t="n"/>
      <c r="Z21" s="24" t="n"/>
      <c r="AA21" s="24" t="n">
        <v>0.9130434782608695</v>
      </c>
      <c r="AB21" s="24" t="n">
        <v>0.6875</v>
      </c>
      <c r="AC21" s="24" t="n">
        <v>0.9666666666666667</v>
      </c>
      <c r="AD21" s="222" t="n"/>
      <c r="AE21" s="13" t="n"/>
      <c r="AF21" s="13" t="n"/>
    </row>
    <row r="22" ht="19.5" customHeight="1">
      <c r="A22" s="23" t="n">
        <v>20</v>
      </c>
      <c r="B22" s="24" t="n">
        <v>0.75</v>
      </c>
      <c r="C22" s="24" t="n">
        <v>0.75</v>
      </c>
      <c r="D22" s="24" t="n">
        <v>0.875</v>
      </c>
      <c r="E22" s="24" t="n"/>
      <c r="F22" s="24" t="n"/>
      <c r="G22" s="24" t="n"/>
      <c r="H22" s="24" t="n"/>
      <c r="I22" s="24" t="n"/>
      <c r="J22" s="24" t="n"/>
      <c r="K22" s="24" t="n"/>
      <c r="L22" s="24" t="n"/>
      <c r="M22" s="24" t="n"/>
      <c r="N22" s="24" t="n"/>
      <c r="O22" s="24" t="n"/>
      <c r="P22" s="24" t="n"/>
      <c r="Q22" s="24" t="n"/>
      <c r="R22" s="24" t="n"/>
      <c r="S22" s="24" t="n"/>
      <c r="T22" s="24" t="n"/>
      <c r="U22" s="24" t="n"/>
      <c r="V22" s="24" t="n"/>
      <c r="W22" s="24" t="n"/>
      <c r="X22" s="24" t="n"/>
      <c r="Y22" s="24" t="n"/>
      <c r="Z22" s="24" t="n"/>
      <c r="AA22" s="24" t="n">
        <v>0.9565217391304348</v>
      </c>
      <c r="AB22" s="24" t="n">
        <v>0.25</v>
      </c>
      <c r="AC22" s="24" t="n">
        <v>0.2666666666666667</v>
      </c>
      <c r="AD22" s="222" t="n"/>
      <c r="AE22" s="13" t="n"/>
      <c r="AF22" s="13" t="n"/>
    </row>
    <row r="23" ht="19.5" customHeight="1">
      <c r="A23" s="110" t="n">
        <v>21</v>
      </c>
      <c r="B23" s="24" t="n">
        <v>1</v>
      </c>
      <c r="C23" s="24" t="n">
        <v>1</v>
      </c>
      <c r="D23" s="24" t="n">
        <v>0.8125</v>
      </c>
      <c r="E23" s="24" t="n"/>
      <c r="F23" s="24" t="n"/>
      <c r="G23" s="24" t="n"/>
      <c r="H23" s="24" t="n"/>
      <c r="I23" s="24" t="n"/>
      <c r="J23" s="24" t="n"/>
      <c r="K23" s="24" t="n"/>
      <c r="L23" s="24" t="n"/>
      <c r="M23" s="24" t="n"/>
      <c r="N23" s="24" t="n"/>
      <c r="O23" s="24" t="n"/>
      <c r="P23" s="24" t="n"/>
      <c r="Q23" s="24" t="n"/>
      <c r="R23" s="24" t="n"/>
      <c r="S23" s="24" t="n"/>
      <c r="T23" s="24" t="n"/>
      <c r="U23" s="24" t="n"/>
      <c r="V23" s="24" t="n"/>
      <c r="W23" s="24" t="n"/>
      <c r="X23" s="24" t="n"/>
      <c r="Y23" s="24" t="n"/>
      <c r="Z23" s="24" t="n"/>
      <c r="AA23" s="24" t="n">
        <v>1</v>
      </c>
      <c r="AB23" s="24" t="n">
        <v>0.75</v>
      </c>
      <c r="AC23" s="24" t="n">
        <v>0.9</v>
      </c>
      <c r="AD23" s="222" t="n"/>
      <c r="AE23" s="13" t="n"/>
      <c r="AF23" s="13" t="n"/>
    </row>
    <row r="24" ht="19.5" customHeight="1">
      <c r="A24" s="110" t="n">
        <v>22</v>
      </c>
      <c r="B24" s="24" t="n"/>
      <c r="C24" s="24" t="n"/>
      <c r="D24" s="24" t="n"/>
      <c r="E24" s="24" t="n"/>
      <c r="F24" s="24" t="n"/>
      <c r="G24" s="24" t="n"/>
      <c r="H24" s="24" t="n"/>
      <c r="I24" s="24" t="n"/>
      <c r="J24" s="24" t="n"/>
      <c r="K24" s="24" t="n"/>
      <c r="L24" s="24" t="n"/>
      <c r="M24" s="24" t="n"/>
      <c r="N24" s="24" t="n"/>
      <c r="O24" s="24" t="n"/>
      <c r="P24" s="24" t="n"/>
      <c r="Q24" s="24" t="n"/>
      <c r="R24" s="24" t="n"/>
      <c r="S24" s="24" t="n"/>
      <c r="T24" s="24" t="n"/>
      <c r="U24" s="24" t="n"/>
      <c r="V24" s="24" t="n"/>
      <c r="W24" s="24" t="n"/>
      <c r="X24" s="24" t="n"/>
      <c r="Y24" s="24" t="n"/>
      <c r="Z24" s="24" t="n"/>
      <c r="AA24" s="24" t="n">
        <v>0.9565217391304348</v>
      </c>
      <c r="AB24" s="24" t="n">
        <v>0.375</v>
      </c>
      <c r="AC24" s="24" t="n">
        <v>0.06666666666666667</v>
      </c>
      <c r="AD24" s="222" t="n"/>
      <c r="AE24" s="13" t="n"/>
      <c r="AF24" s="13" t="n"/>
    </row>
    <row r="25" ht="19.5" customHeight="1">
      <c r="A25" s="110" t="n">
        <v>23</v>
      </c>
      <c r="B25" s="24" t="n"/>
      <c r="C25" s="24" t="n"/>
      <c r="D25" s="24" t="n"/>
      <c r="E25" s="24" t="n"/>
      <c r="F25" s="24" t="n"/>
      <c r="G25" s="24" t="n"/>
      <c r="H25" s="24" t="n"/>
      <c r="I25" s="24" t="n"/>
      <c r="J25" s="24" t="n"/>
      <c r="K25" s="24" t="n"/>
      <c r="L25" s="24" t="n"/>
      <c r="M25" s="24" t="n"/>
      <c r="N25" s="24" t="n"/>
      <c r="O25" s="24" t="n"/>
      <c r="P25" s="24" t="n"/>
      <c r="Q25" s="24" t="n"/>
      <c r="R25" s="24" t="n"/>
      <c r="S25" s="24" t="n"/>
      <c r="T25" s="24" t="n"/>
      <c r="U25" s="24" t="n"/>
      <c r="V25" s="24" t="n"/>
      <c r="W25" s="24" t="n"/>
      <c r="X25" s="24" t="n"/>
      <c r="Y25" s="24" t="n"/>
      <c r="Z25" s="24" t="n"/>
      <c r="AA25" s="24" t="n">
        <v>0.8260869565217391</v>
      </c>
      <c r="AB25" s="24" t="n"/>
      <c r="AC25" s="24" t="n">
        <v>0.2666666666666667</v>
      </c>
      <c r="AD25" s="222" t="n"/>
      <c r="AE25" s="13" t="n"/>
      <c r="AF25" s="13" t="n"/>
    </row>
    <row r="26" ht="19.5" customHeight="1">
      <c r="A26" s="110" t="n">
        <v>24</v>
      </c>
      <c r="B26" s="24" t="n"/>
      <c r="C26" s="24" t="n"/>
      <c r="D26" s="24" t="n"/>
      <c r="E26" s="24" t="n"/>
      <c r="F26" s="24" t="n"/>
      <c r="G26" s="24" t="n"/>
      <c r="H26" s="24" t="n"/>
      <c r="I26" s="24" t="n"/>
      <c r="J26" s="24" t="n"/>
      <c r="K26" s="24" t="n"/>
      <c r="L26" s="24" t="n"/>
      <c r="M26" s="24" t="n"/>
      <c r="N26" s="24" t="n"/>
      <c r="O26" s="24" t="n"/>
      <c r="P26" s="24" t="n"/>
      <c r="Q26" s="24" t="n"/>
      <c r="R26" s="24" t="n"/>
      <c r="S26" s="24" t="n"/>
      <c r="T26" s="24" t="n"/>
      <c r="U26" s="24" t="n"/>
      <c r="V26" s="24" t="n"/>
      <c r="W26" s="24" t="n"/>
      <c r="X26" s="24" t="n"/>
      <c r="Y26" s="24" t="n"/>
      <c r="Z26" s="24" t="n"/>
      <c r="AA26" s="24" t="n"/>
      <c r="AB26" s="24" t="n"/>
      <c r="AC26" s="24" t="n"/>
      <c r="AD26" s="222" t="n"/>
      <c r="AE26" s="13" t="n"/>
      <c r="AF26" s="13" t="n"/>
    </row>
    <row r="27" ht="19.5" customHeight="1">
      <c r="A27" s="110" t="n">
        <v>25</v>
      </c>
      <c r="B27" s="24" t="n"/>
      <c r="C27" s="24" t="n"/>
      <c r="D27" s="24" t="n"/>
      <c r="E27" s="24" t="n"/>
      <c r="F27" s="24" t="n"/>
      <c r="G27" s="24" t="n"/>
      <c r="H27" s="24" t="n"/>
      <c r="I27" s="24" t="n"/>
      <c r="J27" s="24" t="n"/>
      <c r="K27" s="24" t="n"/>
      <c r="L27" s="24" t="n"/>
      <c r="M27" s="24" t="n"/>
      <c r="N27" s="24" t="n"/>
      <c r="O27" s="24" t="n"/>
      <c r="P27" s="24" t="n"/>
      <c r="Q27" s="24" t="n"/>
      <c r="R27" s="24" t="n"/>
      <c r="S27" s="24" t="n"/>
      <c r="T27" s="24" t="n"/>
      <c r="U27" s="24" t="n"/>
      <c r="V27" s="24" t="n"/>
      <c r="W27" s="24" t="n"/>
      <c r="X27" s="24" t="n"/>
      <c r="Y27" s="24" t="n"/>
      <c r="Z27" s="24" t="n"/>
      <c r="AA27" s="24" t="n"/>
      <c r="AB27" s="24" t="n"/>
      <c r="AC27" s="24" t="n"/>
      <c r="AD27" s="222" t="n"/>
      <c r="AE27" s="13" t="n"/>
      <c r="AF27" s="13" t="n"/>
    </row>
    <row r="28" ht="19.5" customHeight="1">
      <c r="A28" s="110" t="n">
        <v>26</v>
      </c>
      <c r="B28" s="24" t="n"/>
      <c r="C28" s="24" t="n"/>
      <c r="D28" s="24" t="n"/>
      <c r="E28" s="24" t="n"/>
      <c r="F28" s="24" t="n"/>
      <c r="G28" s="24" t="n"/>
      <c r="H28" s="24" t="n"/>
      <c r="I28" s="24" t="n"/>
      <c r="J28" s="24" t="n"/>
      <c r="K28" s="24" t="n"/>
      <c r="L28" s="24" t="n"/>
      <c r="M28" s="24" t="n"/>
      <c r="N28" s="24" t="n"/>
      <c r="O28" s="24" t="n"/>
      <c r="P28" s="24" t="n"/>
      <c r="Q28" s="24" t="n"/>
      <c r="R28" s="24" t="n"/>
      <c r="S28" s="24" t="n"/>
      <c r="T28" s="24" t="n"/>
      <c r="U28" s="24" t="n"/>
      <c r="V28" s="24" t="n"/>
      <c r="W28" s="24" t="n"/>
      <c r="X28" s="24" t="n"/>
      <c r="Y28" s="24" t="n"/>
      <c r="Z28" s="24" t="n"/>
      <c r="AA28" s="24" t="n"/>
      <c r="AB28" s="24" t="n"/>
      <c r="AC28" s="24" t="n"/>
      <c r="AD28" s="222" t="n"/>
      <c r="AE28" s="13" t="n"/>
      <c r="AF28" s="13" t="n"/>
    </row>
    <row r="29" ht="19.5" customHeight="1">
      <c r="A29" s="110" t="n">
        <v>27</v>
      </c>
      <c r="B29" s="24" t="n"/>
      <c r="C29" s="24" t="n"/>
      <c r="D29" s="24" t="n"/>
      <c r="E29" s="24" t="n"/>
      <c r="F29" s="24" t="n"/>
      <c r="G29" s="24" t="n"/>
      <c r="H29" s="24" t="n"/>
      <c r="I29" s="24" t="n"/>
      <c r="J29" s="24" t="n"/>
      <c r="K29" s="24" t="n"/>
      <c r="L29" s="24" t="n"/>
      <c r="M29" s="24" t="n"/>
      <c r="N29" s="24" t="n"/>
      <c r="O29" s="24" t="n"/>
      <c r="P29" s="24" t="n"/>
      <c r="Q29" s="24" t="n"/>
      <c r="R29" s="24" t="n"/>
      <c r="S29" s="24" t="n"/>
      <c r="T29" s="24" t="n"/>
      <c r="U29" s="24" t="n"/>
      <c r="V29" s="24" t="n"/>
      <c r="W29" s="24" t="n"/>
      <c r="X29" s="24" t="n"/>
      <c r="Y29" s="24" t="n"/>
      <c r="Z29" s="24" t="n"/>
      <c r="AA29" s="24" t="n"/>
      <c r="AB29" s="24" t="n"/>
      <c r="AC29" s="24" t="n"/>
      <c r="AD29" s="222" t="n"/>
      <c r="AE29" s="13" t="n"/>
      <c r="AF29" s="13" t="n"/>
    </row>
    <row r="30" ht="19.5" customHeight="1">
      <c r="A30" s="110" t="n">
        <v>28</v>
      </c>
      <c r="B30" s="24" t="n"/>
      <c r="C30" s="24" t="n"/>
      <c r="D30" s="24" t="n"/>
      <c r="E30" s="24" t="n"/>
      <c r="F30" s="24" t="n"/>
      <c r="G30" s="24" t="n"/>
      <c r="H30" s="24" t="n"/>
      <c r="I30" s="24" t="n"/>
      <c r="J30" s="24" t="n"/>
      <c r="K30" s="24" t="n"/>
      <c r="L30" s="24" t="n"/>
      <c r="M30" s="24" t="n"/>
      <c r="N30" s="24" t="n"/>
      <c r="O30" s="24" t="n"/>
      <c r="P30" s="24" t="n"/>
      <c r="Q30" s="24" t="n"/>
      <c r="R30" s="24" t="n"/>
      <c r="S30" s="24" t="n"/>
      <c r="T30" s="24" t="n"/>
      <c r="U30" s="24" t="n"/>
      <c r="V30" s="24" t="n"/>
      <c r="W30" s="24" t="n"/>
      <c r="X30" s="24" t="n"/>
      <c r="Y30" s="24" t="n"/>
      <c r="Z30" s="24" t="n"/>
      <c r="AA30" s="24" t="n"/>
      <c r="AB30" s="24" t="n"/>
      <c r="AC30" s="24" t="n"/>
      <c r="AD30" s="222" t="n"/>
      <c r="AE30" s="13" t="n"/>
      <c r="AF30" s="13" t="n"/>
    </row>
    <row r="31" ht="19.5" customHeight="1">
      <c r="A31" s="110" t="n">
        <v>29</v>
      </c>
      <c r="B31" s="24" t="n"/>
      <c r="C31" s="24" t="n"/>
      <c r="D31" s="24" t="n"/>
      <c r="E31" s="24" t="n"/>
      <c r="F31" s="24" t="n"/>
      <c r="G31" s="24" t="n"/>
      <c r="H31" s="24" t="n"/>
      <c r="I31" s="24" t="n"/>
      <c r="J31" s="24" t="n"/>
      <c r="K31" s="24" t="n"/>
      <c r="L31" s="24" t="n"/>
      <c r="M31" s="24" t="n"/>
      <c r="N31" s="24" t="n"/>
      <c r="O31" s="24" t="n"/>
      <c r="P31" s="24" t="n"/>
      <c r="Q31" s="24" t="n"/>
      <c r="R31" s="24" t="n"/>
      <c r="S31" s="24" t="n"/>
      <c r="T31" s="24" t="n"/>
      <c r="U31" s="24" t="n"/>
      <c r="V31" s="24" t="n"/>
      <c r="W31" s="24" t="n"/>
      <c r="X31" s="24" t="n"/>
      <c r="Y31" s="24" t="n"/>
      <c r="Z31" s="24" t="n"/>
      <c r="AA31" s="24" t="n"/>
      <c r="AB31" s="24" t="n"/>
      <c r="AC31" s="24" t="n"/>
      <c r="AD31" s="222" t="n"/>
      <c r="AE31" s="13" t="n"/>
      <c r="AF31" s="13" t="n"/>
    </row>
    <row r="32" ht="19.5" customHeight="1">
      <c r="A32" s="110" t="n">
        <v>30</v>
      </c>
      <c r="B32" s="24" t="n"/>
      <c r="C32" s="24" t="n"/>
      <c r="D32" s="24" t="n"/>
      <c r="E32" s="24" t="n"/>
      <c r="F32" s="24" t="n"/>
      <c r="G32" s="24" t="n"/>
      <c r="H32" s="24" t="n"/>
      <c r="I32" s="24" t="n"/>
      <c r="J32" s="24" t="n"/>
      <c r="K32" s="24" t="n"/>
      <c r="L32" s="24" t="n"/>
      <c r="M32" s="24" t="n"/>
      <c r="N32" s="24" t="n"/>
      <c r="O32" s="24" t="n"/>
      <c r="P32" s="24" t="n"/>
      <c r="Q32" s="24" t="n"/>
      <c r="R32" s="24" t="n"/>
      <c r="S32" s="24" t="n"/>
      <c r="T32" s="24" t="n"/>
      <c r="U32" s="24" t="n"/>
      <c r="V32" s="24" t="n"/>
      <c r="W32" s="24" t="n"/>
      <c r="X32" s="24" t="n"/>
      <c r="Y32" s="24" t="n"/>
      <c r="Z32" s="24" t="n"/>
      <c r="AA32" s="24" t="n"/>
      <c r="AB32" s="24" t="n"/>
      <c r="AC32" s="24" t="n"/>
      <c r="AD32" s="222" t="n"/>
      <c r="AE32" s="13" t="n"/>
      <c r="AF32" s="13" t="n"/>
    </row>
    <row r="33" ht="19.5" customHeight="1">
      <c r="A33" s="110" t="n">
        <v>31</v>
      </c>
      <c r="B33" s="24" t="n"/>
      <c r="C33" s="24" t="n"/>
      <c r="D33" s="24" t="n"/>
      <c r="E33" s="24" t="n"/>
      <c r="F33" s="24" t="n"/>
      <c r="G33" s="24" t="n"/>
      <c r="H33" s="24" t="n"/>
      <c r="I33" s="24" t="n"/>
      <c r="J33" s="24" t="n"/>
      <c r="K33" s="24" t="n"/>
      <c r="L33" s="24" t="n"/>
      <c r="M33" s="24" t="n"/>
      <c r="N33" s="24" t="n"/>
      <c r="O33" s="24" t="n"/>
      <c r="P33" s="24" t="n"/>
      <c r="Q33" s="24" t="n"/>
      <c r="R33" s="24" t="n"/>
      <c r="S33" s="24" t="n"/>
      <c r="T33" s="24" t="n"/>
      <c r="U33" s="24" t="n"/>
      <c r="V33" s="24" t="n"/>
      <c r="W33" s="24" t="n"/>
      <c r="X33" s="24" t="n"/>
      <c r="Y33" s="24" t="n"/>
      <c r="Z33" s="24" t="n"/>
      <c r="AA33" s="24" t="n"/>
      <c r="AB33" s="24" t="n"/>
      <c r="AC33" s="24" t="n"/>
      <c r="AD33" s="222" t="n"/>
      <c r="AE33" s="13" t="n"/>
      <c r="AF33" s="13" t="n"/>
    </row>
    <row r="34" ht="19.5" customHeight="1">
      <c r="A34" s="110" t="n">
        <v>32</v>
      </c>
      <c r="B34" s="24" t="n"/>
      <c r="C34" s="24" t="n"/>
      <c r="D34" s="24" t="n"/>
      <c r="E34" s="24" t="n"/>
      <c r="F34" s="24" t="n"/>
      <c r="G34" s="24" t="n"/>
      <c r="H34" s="24" t="n"/>
      <c r="I34" s="24" t="n"/>
      <c r="J34" s="24" t="n"/>
      <c r="K34" s="24" t="n"/>
      <c r="L34" s="24" t="n"/>
      <c r="M34" s="24" t="n"/>
      <c r="N34" s="24" t="n"/>
      <c r="O34" s="24" t="n"/>
      <c r="P34" s="24" t="n"/>
      <c r="Q34" s="24" t="n"/>
      <c r="R34" s="24" t="n"/>
      <c r="S34" s="24" t="n"/>
      <c r="T34" s="24" t="n"/>
      <c r="U34" s="24" t="n"/>
      <c r="V34" s="24" t="n"/>
      <c r="W34" s="24" t="n"/>
      <c r="X34" s="24" t="n"/>
      <c r="Y34" s="24" t="n"/>
      <c r="Z34" s="24" t="n"/>
      <c r="AA34" s="24" t="n"/>
      <c r="AB34" s="24" t="n"/>
      <c r="AC34" s="24" t="n"/>
      <c r="AD34" s="222" t="n"/>
      <c r="AE34" s="13" t="n"/>
      <c r="AF34" s="13" t="n"/>
    </row>
    <row r="35" ht="19.5" customHeight="1">
      <c r="A35" s="110" t="n">
        <v>33</v>
      </c>
      <c r="B35" s="24" t="n"/>
      <c r="C35" s="24" t="n"/>
      <c r="D35" s="24" t="n"/>
      <c r="E35" s="24" t="n"/>
      <c r="F35" s="24" t="n"/>
      <c r="G35" s="24" t="n"/>
      <c r="H35" s="24" t="n"/>
      <c r="I35" s="24" t="n"/>
      <c r="J35" s="24" t="n"/>
      <c r="K35" s="24" t="n"/>
      <c r="L35" s="24" t="n"/>
      <c r="M35" s="24" t="n"/>
      <c r="N35" s="24" t="n"/>
      <c r="O35" s="24" t="n"/>
      <c r="P35" s="24" t="n"/>
      <c r="Q35" s="24" t="n"/>
      <c r="R35" s="24" t="n"/>
      <c r="S35" s="24" t="n"/>
      <c r="T35" s="24" t="n"/>
      <c r="U35" s="24" t="n"/>
      <c r="V35" s="24" t="n"/>
      <c r="W35" s="24" t="n"/>
      <c r="X35" s="24" t="n"/>
      <c r="Y35" s="24" t="n"/>
      <c r="Z35" s="24" t="n"/>
      <c r="AA35" s="24" t="n"/>
      <c r="AB35" s="24" t="n"/>
      <c r="AC35" s="24" t="n"/>
      <c r="AD35" s="222" t="n"/>
      <c r="AE35" s="13" t="n"/>
      <c r="AF35" s="13" t="n"/>
    </row>
    <row r="36" ht="19.5" customHeight="1">
      <c r="A36" s="110" t="n">
        <v>34</v>
      </c>
      <c r="B36" s="24" t="n"/>
      <c r="C36" s="24" t="n"/>
      <c r="D36" s="24" t="n"/>
      <c r="E36" s="24" t="n"/>
      <c r="F36" s="24" t="n"/>
      <c r="G36" s="24" t="n"/>
      <c r="H36" s="24" t="n"/>
      <c r="I36" s="24" t="n"/>
      <c r="J36" s="24" t="n"/>
      <c r="K36" s="24" t="n"/>
      <c r="L36" s="24" t="n"/>
      <c r="M36" s="24" t="n"/>
      <c r="N36" s="24" t="n"/>
      <c r="O36" s="24" t="n"/>
      <c r="P36" s="24" t="n"/>
      <c r="Q36" s="24" t="n"/>
      <c r="R36" s="24" t="n"/>
      <c r="S36" s="24" t="n"/>
      <c r="T36" s="24" t="n"/>
      <c r="U36" s="24" t="n"/>
      <c r="V36" s="24" t="n"/>
      <c r="W36" s="24" t="n"/>
      <c r="X36" s="24" t="n"/>
      <c r="Y36" s="24" t="n"/>
      <c r="Z36" s="24" t="n"/>
      <c r="AA36" s="24" t="n"/>
      <c r="AB36" s="24" t="n"/>
      <c r="AC36" s="24" t="n"/>
      <c r="AD36" s="222" t="n"/>
      <c r="AE36" s="13" t="n"/>
      <c r="AF36" s="13" t="n"/>
    </row>
    <row r="37" ht="19.5" customHeight="1">
      <c r="A37" s="110" t="n">
        <v>35</v>
      </c>
      <c r="B37" s="24" t="n"/>
      <c r="C37" s="24" t="n"/>
      <c r="D37" s="24" t="n"/>
      <c r="E37" s="24" t="n"/>
      <c r="F37" s="24" t="n"/>
      <c r="G37" s="24" t="n"/>
      <c r="H37" s="24" t="n"/>
      <c r="I37" s="24" t="n"/>
      <c r="J37" s="24" t="n"/>
      <c r="K37" s="24" t="n"/>
      <c r="L37" s="24" t="n"/>
      <c r="M37" s="24" t="n"/>
      <c r="N37" s="24" t="n"/>
      <c r="O37" s="24" t="n"/>
      <c r="P37" s="24" t="n"/>
      <c r="Q37" s="24" t="n"/>
      <c r="R37" s="24" t="n"/>
      <c r="S37" s="24" t="n"/>
      <c r="T37" s="24" t="n"/>
      <c r="U37" s="24" t="n"/>
      <c r="V37" s="24" t="n"/>
      <c r="W37" s="24" t="n"/>
      <c r="X37" s="24" t="n"/>
      <c r="Y37" s="24" t="n"/>
      <c r="Z37" s="24" t="n"/>
      <c r="AA37" s="24" t="n"/>
      <c r="AB37" s="24" t="n"/>
      <c r="AC37" s="24" t="n"/>
      <c r="AD37" s="222" t="n"/>
      <c r="AE37" s="13" t="n"/>
      <c r="AF37" s="13" t="n"/>
    </row>
    <row r="38" ht="19.5" customHeight="1">
      <c r="A38" s="110" t="n">
        <v>36</v>
      </c>
      <c r="B38" s="24" t="n"/>
      <c r="C38" s="24" t="n"/>
      <c r="D38" s="24" t="n"/>
      <c r="E38" s="24" t="n"/>
      <c r="F38" s="24" t="n"/>
      <c r="G38" s="24" t="n"/>
      <c r="H38" s="24" t="n"/>
      <c r="I38" s="24" t="n"/>
      <c r="J38" s="24" t="n"/>
      <c r="K38" s="24" t="n"/>
      <c r="L38" s="24" t="n"/>
      <c r="M38" s="24" t="n"/>
      <c r="N38" s="24" t="n"/>
      <c r="O38" s="24" t="n"/>
      <c r="P38" s="24" t="n"/>
      <c r="Q38" s="24" t="n"/>
      <c r="R38" s="24" t="n"/>
      <c r="S38" s="24" t="n"/>
      <c r="T38" s="24" t="n"/>
      <c r="U38" s="24" t="n"/>
      <c r="V38" s="24" t="n"/>
      <c r="W38" s="24" t="n"/>
      <c r="X38" s="24" t="n"/>
      <c r="Y38" s="24" t="n"/>
      <c r="Z38" s="24" t="n"/>
      <c r="AA38" s="24" t="n"/>
      <c r="AB38" s="24" t="n"/>
      <c r="AC38" s="24" t="n"/>
      <c r="AD38" s="222" t="n"/>
      <c r="AE38" s="13" t="n"/>
      <c r="AF38" s="13" t="n"/>
    </row>
    <row r="39" ht="19.5" customHeight="1">
      <c r="A39" s="110" t="n">
        <v>37</v>
      </c>
      <c r="B39" s="24" t="n"/>
      <c r="C39" s="24" t="n"/>
      <c r="D39" s="24" t="n"/>
      <c r="E39" s="24" t="n"/>
      <c r="F39" s="24" t="n"/>
      <c r="G39" s="24" t="n"/>
      <c r="H39" s="24" t="n"/>
      <c r="I39" s="24" t="n"/>
      <c r="J39" s="24" t="n"/>
      <c r="K39" s="24" t="n"/>
      <c r="L39" s="24" t="n"/>
      <c r="M39" s="24" t="n"/>
      <c r="N39" s="24" t="n"/>
      <c r="O39" s="24" t="n"/>
      <c r="P39" s="24" t="n"/>
      <c r="Q39" s="24" t="n"/>
      <c r="R39" s="24" t="n"/>
      <c r="S39" s="24" t="n"/>
      <c r="T39" s="24" t="n"/>
      <c r="U39" s="24" t="n"/>
      <c r="V39" s="24" t="n"/>
      <c r="W39" s="24" t="n"/>
      <c r="X39" s="24" t="n"/>
      <c r="Y39" s="24" t="n"/>
      <c r="Z39" s="24" t="n"/>
      <c r="AA39" s="24" t="n"/>
      <c r="AB39" s="24" t="n"/>
      <c r="AC39" s="24" t="n"/>
      <c r="AD39" s="222" t="n"/>
      <c r="AE39" s="13" t="n"/>
      <c r="AF39" s="13" t="n"/>
    </row>
    <row r="40" ht="19.5" customHeight="1">
      <c r="A40" s="110" t="n">
        <v>38</v>
      </c>
      <c r="B40" s="24" t="n"/>
      <c r="C40" s="24" t="n"/>
      <c r="D40" s="24" t="n"/>
      <c r="E40" s="24" t="n"/>
      <c r="F40" s="24" t="n"/>
      <c r="G40" s="24" t="n"/>
      <c r="H40" s="24" t="n"/>
      <c r="I40" s="24" t="n"/>
      <c r="J40" s="24" t="n"/>
      <c r="K40" s="24" t="n"/>
      <c r="L40" s="24" t="n"/>
      <c r="M40" s="24" t="n"/>
      <c r="N40" s="24" t="n"/>
      <c r="O40" s="24" t="n"/>
      <c r="P40" s="24" t="n"/>
      <c r="Q40" s="24" t="n"/>
      <c r="R40" s="24" t="n"/>
      <c r="S40" s="24" t="n"/>
      <c r="T40" s="24" t="n"/>
      <c r="U40" s="24" t="n"/>
      <c r="V40" s="24" t="n"/>
      <c r="W40" s="24" t="n"/>
      <c r="X40" s="24" t="n"/>
      <c r="Y40" s="24" t="n"/>
      <c r="Z40" s="24" t="n"/>
      <c r="AA40" s="24" t="n"/>
      <c r="AB40" s="24" t="n"/>
      <c r="AC40" s="24" t="n"/>
      <c r="AD40" s="222" t="n"/>
      <c r="AE40" s="13" t="n"/>
      <c r="AF40" s="13" t="n"/>
    </row>
    <row r="41" ht="19.5" customHeight="1">
      <c r="A41" s="110" t="n">
        <v>39</v>
      </c>
      <c r="B41" s="24" t="n"/>
      <c r="C41" s="24" t="n"/>
      <c r="D41" s="24" t="n"/>
      <c r="E41" s="24" t="n"/>
      <c r="F41" s="24" t="n"/>
      <c r="G41" s="24" t="n"/>
      <c r="H41" s="24" t="n"/>
      <c r="I41" s="24" t="n"/>
      <c r="J41" s="24" t="n"/>
      <c r="K41" s="24" t="n"/>
      <c r="L41" s="24" t="n"/>
      <c r="M41" s="24" t="n"/>
      <c r="N41" s="24" t="n"/>
      <c r="O41" s="24" t="n"/>
      <c r="P41" s="24" t="n"/>
      <c r="Q41" s="24" t="n"/>
      <c r="R41" s="24" t="n"/>
      <c r="S41" s="24" t="n"/>
      <c r="T41" s="24" t="n"/>
      <c r="U41" s="24" t="n"/>
      <c r="V41" s="24" t="n"/>
      <c r="W41" s="24" t="n"/>
      <c r="X41" s="24" t="n"/>
      <c r="Y41" s="24" t="n"/>
      <c r="Z41" s="24" t="n"/>
      <c r="AA41" s="24" t="n"/>
      <c r="AB41" s="24" t="n"/>
      <c r="AC41" s="24" t="n"/>
      <c r="AD41" s="222" t="n"/>
      <c r="AE41" s="13" t="n"/>
      <c r="AF41" s="13" t="n"/>
    </row>
    <row r="42" ht="15.75" customHeight="1">
      <c r="A42" s="110" t="n">
        <v>40</v>
      </c>
      <c r="B42" s="24" t="n"/>
      <c r="C42" s="24" t="n"/>
      <c r="D42" s="24" t="n"/>
      <c r="E42" s="24" t="n"/>
      <c r="F42" s="24" t="n"/>
      <c r="G42" s="24" t="n"/>
      <c r="H42" s="24" t="n"/>
      <c r="I42" s="24" t="n"/>
      <c r="J42" s="24" t="n"/>
      <c r="K42" s="24" t="n"/>
      <c r="L42" s="24" t="n"/>
      <c r="M42" s="24" t="n"/>
      <c r="N42" s="24" t="n"/>
      <c r="O42" s="24" t="n"/>
      <c r="P42" s="24" t="n"/>
      <c r="Q42" s="24" t="n"/>
      <c r="R42" s="24" t="n"/>
      <c r="S42" s="24" t="n"/>
      <c r="T42" s="24" t="n"/>
      <c r="U42" s="24" t="n"/>
      <c r="V42" s="24" t="n"/>
      <c r="W42" s="24" t="n"/>
      <c r="X42" s="24" t="n"/>
      <c r="Y42" s="24" t="n"/>
      <c r="Z42" s="24" t="n"/>
      <c r="AA42" s="24" t="n"/>
      <c r="AB42" s="24" t="n"/>
      <c r="AC42" s="24" t="n"/>
      <c r="AD42" s="223" t="n"/>
      <c r="AE42" s="13" t="n"/>
      <c r="AF42" s="13" t="n"/>
    </row>
    <row r="43" ht="15.75" customHeight="1">
      <c r="A43" s="74" t="inlineStr">
        <is>
          <t>Average</t>
        </is>
      </c>
      <c r="B43" s="32">
        <f>AVERAGE(B3:B42)</f>
        <v/>
      </c>
      <c r="C43" s="32">
        <f>AVERAGE(C3:C42)</f>
        <v/>
      </c>
      <c r="D43" s="32">
        <f>AVERAGE(D3:D42)</f>
        <v/>
      </c>
      <c r="E43" s="32">
        <f>AVERAGE(E3:E42)</f>
        <v/>
      </c>
      <c r="F43" s="32">
        <f>AVERAGE(F3:F42)</f>
        <v/>
      </c>
      <c r="G43" s="32">
        <f>AVERAGE(G3:G42)</f>
        <v/>
      </c>
      <c r="H43" s="32">
        <f>AVERAGE(H3:H42)</f>
        <v/>
      </c>
      <c r="I43" s="32">
        <f>AVERAGE(I3:I42)</f>
        <v/>
      </c>
      <c r="J43" s="32">
        <f>AVERAGE(J3:J42)</f>
        <v/>
      </c>
      <c r="K43" s="32">
        <f>AVERAGE(K3:K42)</f>
        <v/>
      </c>
      <c r="L43" s="32">
        <f>AVERAGE(L3:L42)</f>
        <v/>
      </c>
      <c r="M43" s="32">
        <f>AVERAGE(M3:M42)</f>
        <v/>
      </c>
      <c r="N43" s="32">
        <f>AVERAGE(N3:N42)</f>
        <v/>
      </c>
      <c r="O43" s="32">
        <f>AVERAGE(O3:O42)</f>
        <v/>
      </c>
      <c r="P43" s="32">
        <f>AVERAGE(P3:P42)</f>
        <v/>
      </c>
      <c r="Q43" s="32">
        <f>AVERAGE(Q3:Q42)</f>
        <v/>
      </c>
      <c r="R43" s="32">
        <f>AVERAGE(R3:R42)</f>
        <v/>
      </c>
      <c r="S43" s="32">
        <f>AVERAGE(S3:S42)</f>
        <v/>
      </c>
      <c r="T43" s="32">
        <f>AVERAGE(T3:T42)</f>
        <v/>
      </c>
      <c r="U43" s="32">
        <f>AVERAGE(U3:U42)</f>
        <v/>
      </c>
      <c r="V43" s="32">
        <f>AVERAGE(V3:V42)</f>
        <v/>
      </c>
      <c r="W43" s="32">
        <f>AVERAGE(W3:W42)</f>
        <v/>
      </c>
      <c r="X43" s="32">
        <f>AVERAGE(X3:X42)</f>
        <v/>
      </c>
      <c r="Y43" s="32">
        <f>AVERAGE(Y3:Y42)</f>
        <v/>
      </c>
      <c r="Z43" s="32">
        <f>AVERAGE(Z3:Z42)</f>
        <v/>
      </c>
      <c r="AA43" s="32">
        <f>AVERAGE(AA3:AA42)</f>
        <v/>
      </c>
      <c r="AB43" s="32">
        <f>AVERAGE(AB3:AB42)</f>
        <v/>
      </c>
      <c r="AC43" s="32">
        <f>AVERAGE(AC3:AC42)</f>
        <v/>
      </c>
      <c r="AD43" s="33" t="n"/>
      <c r="AE43" s="13" t="n"/>
      <c r="AF43" s="13" t="n"/>
    </row>
    <row r="44" ht="19.5" customHeight="1">
      <c r="A44" s="23" t="inlineStr">
        <is>
          <t>Overall Average</t>
        </is>
      </c>
      <c r="B44" s="24">
        <f>AVERAGEIF(B43:AC43, "&lt;&gt;#DIV/0!")</f>
        <v/>
      </c>
      <c r="C44" s="24" t="n"/>
      <c r="D44" s="24" t="n"/>
      <c r="E44" s="24" t="n"/>
      <c r="F44" s="24" t="n"/>
      <c r="G44" s="24" t="n"/>
      <c r="H44" s="24" t="n"/>
      <c r="I44" s="24" t="n"/>
      <c r="J44" s="24" t="n"/>
      <c r="K44" s="24" t="n"/>
      <c r="L44" s="24" t="n"/>
      <c r="M44" s="24" t="n"/>
      <c r="N44" s="24" t="n"/>
      <c r="O44" s="24" t="n"/>
      <c r="P44" s="24" t="n"/>
      <c r="Q44" s="24" t="n"/>
      <c r="R44" s="24" t="n"/>
      <c r="S44" s="24" t="n"/>
      <c r="T44" s="24" t="n"/>
      <c r="U44" s="24" t="n"/>
      <c r="V44" s="24" t="n"/>
      <c r="W44" s="24" t="n"/>
      <c r="X44" s="24" t="n"/>
      <c r="Y44" s="24" t="n"/>
      <c r="Z44" s="24" t="n"/>
      <c r="AA44" s="24" t="n"/>
      <c r="AB44" s="24" t="n"/>
      <c r="AC44" s="24" t="n"/>
      <c r="AD44" s="111" t="n"/>
      <c r="AE44" s="13" t="n"/>
      <c r="AF44" s="13" t="n"/>
    </row>
    <row r="45" ht="19.5" customHeight="1">
      <c r="A45" s="23" t="inlineStr">
        <is>
          <t>Total Students</t>
        </is>
      </c>
      <c r="B45" s="34">
        <f>COUNTIF(B3:B42, "&lt;&gt;")</f>
        <v/>
      </c>
      <c r="C45" s="34">
        <f>COUNTIF(C3:C42, "&lt;&gt;")</f>
        <v/>
      </c>
      <c r="D45" s="34">
        <f>COUNTIF(D3:D42, "&lt;&gt;")</f>
        <v/>
      </c>
      <c r="E45" s="34">
        <f>COUNTIF(E3:E42, "&lt;&gt;")</f>
        <v/>
      </c>
      <c r="F45" s="34">
        <f>COUNTIF(F3:F42, "&lt;&gt;")</f>
        <v/>
      </c>
      <c r="G45" s="34">
        <f>COUNTIF(G3:G42, "&lt;&gt;")</f>
        <v/>
      </c>
      <c r="H45" s="34">
        <f>COUNTIF(H3:H42, "&lt;&gt;")</f>
        <v/>
      </c>
      <c r="I45" s="34">
        <f>COUNTIF(I3:I42, "&lt;&gt;")</f>
        <v/>
      </c>
      <c r="J45" s="34">
        <f>COUNTIF(J3:J42, "&lt;&gt;")</f>
        <v/>
      </c>
      <c r="K45" s="34">
        <f>COUNTIF(K3:K42, "&lt;&gt;")</f>
        <v/>
      </c>
      <c r="L45" s="34">
        <f>COUNTIF(L3:L42, "&lt;&gt;")</f>
        <v/>
      </c>
      <c r="M45" s="34">
        <f>COUNTIF(M3:M42, "&lt;&gt;")</f>
        <v/>
      </c>
      <c r="N45" s="34">
        <f>COUNTIF(N3:N42, "&lt;&gt;")</f>
        <v/>
      </c>
      <c r="O45" s="34">
        <f>COUNTIF(O3:O42, "&lt;&gt;")</f>
        <v/>
      </c>
      <c r="P45" s="34">
        <f>COUNTIF(P3:P42, "&lt;&gt;")</f>
        <v/>
      </c>
      <c r="Q45" s="34">
        <f>COUNTIF(Q3:Q42, "&lt;&gt;")</f>
        <v/>
      </c>
      <c r="R45" s="34">
        <f>COUNTIF(R3:R42, "&lt;&gt;")</f>
        <v/>
      </c>
      <c r="S45" s="34">
        <f>COUNTIF(S3:S42, "&lt;&gt;")</f>
        <v/>
      </c>
      <c r="T45" s="34">
        <f>COUNTIF(T3:T42, "&lt;&gt;")</f>
        <v/>
      </c>
      <c r="U45" s="34">
        <f>COUNTIF(U3:U42, "&lt;&gt;")</f>
        <v/>
      </c>
      <c r="V45" s="34">
        <f>COUNTIF(V3:V42, "&lt;&gt;")</f>
        <v/>
      </c>
      <c r="W45" s="34">
        <f>COUNTIF(W3:W42, "&lt;&gt;")</f>
        <v/>
      </c>
      <c r="X45" s="34">
        <f>COUNTIF(X3:X42, "&lt;&gt;")</f>
        <v/>
      </c>
      <c r="Y45" s="34">
        <f>COUNTIF(Y3:Y42, "&lt;&gt;")</f>
        <v/>
      </c>
      <c r="Z45" s="34">
        <f>COUNTIF(Z3:Z42, "&lt;&gt;")</f>
        <v/>
      </c>
      <c r="AA45" s="34">
        <f>COUNTIF(AA3:AA42, "&lt;&gt;")</f>
        <v/>
      </c>
      <c r="AB45" s="34">
        <f>COUNTIF(AB3:AB42, "&lt;&gt;")</f>
        <v/>
      </c>
      <c r="AC45" s="34">
        <f>COUNTIF(AC3:AC42, "&lt;&gt;")</f>
        <v/>
      </c>
      <c r="AD45" s="111" t="n"/>
      <c r="AE45" s="13" t="n"/>
      <c r="AF45" s="13" t="n"/>
    </row>
    <row r="46" ht="19.5" customHeight="1">
      <c r="A46" s="58" t="n"/>
      <c r="B46" s="76" t="n"/>
      <c r="C46" s="60" t="n"/>
      <c r="D46" s="58" t="n"/>
      <c r="E46" s="58" t="n"/>
      <c r="F46" s="58" t="n"/>
      <c r="G46" s="58" t="n"/>
      <c r="H46" s="58" t="n"/>
      <c r="I46" s="89" t="n"/>
      <c r="J46" s="89" t="n"/>
      <c r="K46" s="89" t="n"/>
      <c r="L46" s="89" t="n"/>
      <c r="M46" s="89" t="n"/>
      <c r="N46" s="89" t="n"/>
      <c r="O46" s="89" t="n"/>
      <c r="P46" s="89" t="n"/>
      <c r="Q46" s="89" t="n"/>
      <c r="R46" s="89" t="n"/>
      <c r="S46" s="89" t="n"/>
      <c r="T46" s="89" t="n"/>
      <c r="U46" s="89" t="n"/>
      <c r="V46" s="89" t="n"/>
      <c r="W46" s="89" t="n"/>
      <c r="X46" s="89" t="n"/>
      <c r="Y46" s="89" t="n"/>
      <c r="Z46" s="89" t="n"/>
      <c r="AA46" s="89" t="n"/>
      <c r="AB46" s="89" t="n"/>
      <c r="AC46" s="89" t="n"/>
      <c r="AD46" s="13" t="n"/>
      <c r="AE46" s="13" t="n"/>
      <c r="AF46" s="13" t="n"/>
    </row>
    <row r="47" ht="19.5" customHeight="1">
      <c r="A47" s="58" t="n"/>
      <c r="B47" s="112" t="inlineStr">
        <is>
          <t>Assignment (A)</t>
        </is>
      </c>
      <c r="C47" s="22" t="inlineStr">
        <is>
          <t>Quiz (Q)</t>
        </is>
      </c>
      <c r="D47" s="14" t="inlineStr">
        <is>
          <t>Mid Term (M)</t>
        </is>
      </c>
      <c r="E47" s="14" t="inlineStr">
        <is>
          <t>Final Exam (F)</t>
        </is>
      </c>
      <c r="F47" s="14" t="inlineStr">
        <is>
          <t>Project (P)</t>
        </is>
      </c>
      <c r="G47" s="14" t="inlineStr">
        <is>
          <t>Lab (L)</t>
        </is>
      </c>
      <c r="H47" s="14" t="inlineStr">
        <is>
          <t>Anyother (OT)</t>
        </is>
      </c>
      <c r="I47" s="91" t="inlineStr">
        <is>
          <t>Total</t>
        </is>
      </c>
      <c r="J47" s="89" t="n"/>
      <c r="K47" s="89" t="n"/>
      <c r="L47" s="89" t="n"/>
      <c r="M47" s="89" t="n"/>
      <c r="N47" s="89" t="n"/>
      <c r="O47" s="89" t="n"/>
      <c r="P47" s="89" t="n"/>
      <c r="Q47" s="89" t="n"/>
      <c r="R47" s="89" t="n"/>
      <c r="S47" s="89" t="n"/>
      <c r="T47" s="89" t="n"/>
      <c r="U47" s="89" t="n"/>
      <c r="V47" s="89" t="n"/>
      <c r="W47" s="89" t="n"/>
      <c r="X47" s="89" t="n"/>
      <c r="Y47" s="89" t="n"/>
      <c r="Z47" s="89" t="n"/>
      <c r="AA47" s="89" t="n"/>
      <c r="AB47" s="89" t="n"/>
      <c r="AC47" s="89" t="n"/>
      <c r="AD47" s="13" t="n"/>
      <c r="AE47" s="13" t="n"/>
      <c r="AF47" s="13" t="n"/>
    </row>
    <row r="48" ht="19.5" customHeight="1">
      <c r="A48" s="37" t="inlineStr">
        <is>
          <t>I (1st, 2nd yr)</t>
        </is>
      </c>
      <c r="B48" s="23">
        <f>COUNTIF(B2:AC2, "A")</f>
        <v/>
      </c>
      <c r="C48" s="39">
        <f>COUNTIF(B2:AC2, "Q")</f>
        <v/>
      </c>
      <c r="D48" s="23">
        <f>COUNTIF(B2:AC2, "M")</f>
        <v/>
      </c>
      <c r="E48" s="23">
        <f>COUNTIF(B2:AC2, "F")</f>
        <v/>
      </c>
      <c r="F48" s="23">
        <f>COUNTIF(B2:AC2, "P")</f>
        <v/>
      </c>
      <c r="G48" s="23">
        <f>COUNTIF(B2:AC2, "L")</f>
        <v/>
      </c>
      <c r="H48" s="23">
        <f>COUNTIF(B2:AC2, "OT")</f>
        <v/>
      </c>
      <c r="I48" s="91">
        <f>SUM(B48:H48)</f>
        <v/>
      </c>
      <c r="J48" s="89" t="n"/>
      <c r="K48" s="89" t="n"/>
      <c r="L48" s="89" t="n"/>
      <c r="M48" s="89" t="n"/>
      <c r="N48" s="89" t="n"/>
      <c r="O48" s="89" t="n"/>
      <c r="P48" s="89" t="n"/>
      <c r="Q48" s="89" t="n"/>
      <c r="R48" s="89" t="n"/>
      <c r="S48" s="89" t="n"/>
      <c r="T48" s="89" t="n"/>
      <c r="U48" s="89" t="n"/>
      <c r="V48" s="89" t="n"/>
      <c r="W48" s="89" t="n"/>
      <c r="X48" s="89" t="n"/>
      <c r="Y48" s="89" t="n"/>
      <c r="Z48" s="89" t="n"/>
      <c r="AA48" s="89" t="n"/>
      <c r="AB48" s="89" t="n"/>
      <c r="AC48" s="89" t="n"/>
      <c r="AD48" s="13" t="n"/>
      <c r="AE48" s="13" t="n"/>
      <c r="AF48" s="13" t="n"/>
    </row>
    <row r="49" ht="19.5" customHeight="1">
      <c r="A49" s="41" t="inlineStr">
        <is>
          <t>D (2nd &amp; 3rd yr)</t>
        </is>
      </c>
      <c r="B49" s="23" t="n">
        <v>0</v>
      </c>
      <c r="C49" s="23" t="n">
        <v>0</v>
      </c>
      <c r="D49" s="23" t="n">
        <v>0</v>
      </c>
      <c r="E49" s="23" t="n">
        <v>0</v>
      </c>
      <c r="F49" s="23" t="n">
        <v>0</v>
      </c>
      <c r="G49" s="23" t="n">
        <v>0</v>
      </c>
      <c r="H49" s="23" t="n">
        <v>0</v>
      </c>
      <c r="I49" s="91">
        <f>SUM(B49:H49)</f>
        <v/>
      </c>
      <c r="J49" s="89" t="n"/>
      <c r="K49" s="89" t="n"/>
      <c r="L49" s="89" t="n"/>
      <c r="M49" s="89" t="n"/>
      <c r="N49" s="89" t="n"/>
      <c r="O49" s="89" t="n"/>
      <c r="P49" s="89" t="n"/>
      <c r="Q49" s="89" t="n"/>
      <c r="R49" s="89" t="n"/>
      <c r="S49" s="89" t="n"/>
      <c r="T49" s="89" t="n"/>
      <c r="U49" s="89" t="n"/>
      <c r="V49" s="89" t="n"/>
      <c r="W49" s="89" t="n"/>
      <c r="X49" s="89" t="n"/>
      <c r="Y49" s="89" t="n"/>
      <c r="Z49" s="89" t="n"/>
      <c r="AA49" s="89" t="n"/>
      <c r="AB49" s="89" t="n"/>
      <c r="AC49" s="89" t="n"/>
      <c r="AD49" s="13" t="n"/>
      <c r="AE49" s="13" t="n"/>
      <c r="AF49" s="13" t="n"/>
    </row>
    <row r="50" ht="19.5" customHeight="1">
      <c r="A50" s="42" t="inlineStr">
        <is>
          <t>A (3rd, 4yr)</t>
        </is>
      </c>
      <c r="B50" s="23" t="n">
        <v>0</v>
      </c>
      <c r="C50" s="23" t="n">
        <v>0</v>
      </c>
      <c r="D50" s="23" t="n">
        <v>0</v>
      </c>
      <c r="E50" s="23" t="n">
        <v>0</v>
      </c>
      <c r="F50" s="23" t="n">
        <v>0</v>
      </c>
      <c r="G50" s="23" t="n">
        <v>0</v>
      </c>
      <c r="H50" s="23" t="n">
        <v>0</v>
      </c>
      <c r="I50" s="91">
        <f>SUM(B50:H50)</f>
        <v/>
      </c>
      <c r="J50" s="89" t="n"/>
      <c r="K50" s="89" t="n"/>
      <c r="L50" s="89" t="n"/>
      <c r="M50" s="89" t="n"/>
      <c r="N50" s="89" t="n"/>
      <c r="O50" s="89" t="n"/>
      <c r="P50" s="89" t="n"/>
      <c r="Q50" s="89" t="n"/>
      <c r="R50" s="89" t="n"/>
      <c r="S50" s="89" t="n"/>
      <c r="T50" s="89" t="n"/>
      <c r="U50" s="89" t="n"/>
      <c r="V50" s="89" t="n"/>
      <c r="W50" s="89" t="n"/>
      <c r="X50" s="89" t="n"/>
      <c r="Y50" s="89" t="n"/>
      <c r="Z50" s="89" t="n"/>
      <c r="AA50" s="89" t="n"/>
      <c r="AB50" s="89" t="n"/>
      <c r="AC50" s="89" t="n"/>
      <c r="AD50" s="13" t="n"/>
      <c r="AE50" s="13" t="n"/>
      <c r="AF50" s="13" t="n"/>
    </row>
    <row r="51" ht="19.5" customHeight="1">
      <c r="A51" s="14" t="inlineStr">
        <is>
          <t>Total</t>
        </is>
      </c>
      <c r="B51" s="14">
        <f>SUM(B48:B50)</f>
        <v/>
      </c>
      <c r="C51" s="22">
        <f>SUM(C48:C50)</f>
        <v/>
      </c>
      <c r="D51" s="14">
        <f>SUM(D48:D50)</f>
        <v/>
      </c>
      <c r="E51" s="14">
        <f>SUM(E48:E50)</f>
        <v/>
      </c>
      <c r="F51" s="14">
        <f>SUM(F48:F50)</f>
        <v/>
      </c>
      <c r="G51" s="14">
        <f>SUM(G48:G50)</f>
        <v/>
      </c>
      <c r="H51" s="14">
        <f>SUM(H48:H50)</f>
        <v/>
      </c>
      <c r="I51" s="91">
        <f>SUM(B51:H51)</f>
        <v/>
      </c>
      <c r="J51" s="89" t="n"/>
      <c r="K51" s="89" t="n"/>
      <c r="L51" s="89" t="n"/>
      <c r="M51" s="89" t="n"/>
      <c r="N51" s="89" t="n"/>
      <c r="O51" s="89" t="n"/>
      <c r="P51" s="89" t="n"/>
      <c r="Q51" s="89" t="n"/>
      <c r="R51" s="89" t="n"/>
      <c r="S51" s="89" t="n"/>
      <c r="T51" s="89" t="n"/>
      <c r="U51" s="89" t="n"/>
      <c r="V51" s="89" t="n"/>
      <c r="W51" s="89" t="n"/>
      <c r="X51" s="89" t="n"/>
      <c r="Y51" s="89" t="n"/>
      <c r="Z51" s="89" t="n"/>
      <c r="AA51" s="89" t="n"/>
      <c r="AB51" s="89" t="n"/>
      <c r="AC51" s="89" t="n"/>
      <c r="AD51" s="13" t="n"/>
      <c r="AE51" s="13" t="n"/>
      <c r="AF51" s="13" t="n"/>
    </row>
    <row r="52" ht="19.5" customHeight="1">
      <c r="A52" s="35" t="n"/>
      <c r="B52" s="35" t="n"/>
      <c r="C52" s="113" t="n"/>
      <c r="D52" s="35" t="n"/>
      <c r="E52" s="35" t="n"/>
      <c r="F52" s="35" t="n"/>
      <c r="G52" s="35" t="n"/>
      <c r="H52" s="35" t="n"/>
      <c r="I52" s="114" t="n"/>
      <c r="J52" s="89" t="n"/>
      <c r="K52" s="89" t="n"/>
      <c r="L52" s="89" t="n"/>
      <c r="M52" s="89" t="n"/>
      <c r="N52" s="89" t="n"/>
      <c r="O52" s="89" t="n"/>
      <c r="P52" s="89" t="n"/>
      <c r="Q52" s="89" t="n"/>
      <c r="R52" s="89" t="n"/>
      <c r="S52" s="89" t="n"/>
      <c r="T52" s="89" t="n"/>
      <c r="U52" s="89" t="n"/>
      <c r="V52" s="89" t="n"/>
      <c r="W52" s="89" t="n"/>
      <c r="X52" s="89" t="n"/>
      <c r="Y52" s="89" t="n"/>
      <c r="Z52" s="89" t="n"/>
      <c r="AA52" s="89" t="n"/>
      <c r="AB52" s="89" t="n"/>
      <c r="AC52" s="89" t="n"/>
      <c r="AD52" s="13" t="n"/>
      <c r="AE52" s="13" t="n"/>
      <c r="AF52" s="13" t="n"/>
    </row>
    <row r="53" ht="18.75" customHeight="1">
      <c r="A53" s="115" t="inlineStr">
        <is>
          <t>Frequency Distribution Analysis</t>
        </is>
      </c>
      <c r="B53" s="76" t="n"/>
      <c r="C53" s="60" t="n"/>
      <c r="D53" s="58" t="n"/>
      <c r="E53" s="58" t="n"/>
      <c r="F53" s="58" t="n"/>
      <c r="G53" s="58" t="n"/>
      <c r="H53" s="58" t="n"/>
      <c r="I53" s="89" t="n"/>
      <c r="J53" s="89" t="n"/>
      <c r="K53" s="89" t="n"/>
      <c r="L53" s="89" t="n"/>
      <c r="M53" s="89" t="n"/>
      <c r="N53" s="89" t="n"/>
      <c r="O53" s="89" t="n"/>
      <c r="P53" s="89" t="n"/>
      <c r="Q53" s="89" t="n"/>
      <c r="R53" s="89" t="n"/>
      <c r="S53" s="89" t="n"/>
      <c r="T53" s="89" t="n"/>
      <c r="U53" s="89" t="n"/>
      <c r="V53" s="89" t="n"/>
      <c r="W53" s="89" t="n"/>
      <c r="X53" s="89" t="n"/>
      <c r="Y53" s="89" t="n"/>
      <c r="Z53" s="89" t="n"/>
      <c r="AA53" s="89" t="n"/>
      <c r="AB53" s="89" t="n"/>
      <c r="AC53" s="89" t="n"/>
      <c r="AD53" s="13" t="n"/>
      <c r="AE53" s="13" t="n"/>
      <c r="AF53" s="13" t="n"/>
    </row>
    <row r="54" ht="16.5" customHeight="1">
      <c r="A54" s="45" t="inlineStr">
        <is>
          <t>Scale</t>
        </is>
      </c>
      <c r="B54" s="106" t="inlineStr">
        <is>
          <t>MATH-1130-1</t>
        </is>
      </c>
      <c r="C54" s="16" t="inlineStr">
        <is>
          <t>MATH-1130-2</t>
        </is>
      </c>
      <c r="D54" s="72" t="inlineStr">
        <is>
          <t>MATH-1130-3</t>
        </is>
      </c>
      <c r="E54" s="107" t="inlineStr">
        <is>
          <t>MATH-1300-1</t>
        </is>
      </c>
      <c r="F54" s="72" t="inlineStr">
        <is>
          <t>MATH-1300-2</t>
        </is>
      </c>
      <c r="G54" s="72" t="inlineStr">
        <is>
          <t>MATH-1300-3</t>
        </is>
      </c>
      <c r="H54" s="72" t="inlineStr">
        <is>
          <t>MATH-1300-4</t>
        </is>
      </c>
      <c r="I54" s="108" t="inlineStr">
        <is>
          <t>MATH-1300-5</t>
        </is>
      </c>
      <c r="J54" s="108" t="inlineStr">
        <is>
          <t>MATH-1300-6</t>
        </is>
      </c>
      <c r="K54" s="108" t="inlineStr">
        <is>
          <t>MATH-1300-7</t>
        </is>
      </c>
      <c r="L54" s="108" t="inlineStr">
        <is>
          <t>MATH-1300-8</t>
        </is>
      </c>
      <c r="M54" s="108" t="inlineStr">
        <is>
          <t>MATH-1300-9</t>
        </is>
      </c>
      <c r="N54" s="108" t="inlineStr">
        <is>
          <t>MATH-1300-10</t>
        </is>
      </c>
      <c r="O54" s="108" t="inlineStr">
        <is>
          <t>MATH-1700-1</t>
        </is>
      </c>
      <c r="P54" s="108" t="inlineStr">
        <is>
          <t>MATH-1700-2</t>
        </is>
      </c>
      <c r="Q54" s="108" t="inlineStr">
        <is>
          <t>MATH-1700-3</t>
        </is>
      </c>
      <c r="R54" s="108" t="inlineStr">
        <is>
          <t>MATH-1700-4</t>
        </is>
      </c>
      <c r="S54" s="108" t="inlineStr">
        <is>
          <t>MATH-1700-5</t>
        </is>
      </c>
      <c r="T54" s="108" t="inlineStr">
        <is>
          <t>MATH-1700-6</t>
        </is>
      </c>
      <c r="U54" s="108" t="inlineStr">
        <is>
          <t>MATH-1700-7</t>
        </is>
      </c>
      <c r="V54" s="108" t="inlineStr">
        <is>
          <t>MATH-1700-8</t>
        </is>
      </c>
      <c r="W54" s="108" t="inlineStr">
        <is>
          <t>MATH-1230-1</t>
        </is>
      </c>
      <c r="X54" s="108" t="inlineStr">
        <is>
          <t>MATH-1230-2</t>
        </is>
      </c>
      <c r="Y54" s="108" t="inlineStr">
        <is>
          <t>MATH-1230-3</t>
        </is>
      </c>
      <c r="Z54" s="108" t="inlineStr">
        <is>
          <t>MATH-1230-4</t>
        </is>
      </c>
      <c r="AA54" s="108" t="inlineStr">
        <is>
          <t>STAT-2230-1</t>
        </is>
      </c>
      <c r="AB54" s="108" t="inlineStr">
        <is>
          <t>STAT-2230-2</t>
        </is>
      </c>
      <c r="AC54" s="108" t="inlineStr">
        <is>
          <t>STAT-2230-3</t>
        </is>
      </c>
      <c r="AD54" s="46" t="inlineStr">
        <is>
          <t>Average</t>
        </is>
      </c>
      <c r="AE54" s="13" t="n"/>
      <c r="AF54" s="13" t="n"/>
    </row>
    <row r="55" ht="16.5" customHeight="1">
      <c r="A55" s="47" t="inlineStr">
        <is>
          <t>Below Expectation (C- and below)  (%)</t>
        </is>
      </c>
      <c r="B55" s="48">
        <f>(COUNTIF(B3:B42, "&lt;=59%"))/B45</f>
        <v/>
      </c>
      <c r="C55" s="48">
        <f>(COUNTIF(C3:C42, "&lt;=59%"))/C45</f>
        <v/>
      </c>
      <c r="D55" s="48">
        <f>(COUNTIF(D3:D42, "&lt;=59%"))/D45</f>
        <v/>
      </c>
      <c r="E55" s="48">
        <f>(COUNTIF(E3:E42, "&lt;=59%"))/E45</f>
        <v/>
      </c>
      <c r="F55" s="48">
        <f>(COUNTIF(F3:F42, "&lt;=59%"))/F45</f>
        <v/>
      </c>
      <c r="G55" s="48">
        <f>(COUNTIF(G3:G42, "&lt;=59%"))/G45</f>
        <v/>
      </c>
      <c r="H55" s="48">
        <f>(COUNTIF(H3:H42, "&lt;=59%"))/H45</f>
        <v/>
      </c>
      <c r="I55" s="48">
        <f>(COUNTIF(I3:I42, "&lt;=59%"))/I45</f>
        <v/>
      </c>
      <c r="J55" s="48">
        <f>(COUNTIF(J3:J42, "&lt;=59%"))/J45</f>
        <v/>
      </c>
      <c r="K55" s="48">
        <f>(COUNTIF(K3:K42, "&lt;=59%"))/K45</f>
        <v/>
      </c>
      <c r="L55" s="48">
        <f>(COUNTIF(L3:L42, "&lt;=59%"))/L45</f>
        <v/>
      </c>
      <c r="M55" s="48">
        <f>(COUNTIF(M3:M42, "&lt;=59%"))/M45</f>
        <v/>
      </c>
      <c r="N55" s="48">
        <f>(COUNTIF(N3:N42, "&lt;=59%"))/N45</f>
        <v/>
      </c>
      <c r="O55" s="48">
        <f>(COUNTIF(O3:O42, "&lt;=59%"))/O45</f>
        <v/>
      </c>
      <c r="P55" s="48">
        <f>(COUNTIF(P3:P42, "&lt;=59%"))/P45</f>
        <v/>
      </c>
      <c r="Q55" s="48">
        <f>(COUNTIF(Q3:Q42, "&lt;=59%"))/Q45</f>
        <v/>
      </c>
      <c r="R55" s="48">
        <f>(COUNTIF(R3:R42, "&lt;=59%"))/R45</f>
        <v/>
      </c>
      <c r="S55" s="48">
        <f>(COUNTIF(S3:S42, "&lt;=59%"))/S45</f>
        <v/>
      </c>
      <c r="T55" s="48">
        <f>(COUNTIF(T3:T42, "&lt;=59%"))/T45</f>
        <v/>
      </c>
      <c r="U55" s="48">
        <f>(COUNTIF(U3:U42, "&lt;=59%"))/U45</f>
        <v/>
      </c>
      <c r="V55" s="48">
        <f>(COUNTIF(V3:V42, "&lt;=59%"))/V45</f>
        <v/>
      </c>
      <c r="W55" s="48">
        <f>(COUNTIF(W3:W42, "&lt;=59%"))/W45</f>
        <v/>
      </c>
      <c r="X55" s="48">
        <f>(COUNTIF(X3:X42, "&lt;=59%"))/X45</f>
        <v/>
      </c>
      <c r="Y55" s="48">
        <f>(COUNTIF(Y3:Y42, "&lt;=59%"))/Y45</f>
        <v/>
      </c>
      <c r="Z55" s="48">
        <f>(COUNTIF(Z3:Z42, "&lt;=59%"))/Z45</f>
        <v/>
      </c>
      <c r="AA55" s="48">
        <f>(COUNTIF(AA3:AA42, "&lt;=59%"))/AA45</f>
        <v/>
      </c>
      <c r="AB55" s="48">
        <f>(COUNTIF(AB3:AB42, "&lt;=59%"))/AB45</f>
        <v/>
      </c>
      <c r="AC55" s="48">
        <f>(COUNTIF(AC3:AC42, "&lt;=59%"))/AC45</f>
        <v/>
      </c>
      <c r="AD55" s="49">
        <f>AVERAGEIF(B55:AC55, "&lt;&gt;#DIV/0!")</f>
        <v/>
      </c>
      <c r="AE55" s="13" t="n"/>
      <c r="AF55" s="13" t="n"/>
    </row>
    <row r="56" ht="16.5" customHeight="1">
      <c r="A56" s="50" t="inlineStr">
        <is>
          <t>Marginal (C+, C)  (%)</t>
        </is>
      </c>
      <c r="B56" s="48">
        <f>(COUNTIFS(B3:B42, "&gt;= 60%", B3:B42, "&lt;=69%" ))/B45</f>
        <v/>
      </c>
      <c r="C56" s="48">
        <f>(COUNTIFS(C3:C42, "&gt;= 60%", C3:C42, "&lt;=69%" ))/C45</f>
        <v/>
      </c>
      <c r="D56" s="48">
        <f>(COUNTIFS(D3:D42, "&gt;= 60%", D3:D42, "&lt;=69%" ))/D45</f>
        <v/>
      </c>
      <c r="E56" s="48">
        <f>(COUNTIFS(E3:E42, "&gt;= 60%", E3:E42, "&lt;=69%" ))/E45</f>
        <v/>
      </c>
      <c r="F56" s="48">
        <f>(COUNTIFS(F3:F42, "&gt;= 60%", F3:F42, "&lt;=69%" ))/F45</f>
        <v/>
      </c>
      <c r="G56" s="48">
        <f>(COUNTIFS(G3:G42, "&gt;= 60%", G3:G42, "&lt;=69%" ))/G45</f>
        <v/>
      </c>
      <c r="H56" s="48">
        <f>(COUNTIFS(H3:H42, "&gt;= 60%", H3:H42, "&lt;=69%" ))/H45</f>
        <v/>
      </c>
      <c r="I56" s="48">
        <f>(COUNTIFS(I3:I42, "&gt;= 60%", I3:I42, "&lt;=69%" ))/I45</f>
        <v/>
      </c>
      <c r="J56" s="48">
        <f>(COUNTIFS(J3:J42, "&gt;= 60%", J3:J42, "&lt;=69%" ))/J45</f>
        <v/>
      </c>
      <c r="K56" s="48">
        <f>(COUNTIFS(K3:K42, "&gt;= 60%", K3:K42, "&lt;=69%" ))/K45</f>
        <v/>
      </c>
      <c r="L56" s="48">
        <f>(COUNTIFS(L3:L42, "&gt;= 60%", L3:L42, "&lt;=69%" ))/L45</f>
        <v/>
      </c>
      <c r="M56" s="48">
        <f>(COUNTIFS(M3:M42, "&gt;= 60%", M3:M42, "&lt;=69%" ))/M45</f>
        <v/>
      </c>
      <c r="N56" s="48">
        <f>(COUNTIFS(N3:N42, "&gt;= 60%", N3:N42, "&lt;=69%" ))/N45</f>
        <v/>
      </c>
      <c r="O56" s="48">
        <f>(COUNTIFS(O3:O42, "&gt;= 60%", O3:O42, "&lt;=69%" ))/O45</f>
        <v/>
      </c>
      <c r="P56" s="48">
        <f>(COUNTIFS(P3:P42, "&gt;= 60%", P3:P42, "&lt;=69%" ))/P45</f>
        <v/>
      </c>
      <c r="Q56" s="48">
        <f>(COUNTIFS(Q3:Q42, "&gt;= 60%", Q3:Q42, "&lt;=69%" ))/Q45</f>
        <v/>
      </c>
      <c r="R56" s="48">
        <f>(COUNTIFS(R3:R42, "&gt;= 60%", R3:R42, "&lt;=69%" ))/R45</f>
        <v/>
      </c>
      <c r="S56" s="48">
        <f>(COUNTIFS(S3:S42, "&gt;= 60%", S3:S42, "&lt;=69%" ))/S45</f>
        <v/>
      </c>
      <c r="T56" s="48">
        <f>(COUNTIFS(T3:T42, "&gt;= 60%", T3:T42, "&lt;=69%" ))/T45</f>
        <v/>
      </c>
      <c r="U56" s="48">
        <f>(COUNTIFS(U3:U42, "&gt;= 60%", U3:U42, "&lt;=69%" ))/U45</f>
        <v/>
      </c>
      <c r="V56" s="48">
        <f>(COUNTIFS(V3:V42, "&gt;= 60%", V3:V42, "&lt;=69%" ))/V45</f>
        <v/>
      </c>
      <c r="W56" s="48">
        <f>(COUNTIFS(W3:W42, "&gt;= 60%", W3:W42, "&lt;=69%" ))/W45</f>
        <v/>
      </c>
      <c r="X56" s="48">
        <f>(COUNTIFS(X3:X42, "&gt;= 60%", X3:X42, "&lt;=69%" ))/X45</f>
        <v/>
      </c>
      <c r="Y56" s="48">
        <f>(COUNTIFS(Y3:Y42, "&gt;= 60%", Y3:Y42, "&lt;=69%" ))/Y45</f>
        <v/>
      </c>
      <c r="Z56" s="48">
        <f>(COUNTIFS(Z3:Z42, "&gt;= 60%", Z3:Z42, "&lt;=69%" ))/Z45</f>
        <v/>
      </c>
      <c r="AA56" s="48">
        <f>(COUNTIFS(AA3:AA42, "&gt;= 60%", AA3:AA42, "&lt;=69%" ))/AA45</f>
        <v/>
      </c>
      <c r="AB56" s="48">
        <f>(COUNTIFS(AB3:AB42, "&gt;= 60%", AB3:AB42, "&lt;=69%" ))/AB45</f>
        <v/>
      </c>
      <c r="AC56" s="48">
        <f>(COUNTIFS(AC3:AC42, "&gt;= 60%", AC3:AC42, "&lt;=69%" ))/AC45</f>
        <v/>
      </c>
      <c r="AD56" s="49">
        <f>AVERAGEIF(B56:AC56, "&lt;&gt;#DIV/0!")</f>
        <v/>
      </c>
      <c r="AE56" s="13" t="n"/>
      <c r="AF56" s="13" t="n"/>
    </row>
    <row r="57" ht="16.5" customHeight="1">
      <c r="A57" s="51" t="inlineStr">
        <is>
          <t>Meets Expectation (B+, B, B-) (%)</t>
        </is>
      </c>
      <c r="B57" s="48">
        <f>(COUNTIFS(B3:B42, "&gt;= 70%", B3:B42, "&lt;=79%" ))/B45</f>
        <v/>
      </c>
      <c r="C57" s="48">
        <f>(COUNTIFS(C3:C42, "&gt;= 70%", C3:C42, "&lt;=79%" ))/C45</f>
        <v/>
      </c>
      <c r="D57" s="48">
        <f>(COUNTIFS(D3:D42, "&gt;= 70%", D3:D42, "&lt;=79%" ))/D45</f>
        <v/>
      </c>
      <c r="E57" s="48">
        <f>(COUNTIFS(E3:E42, "&gt;= 70%", E3:E42, "&lt;=79%" ))/E45</f>
        <v/>
      </c>
      <c r="F57" s="48">
        <f>(COUNTIFS(F3:F42, "&gt;= 70%", F3:F42, "&lt;=79%" ))/F45</f>
        <v/>
      </c>
      <c r="G57" s="48">
        <f>(COUNTIFS(G3:G42, "&gt;= 70%", G3:G42, "&lt;=79%" ))/G45</f>
        <v/>
      </c>
      <c r="H57" s="48">
        <f>(COUNTIFS(H3:H42, "&gt;= 70%", H3:H42, "&lt;=79%" ))/H45</f>
        <v/>
      </c>
      <c r="I57" s="48">
        <f>(COUNTIFS(I3:I42, "&gt;= 70%", I3:I42, "&lt;=79%" ))/I45</f>
        <v/>
      </c>
      <c r="J57" s="48">
        <f>(COUNTIFS(J3:J42, "&gt;= 70%", J3:J42, "&lt;=79%" ))/J45</f>
        <v/>
      </c>
      <c r="K57" s="48">
        <f>(COUNTIFS(K3:K42, "&gt;= 70%", K3:K42, "&lt;=79%" ))/K45</f>
        <v/>
      </c>
      <c r="L57" s="48">
        <f>(COUNTIFS(L3:L42, "&gt;= 70%", L3:L42, "&lt;=79%" ))/L45</f>
        <v/>
      </c>
      <c r="M57" s="48">
        <f>(COUNTIFS(M3:M42, "&gt;= 70%", M3:M42, "&lt;=79%" ))/M45</f>
        <v/>
      </c>
      <c r="N57" s="48">
        <f>(COUNTIFS(N3:N42, "&gt;= 70%", N3:N42, "&lt;=79%" ))/N45</f>
        <v/>
      </c>
      <c r="O57" s="48">
        <f>(COUNTIFS(O3:O42, "&gt;= 70%", O3:O42, "&lt;=79%" ))/O45</f>
        <v/>
      </c>
      <c r="P57" s="48">
        <f>(COUNTIFS(P3:P42, "&gt;= 70%", P3:P42, "&lt;=79%" ))/P45</f>
        <v/>
      </c>
      <c r="Q57" s="48">
        <f>(COUNTIFS(Q3:Q42, "&gt;= 70%", Q3:Q42, "&lt;=79%" ))/Q45</f>
        <v/>
      </c>
      <c r="R57" s="48">
        <f>(COUNTIFS(R3:R42, "&gt;= 70%", R3:R42, "&lt;=79%" ))/R45</f>
        <v/>
      </c>
      <c r="S57" s="48">
        <f>(COUNTIFS(S3:S42, "&gt;= 70%", S3:S42, "&lt;=79%" ))/S45</f>
        <v/>
      </c>
      <c r="T57" s="48">
        <f>(COUNTIFS(T3:T42, "&gt;= 70%", T3:T42, "&lt;=79%" ))/T45</f>
        <v/>
      </c>
      <c r="U57" s="48">
        <f>(COUNTIFS(U3:U42, "&gt;= 70%", U3:U42, "&lt;=79%" ))/U45</f>
        <v/>
      </c>
      <c r="V57" s="48">
        <f>(COUNTIFS(V3:V42, "&gt;= 70%", V3:V42, "&lt;=79%" ))/V45</f>
        <v/>
      </c>
      <c r="W57" s="48">
        <f>(COUNTIFS(W3:W42, "&gt;= 70%", W3:W42, "&lt;=79%" ))/W45</f>
        <v/>
      </c>
      <c r="X57" s="48">
        <f>(COUNTIFS(X3:X42, "&gt;= 70%", X3:X42, "&lt;=79%" ))/X45</f>
        <v/>
      </c>
      <c r="Y57" s="48">
        <f>(COUNTIFS(Y3:Y42, "&gt;= 70%", Y3:Y42, "&lt;=79%" ))/Y45</f>
        <v/>
      </c>
      <c r="Z57" s="48">
        <f>(COUNTIFS(Z3:Z42, "&gt;= 70%", Z3:Z42, "&lt;=79%" ))/Z45</f>
        <v/>
      </c>
      <c r="AA57" s="48">
        <f>(COUNTIFS(AA3:AA42, "&gt;= 70%", AA3:AA42, "&lt;=79%" ))/AA45</f>
        <v/>
      </c>
      <c r="AB57" s="48">
        <f>(COUNTIFS(AB3:AB42, "&gt;= 70%", AB3:AB42, "&lt;=79%" ))/AB45</f>
        <v/>
      </c>
      <c r="AC57" s="48">
        <f>(COUNTIFS(AC3:AC42, "&gt;= 70%", AC3:AC42, "&lt;=79%" ))/AC45</f>
        <v/>
      </c>
      <c r="AD57" s="49">
        <f>AVERAGEIF(B57:AC57, "&lt;&gt;#DIV/0!")</f>
        <v/>
      </c>
      <c r="AE57" s="13" t="n"/>
      <c r="AF57" s="13" t="n"/>
    </row>
    <row r="58" ht="16.5" customHeight="1">
      <c r="A58" s="52" t="inlineStr">
        <is>
          <t>Exceeds Expectation (A+, A, A-) (%)</t>
        </is>
      </c>
      <c r="B58" s="48">
        <f>(COUNTIF(B3:B42,"&gt;= 80%")/B45)</f>
        <v/>
      </c>
      <c r="C58" s="48">
        <f>(COUNTIF(C3:C42,"&gt;= 80%")/C45)</f>
        <v/>
      </c>
      <c r="D58" s="48">
        <f>(COUNTIF(D3:D42,"&gt;= 80%")/D45)</f>
        <v/>
      </c>
      <c r="E58" s="48">
        <f>(COUNTIF(E3:E42,"&gt;= 80%")/E45)</f>
        <v/>
      </c>
      <c r="F58" s="48">
        <f>(COUNTIF(F3:F42,"&gt;= 80%")/F45)</f>
        <v/>
      </c>
      <c r="G58" s="48">
        <f>(COUNTIF(G3:G42,"&gt;= 80%")/G45)</f>
        <v/>
      </c>
      <c r="H58" s="48">
        <f>(COUNTIF(H3:H42,"&gt;= 80%")/H45)</f>
        <v/>
      </c>
      <c r="I58" s="48">
        <f>(COUNTIF(I3:I42,"&gt;= 80%")/I45)</f>
        <v/>
      </c>
      <c r="J58" s="48">
        <f>(COUNTIF(J3:J42,"&gt;= 80%")/J45)</f>
        <v/>
      </c>
      <c r="K58" s="48">
        <f>(COUNTIF(K3:K42,"&gt;= 80%")/K45)</f>
        <v/>
      </c>
      <c r="L58" s="48">
        <f>(COUNTIF(L3:L42,"&gt;= 80%")/L45)</f>
        <v/>
      </c>
      <c r="M58" s="48">
        <f>(COUNTIF(M3:M42,"&gt;= 80%")/M45)</f>
        <v/>
      </c>
      <c r="N58" s="48">
        <f>(COUNTIF(N3:N42,"&gt;= 80%")/N45)</f>
        <v/>
      </c>
      <c r="O58" s="48">
        <f>(COUNTIF(O3:O42,"&gt;= 80%")/O45)</f>
        <v/>
      </c>
      <c r="P58" s="48">
        <f>(COUNTIF(P3:P42,"&gt;= 80%")/P45)</f>
        <v/>
      </c>
      <c r="Q58" s="48">
        <f>(COUNTIF(Q3:Q42,"&gt;= 80%")/Q45)</f>
        <v/>
      </c>
      <c r="R58" s="48">
        <f>(COUNTIF(R3:R42,"&gt;= 80%")/R45)</f>
        <v/>
      </c>
      <c r="S58" s="48">
        <f>(COUNTIF(S3:S42,"&gt;= 80%")/S45)</f>
        <v/>
      </c>
      <c r="T58" s="48">
        <f>(COUNTIF(T3:T42,"&gt;= 80%")/T45)</f>
        <v/>
      </c>
      <c r="U58" s="48">
        <f>(COUNTIF(U3:U42,"&gt;= 80%")/U45)</f>
        <v/>
      </c>
      <c r="V58" s="48">
        <f>(COUNTIF(V3:V42,"&gt;= 80%")/V45)</f>
        <v/>
      </c>
      <c r="W58" s="48">
        <f>(COUNTIF(W3:W42,"&gt;= 80%")/W45)</f>
        <v/>
      </c>
      <c r="X58" s="48">
        <f>(COUNTIF(X3:X42,"&gt;= 80%")/X45)</f>
        <v/>
      </c>
      <c r="Y58" s="48">
        <f>(COUNTIF(Y3:Y42,"&gt;= 80%")/Y45)</f>
        <v/>
      </c>
      <c r="Z58" s="48">
        <f>(COUNTIF(Z3:Z42,"&gt;= 80%")/Z45)</f>
        <v/>
      </c>
      <c r="AA58" s="48">
        <f>(COUNTIF(AA3:AA42,"&gt;= 80%")/AA45)</f>
        <v/>
      </c>
      <c r="AB58" s="48">
        <f>(COUNTIF(AB3:AB42,"&gt;= 80%")/AB45)</f>
        <v/>
      </c>
      <c r="AC58" s="48">
        <f>(COUNTIF(AC3:AC42,"&gt;= 80%")/AC45)</f>
        <v/>
      </c>
      <c r="AD58" s="49">
        <f>AVERAGEIF(B58:AC58, "&lt;&gt;#DIV/0!")</f>
        <v/>
      </c>
      <c r="AE58" s="13" t="n"/>
      <c r="AF58" s="13" t="n"/>
    </row>
    <row r="59" ht="16.5" customHeight="1">
      <c r="A59" s="54" t="n"/>
      <c r="B59" s="100">
        <f>SUMIF(B55:B58, "&lt;&gt;#DIV/0!")</f>
        <v/>
      </c>
      <c r="C59" s="101">
        <f>SUMIF(C55:C58, "&lt;&gt;#DIV/0!")</f>
        <v/>
      </c>
      <c r="D59" s="101">
        <f>SUMIF(D55:D58, "&lt;&gt;#DIV/0!")</f>
        <v/>
      </c>
      <c r="E59" s="101">
        <f>SUMIF(E55:E58, "&lt;&gt;#DIV/0!")</f>
        <v/>
      </c>
      <c r="F59" s="101">
        <f>SUMIF(F55:F58, "&lt;&gt;#DIV/0!")</f>
        <v/>
      </c>
      <c r="G59" s="101">
        <f>SUMIF(G55:G58, "&lt;&gt;#DIV/0!")</f>
        <v/>
      </c>
      <c r="H59" s="101">
        <f>SUMIF(H55:H58, "&lt;&gt;#DIV/0!")</f>
        <v/>
      </c>
      <c r="I59" s="101">
        <f>SUMIF(I55:I58, "&lt;&gt;#DIV/0!")</f>
        <v/>
      </c>
      <c r="J59" s="101">
        <f>SUMIF(J55:J58, "&lt;&gt;#DIV/0!")</f>
        <v/>
      </c>
      <c r="K59" s="101">
        <f>SUMIF(K55:K58, "&lt;&gt;#DIV/0!")</f>
        <v/>
      </c>
      <c r="L59" s="101">
        <f>SUMIF(L55:L58, "&lt;&gt;#DIV/0!")</f>
        <v/>
      </c>
      <c r="M59" s="101">
        <f>SUMIF(M55:M58, "&lt;&gt;#DIV/0!")</f>
        <v/>
      </c>
      <c r="N59" s="101">
        <f>SUMIF(N55:N58, "&lt;&gt;#DIV/0!")</f>
        <v/>
      </c>
      <c r="O59" s="101">
        <f>SUMIF(O55:O58, "&lt;&gt;#DIV/0!")</f>
        <v/>
      </c>
      <c r="P59" s="101">
        <f>SUMIF(P55:P58, "&lt;&gt;#DIV/0!")</f>
        <v/>
      </c>
      <c r="Q59" s="101">
        <f>SUMIF(Q55:Q58, "&lt;&gt;#DIV/0!")</f>
        <v/>
      </c>
      <c r="R59" s="101">
        <f>SUMIF(R55:R58, "&lt;&gt;#DIV/0!")</f>
        <v/>
      </c>
      <c r="S59" s="101">
        <f>SUMIF(S55:S58, "&lt;&gt;#DIV/0!")</f>
        <v/>
      </c>
      <c r="T59" s="101">
        <f>SUMIF(T55:T58, "&lt;&gt;#DIV/0!")</f>
        <v/>
      </c>
      <c r="U59" s="101">
        <f>SUMIF(U55:U58, "&lt;&gt;#DIV/0!")</f>
        <v/>
      </c>
      <c r="V59" s="101">
        <f>SUMIF(V55:V58, "&lt;&gt;#DIV/0!")</f>
        <v/>
      </c>
      <c r="W59" s="101">
        <f>SUMIF(W55:W58, "&lt;&gt;#DIV/0!")</f>
        <v/>
      </c>
      <c r="X59" s="101">
        <f>SUMIF(X55:X58, "&lt;&gt;#DIV/0!")</f>
        <v/>
      </c>
      <c r="Y59" s="101">
        <f>SUMIF(Y55:Y58, "&lt;&gt;#DIV/0!")</f>
        <v/>
      </c>
      <c r="Z59" s="101">
        <f>SUMIF(Z55:Z58, "&lt;&gt;#DIV/0!")</f>
        <v/>
      </c>
      <c r="AA59" s="101">
        <f>SUMIF(AA55:AA58, "&lt;&gt;#DIV/0!")</f>
        <v/>
      </c>
      <c r="AB59" s="101">
        <f>SUMIF(AB55:AB58, "&lt;&gt;#DIV/0!")</f>
        <v/>
      </c>
      <c r="AC59" s="101">
        <f>SUMIF(AC55:AC58, "&lt;&gt;#DIV/0!")</f>
        <v/>
      </c>
      <c r="AD59" s="116" t="n"/>
      <c r="AE59" s="13" t="n"/>
      <c r="AF59" s="13" t="n"/>
    </row>
    <row r="60" ht="15.75" customHeight="1">
      <c r="A60" s="58" t="n"/>
      <c r="B60" s="76" t="n"/>
      <c r="C60" s="60" t="n"/>
      <c r="D60" s="58" t="n"/>
      <c r="E60" s="58" t="n"/>
      <c r="F60" s="58" t="n"/>
      <c r="G60" s="58" t="n"/>
      <c r="H60" s="58" t="n"/>
      <c r="I60" s="89" t="n"/>
      <c r="J60" s="89" t="n"/>
      <c r="K60" s="89" t="n"/>
      <c r="L60" s="89" t="n"/>
      <c r="M60" s="89" t="n"/>
      <c r="N60" s="89" t="n"/>
      <c r="O60" s="89" t="n"/>
      <c r="P60" s="89" t="n"/>
      <c r="Q60" s="89" t="n"/>
      <c r="R60" s="89" t="n"/>
      <c r="S60" s="89" t="n"/>
      <c r="T60" s="89" t="n"/>
      <c r="U60" s="89" t="n"/>
      <c r="V60" s="89" t="n"/>
      <c r="W60" s="89" t="n"/>
      <c r="X60" s="89" t="n"/>
      <c r="Y60" s="89" t="n"/>
      <c r="Z60" s="89" t="n"/>
      <c r="AA60" s="89" t="n"/>
      <c r="AB60" s="89" t="n"/>
      <c r="AC60" s="89" t="n"/>
      <c r="AD60" s="13" t="n"/>
      <c r="AE60" s="13" t="n"/>
      <c r="AF60" s="13" t="n"/>
    </row>
    <row r="61" ht="15.75" customHeight="1">
      <c r="A61" s="35" t="n"/>
      <c r="B61" s="77" t="inlineStr">
        <is>
          <t>Class Limit</t>
        </is>
      </c>
      <c r="C61" s="62" t="inlineStr">
        <is>
          <t>Bin</t>
        </is>
      </c>
      <c r="D61" s="58" t="n"/>
      <c r="E61" s="58" t="n"/>
      <c r="F61" s="58" t="n"/>
      <c r="G61" s="58" t="n"/>
      <c r="H61" s="58" t="n"/>
      <c r="I61" s="89" t="n"/>
      <c r="J61" s="89" t="n"/>
      <c r="K61" s="89" t="n"/>
      <c r="L61" s="89" t="n"/>
      <c r="M61" s="89" t="n"/>
      <c r="N61" s="89" t="n"/>
      <c r="O61" s="89" t="n"/>
      <c r="P61" s="89" t="n"/>
      <c r="Q61" s="89" t="n"/>
      <c r="R61" s="89" t="n"/>
      <c r="S61" s="89" t="n"/>
      <c r="T61" s="89" t="n"/>
      <c r="U61" s="89" t="n"/>
      <c r="V61" s="89" t="n"/>
      <c r="W61" s="89" t="n"/>
      <c r="X61" s="89" t="n"/>
      <c r="Y61" s="89" t="n"/>
      <c r="Z61" s="89" t="n"/>
      <c r="AA61" s="89" t="n"/>
      <c r="AB61" s="89" t="n"/>
      <c r="AC61" s="89" t="n"/>
      <c r="AD61" s="13" t="n"/>
      <c r="AE61" s="13" t="n"/>
      <c r="AF61" s="13" t="n"/>
    </row>
    <row r="62" ht="16.5" customHeight="1">
      <c r="A62" s="63" t="inlineStr">
        <is>
          <t>Exceeds Expectation (A+, A, A-) (%)</t>
        </is>
      </c>
      <c r="B62" s="77" t="inlineStr">
        <is>
          <t>80-100</t>
        </is>
      </c>
      <c r="C62" s="62" t="n">
        <v>100</v>
      </c>
      <c r="D62" s="58" t="n"/>
      <c r="E62" s="58" t="n"/>
      <c r="F62" s="58" t="n"/>
      <c r="G62" s="58" t="n"/>
      <c r="H62" s="58" t="n"/>
      <c r="I62" s="89" t="n"/>
      <c r="J62" s="89" t="n"/>
      <c r="K62" s="89" t="n"/>
      <c r="L62" s="89" t="n"/>
      <c r="M62" s="89" t="n"/>
      <c r="N62" s="89" t="n"/>
      <c r="O62" s="89" t="n"/>
      <c r="P62" s="89" t="n"/>
      <c r="Q62" s="89" t="n"/>
      <c r="R62" s="89" t="n"/>
      <c r="S62" s="89" t="n"/>
      <c r="T62" s="89" t="n"/>
      <c r="U62" s="89" t="n"/>
      <c r="V62" s="89" t="n"/>
      <c r="W62" s="89" t="n"/>
      <c r="X62" s="89" t="n"/>
      <c r="Y62" s="89" t="n"/>
      <c r="Z62" s="89" t="n"/>
      <c r="AA62" s="89" t="n"/>
      <c r="AB62" s="89" t="n"/>
      <c r="AC62" s="89" t="n"/>
      <c r="AD62" s="13" t="n"/>
      <c r="AE62" s="13" t="n"/>
      <c r="AF62" s="13" t="n"/>
    </row>
    <row r="63" ht="16.5" customHeight="1">
      <c r="A63" s="63" t="inlineStr">
        <is>
          <t>Meets Expectation (B+, B, B-) (%)</t>
        </is>
      </c>
      <c r="B63" s="77" t="inlineStr">
        <is>
          <t>70-79</t>
        </is>
      </c>
      <c r="C63" s="62" t="n">
        <v>79</v>
      </c>
      <c r="D63" s="58" t="n"/>
      <c r="E63" s="58" t="n"/>
      <c r="F63" s="58" t="n"/>
      <c r="G63" s="58" t="n"/>
      <c r="H63" s="58" t="n"/>
      <c r="I63" s="89" t="n"/>
      <c r="J63" s="89" t="n"/>
      <c r="K63" s="89" t="n"/>
      <c r="L63" s="89" t="n"/>
      <c r="M63" s="89" t="n"/>
      <c r="N63" s="89" t="n"/>
      <c r="O63" s="89" t="n"/>
      <c r="P63" s="89" t="n"/>
      <c r="Q63" s="89" t="n"/>
      <c r="R63" s="89" t="n"/>
      <c r="S63" s="89" t="n"/>
      <c r="T63" s="89" t="n"/>
      <c r="U63" s="89" t="n"/>
      <c r="V63" s="89" t="n"/>
      <c r="W63" s="89" t="n"/>
      <c r="X63" s="89" t="n"/>
      <c r="Y63" s="89" t="n"/>
      <c r="Z63" s="89" t="n"/>
      <c r="AA63" s="89" t="n"/>
      <c r="AB63" s="89" t="n"/>
      <c r="AC63" s="89" t="n"/>
      <c r="AD63" s="13" t="n"/>
      <c r="AE63" s="13" t="n"/>
      <c r="AF63" s="13" t="n"/>
    </row>
    <row r="64" ht="16.5" customHeight="1">
      <c r="A64" s="63" t="inlineStr">
        <is>
          <t>Marginal (C+, C)  (%)</t>
        </is>
      </c>
      <c r="B64" s="77" t="inlineStr">
        <is>
          <t>60-69</t>
        </is>
      </c>
      <c r="C64" s="62" t="n">
        <v>69</v>
      </c>
      <c r="D64" s="58" t="n"/>
      <c r="E64" s="58" t="n"/>
      <c r="F64" s="58" t="n"/>
      <c r="G64" s="58" t="n"/>
      <c r="H64" s="58" t="n"/>
      <c r="I64" s="89" t="n"/>
      <c r="J64" s="89" t="n"/>
      <c r="K64" s="89" t="n"/>
      <c r="L64" s="89" t="n"/>
      <c r="M64" s="89" t="n"/>
      <c r="N64" s="89" t="n"/>
      <c r="O64" s="89" t="n"/>
      <c r="P64" s="89" t="n"/>
      <c r="Q64" s="89" t="n"/>
      <c r="R64" s="89" t="n"/>
      <c r="S64" s="89" t="n"/>
      <c r="T64" s="89" t="n"/>
      <c r="U64" s="89" t="n"/>
      <c r="V64" s="89" t="n"/>
      <c r="W64" s="89" t="n"/>
      <c r="X64" s="89" t="n"/>
      <c r="Y64" s="89" t="n"/>
      <c r="Z64" s="89" t="n"/>
      <c r="AA64" s="89" t="n"/>
      <c r="AB64" s="89" t="n"/>
      <c r="AC64" s="89" t="n"/>
      <c r="AD64" s="13" t="n"/>
      <c r="AE64" s="13" t="n"/>
      <c r="AF64" s="13" t="n"/>
    </row>
    <row r="65" ht="16.5" customHeight="1">
      <c r="A65" s="63" t="inlineStr">
        <is>
          <t>Below Expectation (C- and below)  (%)</t>
        </is>
      </c>
      <c r="B65" s="77" t="inlineStr">
        <is>
          <t>0-59</t>
        </is>
      </c>
      <c r="C65" s="62" t="n">
        <v>59</v>
      </c>
      <c r="D65" s="58" t="n"/>
      <c r="E65" s="58" t="n"/>
      <c r="F65" s="58" t="n"/>
      <c r="G65" s="58" t="n"/>
      <c r="H65" s="58" t="n"/>
      <c r="I65" s="89" t="n"/>
      <c r="J65" s="89" t="n"/>
      <c r="K65" s="89" t="n"/>
      <c r="L65" s="89" t="n"/>
      <c r="M65" s="89" t="n"/>
      <c r="N65" s="89" t="n"/>
      <c r="O65" s="89" t="n"/>
      <c r="P65" s="89" t="n"/>
      <c r="Q65" s="89" t="n"/>
      <c r="R65" s="89" t="n"/>
      <c r="S65" s="89" t="n"/>
      <c r="T65" s="89" t="n"/>
      <c r="U65" s="89" t="n"/>
      <c r="V65" s="89" t="n"/>
      <c r="W65" s="89" t="n"/>
      <c r="X65" s="89" t="n"/>
      <c r="Y65" s="89" t="n"/>
      <c r="Z65" s="89" t="n"/>
      <c r="AA65" s="89" t="n"/>
      <c r="AB65" s="89" t="n"/>
      <c r="AC65" s="89" t="n"/>
      <c r="AD65" s="13" t="n"/>
      <c r="AE65" s="13" t="n"/>
      <c r="AF65" s="13" t="n"/>
    </row>
  </sheetData>
  <mergeCells count="1">
    <mergeCell ref="AD3:AD4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0"/>
    <pageSetUpPr/>
  </sheetPr>
  <dimension ref="A1:O65"/>
  <sheetViews>
    <sheetView workbookViewId="0">
      <selection activeCell="A1" sqref="A1"/>
    </sheetView>
  </sheetViews>
  <sheetFormatPr baseColWidth="8" defaultRowHeight="15" outlineLevelCol="0"/>
  <cols>
    <col width="44.86214285714286" bestFit="1" customWidth="1" style="64" min="1" max="1"/>
    <col width="18.86214285714286" bestFit="1" customWidth="1" style="104" min="2" max="2"/>
    <col width="15.43357142857143" bestFit="1" customWidth="1" style="66" min="3" max="3"/>
    <col width="15.86214285714286" bestFit="1" customWidth="1" style="105" min="4" max="4"/>
    <col width="17.71928571428571" bestFit="1" customWidth="1" style="105" min="5" max="5"/>
    <col width="14.57642857142857" bestFit="1" customWidth="1" style="105" min="6" max="6"/>
    <col width="15.005" bestFit="1" customWidth="1" style="105" min="7" max="7"/>
    <col width="17.71928571428571" bestFit="1" customWidth="1" style="105" min="8" max="8"/>
    <col width="15.43357142857143" bestFit="1" customWidth="1" style="105" min="9" max="9"/>
    <col width="15.43357142857143" bestFit="1" customWidth="1" style="105" min="10" max="10"/>
    <col width="15.43357142857143" bestFit="1" customWidth="1" style="105" min="11" max="11"/>
    <col width="15.43357142857143" bestFit="1" customWidth="1" style="105" min="12" max="12"/>
    <col width="9.290714285714287" bestFit="1" customWidth="1" style="13" min="13" max="13"/>
    <col width="14.14785714285714" bestFit="1" customWidth="1" style="13" min="14" max="14"/>
    <col width="4.290714285714285" bestFit="1" customWidth="1" style="13" min="15" max="15"/>
  </cols>
  <sheetData>
    <row r="1" ht="19.5" customHeight="1">
      <c r="A1" s="14" t="inlineStr">
        <is>
          <t>Student Number</t>
        </is>
      </c>
      <c r="B1" s="80" t="inlineStr">
        <is>
          <t>PHYS-2150-4</t>
        </is>
      </c>
      <c r="C1" s="16" t="inlineStr">
        <is>
          <t>PHYS-2150-5</t>
        </is>
      </c>
      <c r="D1" s="81" t="inlineStr">
        <is>
          <t>EENG-3010-2</t>
        </is>
      </c>
      <c r="E1" s="81" t="inlineStr">
        <is>
          <t>COMP-3610-7</t>
        </is>
      </c>
      <c r="F1" s="82" t="inlineStr">
        <is>
          <t>SENG-1110-5</t>
        </is>
      </c>
      <c r="G1" s="83" t="inlineStr">
        <is>
          <t>SENG-4120-1</t>
        </is>
      </c>
      <c r="H1" s="83" t="inlineStr">
        <is>
          <t>SENG-4120-2</t>
        </is>
      </c>
      <c r="I1" s="83" t="inlineStr">
        <is>
          <t>SENG-4120-3</t>
        </is>
      </c>
      <c r="J1" s="83" t="inlineStr">
        <is>
          <t>SENG-4120-4</t>
        </is>
      </c>
      <c r="K1" s="84" t="inlineStr">
        <is>
          <t>SENG-4120-5</t>
        </is>
      </c>
      <c r="L1" s="85" t="inlineStr">
        <is>
          <t>SENG-4120-6</t>
        </is>
      </c>
      <c r="M1" s="19">
        <f>COUNTA(B1:L1)</f>
        <v/>
      </c>
      <c r="N1" s="13" t="n"/>
      <c r="O1" s="13" t="n"/>
    </row>
    <row r="2" ht="30" customHeight="1">
      <c r="A2" s="20" t="inlineStr">
        <is>
          <t>Assessment
Tool</t>
        </is>
      </c>
      <c r="B2" s="86" t="inlineStr">
        <is>
          <t>Midterm</t>
        </is>
      </c>
      <c r="C2" s="87" t="inlineStr">
        <is>
          <t>Final Exam</t>
        </is>
      </c>
      <c r="D2" s="86" t="inlineStr">
        <is>
          <t>Final Exam</t>
        </is>
      </c>
      <c r="E2" s="86" t="inlineStr">
        <is>
          <t>Midterm</t>
        </is>
      </c>
      <c r="F2" s="86" t="inlineStr">
        <is>
          <t>Lab</t>
        </is>
      </c>
      <c r="G2" s="86" t="inlineStr">
        <is>
          <t>Midterm</t>
        </is>
      </c>
      <c r="H2" s="86" t="inlineStr">
        <is>
          <t>Midterm</t>
        </is>
      </c>
      <c r="I2" s="86" t="inlineStr">
        <is>
          <t>Midterm</t>
        </is>
      </c>
      <c r="J2" s="86" t="inlineStr">
        <is>
          <t>Final Exam</t>
        </is>
      </c>
      <c r="K2" s="86" t="inlineStr">
        <is>
          <t>Final Exam</t>
        </is>
      </c>
      <c r="L2" s="86" t="inlineStr">
        <is>
          <t>Lab</t>
        </is>
      </c>
      <c r="M2" s="19">
        <f>COUNTIF(B2:L2, "&lt;&gt;")</f>
        <v/>
      </c>
      <c r="N2" s="13" t="n"/>
      <c r="O2" s="13" t="n"/>
    </row>
    <row r="3" ht="19.5" customHeight="1">
      <c r="A3" s="23" t="n">
        <v>1</v>
      </c>
      <c r="B3" s="24" t="n">
        <v>1</v>
      </c>
      <c r="C3" s="24" t="n">
        <v>0.3</v>
      </c>
      <c r="D3" s="24" t="n">
        <v>0.12</v>
      </c>
      <c r="E3" s="24" t="n">
        <v>0.6666666666666666</v>
      </c>
      <c r="F3" s="24" t="n">
        <v>1</v>
      </c>
      <c r="G3" s="24" t="n">
        <v>1</v>
      </c>
      <c r="H3" s="24" t="n">
        <v>1</v>
      </c>
      <c r="I3" s="24" t="n">
        <v>1</v>
      </c>
      <c r="J3" s="24" t="n">
        <v>1</v>
      </c>
      <c r="K3" s="24" t="n">
        <v>1</v>
      </c>
      <c r="L3" s="24" t="n">
        <v>1</v>
      </c>
      <c r="M3" s="25" t="n"/>
      <c r="N3" s="13" t="n"/>
      <c r="O3" s="13" t="n"/>
    </row>
    <row r="4" ht="19.5" customHeight="1">
      <c r="A4" s="23" t="n">
        <v>2</v>
      </c>
      <c r="B4" s="24" t="n">
        <v>0.6</v>
      </c>
      <c r="C4" s="24" t="n">
        <v>0</v>
      </c>
      <c r="D4" s="24" t="n">
        <v>0.9</v>
      </c>
      <c r="E4" s="24" t="n">
        <v>0.3333333333333333</v>
      </c>
      <c r="F4" s="24" t="n">
        <v>0.9</v>
      </c>
      <c r="G4" s="24" t="n">
        <v>0.3</v>
      </c>
      <c r="H4" s="24" t="n">
        <v>0.8</v>
      </c>
      <c r="I4" s="24" t="n">
        <v>1</v>
      </c>
      <c r="J4" s="24" t="n">
        <v>1</v>
      </c>
      <c r="K4" s="24" t="n">
        <v>0.9</v>
      </c>
      <c r="L4" s="24" t="n">
        <v>1</v>
      </c>
      <c r="M4" s="222" t="n"/>
      <c r="N4" s="13" t="n"/>
      <c r="O4" s="27" t="inlineStr">
        <is>
          <t>A</t>
        </is>
      </c>
    </row>
    <row r="5" ht="19.5" customHeight="1">
      <c r="A5" s="23" t="n">
        <v>3</v>
      </c>
      <c r="B5" s="24" t="n">
        <v>1</v>
      </c>
      <c r="C5" s="24" t="n">
        <v>1</v>
      </c>
      <c r="D5" s="24" t="n">
        <v>0.9</v>
      </c>
      <c r="E5" s="24" t="n"/>
      <c r="F5" s="24" t="n">
        <v>0.95</v>
      </c>
      <c r="G5" s="24" t="n">
        <v>0</v>
      </c>
      <c r="H5" s="24" t="n">
        <v>0</v>
      </c>
      <c r="I5" s="24" t="n">
        <v>0</v>
      </c>
      <c r="J5" s="24" t="n">
        <v>1</v>
      </c>
      <c r="K5" s="24" t="n">
        <v>1</v>
      </c>
      <c r="L5" s="24" t="n">
        <v>1</v>
      </c>
      <c r="M5" s="222" t="n"/>
      <c r="N5" s="13" t="n"/>
      <c r="O5" s="27" t="inlineStr">
        <is>
          <t>Q</t>
        </is>
      </c>
    </row>
    <row r="6" ht="19.5" customHeight="1">
      <c r="A6" s="23" t="n">
        <v>4</v>
      </c>
      <c r="B6" s="24" t="n">
        <v>0.3</v>
      </c>
      <c r="C6" s="24" t="n">
        <v>0.3</v>
      </c>
      <c r="D6" s="24" t="n">
        <v>1</v>
      </c>
      <c r="E6" s="24" t="n"/>
      <c r="F6" s="24" t="n">
        <v>0.95</v>
      </c>
      <c r="G6" s="24" t="n">
        <v>0.6</v>
      </c>
      <c r="H6" s="24" t="n">
        <v>0.8</v>
      </c>
      <c r="I6" s="24" t="n">
        <v>1</v>
      </c>
      <c r="J6" s="24" t="n">
        <v>0.8</v>
      </c>
      <c r="K6" s="24" t="n">
        <v>0</v>
      </c>
      <c r="L6" s="24" t="n">
        <v>0.9</v>
      </c>
      <c r="M6" s="222" t="n"/>
      <c r="N6" s="13" t="n"/>
      <c r="O6" s="27" t="inlineStr">
        <is>
          <t>M</t>
        </is>
      </c>
    </row>
    <row r="7" ht="19.5" customHeight="1">
      <c r="A7" s="23" t="n">
        <v>5</v>
      </c>
      <c r="B7" s="24" t="n">
        <v>0.2</v>
      </c>
      <c r="C7" s="24" t="n">
        <v>0.2</v>
      </c>
      <c r="D7" s="24" t="n">
        <v>0.3</v>
      </c>
      <c r="E7" s="24" t="n"/>
      <c r="F7" s="24" t="n">
        <v>1</v>
      </c>
      <c r="G7" s="24" t="n">
        <v>0.3</v>
      </c>
      <c r="H7" s="24" t="n">
        <v>0.4</v>
      </c>
      <c r="I7" s="24" t="n">
        <v>0.8</v>
      </c>
      <c r="J7" s="24" t="n">
        <v>0.55</v>
      </c>
      <c r="K7" s="24" t="n">
        <v>0</v>
      </c>
      <c r="L7" s="24" t="n">
        <v>1</v>
      </c>
      <c r="M7" s="222" t="n"/>
      <c r="N7" s="13" t="n"/>
      <c r="O7" s="27" t="inlineStr">
        <is>
          <t>F</t>
        </is>
      </c>
    </row>
    <row r="8" ht="19.5" customHeight="1">
      <c r="A8" s="23" t="n">
        <v>6</v>
      </c>
      <c r="B8" s="24" t="n">
        <v>0.2</v>
      </c>
      <c r="C8" s="24" t="n">
        <v>0</v>
      </c>
      <c r="D8" s="24" t="n">
        <v>0.1</v>
      </c>
      <c r="E8" s="24" t="n"/>
      <c r="F8" s="24" t="n"/>
      <c r="G8" s="24" t="n">
        <v>0.7</v>
      </c>
      <c r="H8" s="24" t="n">
        <v>0.8</v>
      </c>
      <c r="I8" s="24" t="n">
        <v>1</v>
      </c>
      <c r="J8" s="24" t="n">
        <v>1</v>
      </c>
      <c r="K8" s="24" t="n">
        <v>0.9</v>
      </c>
      <c r="L8" s="24" t="n">
        <v>1</v>
      </c>
      <c r="M8" s="222" t="n"/>
      <c r="N8" s="13" t="n"/>
      <c r="O8" s="27" t="inlineStr">
        <is>
          <t>P</t>
        </is>
      </c>
    </row>
    <row r="9" ht="19.5" customHeight="1">
      <c r="A9" s="23" t="n">
        <v>7</v>
      </c>
      <c r="B9" s="24" t="n">
        <v>0.4</v>
      </c>
      <c r="C9" s="24" t="n">
        <v>0.3</v>
      </c>
      <c r="D9" s="24" t="n">
        <v>0.1</v>
      </c>
      <c r="E9" s="24" t="n"/>
      <c r="F9" s="24" t="n"/>
      <c r="G9" s="24" t="n"/>
      <c r="H9" s="24" t="n"/>
      <c r="I9" s="24" t="n"/>
      <c r="J9" s="24" t="n"/>
      <c r="K9" s="24" t="n"/>
      <c r="L9" s="24" t="n"/>
      <c r="M9" s="222" t="n"/>
      <c r="N9" s="13" t="n"/>
      <c r="O9" s="27" t="inlineStr">
        <is>
          <t>L</t>
        </is>
      </c>
    </row>
    <row r="10" ht="19.5" customHeight="1">
      <c r="A10" s="23" t="n">
        <v>8</v>
      </c>
      <c r="B10" s="24" t="n">
        <v>0.3</v>
      </c>
      <c r="C10" s="24" t="n">
        <v>0.3</v>
      </c>
      <c r="D10" s="24" t="n">
        <v>0.85</v>
      </c>
      <c r="E10" s="24" t="n"/>
      <c r="F10" s="24" t="n"/>
      <c r="G10" s="24" t="n"/>
      <c r="H10" s="24" t="n"/>
      <c r="I10" s="24" t="n"/>
      <c r="J10" s="24" t="n"/>
      <c r="K10" s="24" t="n"/>
      <c r="L10" s="24" t="n"/>
      <c r="M10" s="222" t="n"/>
      <c r="N10" s="13" t="n"/>
      <c r="O10" s="27" t="inlineStr">
        <is>
          <t>OT</t>
        </is>
      </c>
    </row>
    <row r="11" ht="19.5" customHeight="1">
      <c r="A11" s="23" t="n">
        <v>9</v>
      </c>
      <c r="B11" s="24" t="n">
        <v>0.9</v>
      </c>
      <c r="C11" s="24" t="n">
        <v>0.2</v>
      </c>
      <c r="D11" s="24" t="n">
        <v>0.1</v>
      </c>
      <c r="E11" s="24" t="n"/>
      <c r="F11" s="24" t="n"/>
      <c r="G11" s="24" t="n"/>
      <c r="H11" s="24" t="n"/>
      <c r="I11" s="24" t="n"/>
      <c r="J11" s="24" t="n"/>
      <c r="K11" s="24" t="n"/>
      <c r="L11" s="24" t="n"/>
      <c r="M11" s="222" t="n"/>
      <c r="N11" s="13" t="n"/>
      <c r="O11" s="13" t="n"/>
    </row>
    <row r="12" ht="19.5" customHeight="1">
      <c r="A12" s="23" t="n">
        <v>10</v>
      </c>
      <c r="B12" s="24" t="n">
        <v>1</v>
      </c>
      <c r="C12" s="24" t="n">
        <v>0.6</v>
      </c>
      <c r="D12" s="24" t="n">
        <v>0.82</v>
      </c>
      <c r="E12" s="24" t="n"/>
      <c r="F12" s="24" t="n"/>
      <c r="G12" s="24" t="n"/>
      <c r="H12" s="24" t="n"/>
      <c r="I12" s="24" t="n"/>
      <c r="J12" s="24" t="n"/>
      <c r="K12" s="24" t="n"/>
      <c r="L12" s="24" t="n"/>
      <c r="M12" s="222" t="n"/>
      <c r="N12" s="13" t="n"/>
      <c r="O12" s="13" t="n"/>
    </row>
    <row r="13" ht="19.5" customHeight="1">
      <c r="A13" s="23" t="n">
        <v>11</v>
      </c>
      <c r="B13" s="24" t="n">
        <v>1</v>
      </c>
      <c r="C13" s="24" t="n">
        <v>0.2</v>
      </c>
      <c r="D13" s="24" t="n">
        <v>0.82</v>
      </c>
      <c r="E13" s="24" t="n"/>
      <c r="F13" s="24" t="n"/>
      <c r="G13" s="24" t="n"/>
      <c r="H13" s="24" t="n"/>
      <c r="I13" s="24" t="n"/>
      <c r="J13" s="24" t="n"/>
      <c r="K13" s="24" t="n"/>
      <c r="L13" s="24" t="n"/>
      <c r="M13" s="222" t="n"/>
      <c r="N13" s="13" t="n"/>
      <c r="O13" s="13" t="n"/>
    </row>
    <row r="14" ht="19.5" customHeight="1">
      <c r="A14" s="23" t="n">
        <v>12</v>
      </c>
      <c r="B14" s="24" t="n">
        <v>0.6</v>
      </c>
      <c r="C14" s="24" t="n">
        <v>0.6</v>
      </c>
      <c r="D14" s="24" t="n">
        <v>0.75</v>
      </c>
      <c r="E14" s="24" t="n"/>
      <c r="F14" s="24" t="n"/>
      <c r="G14" s="24" t="n"/>
      <c r="H14" s="24" t="n"/>
      <c r="I14" s="24" t="n"/>
      <c r="J14" s="24" t="n"/>
      <c r="K14" s="24" t="n"/>
      <c r="L14" s="24" t="n"/>
      <c r="M14" s="222" t="n"/>
      <c r="N14" s="13" t="n"/>
      <c r="O14" s="13" t="n"/>
    </row>
    <row r="15" ht="19.5" customHeight="1">
      <c r="A15" s="23" t="n">
        <v>13</v>
      </c>
      <c r="B15" s="24" t="n">
        <v>0.6</v>
      </c>
      <c r="C15" s="24" t="n">
        <v>0.3</v>
      </c>
      <c r="D15" s="24" t="n">
        <v>0.1</v>
      </c>
      <c r="E15" s="24" t="n"/>
      <c r="F15" s="24" t="n"/>
      <c r="G15" s="24" t="n"/>
      <c r="H15" s="24" t="n"/>
      <c r="I15" s="24" t="n"/>
      <c r="J15" s="24" t="n"/>
      <c r="K15" s="24" t="n"/>
      <c r="L15" s="24" t="n"/>
      <c r="M15" s="222" t="n"/>
      <c r="N15" s="13" t="n"/>
      <c r="O15" s="13" t="n"/>
    </row>
    <row r="16" ht="19.5" customHeight="1">
      <c r="A16" s="23" t="n">
        <v>14</v>
      </c>
      <c r="B16" s="24" t="n">
        <v>1</v>
      </c>
      <c r="C16" s="24" t="n">
        <v>0.7</v>
      </c>
      <c r="D16" s="24" t="n">
        <v>0</v>
      </c>
      <c r="E16" s="24" t="n"/>
      <c r="F16" s="24" t="n"/>
      <c r="G16" s="24" t="n"/>
      <c r="H16" s="24" t="n"/>
      <c r="I16" s="24" t="n"/>
      <c r="J16" s="24" t="n"/>
      <c r="K16" s="24" t="n"/>
      <c r="L16" s="24" t="n"/>
      <c r="M16" s="222" t="n"/>
      <c r="N16" s="13" t="n"/>
      <c r="O16" s="13" t="n"/>
    </row>
    <row r="17" ht="19.5" customHeight="1">
      <c r="A17" s="23" t="n">
        <v>15</v>
      </c>
      <c r="B17" s="24" t="n">
        <v>0.4</v>
      </c>
      <c r="C17" s="24" t="n">
        <v>0.3</v>
      </c>
      <c r="D17" s="24" t="n"/>
      <c r="E17" s="24" t="n"/>
      <c r="F17" s="24" t="n"/>
      <c r="G17" s="24" t="n"/>
      <c r="H17" s="24" t="n"/>
      <c r="I17" s="24" t="n"/>
      <c r="J17" s="24" t="n"/>
      <c r="K17" s="24" t="n"/>
      <c r="L17" s="24" t="n"/>
      <c r="M17" s="222" t="n"/>
      <c r="N17" s="13" t="n"/>
      <c r="O17" s="13" t="n"/>
    </row>
    <row r="18" ht="19.5" customHeight="1">
      <c r="A18" s="23" t="n">
        <v>16</v>
      </c>
      <c r="B18" s="24" t="n"/>
      <c r="C18" s="24" t="n"/>
      <c r="D18" s="24" t="n"/>
      <c r="E18" s="24" t="n"/>
      <c r="F18" s="24" t="n"/>
      <c r="G18" s="24" t="n"/>
      <c r="H18" s="24" t="n"/>
      <c r="I18" s="24" t="n"/>
      <c r="J18" s="24" t="n"/>
      <c r="K18" s="24" t="n"/>
      <c r="L18" s="24" t="n"/>
      <c r="M18" s="222" t="n"/>
      <c r="N18" s="13" t="n"/>
      <c r="O18" s="13" t="n"/>
    </row>
    <row r="19" ht="19.5" customHeight="1">
      <c r="A19" s="23" t="n">
        <v>17</v>
      </c>
      <c r="B19" s="29" t="n"/>
      <c r="C19" s="29" t="n"/>
      <c r="D19" s="29" t="n"/>
      <c r="E19" s="29" t="n"/>
      <c r="F19" s="29" t="n"/>
      <c r="G19" s="29" t="n"/>
      <c r="H19" s="29" t="n"/>
      <c r="I19" s="29" t="n"/>
      <c r="J19" s="29" t="n"/>
      <c r="K19" s="29" t="n"/>
      <c r="L19" s="29" t="n"/>
      <c r="M19" s="222" t="n"/>
      <c r="N19" s="13" t="n"/>
      <c r="O19" s="13" t="n"/>
    </row>
    <row r="20" ht="19.5" customHeight="1">
      <c r="A20" s="23" t="n">
        <v>18</v>
      </c>
      <c r="B20" s="29" t="n"/>
      <c r="C20" s="29" t="n"/>
      <c r="D20" s="29" t="n"/>
      <c r="E20" s="29" t="n"/>
      <c r="F20" s="29" t="n"/>
      <c r="G20" s="29" t="n"/>
      <c r="H20" s="29" t="n"/>
      <c r="I20" s="29" t="n"/>
      <c r="J20" s="29" t="n"/>
      <c r="K20" s="29" t="n"/>
      <c r="L20" s="29" t="n"/>
      <c r="M20" s="222" t="n"/>
      <c r="N20" s="13" t="n"/>
      <c r="O20" s="13" t="n"/>
    </row>
    <row r="21" ht="19.5" customHeight="1">
      <c r="A21" s="23" t="n">
        <v>19</v>
      </c>
      <c r="B21" s="29" t="n"/>
      <c r="C21" s="29" t="n"/>
      <c r="D21" s="29" t="n"/>
      <c r="E21" s="29" t="n"/>
      <c r="F21" s="29" t="n"/>
      <c r="G21" s="29" t="n"/>
      <c r="H21" s="29" t="n"/>
      <c r="I21" s="29" t="n"/>
      <c r="J21" s="29" t="n"/>
      <c r="K21" s="29" t="n"/>
      <c r="L21" s="29" t="n"/>
      <c r="M21" s="222" t="n"/>
      <c r="N21" s="13" t="n"/>
      <c r="O21" s="13" t="n"/>
    </row>
    <row r="22" ht="19.5" customHeight="1">
      <c r="A22" s="23" t="n">
        <v>20</v>
      </c>
      <c r="B22" s="29" t="n"/>
      <c r="C22" s="29" t="n"/>
      <c r="D22" s="29" t="n"/>
      <c r="E22" s="29" t="n"/>
      <c r="F22" s="29" t="n"/>
      <c r="G22" s="29" t="n"/>
      <c r="H22" s="29" t="n"/>
      <c r="I22" s="29" t="n"/>
      <c r="J22" s="29" t="n"/>
      <c r="K22" s="29" t="n"/>
      <c r="L22" s="29" t="n"/>
      <c r="M22" s="222" t="n"/>
      <c r="N22" s="13" t="n"/>
      <c r="O22" s="13" t="n"/>
    </row>
    <row r="23" ht="19.5" customHeight="1">
      <c r="A23" s="23" t="n">
        <v>21</v>
      </c>
      <c r="B23" s="29" t="n"/>
      <c r="C23" s="29" t="n"/>
      <c r="D23" s="29" t="n"/>
      <c r="E23" s="29" t="n"/>
      <c r="F23" s="29" t="n"/>
      <c r="G23" s="29" t="n"/>
      <c r="H23" s="29" t="n"/>
      <c r="I23" s="29" t="n"/>
      <c r="J23" s="29" t="n"/>
      <c r="K23" s="29" t="n"/>
      <c r="L23" s="29" t="n"/>
      <c r="M23" s="222" t="n"/>
      <c r="N23" s="13" t="n"/>
      <c r="O23" s="13" t="n"/>
    </row>
    <row r="24" ht="19.5" customHeight="1">
      <c r="A24" s="23" t="n">
        <v>22</v>
      </c>
      <c r="B24" s="29" t="n"/>
      <c r="C24" s="29" t="n"/>
      <c r="D24" s="29" t="n"/>
      <c r="E24" s="29" t="n"/>
      <c r="F24" s="29" t="n"/>
      <c r="G24" s="29" t="n"/>
      <c r="H24" s="29" t="n"/>
      <c r="I24" s="29" t="n"/>
      <c r="J24" s="29" t="n"/>
      <c r="K24" s="29" t="n"/>
      <c r="L24" s="29" t="n"/>
      <c r="M24" s="222" t="n"/>
      <c r="N24" s="13" t="n"/>
      <c r="O24" s="13" t="n"/>
    </row>
    <row r="25" ht="19.5" customHeight="1">
      <c r="A25" s="23" t="n">
        <v>23</v>
      </c>
      <c r="B25" s="29" t="n"/>
      <c r="C25" s="29" t="n"/>
      <c r="D25" s="29" t="n"/>
      <c r="E25" s="29" t="n"/>
      <c r="F25" s="29" t="n"/>
      <c r="G25" s="29" t="n"/>
      <c r="H25" s="29" t="n"/>
      <c r="I25" s="29" t="n"/>
      <c r="J25" s="29" t="n"/>
      <c r="K25" s="29" t="n"/>
      <c r="L25" s="29" t="n"/>
      <c r="M25" s="222" t="n"/>
      <c r="N25" s="13" t="n"/>
      <c r="O25" s="13" t="n"/>
    </row>
    <row r="26" ht="19.5" customHeight="1">
      <c r="A26" s="23" t="n">
        <v>24</v>
      </c>
      <c r="B26" s="29" t="n"/>
      <c r="C26" s="29" t="n"/>
      <c r="D26" s="29" t="n"/>
      <c r="E26" s="29" t="n"/>
      <c r="F26" s="29" t="n"/>
      <c r="G26" s="29" t="n"/>
      <c r="H26" s="29" t="n"/>
      <c r="I26" s="29" t="n"/>
      <c r="J26" s="29" t="n"/>
      <c r="K26" s="29" t="n"/>
      <c r="L26" s="29" t="n"/>
      <c r="M26" s="222" t="n"/>
      <c r="N26" s="13" t="n"/>
      <c r="O26" s="13" t="n"/>
    </row>
    <row r="27" ht="19.5" customHeight="1">
      <c r="A27" s="23" t="n">
        <v>25</v>
      </c>
      <c r="B27" s="29" t="n"/>
      <c r="C27" s="29" t="n"/>
      <c r="D27" s="29" t="n"/>
      <c r="E27" s="29" t="n"/>
      <c r="F27" s="29" t="n"/>
      <c r="G27" s="29" t="n"/>
      <c r="H27" s="29" t="n"/>
      <c r="I27" s="29" t="n"/>
      <c r="J27" s="29" t="n"/>
      <c r="K27" s="29" t="n"/>
      <c r="L27" s="29" t="n"/>
      <c r="M27" s="222" t="n"/>
      <c r="N27" s="13" t="n"/>
      <c r="O27" s="13" t="n"/>
    </row>
    <row r="28" ht="19.5" customHeight="1">
      <c r="A28" s="23" t="n">
        <v>26</v>
      </c>
      <c r="B28" s="29" t="n"/>
      <c r="C28" s="29" t="n"/>
      <c r="D28" s="29" t="n"/>
      <c r="E28" s="29" t="n"/>
      <c r="F28" s="29" t="n"/>
      <c r="G28" s="29" t="n"/>
      <c r="H28" s="29" t="n"/>
      <c r="I28" s="29" t="n"/>
      <c r="J28" s="29" t="n"/>
      <c r="K28" s="29" t="n"/>
      <c r="L28" s="29" t="n"/>
      <c r="M28" s="222" t="n"/>
      <c r="N28" s="13" t="n"/>
      <c r="O28" s="13" t="n"/>
    </row>
    <row r="29" ht="19.5" customHeight="1">
      <c r="A29" s="23" t="n">
        <v>27</v>
      </c>
      <c r="B29" s="29" t="n"/>
      <c r="C29" s="29" t="n"/>
      <c r="D29" s="29" t="n"/>
      <c r="E29" s="29" t="n"/>
      <c r="F29" s="29" t="n"/>
      <c r="G29" s="29" t="n"/>
      <c r="H29" s="29" t="n"/>
      <c r="I29" s="29" t="n"/>
      <c r="J29" s="29" t="n"/>
      <c r="K29" s="29" t="n"/>
      <c r="L29" s="29" t="n"/>
      <c r="M29" s="222" t="n"/>
      <c r="N29" s="13" t="n"/>
      <c r="O29" s="13" t="n"/>
    </row>
    <row r="30" ht="19.5" customHeight="1">
      <c r="A30" s="23" t="n">
        <v>28</v>
      </c>
      <c r="B30" s="29" t="n"/>
      <c r="C30" s="29" t="n"/>
      <c r="D30" s="29" t="n"/>
      <c r="E30" s="29" t="n"/>
      <c r="F30" s="29" t="n"/>
      <c r="G30" s="29" t="n"/>
      <c r="H30" s="29" t="n"/>
      <c r="I30" s="29" t="n"/>
      <c r="J30" s="29" t="n"/>
      <c r="K30" s="29" t="n"/>
      <c r="L30" s="29" t="n"/>
      <c r="M30" s="222" t="n"/>
      <c r="N30" s="13" t="n"/>
      <c r="O30" s="13" t="n"/>
    </row>
    <row r="31" ht="19.5" customHeight="1">
      <c r="A31" s="23" t="n">
        <v>29</v>
      </c>
      <c r="B31" s="29" t="n"/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22" t="n"/>
      <c r="N31" s="13" t="n"/>
      <c r="O31" s="13" t="n"/>
    </row>
    <row r="32" ht="19.5" customHeight="1">
      <c r="A32" s="23" t="n">
        <v>30</v>
      </c>
      <c r="B32" s="29" t="n"/>
      <c r="C32" s="29" t="n"/>
      <c r="D32" s="29" t="n"/>
      <c r="E32" s="29" t="n"/>
      <c r="F32" s="29" t="n"/>
      <c r="G32" s="29" t="n"/>
      <c r="H32" s="29" t="n"/>
      <c r="I32" s="29" t="n"/>
      <c r="J32" s="29" t="n"/>
      <c r="K32" s="29" t="n"/>
      <c r="L32" s="29" t="n"/>
      <c r="M32" s="222" t="n"/>
      <c r="N32" s="13" t="n"/>
      <c r="O32" s="13" t="n"/>
    </row>
    <row r="33" ht="19.5" customHeight="1">
      <c r="A33" s="23" t="n">
        <v>31</v>
      </c>
      <c r="B33" s="29" t="n"/>
      <c r="C33" s="29" t="n"/>
      <c r="D33" s="29" t="n"/>
      <c r="E33" s="29" t="n"/>
      <c r="F33" s="29" t="n"/>
      <c r="G33" s="29" t="n"/>
      <c r="H33" s="29" t="n"/>
      <c r="I33" s="29" t="n"/>
      <c r="J33" s="29" t="n"/>
      <c r="K33" s="29" t="n"/>
      <c r="L33" s="29" t="n"/>
      <c r="M33" s="222" t="n"/>
      <c r="N33" s="13" t="n"/>
      <c r="O33" s="13" t="n"/>
    </row>
    <row r="34" ht="19.5" customHeight="1">
      <c r="A34" s="23" t="n">
        <v>32</v>
      </c>
      <c r="B34" s="29" t="n"/>
      <c r="C34" s="29" t="n"/>
      <c r="D34" s="29" t="n"/>
      <c r="E34" s="29" t="n"/>
      <c r="F34" s="29" t="n"/>
      <c r="G34" s="29" t="n"/>
      <c r="H34" s="29" t="n"/>
      <c r="I34" s="29" t="n"/>
      <c r="J34" s="29" t="n"/>
      <c r="K34" s="29" t="n"/>
      <c r="L34" s="29" t="n"/>
      <c r="M34" s="222" t="n"/>
      <c r="N34" s="13" t="n"/>
      <c r="O34" s="13" t="n"/>
    </row>
    <row r="35" ht="19.5" customHeight="1">
      <c r="A35" s="23" t="n">
        <v>33</v>
      </c>
      <c r="B35" s="29" t="n"/>
      <c r="C35" s="29" t="n"/>
      <c r="D35" s="29" t="n"/>
      <c r="E35" s="29" t="n"/>
      <c r="F35" s="29" t="n"/>
      <c r="G35" s="29" t="n"/>
      <c r="H35" s="29" t="n"/>
      <c r="I35" s="29" t="n"/>
      <c r="J35" s="29" t="n"/>
      <c r="K35" s="29" t="n"/>
      <c r="L35" s="29" t="n"/>
      <c r="M35" s="222" t="n"/>
      <c r="N35" s="13" t="n"/>
      <c r="O35" s="13" t="n"/>
    </row>
    <row r="36" ht="19.5" customHeight="1">
      <c r="A36" s="23" t="n">
        <v>34</v>
      </c>
      <c r="B36" s="29" t="n"/>
      <c r="C36" s="29" t="n"/>
      <c r="D36" s="29" t="n"/>
      <c r="E36" s="29" t="n"/>
      <c r="F36" s="29" t="n"/>
      <c r="G36" s="29" t="n"/>
      <c r="H36" s="29" t="n"/>
      <c r="I36" s="29" t="n"/>
      <c r="J36" s="29" t="n"/>
      <c r="K36" s="29" t="n"/>
      <c r="L36" s="29" t="n"/>
      <c r="M36" s="222" t="n"/>
      <c r="N36" s="13" t="n"/>
      <c r="O36" s="13" t="n"/>
    </row>
    <row r="37" ht="19.5" customHeight="1">
      <c r="A37" s="23" t="n">
        <v>35</v>
      </c>
      <c r="B37" s="29" t="n"/>
      <c r="C37" s="29" t="n"/>
      <c r="D37" s="29" t="n"/>
      <c r="E37" s="29" t="n"/>
      <c r="F37" s="29" t="n"/>
      <c r="G37" s="29" t="n"/>
      <c r="H37" s="29" t="n"/>
      <c r="I37" s="29" t="n"/>
      <c r="J37" s="29" t="n"/>
      <c r="K37" s="29" t="n"/>
      <c r="L37" s="29" t="n"/>
      <c r="M37" s="222" t="n"/>
      <c r="N37" s="13" t="n"/>
      <c r="O37" s="13" t="n"/>
    </row>
    <row r="38" ht="19.5" customHeight="1">
      <c r="A38" s="23" t="n">
        <v>36</v>
      </c>
      <c r="B38" s="29" t="n"/>
      <c r="C38" s="29" t="n"/>
      <c r="D38" s="29" t="n"/>
      <c r="E38" s="29" t="n"/>
      <c r="F38" s="29" t="n"/>
      <c r="G38" s="29" t="n"/>
      <c r="H38" s="29" t="n"/>
      <c r="I38" s="29" t="n"/>
      <c r="J38" s="29" t="n"/>
      <c r="K38" s="29" t="n"/>
      <c r="L38" s="29" t="n"/>
      <c r="M38" s="222" t="n"/>
      <c r="N38" s="13" t="n"/>
      <c r="O38" s="13" t="n"/>
    </row>
    <row r="39" ht="19.5" customHeight="1">
      <c r="A39" s="23" t="n">
        <v>37</v>
      </c>
      <c r="B39" s="29" t="n"/>
      <c r="C39" s="29" t="n"/>
      <c r="D39" s="29" t="n"/>
      <c r="E39" s="29" t="n"/>
      <c r="F39" s="29" t="n"/>
      <c r="G39" s="29" t="n"/>
      <c r="H39" s="29" t="n"/>
      <c r="I39" s="29" t="n"/>
      <c r="J39" s="29" t="n"/>
      <c r="K39" s="29" t="n"/>
      <c r="L39" s="29" t="n"/>
      <c r="M39" s="222" t="n"/>
      <c r="N39" s="13" t="n"/>
      <c r="O39" s="13" t="n"/>
    </row>
    <row r="40" ht="19.5" customHeight="1">
      <c r="A40" s="23" t="n">
        <v>38</v>
      </c>
      <c r="B40" s="29" t="n"/>
      <c r="C40" s="29" t="n"/>
      <c r="D40" s="29" t="n"/>
      <c r="E40" s="29" t="n"/>
      <c r="F40" s="29" t="n"/>
      <c r="G40" s="29" t="n"/>
      <c r="H40" s="29" t="n"/>
      <c r="I40" s="29" t="n"/>
      <c r="J40" s="29" t="n"/>
      <c r="K40" s="29" t="n"/>
      <c r="L40" s="29" t="n"/>
      <c r="M40" s="222" t="n"/>
      <c r="N40" s="13" t="n"/>
      <c r="O40" s="13" t="n"/>
    </row>
    <row r="41" ht="19.5" customHeight="1">
      <c r="A41" s="23" t="n">
        <v>39</v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29" t="n"/>
      <c r="K41" s="29" t="n"/>
      <c r="L41" s="29" t="n"/>
      <c r="M41" s="222" t="n"/>
      <c r="N41" s="13" t="n"/>
      <c r="O41" s="13" t="n"/>
    </row>
    <row r="42" ht="15.75" customHeight="1">
      <c r="A42" s="23" t="n">
        <v>40</v>
      </c>
      <c r="B42" s="29" t="n"/>
      <c r="C42" s="29" t="n"/>
      <c r="D42" s="29" t="n"/>
      <c r="E42" s="29" t="n"/>
      <c r="F42" s="29" t="n"/>
      <c r="G42" s="29" t="n"/>
      <c r="H42" s="29" t="n"/>
      <c r="I42" s="29" t="n"/>
      <c r="J42" s="29" t="n"/>
      <c r="K42" s="29" t="n"/>
      <c r="L42" s="29" t="n"/>
      <c r="M42" s="223" t="n"/>
      <c r="N42" s="13" t="n"/>
      <c r="O42" s="13" t="n"/>
    </row>
    <row r="43" ht="15.75" customHeight="1">
      <c r="A43" s="31" t="inlineStr">
        <is>
          <t>Average</t>
        </is>
      </c>
      <c r="B43" s="32">
        <f>AVERAGE(B3:B42)</f>
        <v/>
      </c>
      <c r="C43" s="32">
        <f>AVERAGE(C3:C42)</f>
        <v/>
      </c>
      <c r="D43" s="32">
        <f>AVERAGE(D3:D42)</f>
        <v/>
      </c>
      <c r="E43" s="32">
        <f>AVERAGE(E3:E42)</f>
        <v/>
      </c>
      <c r="F43" s="32">
        <f>AVERAGE(F3:F42)</f>
        <v/>
      </c>
      <c r="G43" s="32">
        <f>AVERAGE(G3:G42)</f>
        <v/>
      </c>
      <c r="H43" s="32">
        <f>AVERAGE(H3:H42)</f>
        <v/>
      </c>
      <c r="I43" s="32">
        <f>AVERAGE(I3:I42)</f>
        <v/>
      </c>
      <c r="J43" s="32">
        <f>AVERAGE(J3:J42)</f>
        <v/>
      </c>
      <c r="K43" s="32">
        <f>AVERAGE(K3:K42)</f>
        <v/>
      </c>
      <c r="L43" s="32">
        <f>AVERAGE(L3:L42)</f>
        <v/>
      </c>
      <c r="M43" s="33" t="n"/>
      <c r="N43" s="13" t="n"/>
      <c r="O43" s="13" t="n"/>
    </row>
    <row r="44" ht="19.5" customHeight="1">
      <c r="A44" s="23" t="inlineStr">
        <is>
          <t>Overall Average</t>
        </is>
      </c>
      <c r="B44" s="24">
        <f>AVERAGEIF(B43:L43, "&lt;&gt;#DIV/0!")</f>
        <v/>
      </c>
      <c r="C44" s="24" t="n"/>
      <c r="D44" s="24" t="n"/>
      <c r="E44" s="24" t="n"/>
      <c r="F44" s="24" t="n"/>
      <c r="G44" s="24" t="n"/>
      <c r="H44" s="24" t="n"/>
      <c r="I44" s="24" t="n"/>
      <c r="J44" s="24" t="n"/>
      <c r="K44" s="24" t="n"/>
      <c r="L44" s="24" t="n"/>
      <c r="M44" s="34" t="n"/>
      <c r="N44" s="13" t="n"/>
      <c r="O44" s="13" t="n"/>
    </row>
    <row r="45" ht="19.5" customHeight="1">
      <c r="A45" s="23" t="inlineStr">
        <is>
          <t>Total Students</t>
        </is>
      </c>
      <c r="B45" s="34">
        <f>COUNTIF(B3:B42, "&lt;&gt;")</f>
        <v/>
      </c>
      <c r="C45" s="34">
        <f>COUNTIF(C3:C42, "&lt;&gt;")</f>
        <v/>
      </c>
      <c r="D45" s="34">
        <f>COUNTIF(D3:D42, "&lt;&gt;")</f>
        <v/>
      </c>
      <c r="E45" s="34">
        <f>COUNTIF(E3:E42, "&lt;&gt;")</f>
        <v/>
      </c>
      <c r="F45" s="34">
        <f>COUNTIF(F3:F42, "&lt;&gt;")</f>
        <v/>
      </c>
      <c r="G45" s="34">
        <f>COUNTIF(G3:G42, "&lt;&gt;")</f>
        <v/>
      </c>
      <c r="H45" s="34">
        <f>COUNTIF(H3:H42, "&lt;&gt;")</f>
        <v/>
      </c>
      <c r="I45" s="34">
        <f>COUNTIF(I3:I42, "&lt;&gt;")</f>
        <v/>
      </c>
      <c r="J45" s="34">
        <f>COUNTIF(J3:J42, "&lt;&gt;")</f>
        <v/>
      </c>
      <c r="K45" s="34">
        <f>COUNTIF(K3:K42, "&lt;&gt;")</f>
        <v/>
      </c>
      <c r="L45" s="34">
        <f>COUNTIF(L3:L42, "&lt;&gt;")</f>
        <v/>
      </c>
      <c r="M45" s="34" t="n"/>
      <c r="N45" s="13" t="n"/>
      <c r="O45" s="13" t="n"/>
    </row>
    <row r="46" ht="19.5" customHeight="1">
      <c r="A46" s="58" t="n"/>
      <c r="B46" s="88" t="n"/>
      <c r="C46" s="60" t="n"/>
      <c r="D46" s="89" t="n"/>
      <c r="E46" s="89" t="n"/>
      <c r="F46" s="89" t="n"/>
      <c r="G46" s="89" t="n"/>
      <c r="H46" s="89" t="n"/>
      <c r="I46" s="89" t="n"/>
      <c r="J46" s="89" t="n"/>
      <c r="K46" s="89" t="n"/>
      <c r="L46" s="89" t="n"/>
      <c r="M46" s="13" t="n"/>
      <c r="N46" s="13" t="n"/>
      <c r="O46" s="13" t="n"/>
    </row>
    <row r="47" ht="19.5" customHeight="1">
      <c r="A47" s="58" t="n"/>
      <c r="B47" s="90" t="inlineStr">
        <is>
          <t>Assignment (A)</t>
        </is>
      </c>
      <c r="C47" s="22" t="inlineStr">
        <is>
          <t>Quiz (Q)</t>
        </is>
      </c>
      <c r="D47" s="91" t="inlineStr">
        <is>
          <t>Mid Term (M)</t>
        </is>
      </c>
      <c r="E47" s="91" t="inlineStr">
        <is>
          <t>Final Exam (F)</t>
        </is>
      </c>
      <c r="F47" s="91" t="inlineStr">
        <is>
          <t>Project (P)</t>
        </is>
      </c>
      <c r="G47" s="91" t="inlineStr">
        <is>
          <t>Lab (L)</t>
        </is>
      </c>
      <c r="H47" s="91" t="inlineStr">
        <is>
          <t>Anyother (OT)</t>
        </is>
      </c>
      <c r="I47" s="91" t="inlineStr">
        <is>
          <t>Total</t>
        </is>
      </c>
      <c r="J47" s="89" t="n"/>
      <c r="K47" s="89" t="n"/>
      <c r="L47" s="89" t="n"/>
      <c r="M47" s="13" t="n"/>
      <c r="N47" s="13" t="n"/>
      <c r="O47" s="13" t="n"/>
    </row>
    <row r="48" ht="19.5" customHeight="1">
      <c r="A48" s="37" t="inlineStr">
        <is>
          <t>I (1st, 2nd yr)</t>
        </is>
      </c>
      <c r="B48" s="24">
        <f>COUNTIF(B2:C2, "A")+COUNTIF(F2, "A")</f>
        <v/>
      </c>
      <c r="C48" s="39">
        <f>COUNTIF(B2:C2, "Q")+COUNTIF(F2, "Q")</f>
        <v/>
      </c>
      <c r="D48" s="24">
        <f>COUNTIF(B2:C2, "M")+COUNTIF(F2, "M")</f>
        <v/>
      </c>
      <c r="E48" s="24">
        <f>COUNTIF(B2:C2, "F")+COUNTIF(F2, "F")</f>
        <v/>
      </c>
      <c r="F48" s="24">
        <f>COUNTIF(B2:C2, "P")+COUNTIF(F2, "P")</f>
        <v/>
      </c>
      <c r="G48" s="24">
        <f>COUNTIF(B2:C2, "L")+COUNTIF(F2, "L")</f>
        <v/>
      </c>
      <c r="H48" s="24">
        <f>COUNTIF(B2:C2, "OT")+COUNTIF(F2, "OT")</f>
        <v/>
      </c>
      <c r="I48" s="91">
        <f>SUM(B48:H48)</f>
        <v/>
      </c>
      <c r="J48" s="89" t="n"/>
      <c r="K48" s="89" t="n"/>
      <c r="L48" s="89" t="n"/>
      <c r="M48" s="13" t="n"/>
      <c r="N48" s="13" t="n"/>
      <c r="O48" s="13" t="n"/>
    </row>
    <row r="49" ht="19.5" customHeight="1">
      <c r="A49" s="92" t="inlineStr">
        <is>
          <t>D (2nd &amp; 3rd yr)</t>
        </is>
      </c>
      <c r="B49" s="24">
        <f>COUNTIF($D$2:$E$2, "A")</f>
        <v/>
      </c>
      <c r="C49" s="39">
        <f>COUNTIF($D$2:$E$2, "Q")</f>
        <v/>
      </c>
      <c r="D49" s="24">
        <f>COUNTIF($D$2:$E$2, "M")</f>
        <v/>
      </c>
      <c r="E49" s="24">
        <f>COUNTIF($D$2:$E$2, "F")</f>
        <v/>
      </c>
      <c r="F49" s="24">
        <f>COUNTIF($D$2:$E$2, "P")</f>
        <v/>
      </c>
      <c r="G49" s="24">
        <f>COUNTIF($D$2:$E$2, "L")</f>
        <v/>
      </c>
      <c r="H49" s="24">
        <f>COUNTIF($D$2:$E$2, "OT")</f>
        <v/>
      </c>
      <c r="I49" s="91">
        <f>SUM(B49:H49)</f>
        <v/>
      </c>
      <c r="J49" s="89" t="n"/>
      <c r="K49" s="89" t="n"/>
      <c r="L49" s="89" t="n"/>
      <c r="M49" s="13" t="n"/>
      <c r="N49" s="13" t="n"/>
      <c r="O49" s="13" t="n"/>
    </row>
    <row r="50" ht="19.5" customHeight="1">
      <c r="A50" s="42" t="inlineStr">
        <is>
          <t>A (3rd, 4yr)</t>
        </is>
      </c>
      <c r="B50" s="24">
        <f>COUNTIF($G$2:$L$2, "A")</f>
        <v/>
      </c>
      <c r="C50" s="39">
        <f>COUNTIF($G$2:$L$2, "Q")</f>
        <v/>
      </c>
      <c r="D50" s="24">
        <f>COUNTIF($G$2:$L$2, "M")</f>
        <v/>
      </c>
      <c r="E50" s="24">
        <f>COUNTIF($G$2:$L$2, "F")</f>
        <v/>
      </c>
      <c r="F50" s="24">
        <f>COUNTIF($G$2:$L$2, "P")</f>
        <v/>
      </c>
      <c r="G50" s="24">
        <f>COUNTIF($G$2:$L$2, "L")</f>
        <v/>
      </c>
      <c r="H50" s="24">
        <f>COUNTIF($G$2:$L$2, "OT")</f>
        <v/>
      </c>
      <c r="I50" s="91">
        <f>SUM(B50:H50)</f>
        <v/>
      </c>
      <c r="J50" s="89" t="n"/>
      <c r="K50" s="89" t="n"/>
      <c r="L50" s="89" t="n"/>
      <c r="M50" s="13" t="n"/>
      <c r="N50" s="13" t="n"/>
      <c r="O50" s="13" t="n"/>
    </row>
    <row r="51" ht="19.5" customHeight="1">
      <c r="A51" s="14" t="inlineStr">
        <is>
          <t>Total</t>
        </is>
      </c>
      <c r="B51" s="91">
        <f>SUM(B48:B50)</f>
        <v/>
      </c>
      <c r="C51" s="22">
        <f>SUM(C48:C50)</f>
        <v/>
      </c>
      <c r="D51" s="91">
        <f>SUM(D48:D50)</f>
        <v/>
      </c>
      <c r="E51" s="91">
        <f>SUM(E48:E50)</f>
        <v/>
      </c>
      <c r="F51" s="91">
        <f>SUM(F48:F50)</f>
        <v/>
      </c>
      <c r="G51" s="91">
        <f>SUM(G48:G50)</f>
        <v/>
      </c>
      <c r="H51" s="91">
        <f>SUM(H48:H50)</f>
        <v/>
      </c>
      <c r="I51" s="91">
        <f>SUM(I48:I50)</f>
        <v/>
      </c>
      <c r="J51" s="89" t="n"/>
      <c r="K51" s="89" t="n"/>
      <c r="L51" s="89" t="n"/>
      <c r="M51" s="13" t="n"/>
      <c r="N51" s="13" t="n"/>
      <c r="O51" s="13" t="n"/>
    </row>
    <row r="52" ht="19.5" customHeight="1">
      <c r="A52" s="58" t="n"/>
      <c r="B52" s="88" t="n"/>
      <c r="C52" s="60" t="n"/>
      <c r="D52" s="89" t="n"/>
      <c r="E52" s="89" t="n"/>
      <c r="F52" s="89" t="n"/>
      <c r="G52" s="89" t="n"/>
      <c r="H52" s="89" t="n"/>
      <c r="I52" s="89" t="n"/>
      <c r="J52" s="89" t="n"/>
      <c r="K52" s="89" t="n"/>
      <c r="L52" s="89" t="n"/>
      <c r="M52" s="13" t="n"/>
      <c r="N52" s="13" t="n"/>
      <c r="O52" s="13" t="n"/>
    </row>
    <row r="53" ht="18.75" customHeight="1">
      <c r="A53" s="43" t="inlineStr">
        <is>
          <t>Frequency Distribution Analysis</t>
        </is>
      </c>
      <c r="B53" s="88" t="n"/>
      <c r="C53" s="44" t="n"/>
      <c r="D53" s="44" t="n"/>
      <c r="E53" s="44" t="n"/>
      <c r="F53" s="44" t="n"/>
      <c r="G53" s="44" t="n"/>
      <c r="H53" s="36" t="n"/>
      <c r="I53" s="36" t="n"/>
      <c r="J53" s="36" t="n"/>
      <c r="K53" s="36" t="n"/>
      <c r="L53" s="36" t="n"/>
      <c r="M53" s="36" t="n"/>
      <c r="N53" s="13" t="n"/>
      <c r="O53" s="13" t="n"/>
    </row>
    <row r="54" ht="16.5" customHeight="1">
      <c r="A54" s="93" t="inlineStr">
        <is>
          <t>Scale</t>
        </is>
      </c>
      <c r="B54" s="80" t="inlineStr">
        <is>
          <t>PHYS-2150-4</t>
        </is>
      </c>
      <c r="C54" s="16" t="inlineStr">
        <is>
          <t>PHYS-2150-5</t>
        </is>
      </c>
      <c r="D54" s="81" t="inlineStr">
        <is>
          <t>EENG-3010-2</t>
        </is>
      </c>
      <c r="E54" s="81" t="inlineStr">
        <is>
          <t>COMP-3610-7</t>
        </is>
      </c>
      <c r="F54" s="82" t="inlineStr">
        <is>
          <t>SENG-1110-5</t>
        </is>
      </c>
      <c r="G54" s="83" t="inlineStr">
        <is>
          <t>SENG-4120-1</t>
        </is>
      </c>
      <c r="H54" s="83" t="inlineStr">
        <is>
          <t>SENG-4120-2</t>
        </is>
      </c>
      <c r="I54" s="83" t="inlineStr">
        <is>
          <t>SENG-4120-3</t>
        </is>
      </c>
      <c r="J54" s="83" t="inlineStr">
        <is>
          <t>SENG-4120-4</t>
        </is>
      </c>
      <c r="K54" s="84" t="inlineStr">
        <is>
          <t>SENG-4120-5</t>
        </is>
      </c>
      <c r="L54" s="85" t="inlineStr">
        <is>
          <t>SENG-4120-6</t>
        </is>
      </c>
      <c r="M54" s="94" t="inlineStr">
        <is>
          <t>Average</t>
        </is>
      </c>
      <c r="N54" s="13" t="n"/>
      <c r="O54" s="13" t="n"/>
    </row>
    <row r="55" ht="16.5" customHeight="1">
      <c r="A55" s="95" t="inlineStr">
        <is>
          <t>Below Expectation (C- and below)  (%)</t>
        </is>
      </c>
      <c r="B55" s="48">
        <f>(COUNTIF(B3:B42, "&lt;=59%"))/B45</f>
        <v/>
      </c>
      <c r="C55" s="48">
        <f>(COUNTIF(C3:C42, "&lt;=59%"))/C45</f>
        <v/>
      </c>
      <c r="D55" s="48">
        <f>(COUNTIF(D3:D42, "&lt;=59%"))/D45</f>
        <v/>
      </c>
      <c r="E55" s="48">
        <f>(COUNTIF(E3:E42, "&lt;=59%"))/E45</f>
        <v/>
      </c>
      <c r="F55" s="48">
        <f>(COUNTIF(F3:F42, "&lt;=59%"))/F45</f>
        <v/>
      </c>
      <c r="G55" s="48">
        <f>(COUNTIF(G3:G42, "&lt;=59%"))/G45</f>
        <v/>
      </c>
      <c r="H55" s="48">
        <f>(COUNTIF(H3:H42, "&lt;=59%"))/H45</f>
        <v/>
      </c>
      <c r="I55" s="48">
        <f>(COUNTIF(I3:I42, "&lt;=59%"))/I45</f>
        <v/>
      </c>
      <c r="J55" s="48">
        <f>(COUNTIF(J3:J42, "&lt;=59%"))/J45</f>
        <v/>
      </c>
      <c r="K55" s="48">
        <f>(COUNTIF(K3:K42, "&lt;=59%"))/K45</f>
        <v/>
      </c>
      <c r="L55" s="48">
        <f>(COUNTIF(L3:L42, "&lt;=59%"))/L45</f>
        <v/>
      </c>
      <c r="M55" s="49">
        <f>AVERAGEIF(B55:L55, "&lt;&gt;#DIV/0!")</f>
        <v/>
      </c>
      <c r="N55" s="13" t="n"/>
      <c r="O55" s="13" t="n"/>
    </row>
    <row r="56" ht="16.5" customHeight="1">
      <c r="A56" s="96" t="inlineStr">
        <is>
          <t>Marginal (C+, C)  (%)</t>
        </is>
      </c>
      <c r="B56" s="48">
        <f>(COUNTIFS(B3:B42, "&gt;= 60%", B3:B42, "&lt;=69%" ))/B45</f>
        <v/>
      </c>
      <c r="C56" s="48">
        <f>(COUNTIFS(C3:C42, "&gt;= 60%", C3:C42, "&lt;=69%" ))/C45</f>
        <v/>
      </c>
      <c r="D56" s="48">
        <f>(COUNTIFS(D3:D42, "&gt;= 60%", D3:D42, "&lt;=69%" ))/D45</f>
        <v/>
      </c>
      <c r="E56" s="48">
        <f>(COUNTIFS(E3:E42, "&gt;= 60%", E3:E42, "&lt;=69%" ))/E45</f>
        <v/>
      </c>
      <c r="F56" s="48">
        <f>(COUNTIFS(F3:F42, "&gt;= 60%", F3:F42, "&lt;=69%" ))/F45</f>
        <v/>
      </c>
      <c r="G56" s="48">
        <f>(COUNTIFS(G3:G42, "&gt;= 60%", G3:G42, "&lt;=69%" ))/G45</f>
        <v/>
      </c>
      <c r="H56" s="48">
        <f>(COUNTIFS(H3:H42, "&gt;= 60%", H3:H42, "&lt;=69%" ))/H45</f>
        <v/>
      </c>
      <c r="I56" s="48">
        <f>(COUNTIFS(I3:I42, "&gt;= 60%", I3:I42, "&lt;=69%" ))/I45</f>
        <v/>
      </c>
      <c r="J56" s="48">
        <f>(COUNTIFS(J3:J42, "&gt;= 60%", J3:J42, "&lt;=69%" ))/J45</f>
        <v/>
      </c>
      <c r="K56" s="48">
        <f>(COUNTIFS(K3:K42, "&gt;= 60%", K3:K42, "&lt;=69%" ))/K45</f>
        <v/>
      </c>
      <c r="L56" s="48">
        <f>(COUNTIFS(L3:L42, "&gt;= 60%", L3:L42, "&lt;=69%" ))/L45</f>
        <v/>
      </c>
      <c r="M56" s="49">
        <f>AVERAGEIF(B56:L56, "&lt;&gt;#DIV/0!")</f>
        <v/>
      </c>
      <c r="N56" s="13" t="n"/>
      <c r="O56" s="13" t="n"/>
    </row>
    <row r="57" ht="16.5" customHeight="1">
      <c r="A57" s="97" t="inlineStr">
        <is>
          <t>Meets Expectation (B+, B, B-) (%)</t>
        </is>
      </c>
      <c r="B57" s="48">
        <f>(COUNTIFS(B3:B42, "&gt;= 70%", B3:B42, "&lt;=79%" ))/B45</f>
        <v/>
      </c>
      <c r="C57" s="48">
        <f>(COUNTIFS(C3:C42, "&gt;= 70%", C3:C42, "&lt;=79%" ))/C45</f>
        <v/>
      </c>
      <c r="D57" s="48">
        <f>(COUNTIFS(D3:D42, "&gt;= 70%", D3:D42, "&lt;=79%" ))/D45</f>
        <v/>
      </c>
      <c r="E57" s="48">
        <f>(COUNTIFS(E3:E42, "&gt;= 70%", E3:E42, "&lt;=79%" ))/E45</f>
        <v/>
      </c>
      <c r="F57" s="48">
        <f>(COUNTIFS(F3:F42, "&gt;= 70%", F3:F42, "&lt;=79%" ))/F45</f>
        <v/>
      </c>
      <c r="G57" s="48">
        <f>(COUNTIFS(G3:G42, "&gt;= 70%", G3:G42, "&lt;=79%" ))/G45</f>
        <v/>
      </c>
      <c r="H57" s="48">
        <f>(COUNTIFS(H3:H42, "&gt;= 70%", H3:H42, "&lt;=79%" ))/H45</f>
        <v/>
      </c>
      <c r="I57" s="48">
        <f>(COUNTIFS(I3:I42, "&gt;= 70%", I3:I42, "&lt;=79%" ))/I45</f>
        <v/>
      </c>
      <c r="J57" s="48">
        <f>(COUNTIFS(J3:J42, "&gt;= 70%", J3:J42, "&lt;=79%" ))/J45</f>
        <v/>
      </c>
      <c r="K57" s="48">
        <f>(COUNTIFS(K3:K42, "&gt;= 70%", K3:K42, "&lt;=79%" ))/K45</f>
        <v/>
      </c>
      <c r="L57" s="48">
        <f>(COUNTIFS(L3:L42, "&gt;= 70%", L3:L42, "&lt;=79%" ))/L45</f>
        <v/>
      </c>
      <c r="M57" s="49">
        <f>AVERAGEIF(B57:L57, "&lt;&gt;#DIV/0!")</f>
        <v/>
      </c>
      <c r="N57" s="13" t="n"/>
      <c r="O57" s="13" t="n"/>
    </row>
    <row r="58" ht="16.5" customHeight="1">
      <c r="A58" s="98" t="inlineStr">
        <is>
          <t>Exceeds Expectation (A+, A, A-) (%)</t>
        </is>
      </c>
      <c r="B58" s="48">
        <f>(COUNTIF(B3:B42,"&gt;= 80%")/B45)</f>
        <v/>
      </c>
      <c r="C58" s="48">
        <f>(COUNTIF(C3:C42,"&gt;= 80%")/C45)</f>
        <v/>
      </c>
      <c r="D58" s="48">
        <f>(COUNTIF(D3:D42,"&gt;= 80%")/D45)</f>
        <v/>
      </c>
      <c r="E58" s="48">
        <f>(COUNTIF(E3:E42,"&gt;= 80%")/E45)</f>
        <v/>
      </c>
      <c r="F58" s="48">
        <f>(COUNTIF(F3:F42,"&gt;= 80%")/F45)</f>
        <v/>
      </c>
      <c r="G58" s="48">
        <f>(COUNTIF(G3:G42,"&gt;= 80%")/G45)</f>
        <v/>
      </c>
      <c r="H58" s="48">
        <f>(COUNTIF(H3:H42,"&gt;= 80%")/H45)</f>
        <v/>
      </c>
      <c r="I58" s="48">
        <f>(COUNTIF(I3:I42,"&gt;= 80%")/I45)</f>
        <v/>
      </c>
      <c r="J58" s="48">
        <f>(COUNTIF(J3:J42,"&gt;= 80%")/J45)</f>
        <v/>
      </c>
      <c r="K58" s="48">
        <f>(COUNTIF(K3:K42,"&gt;= 80%")/K45)</f>
        <v/>
      </c>
      <c r="L58" s="48">
        <f>(COUNTIF(L3:L42,"&gt;= 80%")/L45)</f>
        <v/>
      </c>
      <c r="M58" s="49">
        <f>AVERAGEIF(B58:L58, "&lt;&gt;#DIV/0!")</f>
        <v/>
      </c>
      <c r="N58" s="13" t="n"/>
      <c r="O58" s="13" t="n"/>
    </row>
    <row r="59" ht="16.5" customHeight="1">
      <c r="A59" s="99" t="n"/>
      <c r="B59" s="100">
        <f>SUMIF(B55:B58, "&lt;&gt;#DIV/0!")</f>
        <v/>
      </c>
      <c r="C59" s="101">
        <f>SUMIF(C55:C58, "&lt;&gt;#DIV/0!")</f>
        <v/>
      </c>
      <c r="D59" s="101">
        <f>SUMIF(D55:D58, "&lt;&gt;#DIV/0!")</f>
        <v/>
      </c>
      <c r="E59" s="101">
        <f>SUMIF(E55:E58, "&lt;&gt;#DIV/0!")</f>
        <v/>
      </c>
      <c r="F59" s="101">
        <f>SUMIF(F55:F58, "&lt;&gt;#DIV/0!")</f>
        <v/>
      </c>
      <c r="G59" s="101">
        <f>SUMIF(G55:G58, "&lt;&gt;#DIV/0!")</f>
        <v/>
      </c>
      <c r="H59" s="101">
        <f>SUMIF(H55:H58, "&lt;&gt;#DIV/0!")</f>
        <v/>
      </c>
      <c r="I59" s="101">
        <f>SUMIF(I55:I58, "&lt;&gt;#DIV/0!")</f>
        <v/>
      </c>
      <c r="J59" s="101">
        <f>SUMIF(J55:J58, "&lt;&gt;#DIV/0!")</f>
        <v/>
      </c>
      <c r="K59" s="101">
        <f>SUMIF(K55:K58, "&lt;&gt;#DIV/0!")</f>
        <v/>
      </c>
      <c r="L59" s="101">
        <f>SUMIF(L55:L58, "&lt;&gt;#DIV/0!")</f>
        <v/>
      </c>
      <c r="M59" s="102" t="n"/>
      <c r="N59" s="13" t="n"/>
      <c r="O59" s="13" t="n"/>
    </row>
    <row r="60" ht="15.75" customHeight="1">
      <c r="A60" s="58" t="n"/>
      <c r="B60" s="88" t="n"/>
      <c r="C60" s="60" t="n"/>
      <c r="D60" s="89" t="n"/>
      <c r="E60" s="89" t="n"/>
      <c r="F60" s="89" t="n"/>
      <c r="G60" s="89" t="n"/>
      <c r="H60" s="89" t="n"/>
      <c r="I60" s="89" t="n"/>
      <c r="J60" s="89" t="n"/>
      <c r="K60" s="89" t="n"/>
      <c r="L60" s="89" t="n"/>
      <c r="M60" s="13" t="n"/>
      <c r="N60" s="13" t="n"/>
      <c r="O60" s="13" t="n"/>
    </row>
    <row r="61" ht="15.75" customHeight="1">
      <c r="A61" s="35" t="n"/>
      <c r="B61" s="103" t="inlineStr">
        <is>
          <t>Class Limit</t>
        </is>
      </c>
      <c r="C61" s="62" t="inlineStr">
        <is>
          <t>Bin</t>
        </is>
      </c>
      <c r="D61" s="89" t="n"/>
      <c r="E61" s="89" t="n"/>
      <c r="F61" s="89" t="n"/>
      <c r="G61" s="89" t="n"/>
      <c r="H61" s="89" t="n"/>
      <c r="I61" s="89" t="n"/>
      <c r="J61" s="89" t="n"/>
      <c r="K61" s="89" t="n"/>
      <c r="L61" s="89" t="n"/>
      <c r="M61" s="13" t="n"/>
      <c r="N61" s="13" t="n"/>
      <c r="O61" s="13" t="n"/>
    </row>
    <row r="62" ht="16.5" customHeight="1">
      <c r="A62" s="63" t="inlineStr">
        <is>
          <t>Exceeds Expectation (A+, A, A-) (%)</t>
        </is>
      </c>
      <c r="B62" s="103" t="inlineStr">
        <is>
          <t>80-100</t>
        </is>
      </c>
      <c r="C62" s="62" t="n">
        <v>100</v>
      </c>
      <c r="D62" s="89" t="n"/>
      <c r="E62" s="89" t="n"/>
      <c r="F62" s="89" t="n"/>
      <c r="G62" s="89" t="n"/>
      <c r="H62" s="89" t="n"/>
      <c r="I62" s="89" t="n"/>
      <c r="J62" s="89" t="n"/>
      <c r="K62" s="89" t="n"/>
      <c r="L62" s="89" t="n"/>
      <c r="M62" s="13" t="n"/>
      <c r="N62" s="13" t="n"/>
      <c r="O62" s="13" t="n"/>
    </row>
    <row r="63" ht="16.5" customHeight="1">
      <c r="A63" s="63" t="inlineStr">
        <is>
          <t>Meets Expectation (B+, B, B-) (%)</t>
        </is>
      </c>
      <c r="B63" s="103" t="inlineStr">
        <is>
          <t>70-79</t>
        </is>
      </c>
      <c r="C63" s="62" t="n">
        <v>79</v>
      </c>
      <c r="D63" s="89" t="n"/>
      <c r="E63" s="89" t="n"/>
      <c r="F63" s="89" t="n"/>
      <c r="G63" s="89" t="n"/>
      <c r="H63" s="89" t="n"/>
      <c r="I63" s="89" t="n"/>
      <c r="J63" s="89" t="n"/>
      <c r="K63" s="89" t="n"/>
      <c r="L63" s="89" t="n"/>
      <c r="M63" s="13" t="n"/>
      <c r="N63" s="13" t="n"/>
      <c r="O63" s="13" t="n"/>
    </row>
    <row r="64" ht="16.5" customHeight="1">
      <c r="A64" s="63" t="inlineStr">
        <is>
          <t>Marginal (C+, C)  (%)</t>
        </is>
      </c>
      <c r="B64" s="103" t="inlineStr">
        <is>
          <t>60-69</t>
        </is>
      </c>
      <c r="C64" s="62" t="n">
        <v>69</v>
      </c>
      <c r="D64" s="89" t="n"/>
      <c r="E64" s="89" t="n"/>
      <c r="F64" s="89" t="n"/>
      <c r="G64" s="89" t="n"/>
      <c r="H64" s="89" t="n"/>
      <c r="I64" s="89" t="n"/>
      <c r="J64" s="89" t="n"/>
      <c r="K64" s="89" t="n"/>
      <c r="L64" s="89" t="n"/>
      <c r="M64" s="13" t="n"/>
      <c r="N64" s="13" t="n"/>
      <c r="O64" s="13" t="n"/>
    </row>
    <row r="65" ht="16.5" customHeight="1">
      <c r="A65" s="63" t="inlineStr">
        <is>
          <t>Below Expectation (C- and below)  (%)</t>
        </is>
      </c>
      <c r="B65" s="103" t="inlineStr">
        <is>
          <t>0-59</t>
        </is>
      </c>
      <c r="C65" s="62" t="n">
        <v>59</v>
      </c>
      <c r="D65" s="89" t="n"/>
      <c r="E65" s="89" t="n"/>
      <c r="F65" s="89" t="n"/>
      <c r="G65" s="89" t="n"/>
      <c r="H65" s="89" t="n"/>
      <c r="I65" s="89" t="n"/>
      <c r="J65" s="89" t="n"/>
      <c r="K65" s="89" t="n"/>
      <c r="L65" s="89" t="n"/>
      <c r="M65" s="13" t="n"/>
      <c r="N65" s="13" t="n"/>
      <c r="O65" s="13" t="n"/>
    </row>
  </sheetData>
  <mergeCells count="1">
    <mergeCell ref="M3:M4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0"/>
    <pageSetUpPr/>
  </sheetPr>
  <dimension ref="A1:AE65"/>
  <sheetViews>
    <sheetView tabSelected="1" workbookViewId="0">
      <selection activeCell="A1" sqref="A1"/>
    </sheetView>
  </sheetViews>
  <sheetFormatPr baseColWidth="8" defaultRowHeight="15" outlineLevelCol="0"/>
  <cols>
    <col width="44.86214285714286" bestFit="1" customWidth="1" style="64" min="1" max="1"/>
    <col width="18.86214285714286" bestFit="1" customWidth="1" style="78" min="2" max="2"/>
    <col width="14.86214285714286" bestFit="1" customWidth="1" style="66" min="3" max="3"/>
    <col width="15.86214285714286" bestFit="1" customWidth="1" style="79" min="4" max="4"/>
    <col width="17.71928571428571" bestFit="1" customWidth="1" style="79" min="5" max="5"/>
    <col width="15.29071428571429" bestFit="1" customWidth="1" style="79" min="6" max="6"/>
    <col width="15.29071428571429" bestFit="1" customWidth="1" style="79" min="7" max="7"/>
    <col width="17.71928571428571" bestFit="1" customWidth="1" style="79" min="8" max="8"/>
    <col width="15.29071428571429" bestFit="1" customWidth="1" style="13" min="9" max="9"/>
    <col width="15.005" bestFit="1" customWidth="1" style="13" min="10" max="10"/>
    <col width="15.43357142857143" bestFit="1" customWidth="1" style="13" min="11" max="11"/>
    <col width="15.43357142857143" bestFit="1" customWidth="1" style="13" min="12" max="12"/>
    <col width="15.29071428571429" bestFit="1" customWidth="1" style="13" min="13" max="13"/>
    <col width="15.71928571428571" bestFit="1" customWidth="1" style="13" min="14" max="14"/>
    <col width="15.71928571428571" bestFit="1" customWidth="1" style="13" min="15" max="15"/>
    <col width="15.71928571428571" bestFit="1" customWidth="1" style="13" min="16" max="16"/>
    <col width="15.43357142857143" bestFit="1" customWidth="1" style="13" min="17" max="17"/>
    <col width="15.86214285714286" bestFit="1" customWidth="1" style="13" min="18" max="18"/>
    <col width="15.86214285714286" bestFit="1" customWidth="1" style="13" min="19" max="19"/>
    <col width="15.86214285714286" bestFit="1" customWidth="1" style="13" min="20" max="20"/>
    <col width="15.86214285714286" bestFit="1" customWidth="1" style="13" min="21" max="21"/>
    <col width="15.29071428571429" bestFit="1" customWidth="1" style="13" min="22" max="22"/>
    <col width="15.71928571428571" bestFit="1" customWidth="1" style="13" min="23" max="23"/>
    <col width="15.71928571428571" bestFit="1" customWidth="1" style="13" min="24" max="24"/>
    <col width="15.71928571428571" bestFit="1" customWidth="1" style="13" min="25" max="25"/>
    <col width="14.86214285714286" bestFit="1" customWidth="1" style="13" min="26" max="26"/>
    <col width="15.29071428571429" bestFit="1" customWidth="1" style="13" min="27" max="27"/>
    <col width="15.29071428571429" bestFit="1" customWidth="1" style="13" min="28" max="28"/>
    <col width="9.290714285714287" bestFit="1" customWidth="1" style="13" min="29" max="29"/>
    <col width="14.14785714285714" bestFit="1" customWidth="1" style="13" min="30" max="30"/>
    <col width="4.290714285714285" bestFit="1" customWidth="1" style="13" min="31" max="31"/>
  </cols>
  <sheetData>
    <row r="1" ht="19.5" customHeight="1">
      <c r="A1" s="14" t="inlineStr">
        <is>
          <t>Student Number</t>
        </is>
      </c>
      <c r="B1" s="71" t="inlineStr">
        <is>
          <t>EPHY-1170-9</t>
        </is>
      </c>
      <c r="C1" s="16" t="inlineStr">
        <is>
          <t>EPHY-1700-1</t>
        </is>
      </c>
      <c r="D1" s="72" t="inlineStr">
        <is>
          <t>EPHY-1700-2</t>
        </is>
      </c>
      <c r="E1" s="72" t="inlineStr">
        <is>
          <t>EPHY-1700-3</t>
        </is>
      </c>
      <c r="F1" s="72" t="inlineStr">
        <is>
          <t>EPHY-1700-4</t>
        </is>
      </c>
      <c r="G1" s="72" t="inlineStr">
        <is>
          <t>EPHY-1700-5</t>
        </is>
      </c>
      <c r="H1" s="72" t="inlineStr">
        <is>
          <t>EPHY-1700-6</t>
        </is>
      </c>
      <c r="I1" s="67" t="inlineStr">
        <is>
          <t>EPHY-1700-7</t>
        </is>
      </c>
      <c r="J1" s="67" t="inlineStr">
        <is>
          <t>PHYS-2150-1</t>
        </is>
      </c>
      <c r="K1" s="67" t="inlineStr">
        <is>
          <t>PHYS-2150-2</t>
        </is>
      </c>
      <c r="L1" s="67" t="inlineStr">
        <is>
          <t>PHYS-2150-3</t>
        </is>
      </c>
      <c r="M1" s="17" t="inlineStr">
        <is>
          <t>EPHY-2200-1</t>
        </is>
      </c>
      <c r="N1" s="17" t="inlineStr">
        <is>
          <t>EPHY-2200-2</t>
        </is>
      </c>
      <c r="O1" s="17" t="inlineStr">
        <is>
          <t>EPHY-2200-3</t>
        </is>
      </c>
      <c r="P1" s="17" t="inlineStr">
        <is>
          <t>EPHY-2200-4</t>
        </is>
      </c>
      <c r="Q1" s="17" t="inlineStr">
        <is>
          <t>CENG-2030-1</t>
        </is>
      </c>
      <c r="R1" s="17" t="inlineStr">
        <is>
          <t>CENG-2030-2</t>
        </is>
      </c>
      <c r="S1" s="17" t="inlineStr">
        <is>
          <t>CENG-2030-3</t>
        </is>
      </c>
      <c r="T1" s="17" t="inlineStr">
        <is>
          <t>CENG-2030-4</t>
        </is>
      </c>
      <c r="U1" s="17" t="inlineStr">
        <is>
          <t>CENG-2030-5</t>
        </is>
      </c>
      <c r="V1" s="17" t="inlineStr">
        <is>
          <t>EPHY-2300-1</t>
        </is>
      </c>
      <c r="W1" s="17" t="inlineStr">
        <is>
          <t>EPHY-2300-2</t>
        </is>
      </c>
      <c r="X1" s="17" t="inlineStr">
        <is>
          <t>EPHY-2300-3</t>
        </is>
      </c>
      <c r="Y1" s="17" t="inlineStr">
        <is>
          <t>EPHY-2300-4</t>
        </is>
      </c>
      <c r="Z1" s="17" t="inlineStr">
        <is>
          <t>EENG-3010-1</t>
        </is>
      </c>
      <c r="AA1" s="17" t="inlineStr">
        <is>
          <t>EENG-3010-3</t>
        </is>
      </c>
      <c r="AB1" s="17" t="inlineStr">
        <is>
          <t>EENG-3010-4</t>
        </is>
      </c>
      <c r="AC1" s="19">
        <f>COUNTA(B1:AB1)</f>
        <v/>
      </c>
      <c r="AD1" s="13" t="n"/>
      <c r="AE1" s="13" t="n"/>
    </row>
    <row r="2" ht="32.25" customHeight="1">
      <c r="A2" s="20" t="inlineStr">
        <is>
          <t>Assessment
Tool</t>
        </is>
      </c>
      <c r="B2" s="73" t="inlineStr">
        <is>
          <t>Lab</t>
        </is>
      </c>
      <c r="C2" s="22" t="inlineStr">
        <is>
          <t>Midterm</t>
        </is>
      </c>
      <c r="D2" s="14" t="inlineStr">
        <is>
          <t>Midterm</t>
        </is>
      </c>
      <c r="E2" s="14" t="inlineStr">
        <is>
          <t>Midterm</t>
        </is>
      </c>
      <c r="F2" s="14" t="inlineStr">
        <is>
          <t>Final Exam</t>
        </is>
      </c>
      <c r="G2" s="14" t="inlineStr">
        <is>
          <t>Midterm</t>
        </is>
      </c>
      <c r="H2" s="14" t="inlineStr">
        <is>
          <t>Midterm</t>
        </is>
      </c>
      <c r="I2" s="40" t="inlineStr">
        <is>
          <t>Midterm</t>
        </is>
      </c>
      <c r="J2" s="40" t="inlineStr">
        <is>
          <t>Final Exam</t>
        </is>
      </c>
      <c r="K2" s="40" t="inlineStr">
        <is>
          <t>Midterm</t>
        </is>
      </c>
      <c r="L2" s="40" t="inlineStr">
        <is>
          <t>Final Exam</t>
        </is>
      </c>
      <c r="M2" s="40" t="inlineStr">
        <is>
          <t xml:space="preserve">Final </t>
        </is>
      </c>
      <c r="N2" s="40" t="inlineStr">
        <is>
          <t xml:space="preserve">Final </t>
        </is>
      </c>
      <c r="O2" s="40" t="inlineStr">
        <is>
          <t xml:space="preserve">Final </t>
        </is>
      </c>
      <c r="P2" s="40" t="inlineStr">
        <is>
          <t>Midterm</t>
        </is>
      </c>
      <c r="Q2" s="40" t="inlineStr">
        <is>
          <t>Assignment</t>
        </is>
      </c>
      <c r="R2" s="40" t="inlineStr">
        <is>
          <t>Midterm</t>
        </is>
      </c>
      <c r="S2" s="40" t="inlineStr">
        <is>
          <t>Midterm</t>
        </is>
      </c>
      <c r="T2" s="40" t="inlineStr">
        <is>
          <t>Final Exam</t>
        </is>
      </c>
      <c r="U2" s="40" t="inlineStr">
        <is>
          <t>Final Exam</t>
        </is>
      </c>
      <c r="V2" s="40" t="inlineStr">
        <is>
          <t>Midterm</t>
        </is>
      </c>
      <c r="W2" s="40" t="inlineStr">
        <is>
          <t>Final Exam</t>
        </is>
      </c>
      <c r="X2" s="40" t="inlineStr">
        <is>
          <t>Lab</t>
        </is>
      </c>
      <c r="Y2" s="40" t="inlineStr">
        <is>
          <t>Final Exam</t>
        </is>
      </c>
      <c r="Z2" s="40" t="inlineStr">
        <is>
          <t>Midterm</t>
        </is>
      </c>
      <c r="AA2" s="40" t="inlineStr">
        <is>
          <t>Midterm</t>
        </is>
      </c>
      <c r="AB2" s="40" t="inlineStr">
        <is>
          <t>Quiz</t>
        </is>
      </c>
      <c r="AC2" s="19">
        <f>COUNTIF(B2:AB2, "&lt;&gt;")</f>
        <v/>
      </c>
      <c r="AD2" s="13" t="n"/>
      <c r="AE2" s="13" t="n"/>
    </row>
    <row r="3" ht="19.5" customHeight="1">
      <c r="A3" s="23" t="n">
        <v>1</v>
      </c>
      <c r="B3" s="24" t="n">
        <v>1</v>
      </c>
      <c r="C3" s="24" t="n">
        <v>1</v>
      </c>
      <c r="D3" s="24" t="n">
        <v>1</v>
      </c>
      <c r="E3" s="24" t="n">
        <v>1</v>
      </c>
      <c r="F3" s="24" t="n">
        <v>1</v>
      </c>
      <c r="G3" s="24" t="n">
        <v>0.9</v>
      </c>
      <c r="H3" s="24" t="n">
        <v>0.9</v>
      </c>
      <c r="I3" s="24" t="n">
        <v>0.5</v>
      </c>
      <c r="J3" s="24" t="n">
        <v>0.8</v>
      </c>
      <c r="K3" s="24" t="n">
        <v>0.4</v>
      </c>
      <c r="L3" s="24" t="n">
        <v>0.2</v>
      </c>
      <c r="M3" s="24" t="n">
        <v>0.6</v>
      </c>
      <c r="N3" s="24" t="n">
        <v>0.1666666666666667</v>
      </c>
      <c r="O3" s="24" t="n">
        <v>1</v>
      </c>
      <c r="P3" s="24" t="n">
        <v>0.8333333333333334</v>
      </c>
      <c r="Q3" s="24" t="n">
        <v>1</v>
      </c>
      <c r="R3" s="24" t="n">
        <v>0.85</v>
      </c>
      <c r="S3" s="24" t="n">
        <v>0.65</v>
      </c>
      <c r="T3" s="24" t="n">
        <v>0.8666666666666667</v>
      </c>
      <c r="U3" s="24" t="n">
        <v>0.875</v>
      </c>
      <c r="V3" s="24" t="n">
        <v>1</v>
      </c>
      <c r="W3" s="24" t="n">
        <v>0.5</v>
      </c>
      <c r="X3" s="24" t="n">
        <v>0.975</v>
      </c>
      <c r="Y3" s="24" t="n">
        <v>0.5</v>
      </c>
      <c r="Z3" s="24" t="n">
        <v>0.8</v>
      </c>
      <c r="AA3" s="24" t="n">
        <v>0.47</v>
      </c>
      <c r="AB3" s="24" t="n">
        <v>0.6</v>
      </c>
      <c r="AC3" s="25" t="n"/>
      <c r="AD3" s="13" t="n"/>
      <c r="AE3" s="13" t="n"/>
    </row>
    <row r="4" ht="19.5" customHeight="1">
      <c r="A4" s="23" t="n">
        <v>2</v>
      </c>
      <c r="B4" s="24" t="n">
        <v>0.96</v>
      </c>
      <c r="C4" s="24" t="n">
        <v>1</v>
      </c>
      <c r="D4" s="24" t="n">
        <v>1</v>
      </c>
      <c r="E4" s="24" t="n">
        <v>0.9</v>
      </c>
      <c r="F4" s="24" t="n">
        <v>1</v>
      </c>
      <c r="G4" s="24" t="n">
        <v>0.5</v>
      </c>
      <c r="H4" s="24" t="n">
        <v>0.5</v>
      </c>
      <c r="I4" s="24" t="n">
        <v>0.7</v>
      </c>
      <c r="J4" s="24" t="n">
        <v>1</v>
      </c>
      <c r="K4" s="24" t="n">
        <v>0.7</v>
      </c>
      <c r="L4" s="24" t="n">
        <v>0.8</v>
      </c>
      <c r="M4" s="24" t="n">
        <v>0.9</v>
      </c>
      <c r="N4" s="24" t="n">
        <v>0.8333333333333334</v>
      </c>
      <c r="O4" s="24" t="n">
        <v>1</v>
      </c>
      <c r="P4" s="24" t="n">
        <v>0.6666666666666666</v>
      </c>
      <c r="Q4" s="24" t="n">
        <v>1</v>
      </c>
      <c r="R4" s="24" t="n">
        <v>0.85</v>
      </c>
      <c r="S4" s="24" t="n">
        <v>0.95</v>
      </c>
      <c r="T4" s="24" t="n">
        <v>0.8</v>
      </c>
      <c r="U4" s="24" t="n">
        <v>0.5</v>
      </c>
      <c r="V4" s="24" t="n">
        <v>1</v>
      </c>
      <c r="W4" s="24" t="n">
        <v>0.5</v>
      </c>
      <c r="X4" s="24" t="n">
        <v>0.975</v>
      </c>
      <c r="Y4" s="24" t="n">
        <v>0.5</v>
      </c>
      <c r="Z4" s="24" t="n">
        <v>0.85</v>
      </c>
      <c r="AA4" s="24" t="n">
        <v>0.8</v>
      </c>
      <c r="AB4" s="24" t="n">
        <v>0.6</v>
      </c>
      <c r="AC4" s="222" t="n"/>
      <c r="AD4" s="13" t="n"/>
      <c r="AE4" s="13" t="n"/>
    </row>
    <row r="5" ht="19.5" customHeight="1">
      <c r="A5" s="23" t="n">
        <v>3</v>
      </c>
      <c r="B5" s="24" t="n">
        <v>1</v>
      </c>
      <c r="C5" s="24" t="n">
        <v>0.1</v>
      </c>
      <c r="D5" s="24" t="n">
        <v>0.1</v>
      </c>
      <c r="E5" s="24" t="n">
        <v>0.2</v>
      </c>
      <c r="F5" s="24" t="n">
        <v>1</v>
      </c>
      <c r="G5" s="24" t="n">
        <v>0.1</v>
      </c>
      <c r="H5" s="24" t="n">
        <v>0.1</v>
      </c>
      <c r="I5" s="24" t="n">
        <v>0.4</v>
      </c>
      <c r="J5" s="24" t="n">
        <v>1</v>
      </c>
      <c r="K5" s="24" t="n">
        <v>1</v>
      </c>
      <c r="L5" s="24" t="n">
        <v>1</v>
      </c>
      <c r="M5" s="24" t="n">
        <v>0.4</v>
      </c>
      <c r="N5" s="24" t="n">
        <v>0.6666666666666666</v>
      </c>
      <c r="O5" s="24" t="n">
        <v>1</v>
      </c>
      <c r="P5" s="24" t="n">
        <v>0.8333333333333334</v>
      </c>
      <c r="Q5" s="24" t="n">
        <v>1</v>
      </c>
      <c r="R5" s="24" t="n">
        <v>0.9</v>
      </c>
      <c r="S5" s="24" t="n">
        <v>1</v>
      </c>
      <c r="T5" s="24" t="n">
        <v>0.9666666666666667</v>
      </c>
      <c r="U5" s="24" t="n">
        <v>1</v>
      </c>
      <c r="V5" s="24" t="n">
        <v>1</v>
      </c>
      <c r="W5" s="24" t="n">
        <v>1</v>
      </c>
      <c r="X5" s="24" t="n">
        <v>0.925</v>
      </c>
      <c r="Y5" s="24" t="n">
        <v>0.5</v>
      </c>
      <c r="Z5" s="24" t="n">
        <v>0.9</v>
      </c>
      <c r="AA5" s="24" t="n">
        <v>0.7</v>
      </c>
      <c r="AB5" s="24" t="n">
        <v>0.6</v>
      </c>
      <c r="AC5" s="222" t="n"/>
      <c r="AD5" s="13" t="n"/>
      <c r="AE5" s="13" t="n"/>
    </row>
    <row r="6" ht="19.5" customHeight="1">
      <c r="A6" s="23" t="n">
        <v>4</v>
      </c>
      <c r="B6" s="24" t="n">
        <v>1</v>
      </c>
      <c r="C6" s="24" t="n">
        <v>1</v>
      </c>
      <c r="D6" s="24" t="n">
        <v>1</v>
      </c>
      <c r="E6" s="24" t="n">
        <v>0.5</v>
      </c>
      <c r="F6" s="24" t="n">
        <v>0</v>
      </c>
      <c r="G6" s="24" t="n">
        <v>0.2</v>
      </c>
      <c r="H6" s="24" t="n">
        <v>0.2</v>
      </c>
      <c r="I6" s="24" t="n">
        <v>0.3</v>
      </c>
      <c r="J6" s="24" t="n">
        <v>0.3</v>
      </c>
      <c r="K6" s="24" t="n">
        <v>0.4</v>
      </c>
      <c r="L6" s="24" t="n">
        <v>0.3</v>
      </c>
      <c r="M6" s="24" t="n">
        <v>0.4</v>
      </c>
      <c r="N6" s="24" t="n">
        <v>0.3333333333333333</v>
      </c>
      <c r="O6" s="24" t="n">
        <v>1</v>
      </c>
      <c r="P6" s="24" t="n">
        <v>0.6666666666666666</v>
      </c>
      <c r="Q6" s="24" t="n">
        <v>0.7</v>
      </c>
      <c r="R6" s="24" t="n">
        <v>0.25</v>
      </c>
      <c r="S6" s="24" t="n">
        <v>0.1</v>
      </c>
      <c r="T6" s="24" t="n">
        <v>0.03333333333333333</v>
      </c>
      <c r="U6" s="24" t="n">
        <v>0</v>
      </c>
      <c r="V6" s="24" t="n">
        <v>0.5</v>
      </c>
      <c r="W6" s="24" t="n">
        <v>0.5</v>
      </c>
      <c r="X6" s="24" t="n">
        <v>0.75</v>
      </c>
      <c r="Y6" s="24" t="n">
        <v>0.4166666666666667</v>
      </c>
      <c r="Z6" s="24" t="n">
        <v>0.55</v>
      </c>
      <c r="AA6" s="24" t="n">
        <v>0.8</v>
      </c>
      <c r="AB6" s="24" t="n">
        <v>0.4</v>
      </c>
      <c r="AC6" s="222" t="n"/>
      <c r="AD6" s="13" t="n"/>
      <c r="AE6" s="13" t="inlineStr">
        <is>
          <t>A</t>
        </is>
      </c>
    </row>
    <row r="7" ht="19.5" customHeight="1">
      <c r="A7" s="23" t="n">
        <v>5</v>
      </c>
      <c r="B7" s="24" t="n">
        <v>1</v>
      </c>
      <c r="C7" s="24" t="n">
        <v>1</v>
      </c>
      <c r="D7" s="24" t="n">
        <v>1</v>
      </c>
      <c r="E7" s="24" t="n">
        <v>0.7</v>
      </c>
      <c r="F7" s="24" t="n">
        <v>1</v>
      </c>
      <c r="G7" s="24" t="n">
        <v>0.5</v>
      </c>
      <c r="H7" s="24" t="n">
        <v>0.5</v>
      </c>
      <c r="I7" s="24" t="n">
        <v>0.9</v>
      </c>
      <c r="J7" s="24" t="n">
        <v>1</v>
      </c>
      <c r="K7" s="24" t="n">
        <v>1</v>
      </c>
      <c r="L7" s="24" t="n">
        <v>0.1</v>
      </c>
      <c r="M7" s="24" t="n">
        <v>0.4</v>
      </c>
      <c r="N7" s="24" t="n">
        <v>0.5833333333333334</v>
      </c>
      <c r="O7" s="24" t="n">
        <v>0</v>
      </c>
      <c r="P7" s="24" t="n">
        <v>0.5</v>
      </c>
      <c r="Q7" s="24" t="n">
        <v>1</v>
      </c>
      <c r="R7" s="24" t="n">
        <v>0.25</v>
      </c>
      <c r="S7" s="24" t="n">
        <v>0.25</v>
      </c>
      <c r="T7" s="24" t="n">
        <v>0.8333333333333334</v>
      </c>
      <c r="U7" s="24" t="n">
        <v>0.6875</v>
      </c>
      <c r="V7" s="24" t="n">
        <v>0.875</v>
      </c>
      <c r="W7" s="24" t="n">
        <v>0.5</v>
      </c>
      <c r="X7" s="24" t="n">
        <v>0.9</v>
      </c>
      <c r="Y7" s="24" t="n">
        <v>0.5</v>
      </c>
      <c r="Z7" s="24" t="n">
        <v>0</v>
      </c>
      <c r="AA7" s="24" t="n">
        <v>0.75</v>
      </c>
      <c r="AB7" s="24" t="n">
        <v>0.6</v>
      </c>
      <c r="AC7" s="222" t="n"/>
      <c r="AD7" s="13" t="n"/>
      <c r="AE7" s="13" t="inlineStr">
        <is>
          <t>Q</t>
        </is>
      </c>
    </row>
    <row r="8" ht="19.5" customHeight="1">
      <c r="A8" s="23" t="n">
        <v>6</v>
      </c>
      <c r="B8" s="24" t="n">
        <v>0.96</v>
      </c>
      <c r="C8" s="24" t="n">
        <v>1</v>
      </c>
      <c r="D8" s="24" t="n">
        <v>1</v>
      </c>
      <c r="E8" s="24" t="n">
        <v>1</v>
      </c>
      <c r="F8" s="24" t="n">
        <v>1</v>
      </c>
      <c r="G8" s="24" t="n">
        <v>0</v>
      </c>
      <c r="H8" s="24" t="n">
        <v>0</v>
      </c>
      <c r="I8" s="24" t="n">
        <v>0.8</v>
      </c>
      <c r="J8" s="24" t="n">
        <v>1</v>
      </c>
      <c r="K8" s="24" t="n">
        <v>0.4</v>
      </c>
      <c r="L8" s="24" t="n">
        <v>0.7</v>
      </c>
      <c r="M8" s="24" t="n">
        <v>0.4</v>
      </c>
      <c r="N8" s="24" t="n">
        <v>0.08333333333333333</v>
      </c>
      <c r="O8" s="24" t="n">
        <v>0.625</v>
      </c>
      <c r="P8" s="24" t="n">
        <v>0.9166666666666666</v>
      </c>
      <c r="Q8" s="24" t="n">
        <v>1</v>
      </c>
      <c r="R8" s="24" t="n">
        <v>0.25</v>
      </c>
      <c r="S8" s="24" t="n">
        <v>0.35</v>
      </c>
      <c r="T8" s="24" t="n">
        <v>0.06666666666666667</v>
      </c>
      <c r="U8" s="24" t="n">
        <v>0</v>
      </c>
      <c r="V8" s="24" t="n">
        <v>0.75</v>
      </c>
      <c r="W8" s="24" t="n">
        <v>0.6666666666666666</v>
      </c>
      <c r="X8" s="24" t="n">
        <v>1</v>
      </c>
      <c r="Y8" s="24" t="n">
        <v>0.5</v>
      </c>
      <c r="Z8" s="24" t="n">
        <v>0.6</v>
      </c>
      <c r="AA8" s="24" t="n">
        <v>0.7</v>
      </c>
      <c r="AB8" s="24" t="n">
        <v>0.6</v>
      </c>
      <c r="AC8" s="222" t="n"/>
      <c r="AD8" s="13" t="n"/>
      <c r="AE8" s="13" t="inlineStr">
        <is>
          <t>M</t>
        </is>
      </c>
    </row>
    <row r="9" ht="19.5" customHeight="1">
      <c r="A9" s="23" t="n">
        <v>7</v>
      </c>
      <c r="B9" s="24" t="n">
        <v>1</v>
      </c>
      <c r="C9" s="24" t="n">
        <v>0.9</v>
      </c>
      <c r="D9" s="24" t="n">
        <v>1</v>
      </c>
      <c r="E9" s="24" t="n">
        <v>1</v>
      </c>
      <c r="F9" s="24" t="n">
        <v>1</v>
      </c>
      <c r="G9" s="24" t="n">
        <v>0.2</v>
      </c>
      <c r="H9" s="24" t="n">
        <v>0.2</v>
      </c>
      <c r="I9" s="24" t="n">
        <v>0.7</v>
      </c>
      <c r="J9" s="24" t="n">
        <v>1</v>
      </c>
      <c r="K9" s="24" t="n">
        <v>1</v>
      </c>
      <c r="L9" s="24" t="n">
        <v>0.3</v>
      </c>
      <c r="M9" s="24" t="n">
        <v>0.2</v>
      </c>
      <c r="N9" s="24" t="n">
        <v>0.4166666666666667</v>
      </c>
      <c r="O9" s="24" t="n">
        <v>0.75</v>
      </c>
      <c r="P9" s="24" t="n">
        <v>0.3333333333333333</v>
      </c>
      <c r="Q9" s="24" t="n">
        <v>0.75</v>
      </c>
      <c r="R9" s="24" t="n">
        <v>0.65</v>
      </c>
      <c r="S9" s="24" t="n">
        <v>0.8</v>
      </c>
      <c r="T9" s="24" t="n">
        <v>0.5666666666666667</v>
      </c>
      <c r="U9" s="24" t="n">
        <v>1</v>
      </c>
      <c r="V9" s="24" t="n">
        <v>1</v>
      </c>
      <c r="W9" s="24" t="n">
        <v>0.5</v>
      </c>
      <c r="X9" s="24" t="n">
        <v>0.79375</v>
      </c>
      <c r="Y9" s="24" t="n">
        <v>1</v>
      </c>
      <c r="Z9" s="24" t="n">
        <v>0.6</v>
      </c>
      <c r="AA9" s="24" t="n">
        <v>0.6</v>
      </c>
      <c r="AB9" s="24" t="n">
        <v>0.2</v>
      </c>
      <c r="AC9" s="222" t="n"/>
      <c r="AD9" s="13" t="n"/>
      <c r="AE9" s="13" t="inlineStr">
        <is>
          <t>F</t>
        </is>
      </c>
    </row>
    <row r="10" ht="19.5" customHeight="1">
      <c r="A10" s="23" t="n">
        <v>8</v>
      </c>
      <c r="B10" s="24" t="n">
        <v>0.96</v>
      </c>
      <c r="C10" s="24" t="n">
        <v>0.9</v>
      </c>
      <c r="D10" s="24" t="n">
        <v>1</v>
      </c>
      <c r="E10" s="24" t="n">
        <v>1</v>
      </c>
      <c r="F10" s="24" t="n">
        <v>1</v>
      </c>
      <c r="G10" s="24" t="n">
        <v>1</v>
      </c>
      <c r="H10" s="24" t="n">
        <v>1</v>
      </c>
      <c r="I10" s="24" t="n">
        <v>0.7</v>
      </c>
      <c r="J10" s="24" t="n">
        <v>0.6</v>
      </c>
      <c r="K10" s="24" t="n">
        <v>0.4</v>
      </c>
      <c r="L10" s="24" t="n">
        <v>0.4</v>
      </c>
      <c r="M10" s="24" t="n">
        <v>0.8</v>
      </c>
      <c r="N10" s="24" t="n">
        <v>0.6666666666666666</v>
      </c>
      <c r="O10" s="24" t="n">
        <v>1</v>
      </c>
      <c r="P10" s="24" t="n">
        <v>0.8333333333333334</v>
      </c>
      <c r="Q10" s="24" t="n">
        <v>0.85</v>
      </c>
      <c r="R10" s="24" t="n">
        <v>0.8</v>
      </c>
      <c r="S10" s="24" t="n">
        <v>0.1</v>
      </c>
      <c r="T10" s="24" t="n">
        <v>0.4333333333333333</v>
      </c>
      <c r="U10" s="24" t="n">
        <v>0.5</v>
      </c>
      <c r="V10" s="24" t="n">
        <v>1</v>
      </c>
      <c r="W10" s="24" t="n">
        <v>0.3333333333333333</v>
      </c>
      <c r="X10" s="24" t="n">
        <v>0.975</v>
      </c>
      <c r="Y10" s="24" t="n">
        <v>0.4166666666666667</v>
      </c>
      <c r="Z10" s="24" t="n">
        <v>0.8</v>
      </c>
      <c r="AA10" s="24" t="n">
        <v>0.7</v>
      </c>
      <c r="AB10" s="24" t="n">
        <v>0.8</v>
      </c>
      <c r="AC10" s="222" t="n"/>
      <c r="AD10" s="13" t="n"/>
      <c r="AE10" s="13" t="inlineStr">
        <is>
          <t>P</t>
        </is>
      </c>
    </row>
    <row r="11" ht="19.5" customHeight="1">
      <c r="A11" s="23" t="n">
        <v>9</v>
      </c>
      <c r="B11" s="24" t="n">
        <v>1</v>
      </c>
      <c r="C11" s="24" t="n">
        <v>0.2</v>
      </c>
      <c r="D11" s="24" t="n">
        <v>0.2</v>
      </c>
      <c r="E11" s="24" t="n">
        <v>0.1</v>
      </c>
      <c r="F11" s="24" t="n">
        <v>1</v>
      </c>
      <c r="G11" s="24" t="n">
        <v>0.1</v>
      </c>
      <c r="H11" s="24" t="n">
        <v>0.1</v>
      </c>
      <c r="I11" s="24" t="n">
        <v>0.3</v>
      </c>
      <c r="J11" s="24" t="n">
        <v>0.8</v>
      </c>
      <c r="K11" s="24" t="n">
        <v>1</v>
      </c>
      <c r="L11" s="24" t="n">
        <v>0</v>
      </c>
      <c r="M11" s="24" t="n">
        <v>1</v>
      </c>
      <c r="N11" s="24" t="n">
        <v>0.75</v>
      </c>
      <c r="O11" s="24" t="n">
        <v>1</v>
      </c>
      <c r="P11" s="24" t="n">
        <v>1</v>
      </c>
      <c r="Q11" s="24" t="n">
        <v>0.75</v>
      </c>
      <c r="R11" s="24" t="n">
        <v>0.55</v>
      </c>
      <c r="S11" s="24" t="n">
        <v>1</v>
      </c>
      <c r="T11" s="24" t="n">
        <v>0.8333333333333334</v>
      </c>
      <c r="U11" s="24" t="n">
        <v>0.875</v>
      </c>
      <c r="V11" s="24" t="n">
        <v>0.5</v>
      </c>
      <c r="W11" s="24" t="n">
        <v>0.5</v>
      </c>
      <c r="X11" s="24" t="n">
        <v>1</v>
      </c>
      <c r="Y11" s="24" t="n">
        <v>0.5</v>
      </c>
      <c r="Z11" s="24" t="n">
        <v>0.55</v>
      </c>
      <c r="AA11" s="24" t="n">
        <v>0.8</v>
      </c>
      <c r="AB11" s="24" t="n">
        <v>0.6</v>
      </c>
      <c r="AC11" s="222" t="n"/>
      <c r="AD11" s="13" t="n"/>
      <c r="AE11" s="13" t="inlineStr">
        <is>
          <t>L</t>
        </is>
      </c>
    </row>
    <row r="12" ht="19.5" customHeight="1">
      <c r="A12" s="23" t="n">
        <v>10</v>
      </c>
      <c r="B12" s="24" t="n">
        <v>1</v>
      </c>
      <c r="C12" s="24" t="n">
        <v>1</v>
      </c>
      <c r="D12" s="24" t="n">
        <v>1</v>
      </c>
      <c r="E12" s="24" t="n">
        <v>0.9</v>
      </c>
      <c r="F12" s="24" t="n">
        <v>1</v>
      </c>
      <c r="G12" s="24" t="n">
        <v>1</v>
      </c>
      <c r="H12" s="24" t="n">
        <v>1</v>
      </c>
      <c r="I12" s="24" t="n">
        <v>0.9</v>
      </c>
      <c r="J12" s="24" t="n">
        <v>0.8</v>
      </c>
      <c r="K12" s="24" t="n">
        <v>0.8</v>
      </c>
      <c r="L12" s="24" t="n">
        <v>1</v>
      </c>
      <c r="M12" s="24" t="n">
        <v>0.3</v>
      </c>
      <c r="N12" s="24" t="n">
        <v>1</v>
      </c>
      <c r="O12" s="24" t="n">
        <v>0.5625</v>
      </c>
      <c r="P12" s="24" t="n">
        <v>0.9166666666666666</v>
      </c>
      <c r="Q12" s="24" t="n">
        <v>1</v>
      </c>
      <c r="R12" s="24" t="n">
        <v>0.4</v>
      </c>
      <c r="S12" s="24" t="n">
        <v>0.95</v>
      </c>
      <c r="T12" s="24" t="n">
        <v>0.3666666666666666</v>
      </c>
      <c r="U12" s="24" t="n">
        <v>0.5625</v>
      </c>
      <c r="V12" s="24" t="n">
        <v>1</v>
      </c>
      <c r="W12" s="24" t="n">
        <v>1</v>
      </c>
      <c r="X12" s="24" t="n">
        <v>0.975</v>
      </c>
      <c r="Y12" s="24" t="n">
        <v>0.75</v>
      </c>
      <c r="Z12" s="24" t="n">
        <v>0.6</v>
      </c>
      <c r="AA12" s="24" t="n">
        <v>0.5700000000000001</v>
      </c>
      <c r="AB12" s="24" t="n">
        <v>1</v>
      </c>
      <c r="AC12" s="222" t="n"/>
      <c r="AD12" s="13" t="n"/>
      <c r="AE12" s="13" t="inlineStr">
        <is>
          <t>OT</t>
        </is>
      </c>
    </row>
    <row r="13" ht="19.5" customHeight="1">
      <c r="A13" s="23" t="n">
        <v>11</v>
      </c>
      <c r="B13" s="24" t="n">
        <v>0.99</v>
      </c>
      <c r="C13" s="24" t="n">
        <v>1</v>
      </c>
      <c r="D13" s="24" t="n">
        <v>0.2</v>
      </c>
      <c r="E13" s="24" t="n">
        <v>1</v>
      </c>
      <c r="F13" s="24" t="n">
        <v>1</v>
      </c>
      <c r="G13" s="24" t="n">
        <v>0.9</v>
      </c>
      <c r="H13" s="24" t="n">
        <v>0.9</v>
      </c>
      <c r="I13" s="24" t="n">
        <v>0.7</v>
      </c>
      <c r="J13" s="24" t="n">
        <v>1</v>
      </c>
      <c r="K13" s="24" t="n">
        <v>0.8</v>
      </c>
      <c r="L13" s="24" t="n">
        <v>0.7</v>
      </c>
      <c r="M13" s="24" t="n">
        <v>0.3</v>
      </c>
      <c r="N13" s="24" t="n">
        <v>0.08333333333333333</v>
      </c>
      <c r="O13" s="24" t="n">
        <v>1</v>
      </c>
      <c r="P13" s="24" t="n">
        <v>0.6666666666666666</v>
      </c>
      <c r="Q13" s="24" t="n">
        <v>1</v>
      </c>
      <c r="R13" s="24" t="n">
        <v>0.4</v>
      </c>
      <c r="S13" s="24" t="n">
        <v>0.75</v>
      </c>
      <c r="T13" s="24" t="n">
        <v>0.1333333333333333</v>
      </c>
      <c r="U13" s="24" t="n">
        <v>0.125</v>
      </c>
      <c r="V13" s="24" t="n">
        <v>1</v>
      </c>
      <c r="W13" s="24" t="n">
        <v>1</v>
      </c>
      <c r="X13" s="24" t="n">
        <v>0.975</v>
      </c>
      <c r="Y13" s="24" t="n">
        <v>0</v>
      </c>
      <c r="Z13" s="24" t="n">
        <v>0.5</v>
      </c>
      <c r="AA13" s="24" t="n">
        <v>0.5700000000000001</v>
      </c>
      <c r="AB13" s="24" t="n">
        <v>0.4</v>
      </c>
      <c r="AC13" s="222" t="n"/>
      <c r="AD13" s="13" t="n"/>
      <c r="AE13" s="13" t="n"/>
    </row>
    <row r="14" ht="19.5" customHeight="1">
      <c r="A14" s="23" t="n">
        <v>12</v>
      </c>
      <c r="B14" s="24" t="n">
        <v>1</v>
      </c>
      <c r="C14" s="24" t="n">
        <v>0.9</v>
      </c>
      <c r="D14" s="24" t="n">
        <v>0.9</v>
      </c>
      <c r="E14" s="24" t="n">
        <v>1</v>
      </c>
      <c r="F14" s="24" t="n">
        <v>1</v>
      </c>
      <c r="G14" s="24" t="n">
        <v>0</v>
      </c>
      <c r="H14" s="24" t="n">
        <v>0</v>
      </c>
      <c r="I14" s="24" t="n">
        <v>0.8</v>
      </c>
      <c r="J14" s="24" t="n">
        <v>1</v>
      </c>
      <c r="K14" s="24" t="n">
        <v>0.9</v>
      </c>
      <c r="L14" s="24" t="n">
        <v>0.9</v>
      </c>
      <c r="M14" s="24" t="n">
        <v>0.4</v>
      </c>
      <c r="N14" s="24" t="n">
        <v>0.75</v>
      </c>
      <c r="O14" s="24" t="n">
        <v>1</v>
      </c>
      <c r="P14" s="24" t="n">
        <v>0.6666666666666666</v>
      </c>
      <c r="Q14" s="24" t="n">
        <v>1</v>
      </c>
      <c r="R14" s="24" t="n">
        <v>0.85</v>
      </c>
      <c r="S14" s="24" t="n">
        <v>0.85</v>
      </c>
      <c r="T14" s="24" t="n">
        <v>0.6333333333333333</v>
      </c>
      <c r="U14" s="24" t="n">
        <v>0.4375</v>
      </c>
      <c r="V14" s="24" t="n">
        <v>1</v>
      </c>
      <c r="W14" s="24" t="n">
        <v>0.8333333333333334</v>
      </c>
      <c r="X14" s="24" t="n">
        <v>0.8125</v>
      </c>
      <c r="Y14" s="24" t="n">
        <v>0.8333333333333334</v>
      </c>
      <c r="Z14" s="24" t="n">
        <v>0.65</v>
      </c>
      <c r="AA14" s="24" t="n">
        <v>0.75</v>
      </c>
      <c r="AB14" s="24" t="n">
        <v>0.4</v>
      </c>
      <c r="AC14" s="222" t="n"/>
      <c r="AD14" s="13" t="n"/>
      <c r="AE14" s="13" t="n"/>
    </row>
    <row r="15" ht="19.5" customHeight="1">
      <c r="A15" s="23" t="n">
        <v>13</v>
      </c>
      <c r="B15" s="24" t="n">
        <v>0.9800000000000001</v>
      </c>
      <c r="C15" s="24" t="n">
        <v>0.9</v>
      </c>
      <c r="D15" s="24" t="n">
        <v>0.3</v>
      </c>
      <c r="E15" s="24" t="n">
        <v>0.5</v>
      </c>
      <c r="F15" s="24" t="n">
        <v>1</v>
      </c>
      <c r="G15" s="24" t="n">
        <v>0.7</v>
      </c>
      <c r="H15" s="24" t="n">
        <v>0.7</v>
      </c>
      <c r="I15" s="24" t="n">
        <v>0.4</v>
      </c>
      <c r="J15" s="24" t="n">
        <v>0.9</v>
      </c>
      <c r="K15" s="24" t="n">
        <v>0.7</v>
      </c>
      <c r="L15" s="24" t="n">
        <v>0.7</v>
      </c>
      <c r="M15" s="24" t="n">
        <v>0.3</v>
      </c>
      <c r="N15" s="24" t="n">
        <v>0.3333333333333333</v>
      </c>
      <c r="O15" s="24" t="n">
        <v>1</v>
      </c>
      <c r="P15" s="24" t="n">
        <v>1</v>
      </c>
      <c r="Q15" s="24" t="n">
        <v>0.75</v>
      </c>
      <c r="R15" s="24" t="n">
        <v>0.3</v>
      </c>
      <c r="S15" s="24" t="n">
        <v>0.05</v>
      </c>
      <c r="T15" s="24" t="n">
        <v>0.2</v>
      </c>
      <c r="U15" s="24" t="n">
        <v>0.375</v>
      </c>
      <c r="V15" s="24" t="n">
        <v>1</v>
      </c>
      <c r="W15" s="24" t="n">
        <v>0.5</v>
      </c>
      <c r="X15" s="24" t="n">
        <v>0.8125</v>
      </c>
      <c r="Y15" s="24" t="n">
        <v>0.6666666666666666</v>
      </c>
      <c r="Z15" s="24" t="n">
        <v>0.6</v>
      </c>
      <c r="AA15" s="24" t="n">
        <v>0.8</v>
      </c>
      <c r="AB15" s="24" t="n">
        <v>0.4</v>
      </c>
      <c r="AC15" s="222" t="n"/>
      <c r="AD15" s="13" t="n"/>
      <c r="AE15" s="13" t="n"/>
    </row>
    <row r="16" ht="19.5" customHeight="1">
      <c r="A16" s="23" t="n">
        <v>14</v>
      </c>
      <c r="B16" s="24" t="n">
        <v>0.9800000000000001</v>
      </c>
      <c r="C16" s="24" t="n">
        <v>0</v>
      </c>
      <c r="D16" s="24" t="n">
        <v>0</v>
      </c>
      <c r="E16" s="24" t="n">
        <v>0</v>
      </c>
      <c r="F16" s="24" t="n">
        <v>1</v>
      </c>
      <c r="G16" s="24" t="n">
        <v>0.2</v>
      </c>
      <c r="H16" s="24" t="n">
        <v>0.2</v>
      </c>
      <c r="I16" s="24" t="n">
        <v>0.2</v>
      </c>
      <c r="J16" s="24" t="n">
        <v>1</v>
      </c>
      <c r="K16" s="24" t="n">
        <v>1</v>
      </c>
      <c r="L16" s="24" t="n">
        <v>0.8</v>
      </c>
      <c r="M16" s="24" t="n">
        <v>1</v>
      </c>
      <c r="N16" s="24" t="n">
        <v>0.75</v>
      </c>
      <c r="O16" s="24" t="n">
        <v>1</v>
      </c>
      <c r="P16" s="24" t="n">
        <v>1</v>
      </c>
      <c r="Q16" s="24" t="n">
        <v>1</v>
      </c>
      <c r="R16" s="24" t="n">
        <v>0.4</v>
      </c>
      <c r="S16" s="24" t="n">
        <v>1</v>
      </c>
      <c r="T16" s="24" t="n">
        <v>0.3666666666666666</v>
      </c>
      <c r="U16" s="24" t="n">
        <v>0.125</v>
      </c>
      <c r="V16" s="24" t="n">
        <v>0.75</v>
      </c>
      <c r="W16" s="24" t="n">
        <v>1</v>
      </c>
      <c r="X16" s="24" t="n">
        <v>0.8</v>
      </c>
      <c r="Y16" s="24" t="n">
        <v>0.6666666666666666</v>
      </c>
      <c r="Z16" s="24" t="n">
        <v>0.5</v>
      </c>
      <c r="AA16" s="24" t="n">
        <v>0.65</v>
      </c>
      <c r="AB16" s="24" t="n">
        <v>0.4</v>
      </c>
      <c r="AC16" s="222" t="n"/>
      <c r="AD16" s="13" t="n"/>
      <c r="AE16" s="13" t="n"/>
    </row>
    <row r="17" ht="19.5" customHeight="1">
      <c r="A17" s="23" t="n">
        <v>15</v>
      </c>
      <c r="B17" s="24" t="n">
        <v>1</v>
      </c>
      <c r="C17" s="24" t="n">
        <v>0.9</v>
      </c>
      <c r="D17" s="24" t="n">
        <v>1</v>
      </c>
      <c r="E17" s="24" t="n">
        <v>0.8</v>
      </c>
      <c r="F17" s="24" t="n">
        <v>1</v>
      </c>
      <c r="G17" s="24" t="n">
        <v>0.9</v>
      </c>
      <c r="H17" s="24" t="n">
        <v>0.9</v>
      </c>
      <c r="I17" s="24" t="n">
        <v>0.7</v>
      </c>
      <c r="J17" s="24" t="n">
        <v>0.5</v>
      </c>
      <c r="K17" s="24" t="n">
        <v>0.5</v>
      </c>
      <c r="L17" s="24" t="n">
        <v>0.3</v>
      </c>
      <c r="M17" s="24" t="n">
        <v>0.3</v>
      </c>
      <c r="N17" s="24" t="n">
        <v>0.6666666666666666</v>
      </c>
      <c r="O17" s="24" t="n">
        <v>0.375</v>
      </c>
      <c r="P17" s="24" t="n">
        <v>0.6666666666666666</v>
      </c>
      <c r="Q17" s="24" t="n">
        <v>1</v>
      </c>
      <c r="R17" s="24" t="n">
        <v>0.85</v>
      </c>
      <c r="S17" s="24" t="n">
        <v>1</v>
      </c>
      <c r="T17" s="24" t="n">
        <v>0.4</v>
      </c>
      <c r="U17" s="24" t="n">
        <v>1</v>
      </c>
      <c r="V17" s="24" t="n">
        <v>1</v>
      </c>
      <c r="W17" s="24" t="n">
        <v>1</v>
      </c>
      <c r="X17" s="24" t="n">
        <v>1</v>
      </c>
      <c r="Y17" s="24" t="n">
        <v>1</v>
      </c>
      <c r="Z17" s="24" t="n"/>
      <c r="AA17" s="24" t="n"/>
      <c r="AB17" s="24" t="n"/>
      <c r="AC17" s="222" t="n"/>
      <c r="AD17" s="13" t="n"/>
      <c r="AE17" s="13" t="n"/>
    </row>
    <row r="18" ht="19.5" customHeight="1">
      <c r="A18" s="23" t="n">
        <v>16</v>
      </c>
      <c r="B18" s="24" t="n">
        <v>1</v>
      </c>
      <c r="C18" s="24" t="n">
        <v>1</v>
      </c>
      <c r="D18" s="24" t="n">
        <v>1</v>
      </c>
      <c r="E18" s="24" t="n">
        <v>0.6</v>
      </c>
      <c r="F18" s="24" t="n">
        <v>1</v>
      </c>
      <c r="G18" s="24" t="n">
        <v>0.2</v>
      </c>
      <c r="H18" s="24" t="n">
        <v>0.2</v>
      </c>
      <c r="I18" s="24" t="n">
        <v>0.8</v>
      </c>
      <c r="J18" s="24" t="n"/>
      <c r="K18" s="24" t="n">
        <v>0.4</v>
      </c>
      <c r="L18" s="24" t="n"/>
      <c r="M18" s="24" t="n">
        <v>0</v>
      </c>
      <c r="N18" s="24" t="n">
        <v>0.5</v>
      </c>
      <c r="O18" s="24" t="n">
        <v>0.375</v>
      </c>
      <c r="P18" s="24" t="n">
        <v>0.3333333333333333</v>
      </c>
      <c r="Q18" s="24" t="n">
        <v>1</v>
      </c>
      <c r="R18" s="24" t="n">
        <v>0.95</v>
      </c>
      <c r="S18" s="24" t="n">
        <v>1</v>
      </c>
      <c r="T18" s="24" t="n">
        <v>1</v>
      </c>
      <c r="U18" s="24" t="n">
        <v>1</v>
      </c>
      <c r="V18" s="24" t="n">
        <v>0.5</v>
      </c>
      <c r="W18" s="24" t="n">
        <v>0.3333333333333333</v>
      </c>
      <c r="X18" s="24" t="n">
        <v>0.9</v>
      </c>
      <c r="Y18" s="24" t="n">
        <v>0.9166666666666666</v>
      </c>
      <c r="Z18" s="24" t="n"/>
      <c r="AA18" s="24" t="n"/>
      <c r="AB18" s="24" t="n"/>
      <c r="AC18" s="222" t="n"/>
      <c r="AD18" s="13" t="n"/>
      <c r="AE18" s="13" t="n"/>
    </row>
    <row r="19" ht="19.5" customHeight="1">
      <c r="A19" s="23" t="n">
        <v>17</v>
      </c>
      <c r="B19" s="24" t="n">
        <v>0.7</v>
      </c>
      <c r="C19" s="24" t="n"/>
      <c r="D19" s="24" t="n"/>
      <c r="E19" s="24" t="n"/>
      <c r="F19" s="24" t="n"/>
      <c r="G19" s="24" t="n"/>
      <c r="H19" s="24" t="n"/>
      <c r="I19" s="24" t="n"/>
      <c r="J19" s="24" t="n"/>
      <c r="K19" s="24" t="n"/>
      <c r="L19" s="24" t="n"/>
      <c r="M19" s="24" t="n"/>
      <c r="N19" s="24" t="n"/>
      <c r="O19" s="24" t="n"/>
      <c r="P19" s="24" t="n"/>
      <c r="Q19" s="24" t="n">
        <v>1</v>
      </c>
      <c r="R19" s="24" t="n">
        <v>0.25</v>
      </c>
      <c r="S19" s="24" t="n">
        <v>1</v>
      </c>
      <c r="T19" s="24" t="n">
        <v>0.4666666666666667</v>
      </c>
      <c r="U19" s="24" t="n">
        <v>1</v>
      </c>
      <c r="V19" s="24" t="n"/>
      <c r="W19" s="24" t="n"/>
      <c r="X19" s="24" t="n"/>
      <c r="Y19" s="24" t="n"/>
      <c r="Z19" s="24" t="n"/>
      <c r="AA19" s="24" t="n"/>
      <c r="AB19" s="24" t="n"/>
      <c r="AC19" s="222" t="n"/>
      <c r="AD19" s="13" t="n"/>
      <c r="AE19" s="13" t="n"/>
    </row>
    <row r="20" ht="19.5" customHeight="1">
      <c r="A20" s="23" t="n">
        <v>18</v>
      </c>
      <c r="B20" s="24" t="n">
        <v>0.95</v>
      </c>
      <c r="C20" s="24" t="n"/>
      <c r="D20" s="24" t="n"/>
      <c r="E20" s="24" t="n"/>
      <c r="F20" s="24" t="n"/>
      <c r="G20" s="24" t="n"/>
      <c r="H20" s="24" t="n"/>
      <c r="I20" s="24" t="n"/>
      <c r="J20" s="24" t="n"/>
      <c r="K20" s="24" t="n"/>
      <c r="L20" s="24" t="n"/>
      <c r="M20" s="24" t="n"/>
      <c r="N20" s="24" t="n"/>
      <c r="O20" s="24" t="n"/>
      <c r="P20" s="24" t="n"/>
      <c r="Q20" s="24" t="n"/>
      <c r="R20" s="24" t="n"/>
      <c r="S20" s="24" t="n"/>
      <c r="T20" s="24" t="n"/>
      <c r="U20" s="24" t="n"/>
      <c r="V20" s="24" t="n"/>
      <c r="W20" s="24" t="n"/>
      <c r="X20" s="24" t="n"/>
      <c r="Y20" s="24" t="n"/>
      <c r="Z20" s="24" t="n"/>
      <c r="AA20" s="24" t="n"/>
      <c r="AB20" s="24" t="n"/>
      <c r="AC20" s="222" t="n"/>
      <c r="AD20" s="13" t="n"/>
      <c r="AE20" s="13" t="n"/>
    </row>
    <row r="21" ht="19.5" customHeight="1">
      <c r="A21" s="23" t="n">
        <v>19</v>
      </c>
      <c r="B21" s="24" t="n">
        <v>0</v>
      </c>
      <c r="C21" s="24" t="n"/>
      <c r="D21" s="24" t="n"/>
      <c r="E21" s="24" t="n"/>
      <c r="F21" s="24" t="n"/>
      <c r="G21" s="24" t="n"/>
      <c r="H21" s="24" t="n"/>
      <c r="I21" s="24" t="n"/>
      <c r="J21" s="24" t="n"/>
      <c r="K21" s="24" t="n"/>
      <c r="L21" s="24" t="n"/>
      <c r="M21" s="24" t="n"/>
      <c r="N21" s="24" t="n"/>
      <c r="O21" s="24" t="n"/>
      <c r="P21" s="24" t="n"/>
      <c r="Q21" s="24" t="n"/>
      <c r="R21" s="24" t="n"/>
      <c r="S21" s="24" t="n"/>
      <c r="T21" s="24" t="n"/>
      <c r="U21" s="24" t="n"/>
      <c r="V21" s="24" t="n"/>
      <c r="W21" s="24" t="n"/>
      <c r="X21" s="24" t="n"/>
      <c r="Y21" s="24" t="n"/>
      <c r="Z21" s="24" t="n"/>
      <c r="AA21" s="24" t="n"/>
      <c r="AB21" s="24" t="n"/>
      <c r="AC21" s="222" t="n"/>
      <c r="AD21" s="13" t="n"/>
      <c r="AE21" s="13" t="n"/>
    </row>
    <row r="22" ht="19.5" customHeight="1">
      <c r="A22" s="23" t="n">
        <v>20</v>
      </c>
      <c r="B22" s="24" t="n"/>
      <c r="C22" s="24" t="n"/>
      <c r="D22" s="24" t="n"/>
      <c r="E22" s="24" t="n"/>
      <c r="F22" s="24" t="n"/>
      <c r="G22" s="24" t="n"/>
      <c r="H22" s="24" t="n"/>
      <c r="I22" s="24" t="n"/>
      <c r="J22" s="24" t="n"/>
      <c r="K22" s="24" t="n"/>
      <c r="L22" s="24" t="n"/>
      <c r="M22" s="24" t="n"/>
      <c r="N22" s="24" t="n"/>
      <c r="O22" s="24" t="n"/>
      <c r="P22" s="24" t="n"/>
      <c r="Q22" s="24" t="n"/>
      <c r="R22" s="24" t="n"/>
      <c r="S22" s="24" t="n"/>
      <c r="T22" s="24" t="n"/>
      <c r="U22" s="24" t="n"/>
      <c r="V22" s="24" t="n"/>
      <c r="W22" s="24" t="n"/>
      <c r="X22" s="24" t="n"/>
      <c r="Y22" s="24" t="n"/>
      <c r="Z22" s="24" t="n"/>
      <c r="AA22" s="24" t="n"/>
      <c r="AB22" s="24" t="n"/>
      <c r="AC22" s="222" t="n"/>
      <c r="AD22" s="13" t="n"/>
      <c r="AE22" s="13" t="n"/>
    </row>
    <row r="23" ht="19.5" customHeight="1">
      <c r="A23" s="31" t="n">
        <v>21</v>
      </c>
      <c r="B23" s="29" t="n"/>
      <c r="C23" s="29" t="n"/>
      <c r="D23" s="29" t="n"/>
      <c r="E23" s="29" t="n"/>
      <c r="F23" s="29" t="n"/>
      <c r="G23" s="29" t="n"/>
      <c r="H23" s="29" t="n"/>
      <c r="I23" s="29" t="n"/>
      <c r="J23" s="29" t="n"/>
      <c r="K23" s="29" t="n"/>
      <c r="L23" s="29" t="n"/>
      <c r="M23" s="29" t="n"/>
      <c r="N23" s="29" t="n"/>
      <c r="O23" s="29" t="n"/>
      <c r="P23" s="29" t="n"/>
      <c r="Q23" s="29" t="n"/>
      <c r="R23" s="29" t="n"/>
      <c r="S23" s="29" t="n"/>
      <c r="T23" s="29" t="n"/>
      <c r="U23" s="29" t="n"/>
      <c r="V23" s="29" t="n"/>
      <c r="W23" s="29" t="n"/>
      <c r="X23" s="29" t="n"/>
      <c r="Y23" s="29" t="n"/>
      <c r="Z23" s="29" t="n"/>
      <c r="AA23" s="29" t="n"/>
      <c r="AB23" s="29" t="n"/>
      <c r="AC23" s="222" t="n"/>
      <c r="AD23" s="13" t="n"/>
      <c r="AE23" s="13" t="n"/>
    </row>
    <row r="24" ht="19.5" customHeight="1">
      <c r="A24" s="31" t="n">
        <v>22</v>
      </c>
      <c r="B24" s="29" t="n"/>
      <c r="C24" s="29" t="n"/>
      <c r="D24" s="29" t="n"/>
      <c r="E24" s="29" t="n"/>
      <c r="F24" s="29" t="n"/>
      <c r="G24" s="29" t="n"/>
      <c r="H24" s="29" t="n"/>
      <c r="I24" s="29" t="n"/>
      <c r="J24" s="29" t="n"/>
      <c r="K24" s="29" t="n"/>
      <c r="L24" s="29" t="n"/>
      <c r="M24" s="29" t="n"/>
      <c r="N24" s="29" t="n"/>
      <c r="O24" s="29" t="n"/>
      <c r="P24" s="29" t="n"/>
      <c r="Q24" s="29" t="n"/>
      <c r="R24" s="29" t="n"/>
      <c r="S24" s="29" t="n"/>
      <c r="T24" s="29" t="n"/>
      <c r="U24" s="29" t="n"/>
      <c r="V24" s="29" t="n"/>
      <c r="W24" s="29" t="n"/>
      <c r="X24" s="29" t="n"/>
      <c r="Y24" s="29" t="n"/>
      <c r="Z24" s="29" t="n"/>
      <c r="AA24" s="29" t="n"/>
      <c r="AB24" s="29" t="n"/>
      <c r="AC24" s="222" t="n"/>
      <c r="AD24" s="13" t="n"/>
      <c r="AE24" s="13" t="n"/>
    </row>
    <row r="25" ht="19.5" customHeight="1">
      <c r="A25" s="31" t="n">
        <v>23</v>
      </c>
      <c r="B25" s="29" t="n"/>
      <c r="C25" s="29" t="n"/>
      <c r="D25" s="29" t="n"/>
      <c r="E25" s="29" t="n"/>
      <c r="F25" s="29" t="n"/>
      <c r="G25" s="29" t="n"/>
      <c r="H25" s="29" t="n"/>
      <c r="I25" s="29" t="n"/>
      <c r="J25" s="29" t="n"/>
      <c r="K25" s="29" t="n"/>
      <c r="L25" s="29" t="n"/>
      <c r="M25" s="29" t="n"/>
      <c r="N25" s="29" t="n"/>
      <c r="O25" s="29" t="n"/>
      <c r="P25" s="29" t="n"/>
      <c r="Q25" s="29" t="n"/>
      <c r="R25" s="29" t="n"/>
      <c r="S25" s="29" t="n"/>
      <c r="T25" s="29" t="n"/>
      <c r="U25" s="29" t="n"/>
      <c r="V25" s="29" t="n"/>
      <c r="W25" s="29" t="n"/>
      <c r="X25" s="29" t="n"/>
      <c r="Y25" s="29" t="n"/>
      <c r="Z25" s="29" t="n"/>
      <c r="AA25" s="29" t="n"/>
      <c r="AB25" s="29" t="n"/>
      <c r="AC25" s="222" t="n"/>
      <c r="AD25" s="13" t="n"/>
      <c r="AE25" s="13" t="n"/>
    </row>
    <row r="26" ht="19.5" customHeight="1">
      <c r="A26" s="31" t="n">
        <v>24</v>
      </c>
      <c r="B26" s="29" t="n"/>
      <c r="C26" s="29" t="n"/>
      <c r="D26" s="29" t="n"/>
      <c r="E26" s="29" t="n"/>
      <c r="F26" s="29" t="n"/>
      <c r="G26" s="29" t="n"/>
      <c r="H26" s="29" t="n"/>
      <c r="I26" s="29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  <c r="AB26" s="29" t="n"/>
      <c r="AC26" s="222" t="n"/>
      <c r="AD26" s="13" t="n"/>
      <c r="AE26" s="13" t="n"/>
    </row>
    <row r="27" ht="19.5" customHeight="1">
      <c r="A27" s="31" t="n">
        <v>25</v>
      </c>
      <c r="B27" s="29" t="n"/>
      <c r="C27" s="29" t="n"/>
      <c r="D27" s="29" t="n"/>
      <c r="E27" s="29" t="n"/>
      <c r="F27" s="29" t="n"/>
      <c r="G27" s="29" t="n"/>
      <c r="H27" s="29" t="n"/>
      <c r="I27" s="29" t="n"/>
      <c r="J27" s="29" t="n"/>
      <c r="K27" s="29" t="n"/>
      <c r="L27" s="29" t="n"/>
      <c r="M27" s="29" t="n"/>
      <c r="N27" s="29" t="n"/>
      <c r="O27" s="29" t="n"/>
      <c r="P27" s="29" t="n"/>
      <c r="Q27" s="29" t="n"/>
      <c r="R27" s="29" t="n"/>
      <c r="S27" s="29" t="n"/>
      <c r="T27" s="29" t="n"/>
      <c r="U27" s="29" t="n"/>
      <c r="V27" s="29" t="n"/>
      <c r="W27" s="29" t="n"/>
      <c r="X27" s="29" t="n"/>
      <c r="Y27" s="29" t="n"/>
      <c r="Z27" s="29" t="n"/>
      <c r="AA27" s="29" t="n"/>
      <c r="AB27" s="29" t="n"/>
      <c r="AC27" s="222" t="n"/>
      <c r="AD27" s="13" t="n"/>
      <c r="AE27" s="13" t="n"/>
    </row>
    <row r="28" ht="19.5" customHeight="1">
      <c r="A28" s="31" t="n">
        <v>26</v>
      </c>
      <c r="B28" s="29" t="n"/>
      <c r="C28" s="29" t="n"/>
      <c r="D28" s="29" t="n"/>
      <c r="E28" s="29" t="n"/>
      <c r="F28" s="29" t="n"/>
      <c r="G28" s="29" t="n"/>
      <c r="H28" s="29" t="n"/>
      <c r="I28" s="29" t="n"/>
      <c r="J28" s="29" t="n"/>
      <c r="K28" s="29" t="n"/>
      <c r="L28" s="29" t="n"/>
      <c r="M28" s="29" t="n"/>
      <c r="N28" s="29" t="n"/>
      <c r="O28" s="29" t="n"/>
      <c r="P28" s="29" t="n"/>
      <c r="Q28" s="29" t="n"/>
      <c r="R28" s="29" t="n"/>
      <c r="S28" s="29" t="n"/>
      <c r="T28" s="29" t="n"/>
      <c r="U28" s="29" t="n"/>
      <c r="V28" s="29" t="n"/>
      <c r="W28" s="29" t="n"/>
      <c r="X28" s="29" t="n"/>
      <c r="Y28" s="29" t="n"/>
      <c r="Z28" s="29" t="n"/>
      <c r="AA28" s="29" t="n"/>
      <c r="AB28" s="29" t="n"/>
      <c r="AC28" s="222" t="n"/>
      <c r="AD28" s="13" t="n"/>
      <c r="AE28" s="13" t="n"/>
    </row>
    <row r="29" ht="19.5" customHeight="1">
      <c r="A29" s="31" t="n">
        <v>27</v>
      </c>
      <c r="B29" s="29" t="n"/>
      <c r="C29" s="29" t="n"/>
      <c r="D29" s="29" t="n"/>
      <c r="E29" s="29" t="n"/>
      <c r="F29" s="29" t="n"/>
      <c r="G29" s="29" t="n"/>
      <c r="H29" s="29" t="n"/>
      <c r="I29" s="29" t="n"/>
      <c r="J29" s="29" t="n"/>
      <c r="K29" s="29" t="n"/>
      <c r="L29" s="29" t="n"/>
      <c r="M29" s="29" t="n"/>
      <c r="N29" s="29" t="n"/>
      <c r="O29" s="29" t="n"/>
      <c r="P29" s="29" t="n"/>
      <c r="Q29" s="29" t="n"/>
      <c r="R29" s="29" t="n"/>
      <c r="S29" s="29" t="n"/>
      <c r="T29" s="29" t="n"/>
      <c r="U29" s="29" t="n"/>
      <c r="V29" s="29" t="n"/>
      <c r="W29" s="29" t="n"/>
      <c r="X29" s="29" t="n"/>
      <c r="Y29" s="29" t="n"/>
      <c r="Z29" s="29" t="n"/>
      <c r="AA29" s="29" t="n"/>
      <c r="AB29" s="29" t="n"/>
      <c r="AC29" s="222" t="n"/>
      <c r="AD29" s="13" t="n"/>
      <c r="AE29" s="13" t="n"/>
    </row>
    <row r="30" ht="19.5" customHeight="1">
      <c r="A30" s="31" t="n">
        <v>28</v>
      </c>
      <c r="B30" s="29" t="n"/>
      <c r="C30" s="29" t="n"/>
      <c r="D30" s="29" t="n"/>
      <c r="E30" s="29" t="n"/>
      <c r="F30" s="29" t="n"/>
      <c r="G30" s="29" t="n"/>
      <c r="H30" s="29" t="n"/>
      <c r="I30" s="29" t="n"/>
      <c r="J30" s="29" t="n"/>
      <c r="K30" s="29" t="n"/>
      <c r="L30" s="29" t="n"/>
      <c r="M30" s="29" t="n"/>
      <c r="N30" s="29" t="n"/>
      <c r="O30" s="29" t="n"/>
      <c r="P30" s="29" t="n"/>
      <c r="Q30" s="29" t="n"/>
      <c r="R30" s="29" t="n"/>
      <c r="S30" s="29" t="n"/>
      <c r="T30" s="29" t="n"/>
      <c r="U30" s="29" t="n"/>
      <c r="V30" s="29" t="n"/>
      <c r="W30" s="29" t="n"/>
      <c r="X30" s="29" t="n"/>
      <c r="Y30" s="29" t="n"/>
      <c r="Z30" s="29" t="n"/>
      <c r="AA30" s="29" t="n"/>
      <c r="AB30" s="29" t="n"/>
      <c r="AC30" s="222" t="n"/>
      <c r="AD30" s="13" t="n"/>
      <c r="AE30" s="13" t="n"/>
    </row>
    <row r="31" ht="19.5" customHeight="1">
      <c r="A31" s="31" t="n">
        <v>29</v>
      </c>
      <c r="B31" s="29" t="n"/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22" t="n"/>
      <c r="AD31" s="13" t="n"/>
      <c r="AE31" s="13" t="n"/>
    </row>
    <row r="32" ht="19.5" customHeight="1">
      <c r="A32" s="31" t="n">
        <v>30</v>
      </c>
      <c r="B32" s="29" t="n"/>
      <c r="C32" s="29" t="n"/>
      <c r="D32" s="29" t="n"/>
      <c r="E32" s="29" t="n"/>
      <c r="F32" s="29" t="n"/>
      <c r="G32" s="29" t="n"/>
      <c r="H32" s="29" t="n"/>
      <c r="I32" s="29" t="n"/>
      <c r="J32" s="29" t="n"/>
      <c r="K32" s="29" t="n"/>
      <c r="L32" s="29" t="n"/>
      <c r="M32" s="29" t="n"/>
      <c r="N32" s="29" t="n"/>
      <c r="O32" s="29" t="n"/>
      <c r="P32" s="29" t="n"/>
      <c r="Q32" s="29" t="n"/>
      <c r="R32" s="29" t="n"/>
      <c r="S32" s="29" t="n"/>
      <c r="T32" s="29" t="n"/>
      <c r="U32" s="29" t="n"/>
      <c r="V32" s="29" t="n"/>
      <c r="W32" s="29" t="n"/>
      <c r="X32" s="29" t="n"/>
      <c r="Y32" s="29" t="n"/>
      <c r="Z32" s="29" t="n"/>
      <c r="AA32" s="29" t="n"/>
      <c r="AB32" s="29" t="n"/>
      <c r="AC32" s="222" t="n"/>
      <c r="AD32" s="13" t="n"/>
      <c r="AE32" s="13" t="n"/>
    </row>
    <row r="33" ht="19.5" customHeight="1">
      <c r="A33" s="31" t="n">
        <v>31</v>
      </c>
      <c r="B33" s="29" t="n"/>
      <c r="C33" s="29" t="n"/>
      <c r="D33" s="29" t="n"/>
      <c r="E33" s="29" t="n"/>
      <c r="F33" s="29" t="n"/>
      <c r="G33" s="29" t="n"/>
      <c r="H33" s="29" t="n"/>
      <c r="I33" s="29" t="n"/>
      <c r="J33" s="29" t="n"/>
      <c r="K33" s="29" t="n"/>
      <c r="L33" s="29" t="n"/>
      <c r="M33" s="29" t="n"/>
      <c r="N33" s="29" t="n"/>
      <c r="O33" s="29" t="n"/>
      <c r="P33" s="29" t="n"/>
      <c r="Q33" s="29" t="n"/>
      <c r="R33" s="29" t="n"/>
      <c r="S33" s="29" t="n"/>
      <c r="T33" s="29" t="n"/>
      <c r="U33" s="29" t="n"/>
      <c r="V33" s="29" t="n"/>
      <c r="W33" s="29" t="n"/>
      <c r="X33" s="29" t="n"/>
      <c r="Y33" s="29" t="n"/>
      <c r="Z33" s="29" t="n"/>
      <c r="AA33" s="29" t="n"/>
      <c r="AB33" s="29" t="n"/>
      <c r="AC33" s="222" t="n"/>
      <c r="AD33" s="13" t="n"/>
      <c r="AE33" s="13" t="n"/>
    </row>
    <row r="34" ht="19.5" customHeight="1">
      <c r="A34" s="31" t="n">
        <v>32</v>
      </c>
      <c r="B34" s="29" t="n"/>
      <c r="C34" s="29" t="n"/>
      <c r="D34" s="29" t="n"/>
      <c r="E34" s="29" t="n"/>
      <c r="F34" s="29" t="n"/>
      <c r="G34" s="29" t="n"/>
      <c r="H34" s="29" t="n"/>
      <c r="I34" s="29" t="n"/>
      <c r="J34" s="29" t="n"/>
      <c r="K34" s="29" t="n"/>
      <c r="L34" s="29" t="n"/>
      <c r="M34" s="29" t="n"/>
      <c r="N34" s="29" t="n"/>
      <c r="O34" s="29" t="n"/>
      <c r="P34" s="29" t="n"/>
      <c r="Q34" s="29" t="n"/>
      <c r="R34" s="29" t="n"/>
      <c r="S34" s="29" t="n"/>
      <c r="T34" s="29" t="n"/>
      <c r="U34" s="29" t="n"/>
      <c r="V34" s="29" t="n"/>
      <c r="W34" s="29" t="n"/>
      <c r="X34" s="29" t="n"/>
      <c r="Y34" s="29" t="n"/>
      <c r="Z34" s="29" t="n"/>
      <c r="AA34" s="29" t="n"/>
      <c r="AB34" s="29" t="n"/>
      <c r="AC34" s="222" t="n"/>
      <c r="AD34" s="13" t="n"/>
      <c r="AE34" s="13" t="n"/>
    </row>
    <row r="35" ht="19.5" customHeight="1">
      <c r="A35" s="31" t="n">
        <v>33</v>
      </c>
      <c r="B35" s="29" t="n"/>
      <c r="C35" s="29" t="n"/>
      <c r="D35" s="29" t="n"/>
      <c r="E35" s="29" t="n"/>
      <c r="F35" s="29" t="n"/>
      <c r="G35" s="29" t="n"/>
      <c r="H35" s="29" t="n"/>
      <c r="I35" s="29" t="n"/>
      <c r="J35" s="29" t="n"/>
      <c r="K35" s="29" t="n"/>
      <c r="L35" s="29" t="n"/>
      <c r="M35" s="29" t="n"/>
      <c r="N35" s="29" t="n"/>
      <c r="O35" s="29" t="n"/>
      <c r="P35" s="29" t="n"/>
      <c r="Q35" s="29" t="n"/>
      <c r="R35" s="29" t="n"/>
      <c r="S35" s="29" t="n"/>
      <c r="T35" s="29" t="n"/>
      <c r="U35" s="29" t="n"/>
      <c r="V35" s="29" t="n"/>
      <c r="W35" s="29" t="n"/>
      <c r="X35" s="29" t="n"/>
      <c r="Y35" s="29" t="n"/>
      <c r="Z35" s="29" t="n"/>
      <c r="AA35" s="29" t="n"/>
      <c r="AB35" s="29" t="n"/>
      <c r="AC35" s="222" t="n"/>
      <c r="AD35" s="13" t="n"/>
      <c r="AE35" s="13" t="n"/>
    </row>
    <row r="36" ht="19.5" customHeight="1">
      <c r="A36" s="31" t="n">
        <v>34</v>
      </c>
      <c r="B36" s="29" t="n"/>
      <c r="C36" s="29" t="n"/>
      <c r="D36" s="29" t="n"/>
      <c r="E36" s="29" t="n"/>
      <c r="F36" s="29" t="n"/>
      <c r="G36" s="29" t="n"/>
      <c r="H36" s="29" t="n"/>
      <c r="I36" s="29" t="n"/>
      <c r="J36" s="29" t="n"/>
      <c r="K36" s="29" t="n"/>
      <c r="L36" s="29" t="n"/>
      <c r="M36" s="29" t="n"/>
      <c r="N36" s="29" t="n"/>
      <c r="O36" s="29" t="n"/>
      <c r="P36" s="29" t="n"/>
      <c r="Q36" s="29" t="n"/>
      <c r="R36" s="29" t="n"/>
      <c r="S36" s="29" t="n"/>
      <c r="T36" s="29" t="n"/>
      <c r="U36" s="29" t="n"/>
      <c r="V36" s="29" t="n"/>
      <c r="W36" s="29" t="n"/>
      <c r="X36" s="29" t="n"/>
      <c r="Y36" s="29" t="n"/>
      <c r="Z36" s="29" t="n"/>
      <c r="AA36" s="29" t="n"/>
      <c r="AB36" s="29" t="n"/>
      <c r="AC36" s="222" t="n"/>
      <c r="AD36" s="13" t="n"/>
      <c r="AE36" s="13" t="n"/>
    </row>
    <row r="37" ht="19.5" customHeight="1">
      <c r="A37" s="31" t="n">
        <v>35</v>
      </c>
      <c r="B37" s="29" t="n"/>
      <c r="C37" s="29" t="n"/>
      <c r="D37" s="29" t="n"/>
      <c r="E37" s="29" t="n"/>
      <c r="F37" s="29" t="n"/>
      <c r="G37" s="29" t="n"/>
      <c r="H37" s="29" t="n"/>
      <c r="I37" s="29" t="n"/>
      <c r="J37" s="29" t="n"/>
      <c r="K37" s="29" t="n"/>
      <c r="L37" s="29" t="n"/>
      <c r="M37" s="29" t="n"/>
      <c r="N37" s="29" t="n"/>
      <c r="O37" s="29" t="n"/>
      <c r="P37" s="29" t="n"/>
      <c r="Q37" s="29" t="n"/>
      <c r="R37" s="29" t="n"/>
      <c r="S37" s="29" t="n"/>
      <c r="T37" s="29" t="n"/>
      <c r="U37" s="29" t="n"/>
      <c r="V37" s="29" t="n"/>
      <c r="W37" s="29" t="n"/>
      <c r="X37" s="29" t="n"/>
      <c r="Y37" s="29" t="n"/>
      <c r="Z37" s="29" t="n"/>
      <c r="AA37" s="29" t="n"/>
      <c r="AB37" s="29" t="n"/>
      <c r="AC37" s="222" t="n"/>
      <c r="AD37" s="13" t="n"/>
      <c r="AE37" s="13" t="n"/>
    </row>
    <row r="38" ht="19.5" customHeight="1">
      <c r="A38" s="31" t="n">
        <v>36</v>
      </c>
      <c r="B38" s="29" t="n"/>
      <c r="C38" s="29" t="n"/>
      <c r="D38" s="29" t="n"/>
      <c r="E38" s="29" t="n"/>
      <c r="F38" s="29" t="n"/>
      <c r="G38" s="29" t="n"/>
      <c r="H38" s="29" t="n"/>
      <c r="I38" s="29" t="n"/>
      <c r="J38" s="29" t="n"/>
      <c r="K38" s="29" t="n"/>
      <c r="L38" s="29" t="n"/>
      <c r="M38" s="29" t="n"/>
      <c r="N38" s="29" t="n"/>
      <c r="O38" s="29" t="n"/>
      <c r="P38" s="29" t="n"/>
      <c r="Q38" s="29" t="n"/>
      <c r="R38" s="29" t="n"/>
      <c r="S38" s="29" t="n"/>
      <c r="T38" s="29" t="n"/>
      <c r="U38" s="29" t="n"/>
      <c r="V38" s="29" t="n"/>
      <c r="W38" s="29" t="n"/>
      <c r="X38" s="29" t="n"/>
      <c r="Y38" s="29" t="n"/>
      <c r="Z38" s="29" t="n"/>
      <c r="AA38" s="29" t="n"/>
      <c r="AB38" s="29" t="n"/>
      <c r="AC38" s="222" t="n"/>
      <c r="AD38" s="13" t="n"/>
      <c r="AE38" s="13" t="n"/>
    </row>
    <row r="39" ht="19.5" customHeight="1">
      <c r="A39" s="31" t="n">
        <v>37</v>
      </c>
      <c r="B39" s="29" t="n"/>
      <c r="C39" s="29" t="n"/>
      <c r="D39" s="29" t="n"/>
      <c r="E39" s="29" t="n"/>
      <c r="F39" s="29" t="n"/>
      <c r="G39" s="29" t="n"/>
      <c r="H39" s="29" t="n"/>
      <c r="I39" s="29" t="n"/>
      <c r="J39" s="29" t="n"/>
      <c r="K39" s="29" t="n"/>
      <c r="L39" s="29" t="n"/>
      <c r="M39" s="29" t="n"/>
      <c r="N39" s="29" t="n"/>
      <c r="O39" s="29" t="n"/>
      <c r="P39" s="29" t="n"/>
      <c r="Q39" s="29" t="n"/>
      <c r="R39" s="29" t="n"/>
      <c r="S39" s="29" t="n"/>
      <c r="T39" s="29" t="n"/>
      <c r="U39" s="29" t="n"/>
      <c r="V39" s="29" t="n"/>
      <c r="W39" s="29" t="n"/>
      <c r="X39" s="29" t="n"/>
      <c r="Y39" s="29" t="n"/>
      <c r="Z39" s="29" t="n"/>
      <c r="AA39" s="29" t="n"/>
      <c r="AB39" s="29" t="n"/>
      <c r="AC39" s="222" t="n"/>
      <c r="AD39" s="13" t="n"/>
      <c r="AE39" s="13" t="n"/>
    </row>
    <row r="40" ht="19.5" customHeight="1">
      <c r="A40" s="31" t="n">
        <v>38</v>
      </c>
      <c r="B40" s="29" t="n"/>
      <c r="C40" s="29" t="n"/>
      <c r="D40" s="29" t="n"/>
      <c r="E40" s="29" t="n"/>
      <c r="F40" s="29" t="n"/>
      <c r="G40" s="29" t="n"/>
      <c r="H40" s="29" t="n"/>
      <c r="I40" s="29" t="n"/>
      <c r="J40" s="29" t="n"/>
      <c r="K40" s="29" t="n"/>
      <c r="L40" s="29" t="n"/>
      <c r="M40" s="29" t="n"/>
      <c r="N40" s="29" t="n"/>
      <c r="O40" s="29" t="n"/>
      <c r="P40" s="29" t="n"/>
      <c r="Q40" s="29" t="n"/>
      <c r="R40" s="29" t="n"/>
      <c r="S40" s="29" t="n"/>
      <c r="T40" s="29" t="n"/>
      <c r="U40" s="29" t="n"/>
      <c r="V40" s="29" t="n"/>
      <c r="W40" s="29" t="n"/>
      <c r="X40" s="29" t="n"/>
      <c r="Y40" s="29" t="n"/>
      <c r="Z40" s="29" t="n"/>
      <c r="AA40" s="29" t="n"/>
      <c r="AB40" s="29" t="n"/>
      <c r="AC40" s="222" t="n"/>
      <c r="AD40" s="13" t="n"/>
      <c r="AE40" s="13" t="n"/>
    </row>
    <row r="41" ht="19.5" customHeight="1">
      <c r="A41" s="31" t="n">
        <v>39</v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29" t="n"/>
      <c r="K41" s="29" t="n"/>
      <c r="L41" s="29" t="n"/>
      <c r="M41" s="29" t="n"/>
      <c r="N41" s="29" t="n"/>
      <c r="O41" s="29" t="n"/>
      <c r="P41" s="29" t="n"/>
      <c r="Q41" s="29" t="n"/>
      <c r="R41" s="29" t="n"/>
      <c r="S41" s="29" t="n"/>
      <c r="T41" s="29" t="n"/>
      <c r="U41" s="29" t="n"/>
      <c r="V41" s="29" t="n"/>
      <c r="W41" s="29" t="n"/>
      <c r="X41" s="29" t="n"/>
      <c r="Y41" s="29" t="n"/>
      <c r="Z41" s="29" t="n"/>
      <c r="AA41" s="29" t="n"/>
      <c r="AB41" s="29" t="n"/>
      <c r="AC41" s="222" t="n"/>
      <c r="AD41" s="13" t="n"/>
      <c r="AE41" s="13" t="n"/>
    </row>
    <row r="42" ht="15.75" customHeight="1">
      <c r="A42" s="31" t="n">
        <v>40</v>
      </c>
      <c r="B42" s="29" t="n"/>
      <c r="C42" s="29" t="n"/>
      <c r="D42" s="29" t="n"/>
      <c r="E42" s="29" t="n"/>
      <c r="F42" s="29" t="n"/>
      <c r="G42" s="29" t="n"/>
      <c r="H42" s="29" t="n"/>
      <c r="I42" s="29" t="n"/>
      <c r="J42" s="29" t="n"/>
      <c r="K42" s="29" t="n"/>
      <c r="L42" s="29" t="n"/>
      <c r="M42" s="29" t="n"/>
      <c r="N42" s="29" t="n"/>
      <c r="O42" s="29" t="n"/>
      <c r="P42" s="29" t="n"/>
      <c r="Q42" s="29" t="n"/>
      <c r="R42" s="29" t="n"/>
      <c r="S42" s="29" t="n"/>
      <c r="T42" s="29" t="n"/>
      <c r="U42" s="29" t="n"/>
      <c r="V42" s="29" t="n"/>
      <c r="W42" s="29" t="n"/>
      <c r="X42" s="29" t="n"/>
      <c r="Y42" s="29" t="n"/>
      <c r="Z42" s="29" t="n"/>
      <c r="AA42" s="29" t="n"/>
      <c r="AB42" s="29" t="n"/>
      <c r="AC42" s="223" t="n"/>
      <c r="AD42" s="13" t="n"/>
      <c r="AE42" s="13" t="n"/>
    </row>
    <row r="43" ht="15.75" customHeight="1">
      <c r="A43" s="74" t="inlineStr">
        <is>
          <t>Average</t>
        </is>
      </c>
      <c r="B43" s="32">
        <f>AVERAGE(B3:B42)</f>
        <v/>
      </c>
      <c r="C43" s="32">
        <f>AVERAGE(C3:C42)</f>
        <v/>
      </c>
      <c r="D43" s="32">
        <f>AVERAGE(D3:D42)</f>
        <v/>
      </c>
      <c r="E43" s="32">
        <f>AVERAGE(E3:E42)</f>
        <v/>
      </c>
      <c r="F43" s="32">
        <f>AVERAGE(F3:F42)</f>
        <v/>
      </c>
      <c r="G43" s="32">
        <f>AVERAGE(G3:G42)</f>
        <v/>
      </c>
      <c r="H43" s="32">
        <f>AVERAGE(H3:H42)</f>
        <v/>
      </c>
      <c r="I43" s="32">
        <f>AVERAGE(I3:I42)</f>
        <v/>
      </c>
      <c r="J43" s="32">
        <f>AVERAGE(J3:J42)</f>
        <v/>
      </c>
      <c r="K43" s="32">
        <f>AVERAGE(K3:K42)</f>
        <v/>
      </c>
      <c r="L43" s="32">
        <f>AVERAGE(L3:L42)</f>
        <v/>
      </c>
      <c r="M43" s="32">
        <f>AVERAGE(M3:M42)</f>
        <v/>
      </c>
      <c r="N43" s="32">
        <f>AVERAGE(N3:N42)</f>
        <v/>
      </c>
      <c r="O43" s="32">
        <f>AVERAGE(O3:O42)</f>
        <v/>
      </c>
      <c r="P43" s="32">
        <f>AVERAGE(P3:P42)</f>
        <v/>
      </c>
      <c r="Q43" s="32">
        <f>AVERAGE(Q3:Q42)</f>
        <v/>
      </c>
      <c r="R43" s="32">
        <f>AVERAGE(R3:R42)</f>
        <v/>
      </c>
      <c r="S43" s="32">
        <f>AVERAGE(S3:S42)</f>
        <v/>
      </c>
      <c r="T43" s="32">
        <f>AVERAGE(T3:T42)</f>
        <v/>
      </c>
      <c r="U43" s="32">
        <f>AVERAGE(U3:U42)</f>
        <v/>
      </c>
      <c r="V43" s="32">
        <f>AVERAGE(V3:V42)</f>
        <v/>
      </c>
      <c r="W43" s="32">
        <f>AVERAGE(W3:W42)</f>
        <v/>
      </c>
      <c r="X43" s="32">
        <f>AVERAGE(X3:X42)</f>
        <v/>
      </c>
      <c r="Y43" s="32">
        <f>AVERAGE(Y3:Y42)</f>
        <v/>
      </c>
      <c r="Z43" s="32">
        <f>AVERAGE(Z3:Z42)</f>
        <v/>
      </c>
      <c r="AA43" s="32">
        <f>AVERAGE(AA3:AA42)</f>
        <v/>
      </c>
      <c r="AB43" s="32">
        <f>AVERAGE(AB3:AB42)</f>
        <v/>
      </c>
      <c r="AC43" s="33" t="n"/>
      <c r="AD43" s="13" t="n"/>
      <c r="AE43" s="13" t="n"/>
    </row>
    <row r="44" ht="19.5" customHeight="1">
      <c r="A44" s="23" t="inlineStr">
        <is>
          <t>Overall Average</t>
        </is>
      </c>
      <c r="B44" s="24">
        <f>AVERAGEIF(B43:AB43, "&lt;&gt;#DIV/0!")</f>
        <v/>
      </c>
      <c r="C44" s="24" t="n"/>
      <c r="D44" s="24" t="n"/>
      <c r="E44" s="24" t="n"/>
      <c r="F44" s="24" t="n"/>
      <c r="G44" s="24" t="n"/>
      <c r="H44" s="24" t="n"/>
      <c r="I44" s="24" t="n"/>
      <c r="J44" s="24" t="n"/>
      <c r="K44" s="24" t="n"/>
      <c r="L44" s="24" t="n"/>
      <c r="M44" s="24" t="n"/>
      <c r="N44" s="24" t="n"/>
      <c r="O44" s="24" t="n"/>
      <c r="P44" s="24" t="n"/>
      <c r="Q44" s="24" t="n"/>
      <c r="R44" s="24" t="n"/>
      <c r="S44" s="24" t="n"/>
      <c r="T44" s="24" t="n"/>
      <c r="U44" s="24" t="n"/>
      <c r="V44" s="24" t="n"/>
      <c r="W44" s="24" t="n"/>
      <c r="X44" s="24" t="n"/>
      <c r="Y44" s="24" t="n"/>
      <c r="Z44" s="24" t="n"/>
      <c r="AA44" s="24" t="n"/>
      <c r="AB44" s="24" t="n"/>
      <c r="AC44" s="34" t="n"/>
      <c r="AD44" s="13" t="n"/>
      <c r="AE44" s="13" t="n"/>
    </row>
    <row r="45" ht="19.5" customHeight="1">
      <c r="A45" s="23" t="inlineStr">
        <is>
          <t>Total Students</t>
        </is>
      </c>
      <c r="B45" s="34">
        <f>COUNTIF(B3:B42, "&lt;&gt;")</f>
        <v/>
      </c>
      <c r="C45" s="34">
        <f>COUNTIF(C3:C42, "&lt;&gt;")</f>
        <v/>
      </c>
      <c r="D45" s="34">
        <f>COUNTIF(D3:D42, "&lt;&gt;")</f>
        <v/>
      </c>
      <c r="E45" s="34">
        <f>COUNTIF(E3:E42, "&lt;&gt;")</f>
        <v/>
      </c>
      <c r="F45" s="34">
        <f>COUNTIF(F3:F42, "&lt;&gt;")</f>
        <v/>
      </c>
      <c r="G45" s="34">
        <f>COUNTIF(G3:G42, "&lt;&gt;")</f>
        <v/>
      </c>
      <c r="H45" s="34">
        <f>COUNTIF(H3:H42, "&lt;&gt;")</f>
        <v/>
      </c>
      <c r="I45" s="34">
        <f>COUNTIF(I3:I42, "&lt;&gt;")</f>
        <v/>
      </c>
      <c r="J45" s="34">
        <f>COUNTIF(J3:J42, "&lt;&gt;")</f>
        <v/>
      </c>
      <c r="K45" s="34">
        <f>COUNTIF(K3:K42, "&lt;&gt;")</f>
        <v/>
      </c>
      <c r="L45" s="34">
        <f>COUNTIF(L3:L42, "&lt;&gt;")</f>
        <v/>
      </c>
      <c r="M45" s="34">
        <f>COUNTIF(M3:M42, "&lt;&gt;")</f>
        <v/>
      </c>
      <c r="N45" s="34">
        <f>COUNTIF(N3:N42, "&lt;&gt;")</f>
        <v/>
      </c>
      <c r="O45" s="34">
        <f>COUNTIF(O3:O42, "&lt;&gt;")</f>
        <v/>
      </c>
      <c r="P45" s="34">
        <f>COUNTIF(P3:P42, "&lt;&gt;")</f>
        <v/>
      </c>
      <c r="Q45" s="34">
        <f>COUNTIF(Q3:Q42, "&lt;&gt;")</f>
        <v/>
      </c>
      <c r="R45" s="34">
        <f>COUNTIF(R3:R42, "&lt;&gt;")</f>
        <v/>
      </c>
      <c r="S45" s="34">
        <f>COUNTIF(S3:S42, "&lt;&gt;")</f>
        <v/>
      </c>
      <c r="T45" s="34">
        <f>COUNTIF(T3:T42, "&lt;&gt;")</f>
        <v/>
      </c>
      <c r="U45" s="34">
        <f>COUNTIF(U3:U42, "&lt;&gt;")</f>
        <v/>
      </c>
      <c r="V45" s="34">
        <f>COUNTIF(V3:V42, "&lt;&gt;")</f>
        <v/>
      </c>
      <c r="W45" s="34">
        <f>COUNTIF(W3:W42, "&lt;&gt;")</f>
        <v/>
      </c>
      <c r="X45" s="34">
        <f>COUNTIF(X3:X42, "&lt;&gt;")</f>
        <v/>
      </c>
      <c r="Y45" s="34">
        <f>COUNTIF(Y3:Y42, "&lt;&gt;")</f>
        <v/>
      </c>
      <c r="Z45" s="34">
        <f>COUNTIF(Z3:Z42, "&lt;&gt;")</f>
        <v/>
      </c>
      <c r="AA45" s="34">
        <f>COUNTIF(AA3:AA42, "&lt;&gt;")</f>
        <v/>
      </c>
      <c r="AB45" s="34">
        <f>COUNTIF(AB3:AB42, "&lt;&gt;")</f>
        <v/>
      </c>
      <c r="AC45" s="75" t="n"/>
      <c r="AD45" s="13" t="n"/>
      <c r="AE45" s="13" t="n"/>
    </row>
    <row r="46" ht="19.5" customHeight="1">
      <c r="A46" s="35" t="n"/>
      <c r="B46" s="36" t="n"/>
      <c r="C46" s="36" t="n"/>
      <c r="D46" s="36" t="n"/>
      <c r="E46" s="36" t="n"/>
      <c r="F46" s="36" t="n"/>
      <c r="G46" s="36" t="n"/>
      <c r="H46" s="36" t="n"/>
      <c r="I46" s="36" t="n"/>
      <c r="J46" s="36" t="n"/>
      <c r="K46" s="36" t="n"/>
      <c r="L46" s="36" t="n"/>
      <c r="M46" s="36" t="n"/>
      <c r="N46" s="36" t="n"/>
      <c r="O46" s="36" t="n"/>
      <c r="P46" s="36" t="n"/>
      <c r="Q46" s="36" t="n"/>
      <c r="R46" s="36" t="n"/>
      <c r="S46" s="36" t="n"/>
      <c r="T46" s="36" t="n"/>
      <c r="U46" s="36" t="n"/>
      <c r="V46" s="36" t="n"/>
      <c r="W46" s="36" t="n"/>
      <c r="X46" s="36" t="n"/>
      <c r="Y46" s="36" t="n"/>
      <c r="Z46" s="36" t="n"/>
      <c r="AA46" s="36" t="n"/>
      <c r="AB46" s="36" t="n"/>
      <c r="AC46" s="36" t="n"/>
      <c r="AD46" s="13" t="n"/>
      <c r="AE46" s="13" t="n"/>
    </row>
    <row r="47" ht="19.5" customHeight="1">
      <c r="A47" s="14" t="n"/>
      <c r="B47" s="14" t="inlineStr">
        <is>
          <t>Assignment (A)</t>
        </is>
      </c>
      <c r="C47" s="22" t="inlineStr">
        <is>
          <t>Quiz (Q)</t>
        </is>
      </c>
      <c r="D47" s="14" t="inlineStr">
        <is>
          <t>Mid Term (M)</t>
        </is>
      </c>
      <c r="E47" s="14" t="inlineStr">
        <is>
          <t>Final Exam (F)</t>
        </is>
      </c>
      <c r="F47" s="14" t="inlineStr">
        <is>
          <t>Project (P)</t>
        </is>
      </c>
      <c r="G47" s="14" t="inlineStr">
        <is>
          <t>Lab (L)</t>
        </is>
      </c>
      <c r="H47" s="14" t="inlineStr">
        <is>
          <t>Anyother (OT)</t>
        </is>
      </c>
      <c r="I47" s="40" t="inlineStr">
        <is>
          <t>Total</t>
        </is>
      </c>
      <c r="J47" s="13" t="n"/>
      <c r="K47" s="13" t="n"/>
      <c r="L47" s="13" t="n"/>
      <c r="M47" s="13" t="n"/>
      <c r="N47" s="13" t="n"/>
      <c r="O47" s="13" t="n"/>
      <c r="P47" s="13" t="n"/>
      <c r="Q47" s="13" t="n"/>
      <c r="R47" s="13" t="n"/>
      <c r="S47" s="13" t="n"/>
      <c r="T47" s="13" t="n"/>
      <c r="U47" s="13" t="n"/>
      <c r="V47" s="13" t="n"/>
      <c r="W47" s="13" t="n"/>
      <c r="X47" s="13" t="n"/>
      <c r="Y47" s="13" t="n"/>
      <c r="Z47" s="13" t="n"/>
      <c r="AA47" s="13" t="n"/>
      <c r="AB47" s="13" t="n"/>
      <c r="AC47" s="13" t="n"/>
      <c r="AD47" s="13" t="n"/>
      <c r="AE47" s="13" t="n"/>
    </row>
    <row r="48" ht="19.5" customHeight="1">
      <c r="A48" s="37" t="inlineStr">
        <is>
          <t>I (1st, 2nd yr)</t>
        </is>
      </c>
      <c r="B48" s="23">
        <f>COUNTIF(B2:L2, "A")</f>
        <v/>
      </c>
      <c r="C48" s="39">
        <f>COUNTIF(C2:M2, "Q")</f>
        <v/>
      </c>
      <c r="D48" s="23">
        <f>COUNTIF(D2:N2, "M")</f>
        <v/>
      </c>
      <c r="E48" s="23">
        <f>COUNTIF(E2:O2, "F")</f>
        <v/>
      </c>
      <c r="F48" s="23">
        <f>COUNTIF(F2:P2, "P")</f>
        <v/>
      </c>
      <c r="G48" s="23">
        <f>COUNTIF(G2:Q2, "L")</f>
        <v/>
      </c>
      <c r="H48" s="23">
        <f>COUNTIF(H2:R2, "OT")</f>
        <v/>
      </c>
      <c r="I48" s="40">
        <f>SUM(B48:H48)</f>
        <v/>
      </c>
      <c r="J48" s="13" t="n"/>
      <c r="K48" s="13" t="n"/>
      <c r="L48" s="13" t="n"/>
      <c r="M48" s="13" t="n"/>
      <c r="N48" s="13" t="n"/>
      <c r="O48" s="13" t="n"/>
      <c r="P48" s="13" t="n"/>
      <c r="Q48" s="13" t="n"/>
      <c r="R48" s="13" t="n"/>
      <c r="S48" s="13" t="n"/>
      <c r="T48" s="13" t="n"/>
      <c r="U48" s="13" t="n"/>
      <c r="V48" s="13" t="n"/>
      <c r="W48" s="13" t="n"/>
      <c r="X48" s="13" t="n"/>
      <c r="Y48" s="13" t="n"/>
      <c r="Z48" s="13" t="n"/>
      <c r="AA48" s="13" t="n"/>
      <c r="AB48" s="13" t="n"/>
      <c r="AC48" s="13" t="n"/>
      <c r="AD48" s="13" t="n"/>
      <c r="AE48" s="13" t="n"/>
    </row>
    <row r="49" ht="19.5" customHeight="1">
      <c r="A49" s="41" t="inlineStr">
        <is>
          <t>D (2nd &amp; 3rd yr)</t>
        </is>
      </c>
      <c r="B49" s="23">
        <f>COUNTIF(M2:AB2, "A")</f>
        <v/>
      </c>
      <c r="C49" s="39">
        <f>COUNTIF(M2:AB2, "Q")</f>
        <v/>
      </c>
      <c r="D49" s="23">
        <f>COUNTIF(M2:AB2, "M")</f>
        <v/>
      </c>
      <c r="E49" s="23">
        <f>COUNTIF(M2:AB2, "F")</f>
        <v/>
      </c>
      <c r="F49" s="23">
        <f>COUNTIF(M2:AB2, "P")</f>
        <v/>
      </c>
      <c r="G49" s="23">
        <f>COUNTIF(M2:AB2, "L")</f>
        <v/>
      </c>
      <c r="H49" s="23">
        <f>COUNTIF(M2:AB2, "OT")</f>
        <v/>
      </c>
      <c r="I49" s="40">
        <f>SUM(B49:H49)</f>
        <v/>
      </c>
      <c r="J49" s="13" t="n"/>
      <c r="K49" s="13" t="n"/>
      <c r="L49" s="13" t="n"/>
      <c r="M49" s="13" t="n"/>
      <c r="N49" s="13" t="n"/>
      <c r="O49" s="13" t="n"/>
      <c r="P49" s="13" t="n"/>
      <c r="Q49" s="13" t="n"/>
      <c r="R49" s="13" t="n"/>
      <c r="S49" s="13" t="n"/>
      <c r="T49" s="13" t="n"/>
      <c r="U49" s="13" t="n"/>
      <c r="V49" s="13" t="n"/>
      <c r="W49" s="13" t="n"/>
      <c r="X49" s="13" t="n"/>
      <c r="Y49" s="13" t="n"/>
      <c r="Z49" s="13" t="n"/>
      <c r="AA49" s="13" t="n"/>
      <c r="AB49" s="13" t="n"/>
      <c r="AC49" s="13" t="n"/>
      <c r="AD49" s="13" t="n"/>
      <c r="AE49" s="13" t="n"/>
    </row>
    <row r="50" ht="19.5" customHeight="1">
      <c r="A50" s="42" t="inlineStr">
        <is>
          <t>A (3rd, 4yr)</t>
        </is>
      </c>
      <c r="B50" s="23" t="n">
        <v>0</v>
      </c>
      <c r="C50" s="23" t="n">
        <v>0</v>
      </c>
      <c r="D50" s="23" t="n">
        <v>0</v>
      </c>
      <c r="E50" s="23" t="n">
        <v>0</v>
      </c>
      <c r="F50" s="23" t="n">
        <v>0</v>
      </c>
      <c r="G50" s="23" t="n">
        <v>0</v>
      </c>
      <c r="H50" s="23" t="n">
        <v>0</v>
      </c>
      <c r="I50" s="40">
        <f>SUM(B50:H50)</f>
        <v/>
      </c>
      <c r="J50" s="13" t="n"/>
      <c r="K50" s="13" t="n"/>
      <c r="L50" s="13" t="n"/>
      <c r="M50" s="13" t="n"/>
      <c r="N50" s="13" t="n"/>
      <c r="O50" s="13" t="n"/>
      <c r="P50" s="13" t="n"/>
      <c r="Q50" s="13" t="n"/>
      <c r="R50" s="13" t="n"/>
      <c r="S50" s="13" t="n"/>
      <c r="T50" s="13" t="n"/>
      <c r="U50" s="13" t="n"/>
      <c r="V50" s="13" t="n"/>
      <c r="W50" s="13" t="n"/>
      <c r="X50" s="13" t="n"/>
      <c r="Y50" s="13" t="n"/>
      <c r="Z50" s="13" t="n"/>
      <c r="AA50" s="13" t="n"/>
      <c r="AB50" s="13" t="n"/>
      <c r="AC50" s="13" t="n"/>
      <c r="AD50" s="13" t="n"/>
      <c r="AE50" s="13" t="n"/>
    </row>
    <row r="51" ht="19.5" customHeight="1">
      <c r="A51" s="14" t="inlineStr">
        <is>
          <t>Total</t>
        </is>
      </c>
      <c r="B51" s="14">
        <f>SUM(B48:B50)</f>
        <v/>
      </c>
      <c r="C51" s="22">
        <f>SUM(C48:C50)</f>
        <v/>
      </c>
      <c r="D51" s="14">
        <f>SUM(D48:D50)</f>
        <v/>
      </c>
      <c r="E51" s="14">
        <f>SUM(E48:E50)</f>
        <v/>
      </c>
      <c r="F51" s="14">
        <f>SUM(F48:F50)</f>
        <v/>
      </c>
      <c r="G51" s="14">
        <f>SUM(G48:G50)</f>
        <v/>
      </c>
      <c r="H51" s="14">
        <f>SUM(H48:H50)</f>
        <v/>
      </c>
      <c r="I51" s="40">
        <f>SUM(I48:I50)</f>
        <v/>
      </c>
      <c r="J51" s="13" t="n"/>
      <c r="K51" s="13" t="n"/>
      <c r="L51" s="13" t="n"/>
      <c r="M51" s="13" t="n"/>
      <c r="N51" s="13" t="n"/>
      <c r="O51" s="13" t="n"/>
      <c r="P51" s="13" t="n"/>
      <c r="Q51" s="13" t="n"/>
      <c r="R51" s="13" t="n"/>
      <c r="S51" s="13" t="n"/>
      <c r="T51" s="13" t="n"/>
      <c r="U51" s="13" t="n"/>
      <c r="V51" s="13" t="n"/>
      <c r="W51" s="13" t="n"/>
      <c r="X51" s="13" t="n"/>
      <c r="Y51" s="13" t="n"/>
      <c r="Z51" s="13" t="n"/>
      <c r="AA51" s="13" t="n"/>
      <c r="AB51" s="13" t="n"/>
      <c r="AC51" s="13" t="n"/>
      <c r="AD51" s="13" t="n"/>
      <c r="AE51" s="13" t="n"/>
    </row>
    <row r="52" ht="19.5" customHeight="1">
      <c r="A52" s="58" t="n"/>
      <c r="B52" s="76" t="n"/>
      <c r="C52" s="60" t="n"/>
      <c r="D52" s="58" t="n"/>
      <c r="E52" s="58" t="n"/>
      <c r="F52" s="58" t="n"/>
      <c r="G52" s="58" t="n"/>
      <c r="H52" s="58" t="n"/>
      <c r="I52" s="13" t="n"/>
      <c r="J52" s="13" t="n"/>
      <c r="K52" s="13" t="n"/>
      <c r="L52" s="13" t="n"/>
      <c r="M52" s="13" t="n"/>
      <c r="N52" s="13" t="n"/>
      <c r="O52" s="13" t="n"/>
      <c r="P52" s="13" t="n"/>
      <c r="Q52" s="13" t="n"/>
      <c r="R52" s="13" t="n"/>
      <c r="S52" s="13" t="n"/>
      <c r="T52" s="13" t="n"/>
      <c r="U52" s="13" t="n"/>
      <c r="V52" s="13" t="n"/>
      <c r="W52" s="13" t="n"/>
      <c r="X52" s="13" t="n"/>
      <c r="Y52" s="13" t="n"/>
      <c r="Z52" s="13" t="n"/>
      <c r="AA52" s="13" t="n"/>
      <c r="AB52" s="13" t="n"/>
      <c r="AC52" s="13" t="n"/>
      <c r="AD52" s="13" t="n"/>
      <c r="AE52" s="13" t="n"/>
    </row>
    <row r="53" ht="18.75" customHeight="1">
      <c r="A53" s="43" t="inlineStr">
        <is>
          <t>Frequency Distribution Analysis</t>
        </is>
      </c>
      <c r="B53" s="44" t="n"/>
      <c r="C53" s="44" t="n"/>
      <c r="D53" s="44" t="n"/>
      <c r="E53" s="44" t="n"/>
      <c r="F53" s="44" t="n"/>
      <c r="G53" s="58" t="n"/>
      <c r="H53" s="36" t="n"/>
      <c r="I53" s="36" t="n"/>
      <c r="J53" s="13" t="n"/>
      <c r="K53" s="13" t="n"/>
      <c r="L53" s="13" t="n"/>
      <c r="M53" s="13" t="n"/>
      <c r="N53" s="13" t="n"/>
      <c r="O53" s="13" t="n"/>
      <c r="P53" s="13" t="n"/>
      <c r="Q53" s="13" t="n"/>
      <c r="R53" s="13" t="n"/>
      <c r="S53" s="13" t="n"/>
      <c r="T53" s="13" t="n"/>
      <c r="U53" s="13" t="n"/>
      <c r="V53" s="13" t="n"/>
      <c r="W53" s="13" t="n"/>
      <c r="X53" s="13" t="n"/>
      <c r="Y53" s="13" t="n"/>
      <c r="Z53" s="13" t="n"/>
      <c r="AA53" s="13" t="n"/>
      <c r="AB53" s="13" t="n"/>
      <c r="AC53" s="13" t="n"/>
      <c r="AD53" s="13" t="n"/>
      <c r="AE53" s="13" t="n"/>
    </row>
    <row r="54" ht="16.5" customHeight="1">
      <c r="A54" s="45" t="inlineStr">
        <is>
          <t>Scale</t>
        </is>
      </c>
      <c r="B54" s="71" t="inlineStr">
        <is>
          <t>EPHY-1170-9</t>
        </is>
      </c>
      <c r="C54" s="16" t="inlineStr">
        <is>
          <t>EPHY-1700-1</t>
        </is>
      </c>
      <c r="D54" s="72" t="inlineStr">
        <is>
          <t>EPHY-1700-2</t>
        </is>
      </c>
      <c r="E54" s="72" t="inlineStr">
        <is>
          <t>EPHY-1700-3</t>
        </is>
      </c>
      <c r="F54" s="72" t="inlineStr">
        <is>
          <t>EPHY-1700-4</t>
        </is>
      </c>
      <c r="G54" s="72" t="inlineStr">
        <is>
          <t>EPHY-1700-5</t>
        </is>
      </c>
      <c r="H54" s="72" t="inlineStr">
        <is>
          <t>EPHY-1700-6</t>
        </is>
      </c>
      <c r="I54" s="67" t="inlineStr">
        <is>
          <t>EPHY-1700-7</t>
        </is>
      </c>
      <c r="J54" s="67" t="inlineStr">
        <is>
          <t>PHYS-2150-1</t>
        </is>
      </c>
      <c r="K54" s="67" t="inlineStr">
        <is>
          <t>PHYS-2150-2</t>
        </is>
      </c>
      <c r="L54" s="67" t="inlineStr">
        <is>
          <t>PHYS-2150-3</t>
        </is>
      </c>
      <c r="M54" s="17" t="inlineStr">
        <is>
          <t>EPHY-2200-1</t>
        </is>
      </c>
      <c r="N54" s="17" t="inlineStr">
        <is>
          <t>EPHY-2200-2</t>
        </is>
      </c>
      <c r="O54" s="17" t="inlineStr">
        <is>
          <t>EPHY-2200-3</t>
        </is>
      </c>
      <c r="P54" s="17" t="inlineStr">
        <is>
          <t>EPHY-2200-4</t>
        </is>
      </c>
      <c r="Q54" s="17" t="inlineStr">
        <is>
          <t>CENG-2030-1</t>
        </is>
      </c>
      <c r="R54" s="17" t="inlineStr">
        <is>
          <t>CENG-2030-2</t>
        </is>
      </c>
      <c r="S54" s="17" t="inlineStr">
        <is>
          <t>CENG-2030-3</t>
        </is>
      </c>
      <c r="T54" s="17" t="inlineStr">
        <is>
          <t>CENG-2030-4</t>
        </is>
      </c>
      <c r="U54" s="17" t="inlineStr">
        <is>
          <t>CENG-2030-5</t>
        </is>
      </c>
      <c r="V54" s="17" t="inlineStr">
        <is>
          <t>EPHY-2300-1</t>
        </is>
      </c>
      <c r="W54" s="17" t="inlineStr">
        <is>
          <t>EPHY-2300-2</t>
        </is>
      </c>
      <c r="X54" s="17" t="inlineStr">
        <is>
          <t>EPHY-2300-3</t>
        </is>
      </c>
      <c r="Y54" s="17" t="inlineStr">
        <is>
          <t>EPHY-2300-4</t>
        </is>
      </c>
      <c r="Z54" s="17" t="inlineStr">
        <is>
          <t>EENG-3010-1</t>
        </is>
      </c>
      <c r="AA54" s="17" t="inlineStr">
        <is>
          <t>EENG-3010-3</t>
        </is>
      </c>
      <c r="AB54" s="17" t="inlineStr">
        <is>
          <t>EENG-3010-4</t>
        </is>
      </c>
      <c r="AC54" s="46" t="inlineStr">
        <is>
          <t>Average</t>
        </is>
      </c>
      <c r="AD54" s="13" t="n"/>
      <c r="AE54" s="13" t="n"/>
    </row>
    <row r="55" ht="16.5" customHeight="1">
      <c r="A55" s="47" t="inlineStr">
        <is>
          <t>Below Expectation (C- and below)  (%)</t>
        </is>
      </c>
      <c r="B55" s="48">
        <f>(COUNTIF(B3:B42, "&lt;=59%"))/B45</f>
        <v/>
      </c>
      <c r="C55" s="48">
        <f>(COUNTIF(C3:C42, "&lt;=59%"))/C45</f>
        <v/>
      </c>
      <c r="D55" s="48">
        <f>(COUNTIF(D3:D42, "&lt;=59%"))/D45</f>
        <v/>
      </c>
      <c r="E55" s="48">
        <f>(COUNTIF(E3:E42, "&lt;=59%"))/E45</f>
        <v/>
      </c>
      <c r="F55" s="48">
        <f>(COUNTIF(F3:F42, "&lt;=59%"))/F45</f>
        <v/>
      </c>
      <c r="G55" s="48">
        <f>(COUNTIF(G3:G42, "&lt;=59%"))/G45</f>
        <v/>
      </c>
      <c r="H55" s="48">
        <f>(COUNTIF(H3:H42, "&lt;=59%"))/H45</f>
        <v/>
      </c>
      <c r="I55" s="48">
        <f>(COUNTIF(I3:I42, "&lt;=59%"))/I45</f>
        <v/>
      </c>
      <c r="J55" s="48">
        <f>(COUNTIF(J3:J42, "&lt;=59%"))/J45</f>
        <v/>
      </c>
      <c r="K55" s="48">
        <f>(COUNTIF(K3:K42, "&lt;=59%"))/K45</f>
        <v/>
      </c>
      <c r="L55" s="48">
        <f>(COUNTIF(L3:L42, "&lt;=59%"))/L45</f>
        <v/>
      </c>
      <c r="M55" s="48">
        <f>(COUNTIF(M3:M42, "&lt;=59%"))/M45</f>
        <v/>
      </c>
      <c r="N55" s="48">
        <f>(COUNTIF(N3:N42, "&lt;=59%"))/N45</f>
        <v/>
      </c>
      <c r="O55" s="48">
        <f>(COUNTIF(O3:O42, "&lt;=59%"))/O45</f>
        <v/>
      </c>
      <c r="P55" s="48">
        <f>(COUNTIF(P3:P42, "&lt;=59%"))/P45</f>
        <v/>
      </c>
      <c r="Q55" s="48">
        <f>(COUNTIF(Q3:Q42, "&lt;=59%"))/Q45</f>
        <v/>
      </c>
      <c r="R55" s="48">
        <f>(COUNTIF(R3:R42, "&lt;=59%"))/R45</f>
        <v/>
      </c>
      <c r="S55" s="48">
        <f>(COUNTIF(S3:S42, "&lt;=59%"))/S45</f>
        <v/>
      </c>
      <c r="T55" s="48">
        <f>(COUNTIF(T3:T42, "&lt;=59%"))/T45</f>
        <v/>
      </c>
      <c r="U55" s="48">
        <f>(COUNTIF(U3:U42, "&lt;=59%"))/U45</f>
        <v/>
      </c>
      <c r="V55" s="48">
        <f>(COUNTIF(V3:V42, "&lt;=59%"))/V45</f>
        <v/>
      </c>
      <c r="W55" s="48">
        <f>(COUNTIF(W3:W42, "&lt;=59%"))/W45</f>
        <v/>
      </c>
      <c r="X55" s="48">
        <f>(COUNTIF(X3:X42, "&lt;=59%"))/X45</f>
        <v/>
      </c>
      <c r="Y55" s="48">
        <f>(COUNTIF(Y3:Y42, "&lt;=59%"))/Y45</f>
        <v/>
      </c>
      <c r="Z55" s="48">
        <f>(COUNTIF(Z3:Z42, "&lt;=59%"))/Z45</f>
        <v/>
      </c>
      <c r="AA55" s="48">
        <f>(COUNTIF(AA3:AA42, "&lt;=59%"))/AA45</f>
        <v/>
      </c>
      <c r="AB55" s="48">
        <f>(COUNTIF(AB3:AB42, "&lt;=59%"))/AB45</f>
        <v/>
      </c>
      <c r="AC55" s="49">
        <f>AVERAGEIF(B55:AB55, "&lt;&gt;#DIV/0!")</f>
        <v/>
      </c>
      <c r="AD55" s="13" t="n"/>
      <c r="AE55" s="13" t="n"/>
    </row>
    <row r="56" ht="16.5" customHeight="1">
      <c r="A56" s="50" t="inlineStr">
        <is>
          <t>Marginal (C+, C)  (%)</t>
        </is>
      </c>
      <c r="B56" s="48">
        <f>(COUNTIFS(B3:B42, "&gt;= 60%", B3:B42, "&lt;=69%" ))/B45</f>
        <v/>
      </c>
      <c r="C56" s="48">
        <f>(COUNTIFS(C3:C42, "&gt;= 60%", C3:C42, "&lt;=69%" ))/C45</f>
        <v/>
      </c>
      <c r="D56" s="48">
        <f>(COUNTIFS(D3:D42, "&gt;= 60%", D3:D42, "&lt;=69%" ))/D45</f>
        <v/>
      </c>
      <c r="E56" s="48">
        <f>(COUNTIFS(E3:E42, "&gt;= 60%", E3:E42, "&lt;=69%" ))/E45</f>
        <v/>
      </c>
      <c r="F56" s="48">
        <f>(COUNTIFS(F3:F42, "&gt;= 60%", F3:F42, "&lt;=69%" ))/F45</f>
        <v/>
      </c>
      <c r="G56" s="48">
        <f>(COUNTIFS(G3:G42, "&gt;= 60%", G3:G42, "&lt;=69%" ))/G45</f>
        <v/>
      </c>
      <c r="H56" s="48">
        <f>(COUNTIFS(H3:H42, "&gt;= 60%", H3:H42, "&lt;=69%" ))/H45</f>
        <v/>
      </c>
      <c r="I56" s="48">
        <f>(COUNTIFS(I3:I42, "&gt;= 60%", I3:I42, "&lt;=69%" ))/I45</f>
        <v/>
      </c>
      <c r="J56" s="48">
        <f>(COUNTIFS(J3:J42, "&gt;= 60%", J3:J42, "&lt;=69%" ))/J45</f>
        <v/>
      </c>
      <c r="K56" s="48">
        <f>(COUNTIFS(K3:K42, "&gt;= 60%", K3:K42, "&lt;=69%" ))/K45</f>
        <v/>
      </c>
      <c r="L56" s="48">
        <f>(COUNTIFS(L3:L42, "&gt;= 60%", L3:L42, "&lt;=69%" ))/L45</f>
        <v/>
      </c>
      <c r="M56" s="48">
        <f>(COUNTIFS(M3:M42, "&gt;= 60%", M3:M42, "&lt;=69%" ))/M45</f>
        <v/>
      </c>
      <c r="N56" s="48">
        <f>(COUNTIFS(N3:N42, "&gt;= 60%", N3:N42, "&lt;=69%" ))/N45</f>
        <v/>
      </c>
      <c r="O56" s="48">
        <f>(COUNTIFS(O3:O42, "&gt;= 60%", O3:O42, "&lt;=69%" ))/O45</f>
        <v/>
      </c>
      <c r="P56" s="48">
        <f>(COUNTIFS(P3:P42, "&gt;= 60%", P3:P42, "&lt;=69%" ))/P45</f>
        <v/>
      </c>
      <c r="Q56" s="48">
        <f>(COUNTIFS(Q3:Q42, "&gt;= 60%", Q3:Q42, "&lt;=69%" ))/Q45</f>
        <v/>
      </c>
      <c r="R56" s="48">
        <f>(COUNTIFS(R3:R42, "&gt;= 60%", R3:R42, "&lt;=69%" ))/R45</f>
        <v/>
      </c>
      <c r="S56" s="48">
        <f>(COUNTIFS(S3:S42, "&gt;= 60%", S3:S42, "&lt;=69%" ))/S45</f>
        <v/>
      </c>
      <c r="T56" s="48">
        <f>(COUNTIFS(T3:T42, "&gt;= 60%", T3:T42, "&lt;=69%" ))/T45</f>
        <v/>
      </c>
      <c r="U56" s="48">
        <f>(COUNTIFS(U3:U42, "&gt;= 60%", U3:U42, "&lt;=69%" ))/U45</f>
        <v/>
      </c>
      <c r="V56" s="48">
        <f>(COUNTIFS(V3:V42, "&gt;= 60%", V3:V42, "&lt;=69%" ))/V45</f>
        <v/>
      </c>
      <c r="W56" s="48">
        <f>(COUNTIFS(W3:W42, "&gt;= 60%", W3:W42, "&lt;=69%" ))/W45</f>
        <v/>
      </c>
      <c r="X56" s="48">
        <f>(COUNTIFS(X3:X42, "&gt;= 60%", X3:X42, "&lt;=69%" ))/X45</f>
        <v/>
      </c>
      <c r="Y56" s="48">
        <f>(COUNTIFS(Y3:Y42, "&gt;= 60%", Y3:Y42, "&lt;=69%" ))/Y45</f>
        <v/>
      </c>
      <c r="Z56" s="48">
        <f>(COUNTIFS(Z3:Z42, "&gt;= 60%", Z3:Z42, "&lt;=69%" ))/Z45</f>
        <v/>
      </c>
      <c r="AA56" s="48">
        <f>(COUNTIFS(AA3:AA42, "&gt;= 60%", AA3:AA42, "&lt;=69%" ))/AA45</f>
        <v/>
      </c>
      <c r="AB56" s="48">
        <f>(COUNTIFS(AB3:AB42, "&gt;= 60%", AB3:AB42, "&lt;=69%" ))/AB45</f>
        <v/>
      </c>
      <c r="AC56" s="49">
        <f>AVERAGEIF(B56:AB56, "&lt;&gt;#DIV/0!")</f>
        <v/>
      </c>
      <c r="AD56" s="13" t="n"/>
      <c r="AE56" s="13" t="n"/>
    </row>
    <row r="57" ht="16.5" customHeight="1">
      <c r="A57" s="51" t="inlineStr">
        <is>
          <t>Meets Expectation (B+, B, B-) (%)</t>
        </is>
      </c>
      <c r="B57" s="48">
        <f>(COUNTIFS(B3:B42, "&gt;= 70%", B3:B42, "&lt;=79%" ))/B45</f>
        <v/>
      </c>
      <c r="C57" s="48">
        <f>(COUNTIFS(C3:C42, "&gt;= 70%", C3:C42, "&lt;=79%" ))/C45</f>
        <v/>
      </c>
      <c r="D57" s="48">
        <f>(COUNTIFS(D3:D42, "&gt;= 70%", D3:D42, "&lt;=79%" ))/D45</f>
        <v/>
      </c>
      <c r="E57" s="48">
        <f>(COUNTIFS(E3:E42, "&gt;= 70%", E3:E42, "&lt;=79%" ))/E45</f>
        <v/>
      </c>
      <c r="F57" s="48">
        <f>(COUNTIFS(F3:F42, "&gt;= 70%", F3:F42, "&lt;=79%" ))/F45</f>
        <v/>
      </c>
      <c r="G57" s="48">
        <f>(COUNTIFS(G3:G42, "&gt;= 70%", G3:G42, "&lt;=79%" ))/G45</f>
        <v/>
      </c>
      <c r="H57" s="48">
        <f>(COUNTIFS(H3:H42, "&gt;= 70%", H3:H42, "&lt;=79%" ))/H45</f>
        <v/>
      </c>
      <c r="I57" s="48">
        <f>(COUNTIFS(I3:I42, "&gt;= 70%", I3:I42, "&lt;=79%" ))/I45</f>
        <v/>
      </c>
      <c r="J57" s="48">
        <f>(COUNTIFS(J3:J42, "&gt;= 70%", J3:J42, "&lt;=79%" ))/J45</f>
        <v/>
      </c>
      <c r="K57" s="48">
        <f>(COUNTIFS(K3:K42, "&gt;= 70%", K3:K42, "&lt;=79%" ))/K45</f>
        <v/>
      </c>
      <c r="L57" s="48">
        <f>(COUNTIFS(L3:L42, "&gt;= 70%", L3:L42, "&lt;=79%" ))/L45</f>
        <v/>
      </c>
      <c r="M57" s="48">
        <f>(COUNTIFS(M3:M42, "&gt;= 70%", M3:M42, "&lt;=79%" ))/M45</f>
        <v/>
      </c>
      <c r="N57" s="48">
        <f>(COUNTIFS(N3:N42, "&gt;= 70%", N3:N42, "&lt;=79%" ))/N45</f>
        <v/>
      </c>
      <c r="O57" s="48">
        <f>(COUNTIFS(O3:O42, "&gt;= 70%", O3:O42, "&lt;=79%" ))/O45</f>
        <v/>
      </c>
      <c r="P57" s="48">
        <f>(COUNTIFS(P3:P42, "&gt;= 70%", P3:P42, "&lt;=79%" ))/P45</f>
        <v/>
      </c>
      <c r="Q57" s="48">
        <f>(COUNTIFS(Q3:Q42, "&gt;= 70%", Q3:Q42, "&lt;=79%" ))/Q45</f>
        <v/>
      </c>
      <c r="R57" s="48">
        <f>(COUNTIFS(R3:R42, "&gt;= 70%", R3:R42, "&lt;=79%" ))/R45</f>
        <v/>
      </c>
      <c r="S57" s="48">
        <f>(COUNTIFS(S3:S42, "&gt;= 70%", S3:S42, "&lt;=79%" ))/S45</f>
        <v/>
      </c>
      <c r="T57" s="48">
        <f>(COUNTIFS(T3:T42, "&gt;= 70%", T3:T42, "&lt;=79%" ))/T45</f>
        <v/>
      </c>
      <c r="U57" s="48">
        <f>(COUNTIFS(U3:U42, "&gt;= 70%", U3:U42, "&lt;=79%" ))/U45</f>
        <v/>
      </c>
      <c r="V57" s="48">
        <f>(COUNTIFS(V3:V42, "&gt;= 70%", V3:V42, "&lt;=79%" ))/V45</f>
        <v/>
      </c>
      <c r="W57" s="48">
        <f>(COUNTIFS(W3:W42, "&gt;= 70%", W3:W42, "&lt;=79%" ))/W45</f>
        <v/>
      </c>
      <c r="X57" s="48">
        <f>(COUNTIFS(X3:X42, "&gt;= 70%", X3:X42, "&lt;=79%" ))/X45</f>
        <v/>
      </c>
      <c r="Y57" s="48">
        <f>(COUNTIFS(Y3:Y42, "&gt;= 70%", Y3:Y42, "&lt;=79%" ))/Y45</f>
        <v/>
      </c>
      <c r="Z57" s="48">
        <f>(COUNTIFS(Z3:Z42, "&gt;= 70%", Z3:Z42, "&lt;=79%" ))/Z45</f>
        <v/>
      </c>
      <c r="AA57" s="48">
        <f>(COUNTIFS(AA3:AA42, "&gt;= 70%", AA3:AA42, "&lt;=79%" ))/AA45</f>
        <v/>
      </c>
      <c r="AB57" s="48">
        <f>(COUNTIFS(AB3:AB42, "&gt;= 70%", AB3:AB42, "&lt;=79%" ))/AB45</f>
        <v/>
      </c>
      <c r="AC57" s="49">
        <f>AVERAGEIF(B57:AB57, "&lt;&gt;#DIV/0!")</f>
        <v/>
      </c>
      <c r="AD57" s="13" t="n"/>
      <c r="AE57" s="13" t="n"/>
    </row>
    <row r="58" ht="16.5" customHeight="1">
      <c r="A58" s="52" t="inlineStr">
        <is>
          <t>Exceeds Expectation (A+, A, A-) (%)</t>
        </is>
      </c>
      <c r="B58" s="48">
        <f>(COUNTIF(B3:B42,"&gt;= 80%")/B45)</f>
        <v/>
      </c>
      <c r="C58" s="48">
        <f>(COUNTIF(C3:C42,"&gt;= 80%")/C45)</f>
        <v/>
      </c>
      <c r="D58" s="48">
        <f>(COUNTIF(D3:D42,"&gt;= 80%")/D45)</f>
        <v/>
      </c>
      <c r="E58" s="48">
        <f>(COUNTIF(E3:E42,"&gt;= 80%")/E45)</f>
        <v/>
      </c>
      <c r="F58" s="48">
        <f>(COUNTIF(F3:F42,"&gt;= 80%")/F45)</f>
        <v/>
      </c>
      <c r="G58" s="48">
        <f>(COUNTIF(G3:G42,"&gt;= 80%")/G45)</f>
        <v/>
      </c>
      <c r="H58" s="48">
        <f>(COUNTIF(H3:H42,"&gt;= 80%")/H45)</f>
        <v/>
      </c>
      <c r="I58" s="48">
        <f>(COUNTIF(I3:I42,"&gt;= 80%")/I45)</f>
        <v/>
      </c>
      <c r="J58" s="48">
        <f>(COUNTIF(J3:J42,"&gt;= 80%")/J45)</f>
        <v/>
      </c>
      <c r="K58" s="48">
        <f>(COUNTIF(K3:K42,"&gt;= 80%")/K45)</f>
        <v/>
      </c>
      <c r="L58" s="48">
        <f>(COUNTIF(L3:L42,"&gt;= 80%")/L45)</f>
        <v/>
      </c>
      <c r="M58" s="48">
        <f>(COUNTIF(M3:M42,"&gt;= 80%")/M45)</f>
        <v/>
      </c>
      <c r="N58" s="48">
        <f>(COUNTIF(N3:N42,"&gt;= 80%")/N45)</f>
        <v/>
      </c>
      <c r="O58" s="48">
        <f>(COUNTIF(O3:O42,"&gt;= 80%")/O45)</f>
        <v/>
      </c>
      <c r="P58" s="48">
        <f>(COUNTIF(P3:P42,"&gt;= 80%")/P45)</f>
        <v/>
      </c>
      <c r="Q58" s="48">
        <f>(COUNTIF(Q3:Q42,"&gt;= 80%")/Q45)</f>
        <v/>
      </c>
      <c r="R58" s="48">
        <f>(COUNTIF(R3:R42,"&gt;= 80%")/R45)</f>
        <v/>
      </c>
      <c r="S58" s="48">
        <f>(COUNTIF(S3:S42,"&gt;= 80%")/S45)</f>
        <v/>
      </c>
      <c r="T58" s="48">
        <f>(COUNTIF(T3:T42,"&gt;= 80%")/T45)</f>
        <v/>
      </c>
      <c r="U58" s="48">
        <f>(COUNTIF(U3:U42,"&gt;= 80%")/U45)</f>
        <v/>
      </c>
      <c r="V58" s="48">
        <f>(COUNTIF(V3:V42,"&gt;= 80%")/V45)</f>
        <v/>
      </c>
      <c r="W58" s="48">
        <f>(COUNTIF(W3:W42,"&gt;= 80%")/W45)</f>
        <v/>
      </c>
      <c r="X58" s="48">
        <f>(COUNTIF(X3:X42,"&gt;= 80%")/X45)</f>
        <v/>
      </c>
      <c r="Y58" s="48">
        <f>(COUNTIF(Y3:Y42,"&gt;= 80%")/Y45)</f>
        <v/>
      </c>
      <c r="Z58" s="48">
        <f>(COUNTIF(Z3:Z42,"&gt;= 80%")/Z45)</f>
        <v/>
      </c>
      <c r="AA58" s="48">
        <f>(COUNTIF(AA3:AA42,"&gt;= 80%")/AA45)</f>
        <v/>
      </c>
      <c r="AB58" s="48">
        <f>(COUNTIF(AB3:AB42,"&gt;= 80%")/AB45)</f>
        <v/>
      </c>
      <c r="AC58" s="53">
        <f>AVERAGEIF(B58:AB58, "&lt;&gt;#DIV/0!")</f>
        <v/>
      </c>
      <c r="AD58" s="13" t="n"/>
      <c r="AE58" s="13" t="n"/>
    </row>
    <row r="59" ht="15.75" customHeight="1">
      <c r="A59" s="54" t="n"/>
      <c r="B59" s="55">
        <f>SUMIF(B55:B58, "&lt;&gt;#DIV/0!")</f>
        <v/>
      </c>
      <c r="C59" s="56">
        <f>SUMIF(C55:C58, "&lt;&gt;#DIV/0!")</f>
        <v/>
      </c>
      <c r="D59" s="56">
        <f>SUMIF(D55:D58, "&lt;&gt;#DIV/0!")</f>
        <v/>
      </c>
      <c r="E59" s="56">
        <f>SUMIF(E55:E58, "&lt;&gt;#DIV/0!")</f>
        <v/>
      </c>
      <c r="F59" s="56">
        <f>SUMIF(F55:F58, "&lt;&gt;#DIV/0!")</f>
        <v/>
      </c>
      <c r="G59" s="56">
        <f>SUMIF(G55:G58, "&lt;&gt;#DIV/0!")</f>
        <v/>
      </c>
      <c r="H59" s="56">
        <f>SUMIF(H55:H58, "&lt;&gt;#DIV/0!")</f>
        <v/>
      </c>
      <c r="I59" s="56">
        <f>SUMIF(I55:I58, "&lt;&gt;#DIV/0!")</f>
        <v/>
      </c>
      <c r="J59" s="56">
        <f>SUMIF(J55:J58, "&lt;&gt;#DIV/0!")</f>
        <v/>
      </c>
      <c r="K59" s="56">
        <f>SUMIF(K55:K58, "&lt;&gt;#DIV/0!")</f>
        <v/>
      </c>
      <c r="L59" s="56">
        <f>SUMIF(L55:L58, "&lt;&gt;#DIV/0!")</f>
        <v/>
      </c>
      <c r="M59" s="56">
        <f>SUMIF(M55:M58, "&lt;&gt;#DIV/0!")</f>
        <v/>
      </c>
      <c r="N59" s="56">
        <f>SUMIF(N55:N58, "&lt;&gt;#DIV/0!")</f>
        <v/>
      </c>
      <c r="O59" s="56">
        <f>SUMIF(O55:O58, "&lt;&gt;#DIV/0!")</f>
        <v/>
      </c>
      <c r="P59" s="56">
        <f>SUMIF(P55:P58, "&lt;&gt;#DIV/0!")</f>
        <v/>
      </c>
      <c r="Q59" s="56">
        <f>SUMIF(Q55:Q58, "&lt;&gt;#DIV/0!")</f>
        <v/>
      </c>
      <c r="R59" s="56">
        <f>SUMIF(R55:R58, "&lt;&gt;#DIV/0!")</f>
        <v/>
      </c>
      <c r="S59" s="56">
        <f>SUMIF(S55:S58, "&lt;&gt;#DIV/0!")</f>
        <v/>
      </c>
      <c r="T59" s="56">
        <f>SUMIF(T55:T58, "&lt;&gt;#DIV/0!")</f>
        <v/>
      </c>
      <c r="U59" s="56">
        <f>SUMIF(U55:U58, "&lt;&gt;#DIV/0!")</f>
        <v/>
      </c>
      <c r="V59" s="56">
        <f>SUMIF(V55:V58, "&lt;&gt;#DIV/0!")</f>
        <v/>
      </c>
      <c r="W59" s="56">
        <f>SUMIF(W55:W58, "&lt;&gt;#DIV/0!")</f>
        <v/>
      </c>
      <c r="X59" s="56">
        <f>SUMIF(X55:X58, "&lt;&gt;#DIV/0!")</f>
        <v/>
      </c>
      <c r="Y59" s="56">
        <f>SUMIF(Y55:Y58, "&lt;&gt;#DIV/0!")</f>
        <v/>
      </c>
      <c r="Z59" s="56">
        <f>SUMIF(Z55:Z58, "&lt;&gt;#DIV/0!")</f>
        <v/>
      </c>
      <c r="AA59" s="56">
        <f>SUMIF(AA55:AA58, "&lt;&gt;#DIV/0!")</f>
        <v/>
      </c>
      <c r="AB59" s="56">
        <f>SUMIF(AB55:AB58, "&lt;&gt;#DIV/0!")</f>
        <v/>
      </c>
      <c r="AC59" s="57" t="n"/>
      <c r="AD59" s="13" t="n"/>
      <c r="AE59" s="13" t="n"/>
    </row>
    <row r="60" ht="15.75" customHeight="1">
      <c r="A60" s="58" t="n"/>
      <c r="B60" s="76" t="n"/>
      <c r="C60" s="60" t="n"/>
      <c r="D60" s="58" t="n"/>
      <c r="E60" s="58" t="n"/>
      <c r="F60" s="58" t="n"/>
      <c r="G60" s="58" t="n"/>
      <c r="H60" s="58" t="n"/>
      <c r="I60" s="13" t="n"/>
      <c r="J60" s="13" t="n"/>
      <c r="K60" s="13" t="n"/>
      <c r="L60" s="13" t="n"/>
      <c r="M60" s="13" t="n"/>
      <c r="N60" s="13" t="n"/>
      <c r="O60" s="13" t="n"/>
      <c r="P60" s="13" t="n"/>
      <c r="Q60" s="13" t="n"/>
      <c r="R60" s="13" t="n"/>
      <c r="S60" s="13" t="n"/>
      <c r="T60" s="13" t="n"/>
      <c r="U60" s="13" t="n"/>
      <c r="V60" s="13" t="n"/>
      <c r="W60" s="13" t="n"/>
      <c r="X60" s="13" t="n"/>
      <c r="Y60" s="13" t="n"/>
      <c r="Z60" s="13" t="n"/>
      <c r="AA60" s="13" t="n"/>
      <c r="AB60" s="13" t="n"/>
      <c r="AC60" s="13" t="n"/>
      <c r="AD60" s="13" t="n"/>
      <c r="AE60" s="13" t="n"/>
    </row>
    <row r="61" ht="15.75" customHeight="1">
      <c r="A61" s="35" t="n"/>
      <c r="B61" s="77" t="inlineStr">
        <is>
          <t>Class Limit</t>
        </is>
      </c>
      <c r="C61" s="62" t="inlineStr">
        <is>
          <t>Bin</t>
        </is>
      </c>
      <c r="D61" s="58" t="n"/>
      <c r="E61" s="58" t="n"/>
      <c r="F61" s="58" t="n"/>
      <c r="G61" s="58" t="n"/>
      <c r="H61" s="58" t="n"/>
      <c r="I61" s="13" t="n"/>
      <c r="J61" s="13" t="n"/>
      <c r="K61" s="13" t="n"/>
      <c r="L61" s="13" t="n"/>
      <c r="M61" s="13" t="n"/>
      <c r="N61" s="13" t="n"/>
      <c r="O61" s="13" t="n"/>
      <c r="P61" s="13" t="n"/>
      <c r="Q61" s="13" t="n"/>
      <c r="R61" s="13" t="n"/>
      <c r="S61" s="13" t="n"/>
      <c r="T61" s="13" t="n"/>
      <c r="U61" s="13" t="n"/>
      <c r="V61" s="13" t="n"/>
      <c r="W61" s="13" t="n"/>
      <c r="X61" s="13" t="n"/>
      <c r="Y61" s="13" t="n"/>
      <c r="Z61" s="13" t="n"/>
      <c r="AA61" s="13" t="n"/>
      <c r="AB61" s="13" t="n"/>
      <c r="AC61" s="13" t="n"/>
      <c r="AD61" s="13" t="n"/>
      <c r="AE61" s="13" t="n"/>
    </row>
    <row r="62" ht="16.5" customHeight="1">
      <c r="A62" s="63" t="inlineStr">
        <is>
          <t>Exceeds Expectation (A+, A, A-) (%)</t>
        </is>
      </c>
      <c r="B62" s="77" t="inlineStr">
        <is>
          <t>80-100</t>
        </is>
      </c>
      <c r="C62" s="62" t="n">
        <v>100</v>
      </c>
      <c r="D62" s="58" t="n"/>
      <c r="E62" s="58" t="n"/>
      <c r="F62" s="58" t="n"/>
      <c r="G62" s="58" t="n"/>
      <c r="H62" s="58" t="n"/>
      <c r="I62" s="13" t="n"/>
      <c r="J62" s="13" t="n"/>
      <c r="K62" s="13" t="n"/>
      <c r="L62" s="13" t="n"/>
      <c r="M62" s="13" t="n"/>
      <c r="N62" s="13" t="n"/>
      <c r="O62" s="13" t="n"/>
      <c r="P62" s="13" t="n"/>
      <c r="Q62" s="13" t="n"/>
      <c r="R62" s="13" t="n"/>
      <c r="S62" s="13" t="n"/>
      <c r="T62" s="13" t="n"/>
      <c r="U62" s="13" t="n"/>
      <c r="V62" s="13" t="n"/>
      <c r="W62" s="13" t="n"/>
      <c r="X62" s="13" t="n"/>
      <c r="Y62" s="13" t="n"/>
      <c r="Z62" s="13" t="n"/>
      <c r="AA62" s="13" t="n"/>
      <c r="AB62" s="13" t="n"/>
      <c r="AC62" s="13" t="n"/>
      <c r="AD62" s="13" t="n"/>
      <c r="AE62" s="13" t="n"/>
    </row>
    <row r="63" ht="16.5" customHeight="1">
      <c r="A63" s="63" t="inlineStr">
        <is>
          <t>Meets Expectation (B+, B, B-) (%)</t>
        </is>
      </c>
      <c r="B63" s="77" t="inlineStr">
        <is>
          <t>70-79</t>
        </is>
      </c>
      <c r="C63" s="62" t="n">
        <v>79</v>
      </c>
      <c r="D63" s="58" t="n"/>
      <c r="E63" s="58" t="n"/>
      <c r="F63" s="58" t="n"/>
      <c r="G63" s="58" t="n"/>
      <c r="H63" s="58" t="n"/>
      <c r="I63" s="13" t="n"/>
      <c r="J63" s="13" t="n"/>
      <c r="K63" s="13" t="n"/>
      <c r="L63" s="13" t="n"/>
      <c r="M63" s="13" t="n"/>
      <c r="N63" s="13" t="n"/>
      <c r="O63" s="13" t="n"/>
      <c r="P63" s="13" t="n"/>
      <c r="Q63" s="13" t="n"/>
      <c r="R63" s="13" t="n"/>
      <c r="S63" s="13" t="n"/>
      <c r="T63" s="13" t="n"/>
      <c r="U63" s="13" t="n"/>
      <c r="V63" s="13" t="n"/>
      <c r="W63" s="13" t="n"/>
      <c r="X63" s="13" t="n"/>
      <c r="Y63" s="13" t="n"/>
      <c r="Z63" s="13" t="n"/>
      <c r="AA63" s="13" t="n"/>
      <c r="AB63" s="13" t="n"/>
      <c r="AC63" s="13" t="n"/>
      <c r="AD63" s="13" t="n"/>
      <c r="AE63" s="13" t="n"/>
    </row>
    <row r="64" ht="16.5" customHeight="1">
      <c r="A64" s="63" t="inlineStr">
        <is>
          <t>Marginal (C+, C)  (%)</t>
        </is>
      </c>
      <c r="B64" s="77" t="inlineStr">
        <is>
          <t>60-69</t>
        </is>
      </c>
      <c r="C64" s="62" t="n">
        <v>69</v>
      </c>
      <c r="D64" s="58" t="n"/>
      <c r="E64" s="58" t="n"/>
      <c r="F64" s="58" t="n"/>
      <c r="G64" s="58" t="n"/>
      <c r="H64" s="58" t="n"/>
      <c r="I64" s="13" t="n"/>
      <c r="J64" s="13" t="n"/>
      <c r="K64" s="13" t="n"/>
      <c r="L64" s="13" t="n"/>
      <c r="M64" s="13" t="n"/>
      <c r="N64" s="13" t="n"/>
      <c r="O64" s="13" t="n"/>
      <c r="P64" s="13" t="n"/>
      <c r="Q64" s="13" t="n"/>
      <c r="R64" s="13" t="n"/>
      <c r="S64" s="13" t="n"/>
      <c r="T64" s="13" t="n"/>
      <c r="U64" s="13" t="n"/>
      <c r="V64" s="13" t="n"/>
      <c r="W64" s="13" t="n"/>
      <c r="X64" s="13" t="n"/>
      <c r="Y64" s="13" t="n"/>
      <c r="Z64" s="13" t="n"/>
      <c r="AA64" s="13" t="n"/>
      <c r="AB64" s="13" t="n"/>
      <c r="AC64" s="13" t="n"/>
      <c r="AD64" s="13" t="n"/>
      <c r="AE64" s="13" t="n"/>
    </row>
    <row r="65" ht="16.5" customHeight="1">
      <c r="A65" s="63" t="inlineStr">
        <is>
          <t>Below Expectation (C- and below)  (%)</t>
        </is>
      </c>
      <c r="B65" s="77" t="inlineStr">
        <is>
          <t>0-59</t>
        </is>
      </c>
      <c r="C65" s="62" t="n">
        <v>59</v>
      </c>
      <c r="D65" s="58" t="n"/>
      <c r="E65" s="58" t="n"/>
      <c r="F65" s="58" t="n"/>
      <c r="G65" s="58" t="n"/>
      <c r="H65" s="58" t="n"/>
      <c r="I65" s="13" t="n"/>
      <c r="J65" s="13" t="n"/>
      <c r="K65" s="13" t="n"/>
      <c r="L65" s="13" t="n"/>
      <c r="M65" s="13" t="n"/>
      <c r="N65" s="13" t="n"/>
      <c r="O65" s="13" t="n"/>
      <c r="P65" s="13" t="n"/>
      <c r="Q65" s="13" t="n"/>
      <c r="R65" s="13" t="n"/>
      <c r="S65" s="13" t="n"/>
      <c r="T65" s="13" t="n"/>
      <c r="U65" s="13" t="n"/>
      <c r="V65" s="13" t="n"/>
      <c r="W65" s="13" t="n"/>
      <c r="X65" s="13" t="n"/>
      <c r="Y65" s="13" t="n"/>
      <c r="Z65" s="13" t="n"/>
      <c r="AA65" s="13" t="n"/>
      <c r="AB65" s="13" t="n"/>
      <c r="AC65" s="13" t="n"/>
      <c r="AD65" s="13" t="n"/>
      <c r="AE65" s="13" t="n"/>
    </row>
  </sheetData>
  <mergeCells count="1">
    <mergeCell ref="AC3:AC4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0"/>
    <pageSetUpPr/>
  </sheetPr>
  <dimension ref="A1:BT65"/>
  <sheetViews>
    <sheetView workbookViewId="0">
      <selection activeCell="A1" sqref="A1"/>
    </sheetView>
  </sheetViews>
  <sheetFormatPr baseColWidth="8" defaultRowHeight="15" outlineLevelCol="0"/>
  <cols>
    <col width="44.86214285714286" bestFit="1" customWidth="1" style="64" min="1" max="1"/>
    <col width="18.86214285714286" bestFit="1" customWidth="1" style="65" min="2" max="2"/>
    <col width="14.57642857142857" bestFit="1" customWidth="1" style="66" min="3" max="3"/>
    <col width="15.86214285714286" bestFit="1" customWidth="1" style="13" min="4" max="4"/>
    <col width="17.71928571428571" bestFit="1" customWidth="1" style="13" min="5" max="5"/>
    <col width="15.005" bestFit="1" customWidth="1" style="13" min="6" max="6"/>
    <col width="15.005" bestFit="1" customWidth="1" style="13" min="7" max="7"/>
    <col width="17.71928571428571" bestFit="1" customWidth="1" style="13" min="8" max="8"/>
    <col width="15.005" bestFit="1" customWidth="1" style="13" min="9" max="9"/>
    <col width="15.005" bestFit="1" customWidth="1" style="13" min="10" max="10"/>
    <col width="15.43357142857143" bestFit="1" customWidth="1" style="13" min="11" max="11"/>
    <col width="15.43357142857143" bestFit="1" customWidth="1" style="13" min="12" max="12"/>
    <col width="15.43357142857143" bestFit="1" customWidth="1" style="13" min="13" max="13"/>
    <col width="15.43357142857143" bestFit="1" customWidth="1" style="13" min="14" max="14"/>
    <col width="15.43357142857143" bestFit="1" customWidth="1" style="13" min="15" max="15"/>
    <col width="14.57642857142857" bestFit="1" customWidth="1" style="13" min="16" max="16"/>
    <col width="15.005" bestFit="1" customWidth="1" style="13" min="17" max="17"/>
    <col width="15.005" bestFit="1" customWidth="1" style="13" min="18" max="18"/>
    <col width="15.005" bestFit="1" customWidth="1" style="13" min="19" max="19"/>
    <col width="15.43357142857143" bestFit="1" customWidth="1" style="13" min="20" max="20"/>
    <col width="15.43357142857143" bestFit="1" customWidth="1" style="13" min="21" max="21"/>
    <col width="15.43357142857143" bestFit="1" customWidth="1" style="13" min="22" max="22"/>
    <col width="15.005" bestFit="1" customWidth="1" style="13" min="23" max="23"/>
    <col width="15.43357142857143" bestFit="1" customWidth="1" style="13" min="24" max="24"/>
    <col width="15.43357142857143" bestFit="1" customWidth="1" style="13" min="25" max="25"/>
    <col width="15.43357142857143" bestFit="1" customWidth="1" style="13" min="26" max="26"/>
    <col width="15.43357142857143" bestFit="1" customWidth="1" style="13" min="27" max="27"/>
    <col width="15.43357142857143" bestFit="1" customWidth="1" style="13" min="28" max="28"/>
    <col width="15.86214285714286" bestFit="1" customWidth="1" style="13" min="29" max="29"/>
    <col width="15.86214285714286" bestFit="1" customWidth="1" style="13" min="30" max="30"/>
    <col width="15.43357142857143" bestFit="1" customWidth="1" style="13" min="31" max="31"/>
    <col width="15.86214285714286" bestFit="1" customWidth="1" style="13" min="32" max="32"/>
    <col width="15.86214285714286" bestFit="1" customWidth="1" style="13" min="33" max="33"/>
    <col width="15.86214285714286" bestFit="1" customWidth="1" style="13" min="34" max="34"/>
    <col width="15.86214285714286" bestFit="1" customWidth="1" style="13" min="35" max="35"/>
    <col width="15.86214285714286" bestFit="1" customWidth="1" style="13" min="36" max="36"/>
    <col width="15.86214285714286" bestFit="1" customWidth="1" style="13" min="37" max="37"/>
    <col width="15.86214285714286" bestFit="1" customWidth="1" style="13" min="38" max="38"/>
    <col width="15.005" bestFit="1" customWidth="1" style="13" min="39" max="39"/>
    <col width="15.43357142857143" bestFit="1" customWidth="1" style="13" min="40" max="40"/>
    <col width="15.43357142857143" bestFit="1" customWidth="1" style="13" min="41" max="41"/>
    <col width="15.43357142857143" bestFit="1" customWidth="1" style="13" min="42" max="42"/>
    <col width="15.43357142857143" bestFit="1" customWidth="1" style="13" min="43" max="43"/>
    <col width="15.43357142857143" bestFit="1" customWidth="1" style="13" min="44" max="44"/>
    <col width="15.86214285714286" bestFit="1" customWidth="1" style="13" min="45" max="45"/>
    <col width="15.86214285714286" bestFit="1" customWidth="1" style="13" min="46" max="46"/>
    <col width="15.43357142857143" bestFit="1" customWidth="1" style="13" min="47" max="47"/>
    <col width="15.86214285714286" bestFit="1" customWidth="1" style="13" min="48" max="48"/>
    <col width="15.86214285714286" bestFit="1" customWidth="1" style="13" min="49" max="49"/>
    <col width="15.005" bestFit="1" customWidth="1" style="13" min="50" max="50"/>
    <col width="15.43357142857143" bestFit="1" customWidth="1" style="13" min="51" max="51"/>
    <col width="15.43357142857143" bestFit="1" customWidth="1" style="13" min="52" max="52"/>
    <col width="15.005" bestFit="1" customWidth="1" style="13" min="53" max="53"/>
    <col width="15.43357142857143" bestFit="1" customWidth="1" style="13" min="54" max="54"/>
    <col width="15.43357142857143" bestFit="1" customWidth="1" style="13" min="55" max="55"/>
    <col width="15.43357142857143" bestFit="1" customWidth="1" style="13" min="56" max="56"/>
    <col width="15.86214285714286" bestFit="1" customWidth="1" style="13" min="57" max="57"/>
    <col width="15.86214285714286" bestFit="1" customWidth="1" style="13" min="58" max="58"/>
    <col width="15.43357142857143" bestFit="1" customWidth="1" style="13" min="59" max="59"/>
    <col width="15.86214285714286" bestFit="1" customWidth="1" style="13" min="60" max="60"/>
    <col width="15.43357142857143" bestFit="1" customWidth="1" style="13" min="61" max="61"/>
    <col width="15.86214285714286" bestFit="1" customWidth="1" style="13" min="62" max="62"/>
    <col width="15.86214285714286" bestFit="1" customWidth="1" style="13" min="63" max="63"/>
    <col width="15.43357142857143" bestFit="1" customWidth="1" style="13" min="64" max="64"/>
    <col width="15.86214285714286" bestFit="1" customWidth="1" style="13" min="65" max="65"/>
    <col width="15.86214285714286" bestFit="1" customWidth="1" style="13" min="66" max="66"/>
    <col width="15.43357142857143" bestFit="1" customWidth="1" style="13" min="67" max="67"/>
    <col width="15.86214285714286" bestFit="1" customWidth="1" style="13" min="68" max="68"/>
    <col width="15.86214285714286" bestFit="1" customWidth="1" style="13" min="69" max="69"/>
    <col width="9.290714285714287" bestFit="1" customWidth="1" style="13" min="70" max="70"/>
    <col width="14.14785714285714" bestFit="1" customWidth="1" style="13" min="71" max="71"/>
    <col width="4.290714285714285" bestFit="1" customWidth="1" style="13" min="72" max="72"/>
  </cols>
  <sheetData>
    <row r="1" ht="19.5" customHeight="1">
      <c r="A1" s="14" t="inlineStr">
        <is>
          <t>Student Number</t>
        </is>
      </c>
      <c r="B1" s="15" t="inlineStr">
        <is>
          <t>SENG-1110-1</t>
        </is>
      </c>
      <c r="C1" s="16" t="inlineStr">
        <is>
          <t>SENG-1110-6</t>
        </is>
      </c>
      <c r="D1" s="67" t="inlineStr">
        <is>
          <t>SENG-1210-1</t>
        </is>
      </c>
      <c r="E1" s="67" t="inlineStr">
        <is>
          <t>SENG-1210-2</t>
        </is>
      </c>
      <c r="F1" s="67" t="inlineStr">
        <is>
          <t>SENG-1210-3</t>
        </is>
      </c>
      <c r="G1" s="67" t="inlineStr">
        <is>
          <t>SENG-1210-4</t>
        </is>
      </c>
      <c r="H1" s="67" t="inlineStr">
        <is>
          <t>SENG-1210-5</t>
        </is>
      </c>
      <c r="I1" s="67" t="inlineStr">
        <is>
          <t>SENG-1210-6</t>
        </is>
      </c>
      <c r="J1" s="67" t="inlineStr">
        <is>
          <t>CENG-2010-1</t>
        </is>
      </c>
      <c r="K1" s="67" t="inlineStr">
        <is>
          <t>CENG-2010-2</t>
        </is>
      </c>
      <c r="L1" s="67" t="inlineStr">
        <is>
          <t>CENG-2010-3</t>
        </is>
      </c>
      <c r="M1" s="67" t="inlineStr">
        <is>
          <t>CENG-2010-4</t>
        </is>
      </c>
      <c r="N1" s="67" t="inlineStr">
        <is>
          <t>CENG-2010-5</t>
        </is>
      </c>
      <c r="O1" s="67" t="inlineStr">
        <is>
          <t>CENG-2010-6</t>
        </is>
      </c>
      <c r="P1" s="17" t="inlineStr">
        <is>
          <t>SENG-3110-1</t>
        </is>
      </c>
      <c r="Q1" s="17" t="inlineStr">
        <is>
          <t>SENG-3110-2</t>
        </is>
      </c>
      <c r="R1" s="17" t="inlineStr">
        <is>
          <t>SENG-3110-3</t>
        </is>
      </c>
      <c r="S1" s="17" t="inlineStr">
        <is>
          <t>CENG-3010-1</t>
        </is>
      </c>
      <c r="T1" s="17" t="inlineStr">
        <is>
          <t>CENG-3010-2</t>
        </is>
      </c>
      <c r="U1" s="17" t="inlineStr">
        <is>
          <t>CENG-3010-3</t>
        </is>
      </c>
      <c r="V1" s="17" t="inlineStr">
        <is>
          <t>CENG-3010-4</t>
        </is>
      </c>
      <c r="W1" s="17" t="inlineStr">
        <is>
          <t>CENG-3310-1</t>
        </is>
      </c>
      <c r="X1" s="17" t="inlineStr">
        <is>
          <t>CENG-3310-2</t>
        </is>
      </c>
      <c r="Y1" s="17" t="inlineStr">
        <is>
          <t>CENG-3310-3</t>
        </is>
      </c>
      <c r="Z1" s="17" t="inlineStr">
        <is>
          <t>CENG-3310-4</t>
        </is>
      </c>
      <c r="AA1" s="17" t="inlineStr">
        <is>
          <t>CENG-3310-5</t>
        </is>
      </c>
      <c r="AB1" s="17" t="inlineStr">
        <is>
          <t>COMP-3410-1</t>
        </is>
      </c>
      <c r="AC1" s="17" t="inlineStr">
        <is>
          <t>COMP-3410-2</t>
        </is>
      </c>
      <c r="AD1" s="17" t="inlineStr">
        <is>
          <t>COMP-3410-3</t>
        </is>
      </c>
      <c r="AE1" s="17" t="inlineStr">
        <is>
          <t>COMP-3610-1</t>
        </is>
      </c>
      <c r="AF1" s="17" t="inlineStr">
        <is>
          <t>COMP-3610-2</t>
        </is>
      </c>
      <c r="AG1" s="17" t="inlineStr">
        <is>
          <t>COMP-3610-3</t>
        </is>
      </c>
      <c r="AH1" s="17" t="inlineStr">
        <is>
          <t>COMP-3610-4</t>
        </is>
      </c>
      <c r="AI1" s="17" t="inlineStr">
        <is>
          <t>COMP-3610-5</t>
        </is>
      </c>
      <c r="AJ1" s="17" t="inlineStr">
        <is>
          <t>COMP-3610-6</t>
        </is>
      </c>
      <c r="AK1" s="17" t="inlineStr">
        <is>
          <t>COMP-3610-8</t>
        </is>
      </c>
      <c r="AL1" s="17" t="inlineStr">
        <is>
          <t>COMP-3610-9</t>
        </is>
      </c>
      <c r="AM1" s="18" t="inlineStr">
        <is>
          <t>SENG-4130-1</t>
        </is>
      </c>
      <c r="AN1" s="18" t="inlineStr">
        <is>
          <t>SENG-4130-2</t>
        </is>
      </c>
      <c r="AO1" s="18" t="inlineStr">
        <is>
          <t>SENG-4130-3</t>
        </is>
      </c>
      <c r="AP1" s="18" t="inlineStr">
        <is>
          <t>SENG-4130-4</t>
        </is>
      </c>
      <c r="AQ1" s="18" t="inlineStr">
        <is>
          <t>SENG-4130-5</t>
        </is>
      </c>
      <c r="AR1" s="18" t="inlineStr">
        <is>
          <t>SENG-4230-1</t>
        </is>
      </c>
      <c r="AS1" s="18" t="inlineStr">
        <is>
          <t>SENG-4230-3</t>
        </is>
      </c>
      <c r="AT1" s="18" t="inlineStr">
        <is>
          <t>SENG-4230-5</t>
        </is>
      </c>
      <c r="AU1" s="18" t="inlineStr">
        <is>
          <t>SENG-4220-1</t>
        </is>
      </c>
      <c r="AV1" s="18" t="inlineStr">
        <is>
          <t>SENG-4220-2</t>
        </is>
      </c>
      <c r="AW1" s="18" t="inlineStr">
        <is>
          <t>SENG-4220-4</t>
        </is>
      </c>
      <c r="AX1" s="18" t="inlineStr">
        <is>
          <t>SENG-4140-1</t>
        </is>
      </c>
      <c r="AY1" s="18" t="inlineStr">
        <is>
          <t>SENG-4140-2</t>
        </is>
      </c>
      <c r="AZ1" s="18" t="inlineStr">
        <is>
          <t>SENG-4140-3</t>
        </is>
      </c>
      <c r="BA1" s="18" t="inlineStr">
        <is>
          <t>SENG-4610-1</t>
        </is>
      </c>
      <c r="BB1" s="18" t="inlineStr">
        <is>
          <t>SENG-4610-2</t>
        </is>
      </c>
      <c r="BC1" s="18" t="inlineStr">
        <is>
          <t>SENG-4610-4</t>
        </is>
      </c>
      <c r="BD1" s="18" t="inlineStr">
        <is>
          <t>SENG-4620-1</t>
        </is>
      </c>
      <c r="BE1" s="18" t="inlineStr">
        <is>
          <t>SENG-4620-4</t>
        </is>
      </c>
      <c r="BF1" s="18" t="inlineStr">
        <is>
          <t>SENG-4620-5</t>
        </is>
      </c>
      <c r="BG1" s="18" t="inlineStr">
        <is>
          <t>SENG-4630-1</t>
        </is>
      </c>
      <c r="BH1" s="18" t="inlineStr">
        <is>
          <t>SENG-4630-2</t>
        </is>
      </c>
      <c r="BI1" s="18" t="inlineStr">
        <is>
          <t>SENG-4650-1</t>
        </is>
      </c>
      <c r="BJ1" s="18" t="inlineStr">
        <is>
          <t>SENG-4650-2</t>
        </is>
      </c>
      <c r="BK1" s="18" t="inlineStr">
        <is>
          <t>SENG-4650-3</t>
        </is>
      </c>
      <c r="BL1" s="18" t="inlineStr">
        <is>
          <t>SENG-4660-1</t>
        </is>
      </c>
      <c r="BM1" s="18" t="inlineStr">
        <is>
          <t>SENG-4660-2</t>
        </is>
      </c>
      <c r="BN1" s="18" t="inlineStr">
        <is>
          <t>SENG-4660-3</t>
        </is>
      </c>
      <c r="BO1" s="18" t="inlineStr">
        <is>
          <t>CENG-4320-1</t>
        </is>
      </c>
      <c r="BP1" s="18" t="inlineStr">
        <is>
          <t>CENG-4320-2</t>
        </is>
      </c>
      <c r="BQ1" s="18" t="inlineStr">
        <is>
          <t>CENG-4320-3</t>
        </is>
      </c>
      <c r="BR1" s="19">
        <f>COUNTA(B1:BQ1)</f>
        <v/>
      </c>
      <c r="BS1" s="13" t="n"/>
      <c r="BT1" s="13" t="n"/>
    </row>
    <row r="2" ht="30" customHeight="1">
      <c r="A2" s="20" t="inlineStr">
        <is>
          <t>Assessment
Tool</t>
        </is>
      </c>
      <c r="B2" s="40" t="inlineStr">
        <is>
          <t>Lab</t>
        </is>
      </c>
      <c r="C2" s="22" t="n"/>
      <c r="D2" s="40" t="inlineStr">
        <is>
          <t>Assignment</t>
        </is>
      </c>
      <c r="E2" s="40" t="inlineStr">
        <is>
          <t>Final Exam</t>
        </is>
      </c>
      <c r="F2" s="40" t="inlineStr">
        <is>
          <t>Midterm</t>
        </is>
      </c>
      <c r="G2" s="40" t="inlineStr">
        <is>
          <t>Project</t>
        </is>
      </c>
      <c r="H2" s="40" t="inlineStr">
        <is>
          <t>Lab</t>
        </is>
      </c>
      <c r="I2" s="40" t="inlineStr">
        <is>
          <t>Project</t>
        </is>
      </c>
      <c r="J2" s="40" t="inlineStr">
        <is>
          <t>Midterm</t>
        </is>
      </c>
      <c r="K2" s="40" t="inlineStr">
        <is>
          <t>Midterm</t>
        </is>
      </c>
      <c r="L2" s="40" t="inlineStr">
        <is>
          <t>Final Exam</t>
        </is>
      </c>
      <c r="M2" s="40" t="inlineStr">
        <is>
          <t>Assignment</t>
        </is>
      </c>
      <c r="N2" s="40" t="inlineStr">
        <is>
          <t>Quiz</t>
        </is>
      </c>
      <c r="O2" s="40" t="inlineStr">
        <is>
          <t>Lab</t>
        </is>
      </c>
      <c r="P2" s="40" t="inlineStr">
        <is>
          <t>Lab</t>
        </is>
      </c>
      <c r="Q2" s="40" t="inlineStr">
        <is>
          <t>Lab</t>
        </is>
      </c>
      <c r="R2" s="40" t="inlineStr">
        <is>
          <t>Midterm</t>
        </is>
      </c>
      <c r="S2" s="40" t="inlineStr">
        <is>
          <t>Project</t>
        </is>
      </c>
      <c r="T2" s="40" t="inlineStr">
        <is>
          <t>Lab</t>
        </is>
      </c>
      <c r="U2" s="40" t="inlineStr">
        <is>
          <t>Final Exam</t>
        </is>
      </c>
      <c r="V2" s="40" t="inlineStr">
        <is>
          <t>Assignment</t>
        </is>
      </c>
      <c r="W2" s="40" t="inlineStr">
        <is>
          <t>Midterm</t>
        </is>
      </c>
      <c r="X2" s="40" t="inlineStr">
        <is>
          <t>Final Exam</t>
        </is>
      </c>
      <c r="Y2" s="40" t="inlineStr">
        <is>
          <t xml:space="preserve">Quiz </t>
        </is>
      </c>
      <c r="Z2" s="40" t="inlineStr">
        <is>
          <t xml:space="preserve">Lab </t>
        </is>
      </c>
      <c r="AA2" s="40" t="inlineStr">
        <is>
          <t>Final Exam</t>
        </is>
      </c>
      <c r="AB2" s="40" t="inlineStr">
        <is>
          <t>Quiz</t>
        </is>
      </c>
      <c r="AC2" s="40" t="inlineStr">
        <is>
          <t>Quiz</t>
        </is>
      </c>
      <c r="AD2" s="40" t="inlineStr">
        <is>
          <t>Quiz</t>
        </is>
      </c>
      <c r="AE2" s="40" t="inlineStr">
        <is>
          <t>Midterm</t>
        </is>
      </c>
      <c r="AF2" s="40" t="inlineStr">
        <is>
          <t>Final Exam</t>
        </is>
      </c>
      <c r="AG2" s="40" t="inlineStr">
        <is>
          <t>Other</t>
        </is>
      </c>
      <c r="AH2" s="40" t="inlineStr">
        <is>
          <t>Other</t>
        </is>
      </c>
      <c r="AI2" s="40" t="inlineStr">
        <is>
          <t>Quiz</t>
        </is>
      </c>
      <c r="AJ2" s="40" t="inlineStr">
        <is>
          <t>Assignment</t>
        </is>
      </c>
      <c r="AK2" s="40" t="inlineStr">
        <is>
          <t>Other</t>
        </is>
      </c>
      <c r="AL2" s="40" t="inlineStr">
        <is>
          <t>Assignment</t>
        </is>
      </c>
      <c r="AM2" s="40" t="inlineStr">
        <is>
          <t>Midterm</t>
        </is>
      </c>
      <c r="AN2" s="40" t="inlineStr">
        <is>
          <t>Final Exam</t>
        </is>
      </c>
      <c r="AO2" s="40" t="inlineStr">
        <is>
          <t>Final Exam</t>
        </is>
      </c>
      <c r="AP2" s="40" t="inlineStr">
        <is>
          <t>Midterm</t>
        </is>
      </c>
      <c r="AQ2" s="40" t="inlineStr">
        <is>
          <t>Project</t>
        </is>
      </c>
      <c r="AR2" s="40" t="inlineStr">
        <is>
          <t>Lab</t>
        </is>
      </c>
      <c r="AS2" s="40" t="inlineStr">
        <is>
          <t>Final Exam</t>
        </is>
      </c>
      <c r="AT2" s="40" t="inlineStr">
        <is>
          <t>Midterm</t>
        </is>
      </c>
      <c r="AU2" s="40" t="inlineStr">
        <is>
          <t xml:space="preserve">Assignment </t>
        </is>
      </c>
      <c r="AV2" s="40" t="inlineStr">
        <is>
          <t>Final Exam</t>
        </is>
      </c>
      <c r="AW2" s="40" t="inlineStr">
        <is>
          <t>Final Exam</t>
        </is>
      </c>
      <c r="AX2" s="40" t="inlineStr">
        <is>
          <t>Assignment</t>
        </is>
      </c>
      <c r="AY2" s="40" t="inlineStr">
        <is>
          <t>Midterm</t>
        </is>
      </c>
      <c r="AZ2" s="40" t="inlineStr">
        <is>
          <t>Final Exam</t>
        </is>
      </c>
      <c r="BA2" s="40" t="inlineStr">
        <is>
          <t>Midterm</t>
        </is>
      </c>
      <c r="BB2" s="40" t="inlineStr">
        <is>
          <t>Final Exam</t>
        </is>
      </c>
      <c r="BC2" s="40" t="inlineStr">
        <is>
          <t>Lab</t>
        </is>
      </c>
      <c r="BD2" s="40" t="inlineStr">
        <is>
          <t>Midterm</t>
        </is>
      </c>
      <c r="BE2" s="40" t="inlineStr">
        <is>
          <t>Final Exam</t>
        </is>
      </c>
      <c r="BF2" s="40" t="inlineStr">
        <is>
          <t>Other</t>
        </is>
      </c>
      <c r="BG2" s="40" t="inlineStr">
        <is>
          <t>Midterm</t>
        </is>
      </c>
      <c r="BH2" s="40" t="inlineStr">
        <is>
          <t>Final Exam</t>
        </is>
      </c>
      <c r="BI2" s="40" t="inlineStr">
        <is>
          <t>Assignment</t>
        </is>
      </c>
      <c r="BJ2" s="40" t="inlineStr">
        <is>
          <t>Final Exam</t>
        </is>
      </c>
      <c r="BK2" s="40" t="inlineStr">
        <is>
          <t>Midterm</t>
        </is>
      </c>
      <c r="BL2" s="40" t="inlineStr">
        <is>
          <t>Assignment</t>
        </is>
      </c>
      <c r="BM2" s="40" t="inlineStr">
        <is>
          <t>Final Exam</t>
        </is>
      </c>
      <c r="BN2" s="40" t="inlineStr">
        <is>
          <t>Midterm</t>
        </is>
      </c>
      <c r="BO2" s="40" t="inlineStr">
        <is>
          <t>Assignment</t>
        </is>
      </c>
      <c r="BP2" s="40" t="inlineStr">
        <is>
          <t>Final Exam</t>
        </is>
      </c>
      <c r="BQ2" s="40" t="inlineStr">
        <is>
          <t>Midterm</t>
        </is>
      </c>
      <c r="BR2" s="19">
        <f>COUNTIF(B2:BQ2, "&lt;&gt;")</f>
        <v/>
      </c>
      <c r="BS2" s="13" t="n"/>
      <c r="BT2" s="13" t="n"/>
    </row>
    <row r="3" ht="19.5" customHeight="1">
      <c r="A3" s="23" t="n">
        <v>1</v>
      </c>
      <c r="B3" s="24" t="n">
        <v>0.67</v>
      </c>
      <c r="C3" s="24" t="n">
        <v>0.93</v>
      </c>
      <c r="D3" s="24" t="n">
        <v>1</v>
      </c>
      <c r="E3" s="24" t="n">
        <v>0.9444444444444444</v>
      </c>
      <c r="F3" s="24" t="n">
        <v>1</v>
      </c>
      <c r="G3" s="24" t="n">
        <v>0.9400000000000001</v>
      </c>
      <c r="H3" s="24" t="n">
        <v>1</v>
      </c>
      <c r="I3" s="24" t="n">
        <v>0.9400000000000001</v>
      </c>
      <c r="J3" s="24" t="n">
        <v>0.5416666666666666</v>
      </c>
      <c r="K3" s="24" t="n">
        <v>0.65</v>
      </c>
      <c r="L3" s="24" t="n">
        <v>0.5</v>
      </c>
      <c r="M3" s="24" t="n">
        <v>0.8</v>
      </c>
      <c r="N3" s="24" t="n">
        <v>1</v>
      </c>
      <c r="O3" s="24" t="n">
        <v>1</v>
      </c>
      <c r="P3" s="24" t="n">
        <v>0.752</v>
      </c>
      <c r="Q3" s="24" t="n">
        <v>1</v>
      </c>
      <c r="R3" s="24" t="n">
        <v>1</v>
      </c>
      <c r="S3" s="24" t="n">
        <v>0.75</v>
      </c>
      <c r="T3" s="24" t="n">
        <v>1</v>
      </c>
      <c r="U3" s="24" t="n">
        <v>0.5</v>
      </c>
      <c r="V3" s="24" t="n">
        <v>1</v>
      </c>
      <c r="W3" s="24" t="n">
        <v>0.8</v>
      </c>
      <c r="X3" s="24" t="n">
        <v>1</v>
      </c>
      <c r="Y3" s="24" t="n">
        <v>0.9</v>
      </c>
      <c r="Z3" s="24" t="n">
        <v>1</v>
      </c>
      <c r="AA3" s="24" t="n">
        <v>0.75</v>
      </c>
      <c r="AB3" s="24" t="n">
        <v>0.7</v>
      </c>
      <c r="AC3" s="24" t="n">
        <v>0</v>
      </c>
      <c r="AD3" s="24" t="n">
        <v>0.8333333333333334</v>
      </c>
      <c r="AE3" s="24" t="n">
        <v>1</v>
      </c>
      <c r="AF3" s="24" t="n">
        <v>1</v>
      </c>
      <c r="AG3" s="24" t="n">
        <v>1</v>
      </c>
      <c r="AH3" s="24" t="n">
        <v>0.85</v>
      </c>
      <c r="AI3" s="24" t="n">
        <v>0.6666666666666666</v>
      </c>
      <c r="AJ3" s="24" t="n">
        <v>1</v>
      </c>
      <c r="AK3" s="24" t="n">
        <v>0.8222222222222222</v>
      </c>
      <c r="AL3" s="24" t="n">
        <v>0.96</v>
      </c>
      <c r="AM3" s="24" t="n">
        <v>0.8333333333333334</v>
      </c>
      <c r="AN3" s="24" t="n">
        <v>0.975</v>
      </c>
      <c r="AO3" s="24" t="n">
        <v>1</v>
      </c>
      <c r="AP3" s="24" t="n">
        <v>1</v>
      </c>
      <c r="AQ3" s="24" t="n">
        <v>1</v>
      </c>
      <c r="AR3" s="24" t="n">
        <v>0.5325</v>
      </c>
      <c r="AS3" s="24" t="n">
        <v>0.875</v>
      </c>
      <c r="AT3" s="24" t="n">
        <v>0.8928571428571429</v>
      </c>
      <c r="AU3" s="24" t="n">
        <v>1</v>
      </c>
      <c r="AV3" s="24" t="n">
        <v>1</v>
      </c>
      <c r="AW3" s="24" t="n">
        <v>0.75</v>
      </c>
      <c r="AX3" s="24" t="n">
        <v>0.95</v>
      </c>
      <c r="AY3" s="24" t="n">
        <v>1</v>
      </c>
      <c r="AZ3" s="24" t="n">
        <v>0.8888888888888888</v>
      </c>
      <c r="BA3" s="24" t="n">
        <v>0.75</v>
      </c>
      <c r="BB3" s="24" t="n">
        <v>0.8409090909090909</v>
      </c>
      <c r="BC3" s="24" t="n">
        <v>0.8</v>
      </c>
      <c r="BD3" s="24" t="n">
        <v>0.6</v>
      </c>
      <c r="BE3" s="24" t="n">
        <v>0.7</v>
      </c>
      <c r="BF3" s="24" t="n">
        <v>0.8574999999999999</v>
      </c>
      <c r="BG3" s="24" t="n">
        <v>1</v>
      </c>
      <c r="BH3" s="24" t="n">
        <v>0.75</v>
      </c>
      <c r="BI3" s="24" t="n">
        <v>1</v>
      </c>
      <c r="BJ3" s="24" t="n">
        <v>0.9444444444444444</v>
      </c>
      <c r="BK3" s="24" t="n">
        <v>1</v>
      </c>
      <c r="BL3" s="24" t="n">
        <v>1</v>
      </c>
      <c r="BM3" s="24" t="n">
        <v>0.9444444444444444</v>
      </c>
      <c r="BN3" s="24" t="n">
        <v>1</v>
      </c>
      <c r="BO3" s="24" t="n">
        <v>1</v>
      </c>
      <c r="BP3" s="24" t="n">
        <v>0.9444444444444444</v>
      </c>
      <c r="BQ3" s="24" t="n">
        <v>1</v>
      </c>
      <c r="BR3" s="25" t="n"/>
      <c r="BS3" s="13" t="n"/>
      <c r="BT3" s="13" t="n"/>
    </row>
    <row r="4" ht="19.5" customHeight="1">
      <c r="A4" s="23" t="n">
        <v>2</v>
      </c>
      <c r="B4" s="24" t="n">
        <v>0.71</v>
      </c>
      <c r="C4" s="24" t="n">
        <v>0.85</v>
      </c>
      <c r="D4" s="24" t="n">
        <v>0.95</v>
      </c>
      <c r="E4" s="24" t="n">
        <v>1</v>
      </c>
      <c r="F4" s="24" t="n">
        <v>1</v>
      </c>
      <c r="G4" s="24" t="n">
        <v>0.9400000000000001</v>
      </c>
      <c r="H4" s="24" t="n">
        <v>1</v>
      </c>
      <c r="I4" s="24" t="n">
        <v>0.9400000000000001</v>
      </c>
      <c r="J4" s="24" t="n">
        <v>0.5</v>
      </c>
      <c r="K4" s="24" t="n">
        <v>0.65</v>
      </c>
      <c r="L4" s="24" t="n">
        <v>0.9</v>
      </c>
      <c r="M4" s="24" t="n">
        <v>0.8</v>
      </c>
      <c r="N4" s="24" t="n">
        <v>1</v>
      </c>
      <c r="O4" s="24" t="n">
        <v>1</v>
      </c>
      <c r="P4" s="24" t="n">
        <v>1</v>
      </c>
      <c r="Q4" s="24" t="n">
        <v>1</v>
      </c>
      <c r="R4" s="24" t="n">
        <v>1</v>
      </c>
      <c r="S4" s="24" t="n">
        <v>0.7</v>
      </c>
      <c r="T4" s="24" t="n">
        <v>1</v>
      </c>
      <c r="U4" s="24" t="n">
        <v>0.75</v>
      </c>
      <c r="V4" s="24" t="n">
        <v>1</v>
      </c>
      <c r="W4" s="24" t="n">
        <v>0.6</v>
      </c>
      <c r="X4" s="24" t="n">
        <v>1</v>
      </c>
      <c r="Y4" s="24" t="n">
        <v>0.7</v>
      </c>
      <c r="Z4" s="24" t="n">
        <v>1</v>
      </c>
      <c r="AA4" s="24" t="n">
        <v>0.5</v>
      </c>
      <c r="AB4" s="24" t="n">
        <v>0.9333333333333333</v>
      </c>
      <c r="AC4" s="24" t="n">
        <v>0.8333333333333334</v>
      </c>
      <c r="AD4" s="24" t="n">
        <v>0.9333333333333333</v>
      </c>
      <c r="AE4" s="24" t="n">
        <v>0</v>
      </c>
      <c r="AF4" s="24" t="n">
        <v>1</v>
      </c>
      <c r="AG4" s="24" t="n">
        <v>1</v>
      </c>
      <c r="AH4" s="24" t="n">
        <v>0</v>
      </c>
      <c r="AI4" s="24" t="n">
        <v>1</v>
      </c>
      <c r="AJ4" s="24" t="n">
        <v>1</v>
      </c>
      <c r="AK4" s="24" t="n">
        <v>0.9111111111111111</v>
      </c>
      <c r="AL4" s="24" t="n">
        <v>0.92</v>
      </c>
      <c r="AM4" s="24" t="n">
        <v>0.8833333333333333</v>
      </c>
      <c r="AN4" s="24" t="n">
        <v>0.5</v>
      </c>
      <c r="AO4" s="24" t="n">
        <v>0.6875</v>
      </c>
      <c r="AP4" s="24" t="n">
        <v>0.86</v>
      </c>
      <c r="AQ4" s="24" t="n">
        <v>0.9</v>
      </c>
      <c r="AR4" s="24" t="n">
        <v>0.625</v>
      </c>
      <c r="AS4" s="24" t="n">
        <v>0.75</v>
      </c>
      <c r="AT4" s="24" t="n">
        <v>0.8928571428571429</v>
      </c>
      <c r="AU4" s="24" t="n">
        <v>0.95</v>
      </c>
      <c r="AV4" s="24" t="n">
        <v>0.6666666666666667</v>
      </c>
      <c r="AW4" s="24" t="n">
        <v>0.8333333333333333</v>
      </c>
      <c r="AX4" s="24" t="n">
        <v>0.9</v>
      </c>
      <c r="AY4" s="24" t="n">
        <v>0.6</v>
      </c>
      <c r="AZ4" s="24" t="n">
        <v>0.9444444444444445</v>
      </c>
      <c r="BA4" s="24" t="n">
        <v>0.375</v>
      </c>
      <c r="BB4" s="24" t="n">
        <v>0.3636363636363636</v>
      </c>
      <c r="BC4" s="24" t="n">
        <v>1</v>
      </c>
      <c r="BD4" s="24" t="n">
        <v>0.9</v>
      </c>
      <c r="BE4" s="24" t="n">
        <v>1</v>
      </c>
      <c r="BF4" s="24" t="n">
        <v>0.8425</v>
      </c>
      <c r="BG4" s="24" t="n">
        <v>0.7</v>
      </c>
      <c r="BH4" s="24" t="n">
        <v>0.75</v>
      </c>
      <c r="BI4" s="24" t="n">
        <v>0.95</v>
      </c>
      <c r="BJ4" s="24" t="n">
        <v>1</v>
      </c>
      <c r="BK4" s="24" t="n">
        <v>1</v>
      </c>
      <c r="BL4" s="24" t="n">
        <v>0.95</v>
      </c>
      <c r="BM4" s="24" t="n">
        <v>1</v>
      </c>
      <c r="BN4" s="24" t="n">
        <v>1</v>
      </c>
      <c r="BO4" s="24" t="n">
        <v>0.95</v>
      </c>
      <c r="BP4" s="24" t="n">
        <v>1</v>
      </c>
      <c r="BQ4" s="24" t="n">
        <v>1</v>
      </c>
      <c r="BR4" s="222" t="n"/>
      <c r="BS4" s="13" t="n"/>
      <c r="BT4" s="13" t="n"/>
    </row>
    <row r="5" ht="19.5" customHeight="1">
      <c r="A5" s="23" t="n">
        <v>3</v>
      </c>
      <c r="B5" s="24" t="n">
        <v>0.96</v>
      </c>
      <c r="C5" s="24" t="n">
        <v>0.88</v>
      </c>
      <c r="D5" s="24" t="n">
        <v>1</v>
      </c>
      <c r="E5" s="24" t="n">
        <v>0.888888888888889</v>
      </c>
      <c r="F5" s="24" t="n">
        <v>1</v>
      </c>
      <c r="G5" s="24" t="n">
        <v>0.9400000000000001</v>
      </c>
      <c r="H5" s="24" t="n">
        <v>1</v>
      </c>
      <c r="I5" s="24" t="n">
        <v>0.9400000000000001</v>
      </c>
      <c r="J5" s="24" t="n">
        <v>0.6666666666666666</v>
      </c>
      <c r="K5" s="24" t="n">
        <v>0.825</v>
      </c>
      <c r="L5" s="24" t="n">
        <v>0.9</v>
      </c>
      <c r="M5" s="24" t="n">
        <v>0.6</v>
      </c>
      <c r="N5" s="24" t="n">
        <v>0.9</v>
      </c>
      <c r="O5" s="24" t="n">
        <v>1</v>
      </c>
      <c r="P5" s="24" t="n">
        <v>0.976</v>
      </c>
      <c r="Q5" s="24" t="n">
        <v>1</v>
      </c>
      <c r="R5" s="24" t="n">
        <v>1</v>
      </c>
      <c r="S5" s="24" t="n">
        <v>0.75</v>
      </c>
      <c r="T5" s="24" t="n">
        <v>1</v>
      </c>
      <c r="U5" s="24" t="n">
        <v>1</v>
      </c>
      <c r="V5" s="24" t="n">
        <v>1</v>
      </c>
      <c r="W5" s="24" t="n">
        <v>0.2</v>
      </c>
      <c r="X5" s="24" t="n">
        <v>1</v>
      </c>
      <c r="Y5" s="24" t="n">
        <v>0.9</v>
      </c>
      <c r="Z5" s="24" t="n">
        <v>1</v>
      </c>
      <c r="AA5" s="24" t="n">
        <v>0.25</v>
      </c>
      <c r="AB5" s="24" t="n"/>
      <c r="AC5" s="24" t="n"/>
      <c r="AD5" s="24" t="n"/>
      <c r="AE5" s="24" t="n"/>
      <c r="AF5" s="24" t="n"/>
      <c r="AG5" s="24" t="n"/>
      <c r="AH5" s="24" t="n"/>
      <c r="AI5" s="24" t="n"/>
      <c r="AJ5" s="24" t="n"/>
      <c r="AK5" s="24" t="n"/>
      <c r="AL5" s="24" t="n"/>
      <c r="AM5" s="24" t="n">
        <v>1</v>
      </c>
      <c r="AN5" s="24" t="n">
        <v>0.8125</v>
      </c>
      <c r="AO5" s="24" t="n">
        <v>1</v>
      </c>
      <c r="AP5" s="24" t="n">
        <v>1</v>
      </c>
      <c r="AQ5" s="24" t="n">
        <v>1</v>
      </c>
      <c r="AR5" s="24" t="n">
        <v>0.625</v>
      </c>
      <c r="AS5" s="24" t="n">
        <v>1</v>
      </c>
      <c r="AT5" s="24" t="n">
        <v>0.8928571428571429</v>
      </c>
      <c r="AU5" s="24" t="n">
        <v>1</v>
      </c>
      <c r="AV5" s="24" t="n">
        <v>1</v>
      </c>
      <c r="AW5" s="24" t="n">
        <v>0.8333333333333333</v>
      </c>
      <c r="AX5" s="24" t="n">
        <v>0.95</v>
      </c>
      <c r="AY5" s="24" t="n">
        <v>1</v>
      </c>
      <c r="AZ5" s="24" t="n">
        <v>1</v>
      </c>
      <c r="BA5" s="24" t="n">
        <v>0.75</v>
      </c>
      <c r="BB5" s="24" t="n">
        <v>0.8636363636363636</v>
      </c>
      <c r="BC5" s="24" t="n">
        <v>1</v>
      </c>
      <c r="BD5" s="24" t="n">
        <v>0.8</v>
      </c>
      <c r="BE5" s="24" t="n">
        <v>1</v>
      </c>
      <c r="BF5" s="24" t="n">
        <v>0.8887499999999999</v>
      </c>
      <c r="BG5" s="24" t="n">
        <v>0.8</v>
      </c>
      <c r="BH5" s="24" t="n">
        <v>0.5</v>
      </c>
      <c r="BI5" s="24" t="n">
        <v>1</v>
      </c>
      <c r="BJ5" s="24" t="n">
        <v>0.888888888888889</v>
      </c>
      <c r="BK5" s="24" t="n">
        <v>1</v>
      </c>
      <c r="BL5" s="24" t="n">
        <v>1</v>
      </c>
      <c r="BM5" s="24" t="n">
        <v>0.888888888888889</v>
      </c>
      <c r="BN5" s="24" t="n">
        <v>1</v>
      </c>
      <c r="BO5" s="24" t="n">
        <v>1</v>
      </c>
      <c r="BP5" s="24" t="n">
        <v>0.888888888888889</v>
      </c>
      <c r="BQ5" s="24" t="n">
        <v>1</v>
      </c>
      <c r="BR5" s="222" t="n"/>
      <c r="BS5" s="13" t="n"/>
      <c r="BT5" s="13" t="n"/>
    </row>
    <row r="6" ht="19.5" customHeight="1">
      <c r="A6" s="23" t="n">
        <v>4</v>
      </c>
      <c r="B6" s="24" t="n">
        <v>0.98</v>
      </c>
      <c r="C6" s="24" t="n">
        <v>1</v>
      </c>
      <c r="D6" s="24" t="n">
        <v>1</v>
      </c>
      <c r="E6" s="24" t="n">
        <v>0.7222222222222222</v>
      </c>
      <c r="F6" s="24" t="n">
        <v>1</v>
      </c>
      <c r="G6" s="24" t="n">
        <v>0.9400000000000001</v>
      </c>
      <c r="H6" s="24" t="n">
        <v>0.7999999999999999</v>
      </c>
      <c r="I6" s="24" t="n">
        <v>0.9400000000000001</v>
      </c>
      <c r="J6" s="24" t="n">
        <v>0.625</v>
      </c>
      <c r="K6" s="24" t="n">
        <v>0.9</v>
      </c>
      <c r="L6" s="24" t="n">
        <v>0.9</v>
      </c>
      <c r="M6" s="24" t="n">
        <v>0.8</v>
      </c>
      <c r="N6" s="24" t="n">
        <v>1</v>
      </c>
      <c r="O6" s="24" t="n">
        <v>1</v>
      </c>
      <c r="P6" s="24" t="n">
        <v>0.976</v>
      </c>
      <c r="Q6" s="24" t="n">
        <v>1</v>
      </c>
      <c r="R6" s="24" t="n">
        <v>1</v>
      </c>
      <c r="S6" s="24" t="n">
        <v>0.85</v>
      </c>
      <c r="T6" s="24" t="n">
        <v>1</v>
      </c>
      <c r="U6" s="24" t="n">
        <v>0.75</v>
      </c>
      <c r="V6" s="24" t="n">
        <v>1</v>
      </c>
      <c r="W6" s="24" t="n">
        <v>0.6</v>
      </c>
      <c r="X6" s="24" t="n">
        <v>0.8</v>
      </c>
      <c r="Y6" s="24" t="n">
        <v>0.6</v>
      </c>
      <c r="Z6" s="24" t="n">
        <v>1</v>
      </c>
      <c r="AA6" s="24" t="n">
        <v>0.5</v>
      </c>
      <c r="AB6" s="24" t="n"/>
      <c r="AC6" s="24" t="n"/>
      <c r="AD6" s="24" t="n"/>
      <c r="AE6" s="24" t="n"/>
      <c r="AF6" s="24" t="n"/>
      <c r="AG6" s="24" t="n"/>
      <c r="AH6" s="24" t="n"/>
      <c r="AI6" s="24" t="n"/>
      <c r="AJ6" s="24" t="n"/>
      <c r="AK6" s="24" t="n"/>
      <c r="AL6" s="24" t="n"/>
      <c r="AM6" s="24" t="n">
        <v>1</v>
      </c>
      <c r="AN6" s="24" t="n">
        <v>0.75</v>
      </c>
      <c r="AO6" s="24" t="n">
        <v>0.65</v>
      </c>
      <c r="AP6" s="24" t="n">
        <v>0.8400000000000001</v>
      </c>
      <c r="AQ6" s="24" t="n">
        <v>1</v>
      </c>
      <c r="AR6" s="24" t="n">
        <v>0.595</v>
      </c>
      <c r="AS6" s="24" t="n">
        <v>0.5</v>
      </c>
      <c r="AT6" s="24" t="n">
        <v>0.8928571428571429</v>
      </c>
      <c r="AU6" s="24" t="n">
        <v>0.9</v>
      </c>
      <c r="AV6" s="24" t="n">
        <v>1</v>
      </c>
      <c r="AW6" s="24" t="n">
        <v>0.8333333333333333</v>
      </c>
      <c r="AX6" s="24" t="n">
        <v>0.95</v>
      </c>
      <c r="AY6" s="24" t="n">
        <v>1</v>
      </c>
      <c r="AZ6" s="24" t="n">
        <v>0.8333333333333334</v>
      </c>
      <c r="BA6" s="24" t="n">
        <v>0.625</v>
      </c>
      <c r="BB6" s="24" t="n">
        <v>0.5909090909090909</v>
      </c>
      <c r="BC6" s="24" t="n">
        <v>1</v>
      </c>
      <c r="BD6" s="24" t="n">
        <v>0.8</v>
      </c>
      <c r="BE6" s="24" t="n">
        <v>0</v>
      </c>
      <c r="BF6" s="24" t="n">
        <v>0.74</v>
      </c>
      <c r="BG6" s="24" t="n">
        <v>0.7</v>
      </c>
      <c r="BH6" s="24" t="n">
        <v>1</v>
      </c>
      <c r="BI6" s="24" t="n">
        <v>1</v>
      </c>
      <c r="BJ6" s="24" t="n">
        <v>0.7222222222222222</v>
      </c>
      <c r="BK6" s="24" t="n">
        <v>1</v>
      </c>
      <c r="BL6" s="24" t="n">
        <v>1</v>
      </c>
      <c r="BM6" s="24" t="n">
        <v>0.7222222222222222</v>
      </c>
      <c r="BN6" s="24" t="n">
        <v>1</v>
      </c>
      <c r="BO6" s="24" t="n">
        <v>1</v>
      </c>
      <c r="BP6" s="24" t="n">
        <v>0.7222222222222222</v>
      </c>
      <c r="BQ6" s="24" t="n">
        <v>1</v>
      </c>
      <c r="BR6" s="222" t="n"/>
      <c r="BS6" s="13" t="n"/>
      <c r="BT6" s="27" t="inlineStr">
        <is>
          <t>A</t>
        </is>
      </c>
    </row>
    <row r="7" ht="19.5" customHeight="1">
      <c r="A7" s="23" t="n">
        <v>5</v>
      </c>
      <c r="B7" s="24" t="n">
        <v>0.99</v>
      </c>
      <c r="C7" s="24" t="n">
        <v>1</v>
      </c>
      <c r="D7" s="24" t="n">
        <v>1</v>
      </c>
      <c r="E7" s="24" t="n">
        <v>0.8333333333333333</v>
      </c>
      <c r="F7" s="24" t="n">
        <v>1</v>
      </c>
      <c r="G7" s="24" t="n">
        <v>0.9400000000000001</v>
      </c>
      <c r="H7" s="24" t="n">
        <v>1</v>
      </c>
      <c r="I7" s="24" t="n">
        <v>0.9400000000000001</v>
      </c>
      <c r="J7" s="24" t="n">
        <v>0.9166666666666666</v>
      </c>
      <c r="K7" s="24" t="n">
        <v>0.7</v>
      </c>
      <c r="L7" s="24" t="n">
        <v>1</v>
      </c>
      <c r="M7" s="24" t="n">
        <v>0.8</v>
      </c>
      <c r="N7" s="24" t="n">
        <v>0</v>
      </c>
      <c r="O7" s="24" t="n">
        <v>1</v>
      </c>
      <c r="P7" s="24" t="n">
        <v>0.952</v>
      </c>
      <c r="Q7" s="24" t="n">
        <v>0.8</v>
      </c>
      <c r="R7" s="24" t="n">
        <v>1</v>
      </c>
      <c r="S7" s="24" t="n">
        <v>0.7</v>
      </c>
      <c r="T7" s="24" t="n">
        <v>0.7</v>
      </c>
      <c r="U7" s="24" t="n">
        <v>0.5</v>
      </c>
      <c r="V7" s="24" t="n">
        <v>0.8</v>
      </c>
      <c r="W7" s="24" t="n">
        <v>0.6</v>
      </c>
      <c r="X7" s="24" t="n">
        <v>1</v>
      </c>
      <c r="Y7" s="24" t="n">
        <v>0.8</v>
      </c>
      <c r="Z7" s="24" t="n">
        <v>1</v>
      </c>
      <c r="AA7" s="24" t="n">
        <v>0</v>
      </c>
      <c r="AB7" s="24" t="n"/>
      <c r="AC7" s="24" t="n"/>
      <c r="AD7" s="24" t="n"/>
      <c r="AE7" s="24" t="n"/>
      <c r="AF7" s="24" t="n"/>
      <c r="AG7" s="24" t="n"/>
      <c r="AH7" s="24" t="n"/>
      <c r="AI7" s="24" t="n"/>
      <c r="AJ7" s="24" t="n"/>
      <c r="AK7" s="24" t="n"/>
      <c r="AL7" s="24" t="n"/>
      <c r="AM7" s="24" t="n">
        <v>1</v>
      </c>
      <c r="AN7" s="24" t="n">
        <v>0.6375</v>
      </c>
      <c r="AO7" s="24" t="n">
        <v>1</v>
      </c>
      <c r="AP7" s="24" t="n">
        <v>0.65</v>
      </c>
      <c r="AQ7" s="24" t="n">
        <v>0.9</v>
      </c>
      <c r="AR7" s="24" t="n">
        <v>0.595</v>
      </c>
      <c r="AS7" s="24" t="n">
        <v>0.5625</v>
      </c>
      <c r="AT7" s="24" t="n">
        <v>0.7857142857142857</v>
      </c>
      <c r="AU7" s="24" t="n">
        <v>1</v>
      </c>
      <c r="AV7" s="24" t="n">
        <v>0.7222222222222222</v>
      </c>
      <c r="AW7" s="24" t="n">
        <v>1</v>
      </c>
      <c r="AX7" s="24" t="n">
        <v>0.95</v>
      </c>
      <c r="AY7" s="24" t="n">
        <v>0.6</v>
      </c>
      <c r="AZ7" s="24" t="n">
        <v>0.8333333333333334</v>
      </c>
      <c r="BA7" s="24" t="n">
        <v>0.8125</v>
      </c>
      <c r="BB7" s="24" t="n">
        <v>0.3636363636363636</v>
      </c>
      <c r="BC7" s="24" t="n">
        <v>1</v>
      </c>
      <c r="BD7" s="24" t="n">
        <v>1</v>
      </c>
      <c r="BE7" s="24" t="n">
        <v>0.2</v>
      </c>
      <c r="BF7" s="24" t="n">
        <v>0.8949999999999999</v>
      </c>
      <c r="BG7" s="24" t="n">
        <v>1</v>
      </c>
      <c r="BH7" s="24" t="n">
        <v>0.75</v>
      </c>
      <c r="BI7" s="24" t="n">
        <v>1</v>
      </c>
      <c r="BJ7" s="24" t="n">
        <v>0.8333333333333333</v>
      </c>
      <c r="BK7" s="24" t="n">
        <v>1</v>
      </c>
      <c r="BL7" s="24" t="n">
        <v>1</v>
      </c>
      <c r="BM7" s="24" t="n">
        <v>0.8333333333333333</v>
      </c>
      <c r="BN7" s="24" t="n">
        <v>1</v>
      </c>
      <c r="BO7" s="24" t="n">
        <v>1</v>
      </c>
      <c r="BP7" s="24" t="n">
        <v>0.8333333333333333</v>
      </c>
      <c r="BQ7" s="24" t="n">
        <v>1</v>
      </c>
      <c r="BR7" s="222" t="n"/>
      <c r="BS7" s="13" t="n"/>
      <c r="BT7" s="27" t="inlineStr">
        <is>
          <t>Q</t>
        </is>
      </c>
    </row>
    <row r="8" ht="19.5" customHeight="1">
      <c r="A8" s="23" t="n">
        <v>6</v>
      </c>
      <c r="B8" s="24" t="n"/>
      <c r="C8" s="24" t="n"/>
      <c r="D8" s="24" t="n"/>
      <c r="E8" s="24" t="n"/>
      <c r="F8" s="24" t="n"/>
      <c r="G8" s="24" t="n"/>
      <c r="H8" s="24" t="n"/>
      <c r="I8" s="24" t="n"/>
      <c r="J8" s="24" t="n">
        <v>0.5416666666666666</v>
      </c>
      <c r="K8" s="24" t="n">
        <v>0.975</v>
      </c>
      <c r="L8" s="24" t="n">
        <v>1</v>
      </c>
      <c r="M8" s="24" t="n">
        <v>0.4</v>
      </c>
      <c r="N8" s="24" t="n">
        <v>0.9</v>
      </c>
      <c r="O8" s="24" t="n">
        <v>1</v>
      </c>
      <c r="P8" s="24" t="n">
        <v>1</v>
      </c>
      <c r="Q8" s="24" t="n">
        <v>0.9279999999999999</v>
      </c>
      <c r="R8" s="24" t="n">
        <v>1</v>
      </c>
      <c r="S8" s="24" t="n">
        <v>0.85</v>
      </c>
      <c r="T8" s="24" t="n">
        <v>0.8</v>
      </c>
      <c r="U8" s="24" t="n">
        <v>0.75</v>
      </c>
      <c r="V8" s="24" t="n">
        <v>1</v>
      </c>
      <c r="W8" s="24" t="n">
        <v>0.8</v>
      </c>
      <c r="X8" s="24" t="n">
        <v>0.2</v>
      </c>
      <c r="Y8" s="24" t="n">
        <v>0.7</v>
      </c>
      <c r="Z8" s="24" t="n">
        <v>1</v>
      </c>
      <c r="AA8" s="24" t="n">
        <v>0.5</v>
      </c>
      <c r="AB8" s="24" t="n"/>
      <c r="AC8" s="24" t="n"/>
      <c r="AD8" s="24" t="n"/>
      <c r="AE8" s="24" t="n"/>
      <c r="AF8" s="24" t="n"/>
      <c r="AG8" s="24" t="n"/>
      <c r="AH8" s="24" t="n"/>
      <c r="AI8" s="24" t="n"/>
      <c r="AJ8" s="24" t="n"/>
      <c r="AK8" s="24" t="n"/>
      <c r="AL8" s="24" t="n"/>
      <c r="AM8" s="24" t="n">
        <v>0.5</v>
      </c>
      <c r="AN8" s="24" t="n">
        <v>0.5</v>
      </c>
      <c r="AO8" s="24" t="n">
        <v>0.5</v>
      </c>
      <c r="AP8" s="24" t="n">
        <v>0.75</v>
      </c>
      <c r="AQ8" s="24" t="n">
        <v>0.9</v>
      </c>
      <c r="AR8" s="24" t="n">
        <v>0.595</v>
      </c>
      <c r="AS8" s="24" t="n">
        <v>0.4375</v>
      </c>
      <c r="AT8" s="24" t="n">
        <v>0.8928571428571429</v>
      </c>
      <c r="AU8" s="24" t="n">
        <v>0.8</v>
      </c>
      <c r="AV8" s="24" t="n">
        <v>0.4444444444444444</v>
      </c>
      <c r="AW8" s="24" t="n">
        <v>0.8333333333333333</v>
      </c>
      <c r="AX8" s="24" t="n">
        <v>0.85</v>
      </c>
      <c r="AY8" s="24" t="n">
        <v>0.88</v>
      </c>
      <c r="AZ8" s="24" t="n">
        <v>0.5555555555555556</v>
      </c>
      <c r="BA8" s="24" t="n"/>
      <c r="BB8" s="24" t="n"/>
      <c r="BC8" s="24" t="n"/>
      <c r="BD8" s="24" t="n"/>
      <c r="BE8" s="24" t="n"/>
      <c r="BF8" s="24" t="n"/>
      <c r="BG8" s="24" t="n">
        <v>1</v>
      </c>
      <c r="BH8" s="24" t="n">
        <v>1</v>
      </c>
      <c r="BI8" s="24" t="n"/>
      <c r="BJ8" s="24" t="n"/>
      <c r="BK8" s="24" t="n"/>
      <c r="BL8" s="24" t="n"/>
      <c r="BM8" s="24" t="n"/>
      <c r="BN8" s="24" t="n"/>
      <c r="BO8" s="24" t="n"/>
      <c r="BP8" s="24" t="n"/>
      <c r="BQ8" s="24" t="n"/>
      <c r="BR8" s="222" t="n"/>
      <c r="BS8" s="13" t="n"/>
      <c r="BT8" s="27" t="inlineStr">
        <is>
          <t>M</t>
        </is>
      </c>
    </row>
    <row r="9" ht="19.5" customHeight="1">
      <c r="A9" s="23" t="n">
        <v>7</v>
      </c>
      <c r="B9" s="24" t="n"/>
      <c r="C9" s="24" t="n"/>
      <c r="D9" s="24" t="n"/>
      <c r="E9" s="24" t="n"/>
      <c r="F9" s="24" t="n"/>
      <c r="G9" s="24" t="n"/>
      <c r="H9" s="24" t="n"/>
      <c r="I9" s="24" t="n"/>
      <c r="J9" s="24" t="n">
        <v>0.5416666666666666</v>
      </c>
      <c r="K9" s="24" t="n">
        <v>0.65</v>
      </c>
      <c r="L9" s="24" t="n">
        <v>0.7</v>
      </c>
      <c r="M9" s="24" t="n">
        <v>0.6</v>
      </c>
      <c r="N9" s="24" t="n">
        <v>1</v>
      </c>
      <c r="O9" s="24" t="n">
        <v>1</v>
      </c>
      <c r="P9" s="24" t="n">
        <v>0.6719999999999999</v>
      </c>
      <c r="Q9" s="24" t="n">
        <v>0.8720000000000001</v>
      </c>
      <c r="R9" s="24" t="n">
        <v>0.85</v>
      </c>
      <c r="S9" s="24" t="n">
        <v>0.4</v>
      </c>
      <c r="T9" s="24" t="n">
        <v>1</v>
      </c>
      <c r="U9" s="24" t="n">
        <v>0.75</v>
      </c>
      <c r="V9" s="24" t="n">
        <v>1</v>
      </c>
      <c r="W9" s="24" t="n">
        <v>0</v>
      </c>
      <c r="X9" s="24" t="n">
        <v>0</v>
      </c>
      <c r="Y9" s="24" t="n">
        <v>0.7</v>
      </c>
      <c r="Z9" s="24" t="n">
        <v>1</v>
      </c>
      <c r="AA9" s="24" t="n">
        <v>0.5</v>
      </c>
      <c r="AB9" s="24" t="n"/>
      <c r="AC9" s="24" t="n"/>
      <c r="AD9" s="24" t="n"/>
      <c r="AE9" s="24" t="n"/>
      <c r="AF9" s="24" t="n"/>
      <c r="AG9" s="24" t="n"/>
      <c r="AH9" s="24" t="n"/>
      <c r="AI9" s="24" t="n"/>
      <c r="AJ9" s="24" t="n"/>
      <c r="AK9" s="24" t="n"/>
      <c r="AL9" s="24" t="n"/>
      <c r="AM9" s="24" t="n"/>
      <c r="AN9" s="24" t="n"/>
      <c r="AO9" s="24" t="n"/>
      <c r="AP9" s="24" t="n"/>
      <c r="AQ9" s="24" t="n"/>
      <c r="AR9" s="24" t="n"/>
      <c r="AS9" s="24" t="n"/>
      <c r="AT9" s="24" t="n"/>
      <c r="AU9" s="24" t="n"/>
      <c r="AV9" s="24" t="n"/>
      <c r="AW9" s="24" t="n"/>
      <c r="AX9" s="24" t="n"/>
      <c r="AY9" s="24" t="n"/>
      <c r="AZ9" s="24" t="n"/>
      <c r="BA9" s="24" t="n"/>
      <c r="BB9" s="24" t="n"/>
      <c r="BC9" s="24" t="n"/>
      <c r="BD9" s="24" t="n"/>
      <c r="BE9" s="24" t="n"/>
      <c r="BF9" s="24" t="n"/>
      <c r="BG9" s="24" t="n"/>
      <c r="BH9" s="24" t="n"/>
      <c r="BI9" s="24" t="n"/>
      <c r="BJ9" s="24" t="n"/>
      <c r="BK9" s="24" t="n"/>
      <c r="BL9" s="24" t="n"/>
      <c r="BM9" s="24" t="n"/>
      <c r="BN9" s="24" t="n"/>
      <c r="BO9" s="24" t="n"/>
      <c r="BP9" s="24" t="n"/>
      <c r="BQ9" s="24" t="n"/>
      <c r="BR9" s="222" t="n"/>
      <c r="BS9" s="13" t="n"/>
      <c r="BT9" s="27" t="inlineStr">
        <is>
          <t>F</t>
        </is>
      </c>
    </row>
    <row r="10" ht="19.5" customHeight="1">
      <c r="A10" s="23" t="n">
        <v>8</v>
      </c>
      <c r="B10" s="24" t="n"/>
      <c r="C10" s="24" t="n"/>
      <c r="D10" s="24" t="n"/>
      <c r="E10" s="24" t="n"/>
      <c r="F10" s="24" t="n"/>
      <c r="G10" s="24" t="n"/>
      <c r="H10" s="24" t="n"/>
      <c r="I10" s="24" t="n"/>
      <c r="J10" s="24" t="n">
        <v>0.5</v>
      </c>
      <c r="K10" s="24" t="n">
        <v>0.975</v>
      </c>
      <c r="L10" s="24" t="n">
        <v>1</v>
      </c>
      <c r="M10" s="24" t="n">
        <v>0.8</v>
      </c>
      <c r="N10" s="24" t="n">
        <v>1</v>
      </c>
      <c r="O10" s="24" t="n">
        <v>1</v>
      </c>
      <c r="P10" s="24" t="n">
        <v>0.952</v>
      </c>
      <c r="Q10" s="24" t="n">
        <v>0.504</v>
      </c>
      <c r="R10" s="24" t="n">
        <v>0.7</v>
      </c>
      <c r="S10" s="24" t="n">
        <v>0.9</v>
      </c>
      <c r="T10" s="24" t="n">
        <v>1</v>
      </c>
      <c r="U10" s="24" t="n">
        <v>0.75</v>
      </c>
      <c r="V10" s="24" t="n">
        <v>1</v>
      </c>
      <c r="W10" s="24" t="n">
        <v>0.6</v>
      </c>
      <c r="X10" s="24" t="n">
        <v>1</v>
      </c>
      <c r="Y10" s="24" t="n">
        <v>1</v>
      </c>
      <c r="Z10" s="24" t="n">
        <v>0.7</v>
      </c>
      <c r="AA10" s="24" t="n">
        <v>0.5</v>
      </c>
      <c r="AB10" s="24" t="n"/>
      <c r="AC10" s="24" t="n"/>
      <c r="AD10" s="24" t="n"/>
      <c r="AE10" s="24" t="n"/>
      <c r="AF10" s="24" t="n"/>
      <c r="AG10" s="24" t="n"/>
      <c r="AH10" s="24" t="n"/>
      <c r="AI10" s="24" t="n"/>
      <c r="AJ10" s="24" t="n"/>
      <c r="AK10" s="24" t="n"/>
      <c r="AL10" s="24" t="n"/>
      <c r="AM10" s="24" t="n"/>
      <c r="AN10" s="24" t="n"/>
      <c r="AO10" s="24" t="n"/>
      <c r="AP10" s="24" t="n"/>
      <c r="AQ10" s="24" t="n"/>
      <c r="AR10" s="24" t="n"/>
      <c r="AS10" s="24" t="n"/>
      <c r="AT10" s="24" t="n"/>
      <c r="AU10" s="24" t="n"/>
      <c r="AV10" s="24" t="n"/>
      <c r="AW10" s="24" t="n"/>
      <c r="AX10" s="24" t="n"/>
      <c r="AY10" s="24" t="n"/>
      <c r="AZ10" s="24" t="n"/>
      <c r="BA10" s="24" t="n"/>
      <c r="BB10" s="24" t="n"/>
      <c r="BC10" s="24" t="n"/>
      <c r="BD10" s="24" t="n"/>
      <c r="BE10" s="24" t="n"/>
      <c r="BF10" s="24" t="n"/>
      <c r="BG10" s="24" t="n"/>
      <c r="BH10" s="24" t="n"/>
      <c r="BI10" s="24" t="n"/>
      <c r="BJ10" s="24" t="n"/>
      <c r="BK10" s="24" t="n"/>
      <c r="BL10" s="24" t="n"/>
      <c r="BM10" s="24" t="n"/>
      <c r="BN10" s="24" t="n"/>
      <c r="BO10" s="24" t="n"/>
      <c r="BP10" s="24" t="n"/>
      <c r="BQ10" s="24" t="n"/>
      <c r="BR10" s="222" t="n"/>
      <c r="BS10" s="13" t="n"/>
      <c r="BT10" s="27" t="inlineStr">
        <is>
          <t>P</t>
        </is>
      </c>
    </row>
    <row r="11" ht="19.5" customHeight="1">
      <c r="A11" s="23" t="n">
        <v>9</v>
      </c>
      <c r="B11" s="24" t="n"/>
      <c r="C11" s="24" t="n"/>
      <c r="D11" s="24" t="n"/>
      <c r="E11" s="24" t="n"/>
      <c r="F11" s="24" t="n"/>
      <c r="G11" s="24" t="n"/>
      <c r="H11" s="24" t="n"/>
      <c r="I11" s="24" t="n"/>
      <c r="J11" s="24" t="n">
        <v>0.4583333333333333</v>
      </c>
      <c r="K11" s="24" t="n">
        <v>1</v>
      </c>
      <c r="L11" s="24" t="n">
        <v>0.95</v>
      </c>
      <c r="M11" s="24" t="n">
        <v>0.8</v>
      </c>
      <c r="N11" s="24" t="n">
        <v>1</v>
      </c>
      <c r="O11" s="24" t="n">
        <v>1</v>
      </c>
      <c r="P11" s="24" t="n">
        <v>0.9039999999999999</v>
      </c>
      <c r="Q11" s="24" t="n">
        <v>0.9279999999999999</v>
      </c>
      <c r="R11" s="24" t="n">
        <v>1</v>
      </c>
      <c r="S11" s="24" t="n">
        <v>0.9</v>
      </c>
      <c r="T11" s="24" t="n">
        <v>1</v>
      </c>
      <c r="U11" s="24" t="n">
        <v>0</v>
      </c>
      <c r="V11" s="24" t="n">
        <v>1</v>
      </c>
      <c r="W11" s="24" t="n">
        <v>0.4</v>
      </c>
      <c r="X11" s="24" t="n">
        <v>1</v>
      </c>
      <c r="Y11" s="24" t="n">
        <v>0.6</v>
      </c>
      <c r="Z11" s="24" t="n">
        <v>0</v>
      </c>
      <c r="AA11" s="24" t="n">
        <v>0.25</v>
      </c>
      <c r="AB11" s="24" t="n"/>
      <c r="AC11" s="24" t="n"/>
      <c r="AD11" s="24" t="n"/>
      <c r="AE11" s="24" t="n"/>
      <c r="AF11" s="24" t="n"/>
      <c r="AG11" s="24" t="n"/>
      <c r="AH11" s="24" t="n"/>
      <c r="AI11" s="24" t="n"/>
      <c r="AJ11" s="24" t="n"/>
      <c r="AK11" s="24" t="n"/>
      <c r="AL11" s="24" t="n"/>
      <c r="AM11" s="24" t="n"/>
      <c r="AN11" s="24" t="n"/>
      <c r="AO11" s="24" t="n"/>
      <c r="AP11" s="24" t="n"/>
      <c r="AQ11" s="24" t="n"/>
      <c r="AR11" s="24" t="n"/>
      <c r="AS11" s="24" t="n"/>
      <c r="AT11" s="24" t="n"/>
      <c r="AU11" s="24" t="n"/>
      <c r="AV11" s="24" t="n"/>
      <c r="AW11" s="24" t="n"/>
      <c r="AX11" s="24" t="n"/>
      <c r="AY11" s="24" t="n"/>
      <c r="AZ11" s="24" t="n"/>
      <c r="BA11" s="24" t="n"/>
      <c r="BB11" s="24" t="n"/>
      <c r="BC11" s="24" t="n"/>
      <c r="BD11" s="24" t="n"/>
      <c r="BE11" s="24" t="n"/>
      <c r="BF11" s="24" t="n"/>
      <c r="BG11" s="24" t="n"/>
      <c r="BH11" s="24" t="n"/>
      <c r="BI11" s="24" t="n"/>
      <c r="BJ11" s="24" t="n"/>
      <c r="BK11" s="24" t="n"/>
      <c r="BL11" s="24" t="n"/>
      <c r="BM11" s="24" t="n"/>
      <c r="BN11" s="24" t="n"/>
      <c r="BO11" s="24" t="n"/>
      <c r="BP11" s="24" t="n"/>
      <c r="BQ11" s="24" t="n"/>
      <c r="BR11" s="222" t="n"/>
      <c r="BS11" s="13" t="n"/>
      <c r="BT11" s="27" t="inlineStr">
        <is>
          <t>L</t>
        </is>
      </c>
    </row>
    <row r="12" ht="19.5" customHeight="1">
      <c r="A12" s="23" t="n">
        <v>10</v>
      </c>
      <c r="B12" s="24" t="n"/>
      <c r="C12" s="24" t="n"/>
      <c r="D12" s="24" t="n"/>
      <c r="E12" s="24" t="n"/>
      <c r="F12" s="24" t="n"/>
      <c r="G12" s="24" t="n"/>
      <c r="H12" s="24" t="n"/>
      <c r="I12" s="24" t="n"/>
      <c r="J12" s="24" t="n">
        <v>0.75</v>
      </c>
      <c r="K12" s="24" t="n">
        <v>0.95</v>
      </c>
      <c r="L12" s="24" t="n">
        <v>1</v>
      </c>
      <c r="M12" s="24" t="n">
        <v>0.8</v>
      </c>
      <c r="N12" s="24" t="n">
        <v>1</v>
      </c>
      <c r="O12" s="24" t="n">
        <v>1</v>
      </c>
      <c r="P12" s="24" t="n">
        <v>0.976</v>
      </c>
      <c r="Q12" s="24" t="n">
        <v>1</v>
      </c>
      <c r="R12" s="24" t="n">
        <v>1</v>
      </c>
      <c r="S12" s="24" t="n">
        <v>0.9</v>
      </c>
      <c r="T12" s="24" t="n">
        <v>1</v>
      </c>
      <c r="U12" s="24" t="n">
        <v>0.75</v>
      </c>
      <c r="V12" s="24" t="n">
        <v>1</v>
      </c>
      <c r="W12" s="24" t="n">
        <v>1</v>
      </c>
      <c r="X12" s="24" t="n">
        <v>0.4</v>
      </c>
      <c r="Y12" s="24" t="n">
        <v>0.7</v>
      </c>
      <c r="Z12" s="24" t="n">
        <v>1</v>
      </c>
      <c r="AA12" s="24" t="n">
        <v>0.75</v>
      </c>
      <c r="AB12" s="24" t="n"/>
      <c r="AC12" s="24" t="n"/>
      <c r="AD12" s="24" t="n"/>
      <c r="AE12" s="24" t="n"/>
      <c r="AF12" s="24" t="n"/>
      <c r="AG12" s="24" t="n"/>
      <c r="AH12" s="24" t="n"/>
      <c r="AI12" s="24" t="n"/>
      <c r="AJ12" s="24" t="n"/>
      <c r="AK12" s="24" t="n"/>
      <c r="AL12" s="24" t="n"/>
      <c r="AM12" s="24" t="n"/>
      <c r="AN12" s="24" t="n"/>
      <c r="AO12" s="24" t="n"/>
      <c r="AP12" s="24" t="n"/>
      <c r="AQ12" s="24" t="n"/>
      <c r="AR12" s="24" t="n"/>
      <c r="AS12" s="24" t="n"/>
      <c r="AT12" s="24" t="n"/>
      <c r="AU12" s="24" t="n"/>
      <c r="AV12" s="24" t="n"/>
      <c r="AW12" s="24" t="n"/>
      <c r="AX12" s="24" t="n"/>
      <c r="AY12" s="24" t="n"/>
      <c r="AZ12" s="24" t="n"/>
      <c r="BA12" s="24" t="n"/>
      <c r="BB12" s="24" t="n"/>
      <c r="BC12" s="24" t="n"/>
      <c r="BD12" s="24" t="n"/>
      <c r="BE12" s="24" t="n"/>
      <c r="BF12" s="24" t="n"/>
      <c r="BG12" s="24" t="n"/>
      <c r="BH12" s="24" t="n"/>
      <c r="BI12" s="24" t="n"/>
      <c r="BJ12" s="24" t="n"/>
      <c r="BK12" s="24" t="n"/>
      <c r="BL12" s="24" t="n"/>
      <c r="BM12" s="24" t="n"/>
      <c r="BN12" s="24" t="n"/>
      <c r="BO12" s="24" t="n"/>
      <c r="BP12" s="24" t="n"/>
      <c r="BQ12" s="24" t="n"/>
      <c r="BR12" s="222" t="n"/>
      <c r="BS12" s="13" t="n"/>
      <c r="BT12" s="27" t="inlineStr">
        <is>
          <t>OT</t>
        </is>
      </c>
    </row>
    <row r="13" ht="19.5" customHeight="1">
      <c r="A13" s="23" t="n">
        <v>11</v>
      </c>
      <c r="B13" s="24" t="n"/>
      <c r="C13" s="24" t="n"/>
      <c r="D13" s="24" t="n"/>
      <c r="E13" s="24" t="n"/>
      <c r="F13" s="24" t="n"/>
      <c r="G13" s="24" t="n"/>
      <c r="H13" s="24" t="n"/>
      <c r="I13" s="24" t="n"/>
      <c r="J13" s="24" t="n">
        <v>0.625</v>
      </c>
      <c r="K13" s="24" t="n">
        <v>1</v>
      </c>
      <c r="L13" s="24" t="n">
        <v>1</v>
      </c>
      <c r="M13" s="24" t="n">
        <v>0.8</v>
      </c>
      <c r="N13" s="24" t="n">
        <v>1</v>
      </c>
      <c r="O13" s="24" t="n">
        <v>1</v>
      </c>
      <c r="P13" s="24" t="n">
        <v>0.8720000000000001</v>
      </c>
      <c r="Q13" s="24" t="n">
        <v>1</v>
      </c>
      <c r="R13" s="24" t="n">
        <v>1</v>
      </c>
      <c r="S13" s="24" t="n">
        <v>0.7</v>
      </c>
      <c r="T13" s="24" t="n">
        <v>1</v>
      </c>
      <c r="U13" s="24" t="n">
        <v>0.75</v>
      </c>
      <c r="V13" s="24" t="n">
        <v>0.9</v>
      </c>
      <c r="W13" s="24" t="n">
        <v>1</v>
      </c>
      <c r="X13" s="24" t="n">
        <v>0</v>
      </c>
      <c r="Y13" s="24" t="n">
        <v>0</v>
      </c>
      <c r="Z13" s="24" t="n">
        <v>0</v>
      </c>
      <c r="AA13" s="24" t="n">
        <v>0</v>
      </c>
      <c r="AB13" s="24" t="n"/>
      <c r="AC13" s="24" t="n"/>
      <c r="AD13" s="24" t="n"/>
      <c r="AE13" s="24" t="n"/>
      <c r="AF13" s="24" t="n"/>
      <c r="AG13" s="24" t="n"/>
      <c r="AH13" s="24" t="n"/>
      <c r="AI13" s="24" t="n"/>
      <c r="AJ13" s="24" t="n"/>
      <c r="AK13" s="24" t="n"/>
      <c r="AL13" s="24" t="n"/>
      <c r="AM13" s="24" t="n"/>
      <c r="AN13" s="24" t="n"/>
      <c r="AO13" s="24" t="n"/>
      <c r="AP13" s="24" t="n"/>
      <c r="AQ13" s="24" t="n"/>
      <c r="AR13" s="24" t="n"/>
      <c r="AS13" s="24" t="n"/>
      <c r="AT13" s="24" t="n"/>
      <c r="AU13" s="24" t="n"/>
      <c r="AV13" s="24" t="n"/>
      <c r="AW13" s="24" t="n"/>
      <c r="AX13" s="24" t="n"/>
      <c r="AY13" s="24" t="n"/>
      <c r="AZ13" s="24" t="n"/>
      <c r="BA13" s="24" t="n"/>
      <c r="BB13" s="24" t="n"/>
      <c r="BC13" s="24" t="n"/>
      <c r="BD13" s="24" t="n"/>
      <c r="BE13" s="24" t="n"/>
      <c r="BF13" s="24" t="n"/>
      <c r="BG13" s="24" t="n"/>
      <c r="BH13" s="24" t="n"/>
      <c r="BI13" s="24" t="n"/>
      <c r="BJ13" s="24" t="n"/>
      <c r="BK13" s="24" t="n"/>
      <c r="BL13" s="24" t="n"/>
      <c r="BM13" s="24" t="n"/>
      <c r="BN13" s="24" t="n"/>
      <c r="BO13" s="24" t="n"/>
      <c r="BP13" s="24" t="n"/>
      <c r="BQ13" s="24" t="n"/>
      <c r="BR13" s="222" t="n"/>
      <c r="BS13" s="13" t="n"/>
      <c r="BT13" s="13" t="n"/>
    </row>
    <row r="14" ht="19.5" customHeight="1">
      <c r="A14" s="23" t="n">
        <v>12</v>
      </c>
      <c r="B14" s="24" t="n"/>
      <c r="C14" s="24" t="n"/>
      <c r="D14" s="24" t="n"/>
      <c r="E14" s="24" t="n"/>
      <c r="F14" s="24" t="n"/>
      <c r="G14" s="24" t="n"/>
      <c r="H14" s="24" t="n"/>
      <c r="I14" s="24" t="n"/>
      <c r="J14" s="24" t="n">
        <v>0.4583333333333333</v>
      </c>
      <c r="K14" s="24" t="n">
        <v>0.75</v>
      </c>
      <c r="L14" s="24" t="n">
        <v>0.8</v>
      </c>
      <c r="M14" s="24" t="n">
        <v>0.6</v>
      </c>
      <c r="N14" s="24" t="n">
        <v>0.8</v>
      </c>
      <c r="O14" s="24" t="n">
        <v>0.75</v>
      </c>
      <c r="P14" s="24" t="n"/>
      <c r="Q14" s="24" t="n"/>
      <c r="R14" s="24" t="n"/>
      <c r="S14" s="24" t="n">
        <v>0.85</v>
      </c>
      <c r="T14" s="24" t="n">
        <v>1</v>
      </c>
      <c r="U14" s="24" t="n">
        <v>0.75</v>
      </c>
      <c r="V14" s="24" t="n">
        <v>1</v>
      </c>
      <c r="W14" s="24" t="n"/>
      <c r="X14" s="24" t="n"/>
      <c r="Y14" s="24" t="n"/>
      <c r="Z14" s="24" t="n"/>
      <c r="AA14" s="24" t="n"/>
      <c r="AB14" s="24" t="n"/>
      <c r="AC14" s="24" t="n"/>
      <c r="AD14" s="24" t="n"/>
      <c r="AE14" s="24" t="n"/>
      <c r="AF14" s="24" t="n"/>
      <c r="AG14" s="24" t="n"/>
      <c r="AH14" s="24" t="n"/>
      <c r="AI14" s="24" t="n"/>
      <c r="AJ14" s="24" t="n"/>
      <c r="AK14" s="24" t="n"/>
      <c r="AL14" s="24" t="n"/>
      <c r="AM14" s="24" t="n"/>
      <c r="AN14" s="24" t="n"/>
      <c r="AO14" s="24" t="n"/>
      <c r="AP14" s="24" t="n"/>
      <c r="AQ14" s="24" t="n"/>
      <c r="AR14" s="24" t="n"/>
      <c r="AS14" s="24" t="n"/>
      <c r="AT14" s="24" t="n"/>
      <c r="AU14" s="24" t="n"/>
      <c r="AV14" s="24" t="n"/>
      <c r="AW14" s="24" t="n"/>
      <c r="AX14" s="24" t="n"/>
      <c r="AY14" s="24" t="n"/>
      <c r="AZ14" s="24" t="n"/>
      <c r="BA14" s="24" t="n"/>
      <c r="BB14" s="24" t="n"/>
      <c r="BC14" s="24" t="n"/>
      <c r="BD14" s="24" t="n"/>
      <c r="BE14" s="24" t="n"/>
      <c r="BF14" s="24" t="n"/>
      <c r="BG14" s="24" t="n"/>
      <c r="BH14" s="24" t="n"/>
      <c r="BI14" s="24" t="n"/>
      <c r="BJ14" s="24" t="n"/>
      <c r="BK14" s="24" t="n"/>
      <c r="BL14" s="24" t="n"/>
      <c r="BM14" s="24" t="n"/>
      <c r="BN14" s="24" t="n"/>
      <c r="BO14" s="24" t="n"/>
      <c r="BP14" s="24" t="n"/>
      <c r="BQ14" s="24" t="n"/>
      <c r="BR14" s="222" t="n"/>
      <c r="BS14" s="13" t="n"/>
      <c r="BT14" s="13" t="n"/>
    </row>
    <row r="15" ht="19.5" customHeight="1">
      <c r="A15" s="23" t="n">
        <v>13</v>
      </c>
      <c r="B15" s="24" t="n"/>
      <c r="C15" s="24" t="n"/>
      <c r="D15" s="24" t="n"/>
      <c r="E15" s="24" t="n"/>
      <c r="F15" s="24" t="n"/>
      <c r="G15" s="24" t="n"/>
      <c r="H15" s="24" t="n"/>
      <c r="I15" s="24" t="n"/>
      <c r="J15" s="24" t="n">
        <v>0.625</v>
      </c>
      <c r="K15" s="24" t="n">
        <v>0.75</v>
      </c>
      <c r="L15" s="24" t="n">
        <v>0.8</v>
      </c>
      <c r="M15" s="24" t="n">
        <v>0.6</v>
      </c>
      <c r="N15" s="24" t="n">
        <v>0.8</v>
      </c>
      <c r="O15" s="24" t="n">
        <v>0.75</v>
      </c>
      <c r="P15" s="24" t="n"/>
      <c r="Q15" s="24" t="n"/>
      <c r="R15" s="24" t="n"/>
      <c r="S15" s="24" t="n">
        <v>0.75</v>
      </c>
      <c r="T15" s="24" t="n">
        <v>0</v>
      </c>
      <c r="U15" s="24" t="n">
        <v>0.75</v>
      </c>
      <c r="V15" s="24" t="n">
        <v>0.9</v>
      </c>
      <c r="W15" s="24" t="n"/>
      <c r="X15" s="24" t="n"/>
      <c r="Y15" s="24" t="n"/>
      <c r="Z15" s="24" t="n"/>
      <c r="AA15" s="24" t="n"/>
      <c r="AB15" s="24" t="n"/>
      <c r="AC15" s="24" t="n"/>
      <c r="AD15" s="24" t="n"/>
      <c r="AE15" s="24" t="n"/>
      <c r="AF15" s="24" t="n"/>
      <c r="AG15" s="24" t="n"/>
      <c r="AH15" s="24" t="n"/>
      <c r="AI15" s="24" t="n"/>
      <c r="AJ15" s="24" t="n"/>
      <c r="AK15" s="24" t="n"/>
      <c r="AL15" s="24" t="n"/>
      <c r="AM15" s="24" t="n"/>
      <c r="AN15" s="24" t="n"/>
      <c r="AO15" s="24" t="n"/>
      <c r="AP15" s="24" t="n"/>
      <c r="AQ15" s="24" t="n"/>
      <c r="AR15" s="24" t="n"/>
      <c r="AS15" s="24" t="n"/>
      <c r="AT15" s="24" t="n"/>
      <c r="AU15" s="24" t="n"/>
      <c r="AV15" s="24" t="n"/>
      <c r="AW15" s="24" t="n"/>
      <c r="AX15" s="24" t="n"/>
      <c r="AY15" s="24" t="n"/>
      <c r="AZ15" s="24" t="n"/>
      <c r="BA15" s="24" t="n"/>
      <c r="BB15" s="24" t="n"/>
      <c r="BC15" s="24" t="n"/>
      <c r="BD15" s="24" t="n"/>
      <c r="BE15" s="24" t="n"/>
      <c r="BF15" s="24" t="n"/>
      <c r="BG15" s="24" t="n"/>
      <c r="BH15" s="24" t="n"/>
      <c r="BI15" s="24" t="n"/>
      <c r="BJ15" s="24" t="n"/>
      <c r="BK15" s="24" t="n"/>
      <c r="BL15" s="24" t="n"/>
      <c r="BM15" s="24" t="n"/>
      <c r="BN15" s="24" t="n"/>
      <c r="BO15" s="24" t="n"/>
      <c r="BP15" s="24" t="n"/>
      <c r="BQ15" s="24" t="n"/>
      <c r="BR15" s="222" t="n"/>
      <c r="BS15" s="13" t="n"/>
      <c r="BT15" s="13" t="n"/>
    </row>
    <row r="16" ht="19.5" customHeight="1">
      <c r="A16" s="23" t="n">
        <v>14</v>
      </c>
      <c r="B16" s="24" t="n"/>
      <c r="C16" s="24" t="n"/>
      <c r="D16" s="24" t="n"/>
      <c r="E16" s="24" t="n"/>
      <c r="F16" s="24" t="n"/>
      <c r="G16" s="24" t="n"/>
      <c r="H16" s="24" t="n"/>
      <c r="I16" s="24" t="n"/>
      <c r="J16" s="24" t="n">
        <v>0.7083333333333334</v>
      </c>
      <c r="K16" s="24" t="n">
        <v>1</v>
      </c>
      <c r="L16" s="24" t="n">
        <v>1</v>
      </c>
      <c r="M16" s="24" t="n">
        <v>1</v>
      </c>
      <c r="N16" s="24" t="n">
        <v>1</v>
      </c>
      <c r="O16" s="24" t="n">
        <v>1</v>
      </c>
      <c r="P16" s="24" t="n"/>
      <c r="Q16" s="24" t="n"/>
      <c r="R16" s="24" t="n"/>
      <c r="S16" s="24" t="n">
        <v>0.4</v>
      </c>
      <c r="T16" s="24" t="n">
        <v>0.8</v>
      </c>
      <c r="U16" s="24" t="n">
        <v>0.25</v>
      </c>
      <c r="V16" s="24" t="n">
        <v>1</v>
      </c>
      <c r="W16" s="24" t="n"/>
      <c r="X16" s="24" t="n"/>
      <c r="Y16" s="24" t="n"/>
      <c r="Z16" s="24" t="n"/>
      <c r="AA16" s="24" t="n"/>
      <c r="AB16" s="24" t="n"/>
      <c r="AC16" s="24" t="n"/>
      <c r="AD16" s="24" t="n"/>
      <c r="AE16" s="24" t="n"/>
      <c r="AF16" s="24" t="n"/>
      <c r="AG16" s="24" t="n"/>
      <c r="AH16" s="24" t="n"/>
      <c r="AI16" s="24" t="n"/>
      <c r="AJ16" s="24" t="n"/>
      <c r="AK16" s="24" t="n"/>
      <c r="AL16" s="24" t="n"/>
      <c r="AM16" s="24" t="n"/>
      <c r="AN16" s="24" t="n"/>
      <c r="AO16" s="24" t="n"/>
      <c r="AP16" s="24" t="n"/>
      <c r="AQ16" s="24" t="n"/>
      <c r="AR16" s="24" t="n"/>
      <c r="AS16" s="24" t="n"/>
      <c r="AT16" s="24" t="n"/>
      <c r="AU16" s="24" t="n"/>
      <c r="AV16" s="24" t="n"/>
      <c r="AW16" s="24" t="n"/>
      <c r="AX16" s="24" t="n"/>
      <c r="AY16" s="24" t="n"/>
      <c r="AZ16" s="24" t="n"/>
      <c r="BA16" s="24" t="n"/>
      <c r="BB16" s="24" t="n"/>
      <c r="BC16" s="24" t="n"/>
      <c r="BD16" s="24" t="n"/>
      <c r="BE16" s="24" t="n"/>
      <c r="BF16" s="24" t="n"/>
      <c r="BG16" s="24" t="n"/>
      <c r="BH16" s="24" t="n"/>
      <c r="BI16" s="24" t="n"/>
      <c r="BJ16" s="24" t="n"/>
      <c r="BK16" s="24" t="n"/>
      <c r="BL16" s="24" t="n"/>
      <c r="BM16" s="24" t="n"/>
      <c r="BN16" s="24" t="n"/>
      <c r="BO16" s="24" t="n"/>
      <c r="BP16" s="24" t="n"/>
      <c r="BQ16" s="24" t="n"/>
      <c r="BR16" s="222" t="n"/>
      <c r="BS16" s="13" t="n"/>
      <c r="BT16" s="13" t="n"/>
    </row>
    <row r="17" ht="19.5" customHeight="1">
      <c r="A17" s="23" t="n">
        <v>15</v>
      </c>
      <c r="B17" s="24" t="n"/>
      <c r="C17" s="24" t="n"/>
      <c r="D17" s="24" t="n"/>
      <c r="E17" s="24" t="n"/>
      <c r="F17" s="24" t="n"/>
      <c r="G17" s="24" t="n"/>
      <c r="H17" s="24" t="n"/>
      <c r="I17" s="24" t="n"/>
      <c r="J17" s="24" t="n">
        <v>0.3541666666666667</v>
      </c>
      <c r="K17" s="24" t="n">
        <v>0.65</v>
      </c>
      <c r="L17" s="24" t="n">
        <v>1</v>
      </c>
      <c r="M17" s="24" t="n">
        <v>0.6</v>
      </c>
      <c r="N17" s="24" t="n">
        <v>1</v>
      </c>
      <c r="O17" s="24" t="n">
        <v>1</v>
      </c>
      <c r="P17" s="24" t="n"/>
      <c r="Q17" s="24" t="n"/>
      <c r="R17" s="24" t="n"/>
      <c r="S17" s="24" t="n"/>
      <c r="T17" s="24" t="n"/>
      <c r="U17" s="24" t="n"/>
      <c r="V17" s="24" t="n"/>
      <c r="W17" s="24" t="n"/>
      <c r="X17" s="24" t="n"/>
      <c r="Y17" s="24" t="n"/>
      <c r="Z17" s="24" t="n"/>
      <c r="AA17" s="24" t="n"/>
      <c r="AB17" s="24" t="n"/>
      <c r="AC17" s="24" t="n"/>
      <c r="AD17" s="24" t="n"/>
      <c r="AE17" s="24" t="n"/>
      <c r="AF17" s="24" t="n"/>
      <c r="AG17" s="24" t="n"/>
      <c r="AH17" s="24" t="n"/>
      <c r="AI17" s="24" t="n"/>
      <c r="AJ17" s="24" t="n"/>
      <c r="AK17" s="24" t="n"/>
      <c r="AL17" s="24" t="n"/>
      <c r="AM17" s="24" t="n"/>
      <c r="AN17" s="24" t="n"/>
      <c r="AO17" s="24" t="n"/>
      <c r="AP17" s="24" t="n"/>
      <c r="AQ17" s="24" t="n"/>
      <c r="AR17" s="24" t="n"/>
      <c r="AS17" s="24" t="n"/>
      <c r="AT17" s="24" t="n"/>
      <c r="AU17" s="24" t="n"/>
      <c r="AV17" s="24" t="n"/>
      <c r="AW17" s="24" t="n"/>
      <c r="AX17" s="24" t="n"/>
      <c r="AY17" s="24" t="n"/>
      <c r="AZ17" s="24" t="n"/>
      <c r="BA17" s="24" t="n"/>
      <c r="BB17" s="24" t="n"/>
      <c r="BC17" s="24" t="n"/>
      <c r="BD17" s="24" t="n"/>
      <c r="BE17" s="24" t="n"/>
      <c r="BF17" s="24" t="n"/>
      <c r="BG17" s="24" t="n"/>
      <c r="BH17" s="24" t="n"/>
      <c r="BI17" s="24" t="n"/>
      <c r="BJ17" s="24" t="n"/>
      <c r="BK17" s="24" t="n"/>
      <c r="BL17" s="24" t="n"/>
      <c r="BM17" s="24" t="n"/>
      <c r="BN17" s="24" t="n"/>
      <c r="BO17" s="24" t="n"/>
      <c r="BP17" s="24" t="n"/>
      <c r="BQ17" s="24" t="n"/>
      <c r="BR17" s="222" t="n"/>
      <c r="BS17" s="13" t="n"/>
      <c r="BT17" s="13" t="n"/>
    </row>
    <row r="18" ht="19.5" customHeight="1">
      <c r="A18" s="23" t="n">
        <v>16</v>
      </c>
      <c r="B18" s="24" t="n"/>
      <c r="C18" s="24" t="n"/>
      <c r="D18" s="24" t="n"/>
      <c r="E18" s="24" t="n"/>
      <c r="F18" s="24" t="n"/>
      <c r="G18" s="24" t="n"/>
      <c r="H18" s="24" t="n"/>
      <c r="I18" s="24" t="n"/>
      <c r="J18" s="24" t="n"/>
      <c r="K18" s="24" t="n"/>
      <c r="L18" s="24" t="n"/>
      <c r="M18" s="24" t="n"/>
      <c r="N18" s="24" t="n"/>
      <c r="O18" s="24" t="n"/>
      <c r="P18" s="24" t="n"/>
      <c r="Q18" s="24" t="n"/>
      <c r="R18" s="24" t="n"/>
      <c r="S18" s="24" t="n"/>
      <c r="T18" s="24" t="n"/>
      <c r="U18" s="24" t="n"/>
      <c r="V18" s="24" t="n"/>
      <c r="W18" s="24" t="n"/>
      <c r="X18" s="24" t="n"/>
      <c r="Y18" s="24" t="n"/>
      <c r="Z18" s="24" t="n"/>
      <c r="AA18" s="24" t="n"/>
      <c r="AB18" s="24" t="n"/>
      <c r="AC18" s="24" t="n"/>
      <c r="AD18" s="24" t="n"/>
      <c r="AE18" s="24" t="n"/>
      <c r="AF18" s="24" t="n"/>
      <c r="AG18" s="24" t="n"/>
      <c r="AH18" s="24" t="n"/>
      <c r="AI18" s="24" t="n"/>
      <c r="AJ18" s="24" t="n"/>
      <c r="AK18" s="24" t="n"/>
      <c r="AL18" s="24" t="n"/>
      <c r="AM18" s="24" t="n"/>
      <c r="AN18" s="24" t="n"/>
      <c r="AO18" s="24" t="n"/>
      <c r="AP18" s="24" t="n"/>
      <c r="AQ18" s="24" t="n"/>
      <c r="AR18" s="24" t="n"/>
      <c r="AS18" s="24" t="n"/>
      <c r="AT18" s="24" t="n"/>
      <c r="AU18" s="24" t="n"/>
      <c r="AV18" s="24" t="n"/>
      <c r="AW18" s="24" t="n"/>
      <c r="AX18" s="24" t="n"/>
      <c r="AY18" s="24" t="n"/>
      <c r="AZ18" s="24" t="n"/>
      <c r="BA18" s="24" t="n"/>
      <c r="BB18" s="24" t="n"/>
      <c r="BC18" s="24" t="n"/>
      <c r="BD18" s="24" t="n"/>
      <c r="BE18" s="24" t="n"/>
      <c r="BF18" s="24" t="n"/>
      <c r="BG18" s="24" t="n"/>
      <c r="BH18" s="24" t="n"/>
      <c r="BI18" s="24" t="n"/>
      <c r="BJ18" s="24" t="n"/>
      <c r="BK18" s="24" t="n"/>
      <c r="BL18" s="24" t="n"/>
      <c r="BM18" s="24" t="n"/>
      <c r="BN18" s="24" t="n"/>
      <c r="BO18" s="24" t="n"/>
      <c r="BP18" s="24" t="n"/>
      <c r="BQ18" s="24" t="n"/>
      <c r="BR18" s="222" t="n"/>
      <c r="BS18" s="13" t="n"/>
      <c r="BT18" s="13" t="n"/>
    </row>
    <row r="19" ht="19.5" customHeight="1">
      <c r="A19" s="23" t="n">
        <v>17</v>
      </c>
      <c r="B19" s="24" t="n"/>
      <c r="C19" s="24" t="n"/>
      <c r="D19" s="24" t="n"/>
      <c r="E19" s="24" t="n"/>
      <c r="F19" s="24" t="n"/>
      <c r="G19" s="24" t="n"/>
      <c r="H19" s="24" t="n"/>
      <c r="I19" s="24" t="n"/>
      <c r="J19" s="24" t="n"/>
      <c r="K19" s="24" t="n"/>
      <c r="L19" s="24" t="n"/>
      <c r="M19" s="24" t="n"/>
      <c r="N19" s="24" t="n"/>
      <c r="O19" s="24" t="n"/>
      <c r="P19" s="24" t="n"/>
      <c r="Q19" s="24" t="n"/>
      <c r="R19" s="24" t="n"/>
      <c r="S19" s="24" t="n"/>
      <c r="T19" s="24" t="n"/>
      <c r="U19" s="24" t="n"/>
      <c r="V19" s="24" t="n"/>
      <c r="W19" s="24" t="n"/>
      <c r="X19" s="24" t="n"/>
      <c r="Y19" s="24" t="n"/>
      <c r="Z19" s="24" t="n"/>
      <c r="AA19" s="24" t="n"/>
      <c r="AB19" s="24" t="n"/>
      <c r="AC19" s="24" t="n"/>
      <c r="AD19" s="24" t="n"/>
      <c r="AE19" s="24" t="n"/>
      <c r="AF19" s="24" t="n"/>
      <c r="AG19" s="24" t="n"/>
      <c r="AH19" s="24" t="n"/>
      <c r="AI19" s="24" t="n"/>
      <c r="AJ19" s="24" t="n"/>
      <c r="AK19" s="24" t="n"/>
      <c r="AL19" s="24" t="n"/>
      <c r="AM19" s="24" t="n"/>
      <c r="AN19" s="24" t="n"/>
      <c r="AO19" s="24" t="n"/>
      <c r="AP19" s="24" t="n"/>
      <c r="AQ19" s="24" t="n"/>
      <c r="AR19" s="24" t="n"/>
      <c r="AS19" s="24" t="n"/>
      <c r="AT19" s="24" t="n"/>
      <c r="AU19" s="24" t="n"/>
      <c r="AV19" s="24" t="n"/>
      <c r="AW19" s="24" t="n"/>
      <c r="AX19" s="24" t="n"/>
      <c r="AY19" s="24" t="n"/>
      <c r="AZ19" s="24" t="n"/>
      <c r="BA19" s="24" t="n"/>
      <c r="BB19" s="24" t="n"/>
      <c r="BC19" s="24" t="n"/>
      <c r="BD19" s="24" t="n"/>
      <c r="BE19" s="24" t="n"/>
      <c r="BF19" s="24" t="n"/>
      <c r="BG19" s="24" t="n"/>
      <c r="BH19" s="24" t="n"/>
      <c r="BI19" s="24" t="n"/>
      <c r="BJ19" s="24" t="n"/>
      <c r="BK19" s="24" t="n"/>
      <c r="BL19" s="24" t="n"/>
      <c r="BM19" s="24" t="n"/>
      <c r="BN19" s="24" t="n"/>
      <c r="BO19" s="24" t="n"/>
      <c r="BP19" s="24" t="n"/>
      <c r="BQ19" s="24" t="n"/>
      <c r="BR19" s="222" t="n"/>
      <c r="BS19" s="13" t="n"/>
      <c r="BT19" s="13" t="n"/>
    </row>
    <row r="20" ht="19.5" customHeight="1">
      <c r="A20" s="23" t="n">
        <v>18</v>
      </c>
      <c r="B20" s="24" t="n"/>
      <c r="C20" s="24" t="n"/>
      <c r="D20" s="24" t="n"/>
      <c r="E20" s="24" t="n"/>
      <c r="F20" s="24" t="n"/>
      <c r="G20" s="24" t="n"/>
      <c r="H20" s="24" t="n"/>
      <c r="I20" s="24" t="n"/>
      <c r="J20" s="24" t="n"/>
      <c r="K20" s="24" t="n"/>
      <c r="L20" s="24" t="n"/>
      <c r="M20" s="24" t="n"/>
      <c r="N20" s="24" t="n"/>
      <c r="O20" s="24" t="n"/>
      <c r="P20" s="24" t="n"/>
      <c r="Q20" s="24" t="n"/>
      <c r="R20" s="24" t="n"/>
      <c r="S20" s="24" t="n"/>
      <c r="T20" s="24" t="n"/>
      <c r="U20" s="24" t="n"/>
      <c r="V20" s="24" t="n"/>
      <c r="W20" s="24" t="n"/>
      <c r="X20" s="24" t="n"/>
      <c r="Y20" s="24" t="n"/>
      <c r="Z20" s="24" t="n"/>
      <c r="AA20" s="24" t="n"/>
      <c r="AB20" s="24" t="n"/>
      <c r="AC20" s="24" t="n"/>
      <c r="AD20" s="24" t="n"/>
      <c r="AE20" s="24" t="n"/>
      <c r="AF20" s="24" t="n"/>
      <c r="AG20" s="24" t="n"/>
      <c r="AH20" s="24" t="n"/>
      <c r="AI20" s="24" t="n"/>
      <c r="AJ20" s="24" t="n"/>
      <c r="AK20" s="24" t="n"/>
      <c r="AL20" s="24" t="n"/>
      <c r="AM20" s="24" t="n"/>
      <c r="AN20" s="24" t="n"/>
      <c r="AO20" s="24" t="n"/>
      <c r="AP20" s="24" t="n"/>
      <c r="AQ20" s="24" t="n"/>
      <c r="AR20" s="24" t="n"/>
      <c r="AS20" s="24" t="n"/>
      <c r="AT20" s="24" t="n"/>
      <c r="AU20" s="24" t="n"/>
      <c r="AV20" s="24" t="n"/>
      <c r="AW20" s="24" t="n"/>
      <c r="AX20" s="24" t="n"/>
      <c r="AY20" s="24" t="n"/>
      <c r="AZ20" s="24" t="n"/>
      <c r="BA20" s="24" t="n"/>
      <c r="BB20" s="24" t="n"/>
      <c r="BC20" s="24" t="n"/>
      <c r="BD20" s="24" t="n"/>
      <c r="BE20" s="24" t="n"/>
      <c r="BF20" s="24" t="n"/>
      <c r="BG20" s="24" t="n"/>
      <c r="BH20" s="24" t="n"/>
      <c r="BI20" s="24" t="n"/>
      <c r="BJ20" s="24" t="n"/>
      <c r="BK20" s="24" t="n"/>
      <c r="BL20" s="24" t="n"/>
      <c r="BM20" s="24" t="n"/>
      <c r="BN20" s="24" t="n"/>
      <c r="BO20" s="24" t="n"/>
      <c r="BP20" s="24" t="n"/>
      <c r="BQ20" s="24" t="n"/>
      <c r="BR20" s="222" t="n"/>
      <c r="BS20" s="13" t="n"/>
      <c r="BT20" s="13" t="n"/>
    </row>
    <row r="21" ht="19.5" customHeight="1">
      <c r="A21" s="23" t="n">
        <v>19</v>
      </c>
      <c r="B21" s="24" t="n"/>
      <c r="C21" s="24" t="n"/>
      <c r="D21" s="24" t="n"/>
      <c r="E21" s="24" t="n"/>
      <c r="F21" s="24" t="n"/>
      <c r="G21" s="24" t="n"/>
      <c r="H21" s="24" t="n"/>
      <c r="I21" s="24" t="n"/>
      <c r="J21" s="24" t="n"/>
      <c r="K21" s="24" t="n"/>
      <c r="L21" s="24" t="n"/>
      <c r="M21" s="24" t="n"/>
      <c r="N21" s="24" t="n"/>
      <c r="O21" s="24" t="n"/>
      <c r="P21" s="24" t="n"/>
      <c r="Q21" s="24" t="n"/>
      <c r="R21" s="24" t="n"/>
      <c r="S21" s="24" t="n"/>
      <c r="T21" s="24" t="n"/>
      <c r="U21" s="24" t="n"/>
      <c r="V21" s="24" t="n"/>
      <c r="W21" s="24" t="n"/>
      <c r="X21" s="24" t="n"/>
      <c r="Y21" s="24" t="n"/>
      <c r="Z21" s="24" t="n"/>
      <c r="AA21" s="24" t="n"/>
      <c r="AB21" s="24" t="n"/>
      <c r="AC21" s="24" t="n"/>
      <c r="AD21" s="24" t="n"/>
      <c r="AE21" s="24" t="n"/>
      <c r="AF21" s="24" t="n"/>
      <c r="AG21" s="24" t="n"/>
      <c r="AH21" s="24" t="n"/>
      <c r="AI21" s="24" t="n"/>
      <c r="AJ21" s="24" t="n"/>
      <c r="AK21" s="24" t="n"/>
      <c r="AL21" s="24" t="n"/>
      <c r="AM21" s="24" t="n"/>
      <c r="AN21" s="24" t="n"/>
      <c r="AO21" s="24" t="n"/>
      <c r="AP21" s="24" t="n"/>
      <c r="AQ21" s="24" t="n"/>
      <c r="AR21" s="24" t="n"/>
      <c r="AS21" s="24" t="n"/>
      <c r="AT21" s="24" t="n"/>
      <c r="AU21" s="24" t="n"/>
      <c r="AV21" s="24" t="n"/>
      <c r="AW21" s="24" t="n"/>
      <c r="AX21" s="24" t="n"/>
      <c r="AY21" s="24" t="n"/>
      <c r="AZ21" s="24" t="n"/>
      <c r="BA21" s="24" t="n"/>
      <c r="BB21" s="24" t="n"/>
      <c r="BC21" s="24" t="n"/>
      <c r="BD21" s="24" t="n"/>
      <c r="BE21" s="24" t="n"/>
      <c r="BF21" s="24" t="n"/>
      <c r="BG21" s="24" t="n"/>
      <c r="BH21" s="24" t="n"/>
      <c r="BI21" s="24" t="n"/>
      <c r="BJ21" s="24" t="n"/>
      <c r="BK21" s="24" t="n"/>
      <c r="BL21" s="24" t="n"/>
      <c r="BM21" s="24" t="n"/>
      <c r="BN21" s="24" t="n"/>
      <c r="BO21" s="24" t="n"/>
      <c r="BP21" s="24" t="n"/>
      <c r="BQ21" s="24" t="n"/>
      <c r="BR21" s="222" t="n"/>
      <c r="BS21" s="13" t="n"/>
      <c r="BT21" s="13" t="n"/>
    </row>
    <row r="22" ht="19.5" customHeight="1">
      <c r="A22" s="23" t="n">
        <v>20</v>
      </c>
      <c r="B22" s="24" t="n"/>
      <c r="C22" s="24" t="n"/>
      <c r="D22" s="24" t="n"/>
      <c r="E22" s="24" t="n"/>
      <c r="F22" s="24" t="n"/>
      <c r="G22" s="24" t="n"/>
      <c r="H22" s="24" t="n"/>
      <c r="I22" s="24" t="n"/>
      <c r="J22" s="24" t="n"/>
      <c r="K22" s="24" t="n"/>
      <c r="L22" s="24" t="n"/>
      <c r="M22" s="24" t="n"/>
      <c r="N22" s="24" t="n"/>
      <c r="O22" s="24" t="n"/>
      <c r="P22" s="24" t="n"/>
      <c r="Q22" s="24" t="n"/>
      <c r="R22" s="24" t="n"/>
      <c r="S22" s="24" t="n"/>
      <c r="T22" s="24" t="n"/>
      <c r="U22" s="24" t="n"/>
      <c r="V22" s="24" t="n"/>
      <c r="W22" s="24" t="n"/>
      <c r="X22" s="24" t="n"/>
      <c r="Y22" s="24" t="n"/>
      <c r="Z22" s="24" t="n"/>
      <c r="AA22" s="24" t="n"/>
      <c r="AB22" s="24" t="n"/>
      <c r="AC22" s="24" t="n"/>
      <c r="AD22" s="24" t="n"/>
      <c r="AE22" s="24" t="n"/>
      <c r="AF22" s="24" t="n"/>
      <c r="AG22" s="24" t="n"/>
      <c r="AH22" s="24" t="n"/>
      <c r="AI22" s="24" t="n"/>
      <c r="AJ22" s="24" t="n"/>
      <c r="AK22" s="24" t="n"/>
      <c r="AL22" s="24" t="n"/>
      <c r="AM22" s="24" t="n"/>
      <c r="AN22" s="24" t="n"/>
      <c r="AO22" s="24" t="n"/>
      <c r="AP22" s="24" t="n"/>
      <c r="AQ22" s="24" t="n"/>
      <c r="AR22" s="24" t="n"/>
      <c r="AS22" s="24" t="n"/>
      <c r="AT22" s="24" t="n"/>
      <c r="AU22" s="24" t="n"/>
      <c r="AV22" s="24" t="n"/>
      <c r="AW22" s="24" t="n"/>
      <c r="AX22" s="24" t="n"/>
      <c r="AY22" s="24" t="n"/>
      <c r="AZ22" s="24" t="n"/>
      <c r="BA22" s="24" t="n"/>
      <c r="BB22" s="24" t="n"/>
      <c r="BC22" s="24" t="n"/>
      <c r="BD22" s="24" t="n"/>
      <c r="BE22" s="24" t="n"/>
      <c r="BF22" s="24" t="n"/>
      <c r="BG22" s="24" t="n"/>
      <c r="BH22" s="24" t="n"/>
      <c r="BI22" s="24" t="n"/>
      <c r="BJ22" s="24" t="n"/>
      <c r="BK22" s="24" t="n"/>
      <c r="BL22" s="24" t="n"/>
      <c r="BM22" s="24" t="n"/>
      <c r="BN22" s="24" t="n"/>
      <c r="BO22" s="24" t="n"/>
      <c r="BP22" s="24" t="n"/>
      <c r="BQ22" s="24" t="n"/>
      <c r="BR22" s="222" t="n"/>
      <c r="BS22" s="13" t="n"/>
      <c r="BT22" s="13" t="n"/>
    </row>
    <row r="23" ht="19.5" customHeight="1">
      <c r="A23" s="23" t="n">
        <v>21</v>
      </c>
      <c r="B23" s="24" t="n"/>
      <c r="C23" s="24" t="n"/>
      <c r="D23" s="24" t="n"/>
      <c r="E23" s="24" t="n"/>
      <c r="F23" s="24" t="n"/>
      <c r="G23" s="24" t="n"/>
      <c r="H23" s="24" t="n"/>
      <c r="I23" s="24" t="n"/>
      <c r="J23" s="24" t="n"/>
      <c r="K23" s="24" t="n"/>
      <c r="L23" s="24" t="n"/>
      <c r="M23" s="24" t="n"/>
      <c r="N23" s="24" t="n"/>
      <c r="O23" s="24" t="n"/>
      <c r="P23" s="24" t="n"/>
      <c r="Q23" s="24" t="n"/>
      <c r="R23" s="24" t="n"/>
      <c r="S23" s="24" t="n"/>
      <c r="T23" s="24" t="n"/>
      <c r="U23" s="24" t="n"/>
      <c r="V23" s="24" t="n"/>
      <c r="W23" s="24" t="n"/>
      <c r="X23" s="24" t="n"/>
      <c r="Y23" s="24" t="n"/>
      <c r="Z23" s="24" t="n"/>
      <c r="AA23" s="24" t="n"/>
      <c r="AB23" s="24" t="n"/>
      <c r="AC23" s="24" t="n"/>
      <c r="AD23" s="24" t="n"/>
      <c r="AE23" s="24" t="n"/>
      <c r="AF23" s="24" t="n"/>
      <c r="AG23" s="24" t="n"/>
      <c r="AH23" s="24" t="n"/>
      <c r="AI23" s="24" t="n"/>
      <c r="AJ23" s="24" t="n"/>
      <c r="AK23" s="24" t="n"/>
      <c r="AL23" s="24" t="n"/>
      <c r="AM23" s="24" t="n"/>
      <c r="AN23" s="24" t="n"/>
      <c r="AO23" s="24" t="n"/>
      <c r="AP23" s="24" t="n"/>
      <c r="AQ23" s="24" t="n"/>
      <c r="AR23" s="24" t="n"/>
      <c r="AS23" s="24" t="n"/>
      <c r="AT23" s="24" t="n"/>
      <c r="AU23" s="24" t="n"/>
      <c r="AV23" s="24" t="n"/>
      <c r="AW23" s="24" t="n"/>
      <c r="AX23" s="24" t="n"/>
      <c r="AY23" s="24" t="n"/>
      <c r="AZ23" s="24" t="n"/>
      <c r="BA23" s="24" t="n"/>
      <c r="BB23" s="24" t="n"/>
      <c r="BC23" s="24" t="n"/>
      <c r="BD23" s="24" t="n"/>
      <c r="BE23" s="24" t="n"/>
      <c r="BF23" s="24" t="n"/>
      <c r="BG23" s="24" t="n"/>
      <c r="BH23" s="24" t="n"/>
      <c r="BI23" s="24" t="n"/>
      <c r="BJ23" s="24" t="n"/>
      <c r="BK23" s="24" t="n"/>
      <c r="BL23" s="24" t="n"/>
      <c r="BM23" s="24" t="n"/>
      <c r="BN23" s="24" t="n"/>
      <c r="BO23" s="24" t="n"/>
      <c r="BP23" s="24" t="n"/>
      <c r="BQ23" s="24" t="n"/>
      <c r="BR23" s="222" t="n"/>
      <c r="BS23" s="13" t="n"/>
      <c r="BT23" s="13" t="n"/>
    </row>
    <row r="24" ht="19.5" customHeight="1">
      <c r="A24" s="23" t="n">
        <v>22</v>
      </c>
      <c r="B24" s="24" t="n"/>
      <c r="C24" s="24" t="n"/>
      <c r="D24" s="24" t="n"/>
      <c r="E24" s="24" t="n"/>
      <c r="F24" s="24" t="n"/>
      <c r="G24" s="24" t="n"/>
      <c r="H24" s="24" t="n"/>
      <c r="I24" s="24" t="n"/>
      <c r="J24" s="24" t="n"/>
      <c r="K24" s="24" t="n"/>
      <c r="L24" s="24" t="n"/>
      <c r="M24" s="24" t="n"/>
      <c r="N24" s="24" t="n"/>
      <c r="O24" s="24" t="n"/>
      <c r="P24" s="24" t="n"/>
      <c r="Q24" s="24" t="n"/>
      <c r="R24" s="24" t="n"/>
      <c r="S24" s="24" t="n"/>
      <c r="T24" s="24" t="n"/>
      <c r="U24" s="24" t="n"/>
      <c r="V24" s="24" t="n"/>
      <c r="W24" s="24" t="n"/>
      <c r="X24" s="24" t="n"/>
      <c r="Y24" s="24" t="n"/>
      <c r="Z24" s="24" t="n"/>
      <c r="AA24" s="24" t="n"/>
      <c r="AB24" s="24" t="n"/>
      <c r="AC24" s="24" t="n"/>
      <c r="AD24" s="24" t="n"/>
      <c r="AE24" s="24" t="n"/>
      <c r="AF24" s="24" t="n"/>
      <c r="AG24" s="24" t="n"/>
      <c r="AH24" s="24" t="n"/>
      <c r="AI24" s="24" t="n"/>
      <c r="AJ24" s="24" t="n"/>
      <c r="AK24" s="24" t="n"/>
      <c r="AL24" s="24" t="n"/>
      <c r="AM24" s="24" t="n"/>
      <c r="AN24" s="24" t="n"/>
      <c r="AO24" s="24" t="n"/>
      <c r="AP24" s="24" t="n"/>
      <c r="AQ24" s="24" t="n"/>
      <c r="AR24" s="24" t="n"/>
      <c r="AS24" s="24" t="n"/>
      <c r="AT24" s="24" t="n"/>
      <c r="AU24" s="24" t="n"/>
      <c r="AV24" s="24" t="n"/>
      <c r="AW24" s="24" t="n"/>
      <c r="AX24" s="24" t="n"/>
      <c r="AY24" s="24" t="n"/>
      <c r="AZ24" s="24" t="n"/>
      <c r="BA24" s="24" t="n"/>
      <c r="BB24" s="24" t="n"/>
      <c r="BC24" s="24" t="n"/>
      <c r="BD24" s="24" t="n"/>
      <c r="BE24" s="24" t="n"/>
      <c r="BF24" s="24" t="n"/>
      <c r="BG24" s="24" t="n"/>
      <c r="BH24" s="24" t="n"/>
      <c r="BI24" s="24" t="n"/>
      <c r="BJ24" s="24" t="n"/>
      <c r="BK24" s="24" t="n"/>
      <c r="BL24" s="24" t="n"/>
      <c r="BM24" s="24" t="n"/>
      <c r="BN24" s="24" t="n"/>
      <c r="BO24" s="24" t="n"/>
      <c r="BP24" s="24" t="n"/>
      <c r="BQ24" s="24" t="n"/>
      <c r="BR24" s="222" t="n"/>
      <c r="BS24" s="13" t="n"/>
      <c r="BT24" s="13" t="n"/>
    </row>
    <row r="25" ht="19.5" customHeight="1">
      <c r="A25" s="23" t="n">
        <v>23</v>
      </c>
      <c r="B25" s="24" t="n"/>
      <c r="C25" s="24" t="n"/>
      <c r="D25" s="24" t="n"/>
      <c r="E25" s="24" t="n"/>
      <c r="F25" s="24" t="n"/>
      <c r="G25" s="24" t="n"/>
      <c r="H25" s="24" t="n"/>
      <c r="I25" s="24" t="n"/>
      <c r="J25" s="24" t="n"/>
      <c r="K25" s="24" t="n"/>
      <c r="L25" s="24" t="n"/>
      <c r="M25" s="24" t="n"/>
      <c r="N25" s="24" t="n"/>
      <c r="O25" s="24" t="n"/>
      <c r="P25" s="24" t="n"/>
      <c r="Q25" s="24" t="n"/>
      <c r="R25" s="24" t="n"/>
      <c r="S25" s="24" t="n"/>
      <c r="T25" s="24" t="n"/>
      <c r="U25" s="24" t="n"/>
      <c r="V25" s="24" t="n"/>
      <c r="W25" s="24" t="n"/>
      <c r="X25" s="24" t="n"/>
      <c r="Y25" s="24" t="n"/>
      <c r="Z25" s="24" t="n"/>
      <c r="AA25" s="24" t="n"/>
      <c r="AB25" s="24" t="n"/>
      <c r="AC25" s="24" t="n"/>
      <c r="AD25" s="24" t="n"/>
      <c r="AE25" s="24" t="n"/>
      <c r="AF25" s="24" t="n"/>
      <c r="AG25" s="24" t="n"/>
      <c r="AH25" s="24" t="n"/>
      <c r="AI25" s="24" t="n"/>
      <c r="AJ25" s="24" t="n"/>
      <c r="AK25" s="24" t="n"/>
      <c r="AL25" s="24" t="n"/>
      <c r="AM25" s="24" t="n"/>
      <c r="AN25" s="24" t="n"/>
      <c r="AO25" s="24" t="n"/>
      <c r="AP25" s="24" t="n"/>
      <c r="AQ25" s="24" t="n"/>
      <c r="AR25" s="24" t="n"/>
      <c r="AS25" s="24" t="n"/>
      <c r="AT25" s="24" t="n"/>
      <c r="AU25" s="24" t="n"/>
      <c r="AV25" s="24" t="n"/>
      <c r="AW25" s="24" t="n"/>
      <c r="AX25" s="24" t="n"/>
      <c r="AY25" s="24" t="n"/>
      <c r="AZ25" s="24" t="n"/>
      <c r="BA25" s="24" t="n"/>
      <c r="BB25" s="24" t="n"/>
      <c r="BC25" s="24" t="n"/>
      <c r="BD25" s="24" t="n"/>
      <c r="BE25" s="24" t="n"/>
      <c r="BF25" s="24" t="n"/>
      <c r="BG25" s="24" t="n"/>
      <c r="BH25" s="24" t="n"/>
      <c r="BI25" s="24" t="n"/>
      <c r="BJ25" s="24" t="n"/>
      <c r="BK25" s="24" t="n"/>
      <c r="BL25" s="24" t="n"/>
      <c r="BM25" s="24" t="n"/>
      <c r="BN25" s="24" t="n"/>
      <c r="BO25" s="24" t="n"/>
      <c r="BP25" s="24" t="n"/>
      <c r="BQ25" s="24" t="n"/>
      <c r="BR25" s="222" t="n"/>
      <c r="BS25" s="13" t="n"/>
      <c r="BT25" s="13" t="n"/>
    </row>
    <row r="26" ht="19.5" customHeight="1">
      <c r="A26" s="23" t="n">
        <v>24</v>
      </c>
      <c r="B26" s="24" t="n"/>
      <c r="C26" s="24" t="n"/>
      <c r="D26" s="24" t="n"/>
      <c r="E26" s="24" t="n"/>
      <c r="F26" s="24" t="n"/>
      <c r="G26" s="24" t="n"/>
      <c r="H26" s="24" t="n"/>
      <c r="I26" s="24" t="n"/>
      <c r="J26" s="24" t="n"/>
      <c r="K26" s="24" t="n"/>
      <c r="L26" s="24" t="n"/>
      <c r="M26" s="24" t="n"/>
      <c r="N26" s="24" t="n"/>
      <c r="O26" s="24" t="n"/>
      <c r="P26" s="24" t="n"/>
      <c r="Q26" s="24" t="n"/>
      <c r="R26" s="24" t="n"/>
      <c r="S26" s="24" t="n"/>
      <c r="T26" s="24" t="n"/>
      <c r="U26" s="24" t="n"/>
      <c r="V26" s="24" t="n"/>
      <c r="W26" s="24" t="n"/>
      <c r="X26" s="24" t="n"/>
      <c r="Y26" s="24" t="n"/>
      <c r="Z26" s="24" t="n"/>
      <c r="AA26" s="24" t="n"/>
      <c r="AB26" s="24" t="n"/>
      <c r="AC26" s="24" t="n"/>
      <c r="AD26" s="24" t="n"/>
      <c r="AE26" s="24" t="n"/>
      <c r="AF26" s="24" t="n"/>
      <c r="AG26" s="24" t="n"/>
      <c r="AH26" s="24" t="n"/>
      <c r="AI26" s="24" t="n"/>
      <c r="AJ26" s="24" t="n"/>
      <c r="AK26" s="24" t="n"/>
      <c r="AL26" s="24" t="n"/>
      <c r="AM26" s="24" t="n"/>
      <c r="AN26" s="24" t="n"/>
      <c r="AO26" s="24" t="n"/>
      <c r="AP26" s="24" t="n"/>
      <c r="AQ26" s="24" t="n"/>
      <c r="AR26" s="24" t="n"/>
      <c r="AS26" s="24" t="n"/>
      <c r="AT26" s="24" t="n"/>
      <c r="AU26" s="24" t="n"/>
      <c r="AV26" s="24" t="n"/>
      <c r="AW26" s="24" t="n"/>
      <c r="AX26" s="24" t="n"/>
      <c r="AY26" s="24" t="n"/>
      <c r="AZ26" s="24" t="n"/>
      <c r="BA26" s="24" t="n"/>
      <c r="BB26" s="24" t="n"/>
      <c r="BC26" s="24" t="n"/>
      <c r="BD26" s="24" t="n"/>
      <c r="BE26" s="24" t="n"/>
      <c r="BF26" s="24" t="n"/>
      <c r="BG26" s="24" t="n"/>
      <c r="BH26" s="24" t="n"/>
      <c r="BI26" s="24" t="n"/>
      <c r="BJ26" s="24" t="n"/>
      <c r="BK26" s="24" t="n"/>
      <c r="BL26" s="24" t="n"/>
      <c r="BM26" s="24" t="n"/>
      <c r="BN26" s="24" t="n"/>
      <c r="BO26" s="24" t="n"/>
      <c r="BP26" s="24" t="n"/>
      <c r="BQ26" s="24" t="n"/>
      <c r="BR26" s="222" t="n"/>
      <c r="BS26" s="13" t="n"/>
      <c r="BT26" s="13" t="n"/>
    </row>
    <row r="27" ht="19.5" customHeight="1">
      <c r="A27" s="23" t="n">
        <v>25</v>
      </c>
      <c r="B27" s="24" t="n"/>
      <c r="C27" s="24" t="n"/>
      <c r="D27" s="24" t="n"/>
      <c r="E27" s="24" t="n"/>
      <c r="F27" s="24" t="n"/>
      <c r="G27" s="24" t="n"/>
      <c r="H27" s="24" t="n"/>
      <c r="I27" s="24" t="n"/>
      <c r="J27" s="24" t="n"/>
      <c r="K27" s="24" t="n"/>
      <c r="L27" s="24" t="n"/>
      <c r="M27" s="24" t="n"/>
      <c r="N27" s="24" t="n"/>
      <c r="O27" s="24" t="n"/>
      <c r="P27" s="24" t="n"/>
      <c r="Q27" s="24" t="n"/>
      <c r="R27" s="24" t="n"/>
      <c r="S27" s="24" t="n"/>
      <c r="T27" s="24" t="n"/>
      <c r="U27" s="24" t="n"/>
      <c r="V27" s="24" t="n"/>
      <c r="W27" s="24" t="n"/>
      <c r="X27" s="24" t="n"/>
      <c r="Y27" s="24" t="n"/>
      <c r="Z27" s="24" t="n"/>
      <c r="AA27" s="24" t="n"/>
      <c r="AB27" s="24" t="n"/>
      <c r="AC27" s="24" t="n"/>
      <c r="AD27" s="24" t="n"/>
      <c r="AE27" s="24" t="n"/>
      <c r="AF27" s="24" t="n"/>
      <c r="AG27" s="24" t="n"/>
      <c r="AH27" s="24" t="n"/>
      <c r="AI27" s="24" t="n"/>
      <c r="AJ27" s="24" t="n"/>
      <c r="AK27" s="24" t="n"/>
      <c r="AL27" s="24" t="n"/>
      <c r="AM27" s="24" t="n"/>
      <c r="AN27" s="24" t="n"/>
      <c r="AO27" s="24" t="n"/>
      <c r="AP27" s="24" t="n"/>
      <c r="AQ27" s="24" t="n"/>
      <c r="AR27" s="24" t="n"/>
      <c r="AS27" s="24" t="n"/>
      <c r="AT27" s="24" t="n"/>
      <c r="AU27" s="24" t="n"/>
      <c r="AV27" s="24" t="n"/>
      <c r="AW27" s="24" t="n"/>
      <c r="AX27" s="24" t="n"/>
      <c r="AY27" s="24" t="n"/>
      <c r="AZ27" s="24" t="n"/>
      <c r="BA27" s="24" t="n"/>
      <c r="BB27" s="24" t="n"/>
      <c r="BC27" s="24" t="n"/>
      <c r="BD27" s="24" t="n"/>
      <c r="BE27" s="24" t="n"/>
      <c r="BF27" s="24" t="n"/>
      <c r="BG27" s="24" t="n"/>
      <c r="BH27" s="24" t="n"/>
      <c r="BI27" s="24" t="n"/>
      <c r="BJ27" s="24" t="n"/>
      <c r="BK27" s="24" t="n"/>
      <c r="BL27" s="24" t="n"/>
      <c r="BM27" s="24" t="n"/>
      <c r="BN27" s="24" t="n"/>
      <c r="BO27" s="24" t="n"/>
      <c r="BP27" s="24" t="n"/>
      <c r="BQ27" s="24" t="n"/>
      <c r="BR27" s="222" t="n"/>
      <c r="BS27" s="13" t="n"/>
      <c r="BT27" s="13" t="n"/>
    </row>
    <row r="28" ht="19.5" customHeight="1">
      <c r="A28" s="23" t="n">
        <v>26</v>
      </c>
      <c r="B28" s="29" t="n"/>
      <c r="C28" s="29" t="n"/>
      <c r="D28" s="29" t="n"/>
      <c r="E28" s="29" t="n"/>
      <c r="F28" s="29" t="n"/>
      <c r="G28" s="29" t="n"/>
      <c r="H28" s="29" t="n"/>
      <c r="I28" s="29" t="n"/>
      <c r="J28" s="29" t="n"/>
      <c r="K28" s="29" t="n"/>
      <c r="L28" s="29" t="n"/>
      <c r="M28" s="29" t="n"/>
      <c r="N28" s="29" t="n"/>
      <c r="O28" s="29" t="n"/>
      <c r="P28" s="29" t="n"/>
      <c r="Q28" s="29" t="n"/>
      <c r="R28" s="29" t="n"/>
      <c r="S28" s="29" t="n"/>
      <c r="T28" s="29" t="n"/>
      <c r="U28" s="29" t="n"/>
      <c r="V28" s="29" t="n"/>
      <c r="W28" s="29" t="n"/>
      <c r="X28" s="29" t="n"/>
      <c r="Y28" s="29" t="n"/>
      <c r="Z28" s="29" t="n"/>
      <c r="AA28" s="29" t="n"/>
      <c r="AB28" s="29" t="n"/>
      <c r="AC28" s="29" t="n"/>
      <c r="AD28" s="29" t="n"/>
      <c r="AE28" s="29" t="n"/>
      <c r="AF28" s="29" t="n"/>
      <c r="AG28" s="29" t="n"/>
      <c r="AH28" s="29" t="n"/>
      <c r="AI28" s="29" t="n"/>
      <c r="AJ28" s="29" t="n"/>
      <c r="AK28" s="29" t="n"/>
      <c r="AL28" s="29" t="n"/>
      <c r="AM28" s="29" t="n"/>
      <c r="AN28" s="29" t="n"/>
      <c r="AO28" s="29" t="n"/>
      <c r="AP28" s="29" t="n"/>
      <c r="AQ28" s="29" t="n"/>
      <c r="AR28" s="29" t="n"/>
      <c r="AS28" s="29" t="n"/>
      <c r="AT28" s="29" t="n"/>
      <c r="AU28" s="29" t="n"/>
      <c r="AV28" s="29" t="n"/>
      <c r="AW28" s="29" t="n"/>
      <c r="AX28" s="29" t="n"/>
      <c r="AY28" s="29" t="n"/>
      <c r="AZ28" s="29" t="n"/>
      <c r="BA28" s="29" t="n"/>
      <c r="BB28" s="29" t="n"/>
      <c r="BC28" s="29" t="n"/>
      <c r="BD28" s="29" t="n"/>
      <c r="BE28" s="29" t="n"/>
      <c r="BF28" s="29" t="n"/>
      <c r="BG28" s="29" t="n"/>
      <c r="BH28" s="29" t="n"/>
      <c r="BI28" s="29" t="n"/>
      <c r="BJ28" s="29" t="n"/>
      <c r="BK28" s="29" t="n"/>
      <c r="BL28" s="29" t="n"/>
      <c r="BM28" s="29" t="n"/>
      <c r="BN28" s="29" t="n"/>
      <c r="BO28" s="29" t="n"/>
      <c r="BP28" s="29" t="n"/>
      <c r="BQ28" s="29" t="n"/>
      <c r="BR28" s="222" t="n"/>
      <c r="BS28" s="13" t="n"/>
      <c r="BT28" s="13" t="n"/>
    </row>
    <row r="29" ht="19.5" customHeight="1">
      <c r="A29" s="23" t="n">
        <v>27</v>
      </c>
      <c r="B29" s="29" t="n"/>
      <c r="C29" s="29" t="n"/>
      <c r="D29" s="29" t="n"/>
      <c r="E29" s="29" t="n"/>
      <c r="F29" s="29" t="n"/>
      <c r="G29" s="29" t="n"/>
      <c r="H29" s="29" t="n"/>
      <c r="I29" s="29" t="n"/>
      <c r="J29" s="29" t="n"/>
      <c r="K29" s="29" t="n"/>
      <c r="L29" s="29" t="n"/>
      <c r="M29" s="29" t="n"/>
      <c r="N29" s="29" t="n"/>
      <c r="O29" s="29" t="n"/>
      <c r="P29" s="29" t="n"/>
      <c r="Q29" s="29" t="n"/>
      <c r="R29" s="29" t="n"/>
      <c r="S29" s="29" t="n"/>
      <c r="T29" s="29" t="n"/>
      <c r="U29" s="29" t="n"/>
      <c r="V29" s="29" t="n"/>
      <c r="W29" s="29" t="n"/>
      <c r="X29" s="29" t="n"/>
      <c r="Y29" s="29" t="n"/>
      <c r="Z29" s="29" t="n"/>
      <c r="AA29" s="29" t="n"/>
      <c r="AB29" s="29" t="n"/>
      <c r="AC29" s="29" t="n"/>
      <c r="AD29" s="29" t="n"/>
      <c r="AE29" s="29" t="n"/>
      <c r="AF29" s="29" t="n"/>
      <c r="AG29" s="29" t="n"/>
      <c r="AH29" s="29" t="n"/>
      <c r="AI29" s="29" t="n"/>
      <c r="AJ29" s="29" t="n"/>
      <c r="AK29" s="29" t="n"/>
      <c r="AL29" s="29" t="n"/>
      <c r="AM29" s="29" t="n"/>
      <c r="AN29" s="29" t="n"/>
      <c r="AO29" s="29" t="n"/>
      <c r="AP29" s="29" t="n"/>
      <c r="AQ29" s="29" t="n"/>
      <c r="AR29" s="29" t="n"/>
      <c r="AS29" s="29" t="n"/>
      <c r="AT29" s="29" t="n"/>
      <c r="AU29" s="29" t="n"/>
      <c r="AV29" s="29" t="n"/>
      <c r="AW29" s="29" t="n"/>
      <c r="AX29" s="29" t="n"/>
      <c r="AY29" s="29" t="n"/>
      <c r="AZ29" s="29" t="n"/>
      <c r="BA29" s="29" t="n"/>
      <c r="BB29" s="29" t="n"/>
      <c r="BC29" s="29" t="n"/>
      <c r="BD29" s="29" t="n"/>
      <c r="BE29" s="29" t="n"/>
      <c r="BF29" s="29" t="n"/>
      <c r="BG29" s="29" t="n"/>
      <c r="BH29" s="29" t="n"/>
      <c r="BI29" s="29" t="n"/>
      <c r="BJ29" s="29" t="n"/>
      <c r="BK29" s="29" t="n"/>
      <c r="BL29" s="29" t="n"/>
      <c r="BM29" s="29" t="n"/>
      <c r="BN29" s="29" t="n"/>
      <c r="BO29" s="29" t="n"/>
      <c r="BP29" s="29" t="n"/>
      <c r="BQ29" s="29" t="n"/>
      <c r="BR29" s="222" t="n"/>
      <c r="BS29" s="13" t="n"/>
      <c r="BT29" s="13" t="n"/>
    </row>
    <row r="30" ht="19.5" customHeight="1">
      <c r="A30" s="23" t="n">
        <v>28</v>
      </c>
      <c r="B30" s="29" t="n"/>
      <c r="C30" s="29" t="n"/>
      <c r="D30" s="29" t="n"/>
      <c r="E30" s="29" t="n"/>
      <c r="F30" s="29" t="n"/>
      <c r="G30" s="29" t="n"/>
      <c r="H30" s="29" t="n"/>
      <c r="I30" s="29" t="n"/>
      <c r="J30" s="29" t="n"/>
      <c r="K30" s="29" t="n"/>
      <c r="L30" s="29" t="n"/>
      <c r="M30" s="29" t="n"/>
      <c r="N30" s="29" t="n"/>
      <c r="O30" s="29" t="n"/>
      <c r="P30" s="29" t="n"/>
      <c r="Q30" s="29" t="n"/>
      <c r="R30" s="29" t="n"/>
      <c r="S30" s="29" t="n"/>
      <c r="T30" s="29" t="n"/>
      <c r="U30" s="29" t="n"/>
      <c r="V30" s="29" t="n"/>
      <c r="W30" s="29" t="n"/>
      <c r="X30" s="29" t="n"/>
      <c r="Y30" s="29" t="n"/>
      <c r="Z30" s="29" t="n"/>
      <c r="AA30" s="29" t="n"/>
      <c r="AB30" s="29" t="n"/>
      <c r="AC30" s="29" t="n"/>
      <c r="AD30" s="29" t="n"/>
      <c r="AE30" s="29" t="n"/>
      <c r="AF30" s="29" t="n"/>
      <c r="AG30" s="29" t="n"/>
      <c r="AH30" s="29" t="n"/>
      <c r="AI30" s="29" t="n"/>
      <c r="AJ30" s="29" t="n"/>
      <c r="AK30" s="29" t="n"/>
      <c r="AL30" s="29" t="n"/>
      <c r="AM30" s="29" t="n"/>
      <c r="AN30" s="29" t="n"/>
      <c r="AO30" s="29" t="n"/>
      <c r="AP30" s="29" t="n"/>
      <c r="AQ30" s="29" t="n"/>
      <c r="AR30" s="29" t="n"/>
      <c r="AS30" s="29" t="n"/>
      <c r="AT30" s="29" t="n"/>
      <c r="AU30" s="29" t="n"/>
      <c r="AV30" s="29" t="n"/>
      <c r="AW30" s="29" t="n"/>
      <c r="AX30" s="29" t="n"/>
      <c r="AY30" s="29" t="n"/>
      <c r="AZ30" s="29" t="n"/>
      <c r="BA30" s="29" t="n"/>
      <c r="BB30" s="29" t="n"/>
      <c r="BC30" s="29" t="n"/>
      <c r="BD30" s="29" t="n"/>
      <c r="BE30" s="29" t="n"/>
      <c r="BF30" s="29" t="n"/>
      <c r="BG30" s="29" t="n"/>
      <c r="BH30" s="29" t="n"/>
      <c r="BI30" s="29" t="n"/>
      <c r="BJ30" s="29" t="n"/>
      <c r="BK30" s="29" t="n"/>
      <c r="BL30" s="29" t="n"/>
      <c r="BM30" s="29" t="n"/>
      <c r="BN30" s="29" t="n"/>
      <c r="BO30" s="29" t="n"/>
      <c r="BP30" s="29" t="n"/>
      <c r="BQ30" s="29" t="n"/>
      <c r="BR30" s="222" t="n"/>
      <c r="BS30" s="13" t="n"/>
      <c r="BT30" s="13" t="n"/>
    </row>
    <row r="31" ht="19.5" customHeight="1">
      <c r="A31" s="23" t="n">
        <v>29</v>
      </c>
      <c r="B31" s="29" t="n"/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  <c r="AJ31" s="29" t="n"/>
      <c r="AK31" s="29" t="n"/>
      <c r="AL31" s="29" t="n"/>
      <c r="AM31" s="29" t="n"/>
      <c r="AN31" s="29" t="n"/>
      <c r="AO31" s="29" t="n"/>
      <c r="AP31" s="29" t="n"/>
      <c r="AQ31" s="29" t="n"/>
      <c r="AR31" s="29" t="n"/>
      <c r="AS31" s="29" t="n"/>
      <c r="AT31" s="29" t="n"/>
      <c r="AU31" s="29" t="n"/>
      <c r="AV31" s="29" t="n"/>
      <c r="AW31" s="29" t="n"/>
      <c r="AX31" s="29" t="n"/>
      <c r="AY31" s="29" t="n"/>
      <c r="AZ31" s="29" t="n"/>
      <c r="BA31" s="29" t="n"/>
      <c r="BB31" s="29" t="n"/>
      <c r="BC31" s="29" t="n"/>
      <c r="BD31" s="29" t="n"/>
      <c r="BE31" s="29" t="n"/>
      <c r="BF31" s="29" t="n"/>
      <c r="BG31" s="29" t="n"/>
      <c r="BH31" s="29" t="n"/>
      <c r="BI31" s="29" t="n"/>
      <c r="BJ31" s="29" t="n"/>
      <c r="BK31" s="29" t="n"/>
      <c r="BL31" s="29" t="n"/>
      <c r="BM31" s="29" t="n"/>
      <c r="BN31" s="29" t="n"/>
      <c r="BO31" s="29" t="n"/>
      <c r="BP31" s="29" t="n"/>
      <c r="BQ31" s="29" t="n"/>
      <c r="BR31" s="222" t="n"/>
      <c r="BS31" s="13" t="n"/>
      <c r="BT31" s="13" t="n"/>
    </row>
    <row r="32" ht="19.5" customHeight="1">
      <c r="A32" s="23" t="n">
        <v>30</v>
      </c>
      <c r="B32" s="29" t="n"/>
      <c r="C32" s="29" t="n"/>
      <c r="D32" s="29" t="n"/>
      <c r="E32" s="29" t="n"/>
      <c r="F32" s="29" t="n"/>
      <c r="G32" s="29" t="n"/>
      <c r="H32" s="29" t="n"/>
      <c r="I32" s="29" t="n"/>
      <c r="J32" s="29" t="n"/>
      <c r="K32" s="29" t="n"/>
      <c r="L32" s="29" t="n"/>
      <c r="M32" s="29" t="n"/>
      <c r="N32" s="29" t="n"/>
      <c r="O32" s="29" t="n"/>
      <c r="P32" s="29" t="n"/>
      <c r="Q32" s="29" t="n"/>
      <c r="R32" s="29" t="n"/>
      <c r="S32" s="29" t="n"/>
      <c r="T32" s="29" t="n"/>
      <c r="U32" s="29" t="n"/>
      <c r="V32" s="29" t="n"/>
      <c r="W32" s="29" t="n"/>
      <c r="X32" s="29" t="n"/>
      <c r="Y32" s="29" t="n"/>
      <c r="Z32" s="29" t="n"/>
      <c r="AA32" s="29" t="n"/>
      <c r="AB32" s="29" t="n"/>
      <c r="AC32" s="29" t="n"/>
      <c r="AD32" s="29" t="n"/>
      <c r="AE32" s="29" t="n"/>
      <c r="AF32" s="29" t="n"/>
      <c r="AG32" s="29" t="n"/>
      <c r="AH32" s="29" t="n"/>
      <c r="AI32" s="29" t="n"/>
      <c r="AJ32" s="29" t="n"/>
      <c r="AK32" s="29" t="n"/>
      <c r="AL32" s="29" t="n"/>
      <c r="AM32" s="29" t="n"/>
      <c r="AN32" s="29" t="n"/>
      <c r="AO32" s="29" t="n"/>
      <c r="AP32" s="29" t="n"/>
      <c r="AQ32" s="29" t="n"/>
      <c r="AR32" s="29" t="n"/>
      <c r="AS32" s="29" t="n"/>
      <c r="AT32" s="29" t="n"/>
      <c r="AU32" s="29" t="n"/>
      <c r="AV32" s="29" t="n"/>
      <c r="AW32" s="29" t="n"/>
      <c r="AX32" s="29" t="n"/>
      <c r="AY32" s="29" t="n"/>
      <c r="AZ32" s="29" t="n"/>
      <c r="BA32" s="29" t="n"/>
      <c r="BB32" s="29" t="n"/>
      <c r="BC32" s="29" t="n"/>
      <c r="BD32" s="29" t="n"/>
      <c r="BE32" s="29" t="n"/>
      <c r="BF32" s="29" t="n"/>
      <c r="BG32" s="29" t="n"/>
      <c r="BH32" s="29" t="n"/>
      <c r="BI32" s="29" t="n"/>
      <c r="BJ32" s="29" t="n"/>
      <c r="BK32" s="29" t="n"/>
      <c r="BL32" s="29" t="n"/>
      <c r="BM32" s="29" t="n"/>
      <c r="BN32" s="29" t="n"/>
      <c r="BO32" s="29" t="n"/>
      <c r="BP32" s="29" t="n"/>
      <c r="BQ32" s="29" t="n"/>
      <c r="BR32" s="222" t="n"/>
      <c r="BS32" s="13" t="n"/>
      <c r="BT32" s="13" t="n"/>
    </row>
    <row r="33" ht="19.5" customHeight="1">
      <c r="A33" s="23" t="n">
        <v>31</v>
      </c>
      <c r="B33" s="29" t="n"/>
      <c r="C33" s="29" t="n"/>
      <c r="D33" s="29" t="n"/>
      <c r="E33" s="29" t="n"/>
      <c r="F33" s="29" t="n"/>
      <c r="G33" s="29" t="n"/>
      <c r="H33" s="29" t="n"/>
      <c r="I33" s="29" t="n"/>
      <c r="J33" s="29" t="n"/>
      <c r="K33" s="29" t="n"/>
      <c r="L33" s="29" t="n"/>
      <c r="M33" s="29" t="n"/>
      <c r="N33" s="29" t="n"/>
      <c r="O33" s="29" t="n"/>
      <c r="P33" s="29" t="n"/>
      <c r="Q33" s="29" t="n"/>
      <c r="R33" s="29" t="n"/>
      <c r="S33" s="29" t="n"/>
      <c r="T33" s="29" t="n"/>
      <c r="U33" s="29" t="n"/>
      <c r="V33" s="29" t="n"/>
      <c r="W33" s="29" t="n"/>
      <c r="X33" s="29" t="n"/>
      <c r="Y33" s="29" t="n"/>
      <c r="Z33" s="29" t="n"/>
      <c r="AA33" s="29" t="n"/>
      <c r="AB33" s="29" t="n"/>
      <c r="AC33" s="29" t="n"/>
      <c r="AD33" s="29" t="n"/>
      <c r="AE33" s="29" t="n"/>
      <c r="AF33" s="29" t="n"/>
      <c r="AG33" s="29" t="n"/>
      <c r="AH33" s="29" t="n"/>
      <c r="AI33" s="29" t="n"/>
      <c r="AJ33" s="29" t="n"/>
      <c r="AK33" s="29" t="n"/>
      <c r="AL33" s="29" t="n"/>
      <c r="AM33" s="29" t="n"/>
      <c r="AN33" s="29" t="n"/>
      <c r="AO33" s="29" t="n"/>
      <c r="AP33" s="29" t="n"/>
      <c r="AQ33" s="29" t="n"/>
      <c r="AR33" s="29" t="n"/>
      <c r="AS33" s="29" t="n"/>
      <c r="AT33" s="29" t="n"/>
      <c r="AU33" s="29" t="n"/>
      <c r="AV33" s="29" t="n"/>
      <c r="AW33" s="29" t="n"/>
      <c r="AX33" s="29" t="n"/>
      <c r="AY33" s="29" t="n"/>
      <c r="AZ33" s="29" t="n"/>
      <c r="BA33" s="29" t="n"/>
      <c r="BB33" s="29" t="n"/>
      <c r="BC33" s="29" t="n"/>
      <c r="BD33" s="29" t="n"/>
      <c r="BE33" s="29" t="n"/>
      <c r="BF33" s="29" t="n"/>
      <c r="BG33" s="29" t="n"/>
      <c r="BH33" s="29" t="n"/>
      <c r="BI33" s="29" t="n"/>
      <c r="BJ33" s="29" t="n"/>
      <c r="BK33" s="29" t="n"/>
      <c r="BL33" s="29" t="n"/>
      <c r="BM33" s="29" t="n"/>
      <c r="BN33" s="29" t="n"/>
      <c r="BO33" s="29" t="n"/>
      <c r="BP33" s="29" t="n"/>
      <c r="BQ33" s="29" t="n"/>
      <c r="BR33" s="222" t="n"/>
      <c r="BS33" s="13" t="n"/>
      <c r="BT33" s="13" t="n"/>
    </row>
    <row r="34" ht="19.5" customHeight="1">
      <c r="A34" s="23" t="n">
        <v>32</v>
      </c>
      <c r="B34" s="29" t="n"/>
      <c r="C34" s="29" t="n"/>
      <c r="D34" s="29" t="n"/>
      <c r="E34" s="29" t="n"/>
      <c r="F34" s="29" t="n"/>
      <c r="G34" s="29" t="n"/>
      <c r="H34" s="29" t="n"/>
      <c r="I34" s="29" t="n"/>
      <c r="J34" s="29" t="n"/>
      <c r="K34" s="29" t="n"/>
      <c r="L34" s="29" t="n"/>
      <c r="M34" s="29" t="n"/>
      <c r="N34" s="29" t="n"/>
      <c r="O34" s="29" t="n"/>
      <c r="P34" s="29" t="n"/>
      <c r="Q34" s="29" t="n"/>
      <c r="R34" s="29" t="n"/>
      <c r="S34" s="29" t="n"/>
      <c r="T34" s="29" t="n"/>
      <c r="U34" s="29" t="n"/>
      <c r="V34" s="29" t="n"/>
      <c r="W34" s="29" t="n"/>
      <c r="X34" s="29" t="n"/>
      <c r="Y34" s="29" t="n"/>
      <c r="Z34" s="29" t="n"/>
      <c r="AA34" s="29" t="n"/>
      <c r="AB34" s="29" t="n"/>
      <c r="AC34" s="29" t="n"/>
      <c r="AD34" s="29" t="n"/>
      <c r="AE34" s="29" t="n"/>
      <c r="AF34" s="29" t="n"/>
      <c r="AG34" s="29" t="n"/>
      <c r="AH34" s="29" t="n"/>
      <c r="AI34" s="29" t="n"/>
      <c r="AJ34" s="29" t="n"/>
      <c r="AK34" s="29" t="n"/>
      <c r="AL34" s="29" t="n"/>
      <c r="AM34" s="29" t="n"/>
      <c r="AN34" s="29" t="n"/>
      <c r="AO34" s="29" t="n"/>
      <c r="AP34" s="29" t="n"/>
      <c r="AQ34" s="29" t="n"/>
      <c r="AR34" s="29" t="n"/>
      <c r="AS34" s="29" t="n"/>
      <c r="AT34" s="29" t="n"/>
      <c r="AU34" s="29" t="n"/>
      <c r="AV34" s="29" t="n"/>
      <c r="AW34" s="29" t="n"/>
      <c r="AX34" s="29" t="n"/>
      <c r="AY34" s="29" t="n"/>
      <c r="AZ34" s="29" t="n"/>
      <c r="BA34" s="29" t="n"/>
      <c r="BB34" s="29" t="n"/>
      <c r="BC34" s="29" t="n"/>
      <c r="BD34" s="29" t="n"/>
      <c r="BE34" s="29" t="n"/>
      <c r="BF34" s="29" t="n"/>
      <c r="BG34" s="29" t="n"/>
      <c r="BH34" s="29" t="n"/>
      <c r="BI34" s="29" t="n"/>
      <c r="BJ34" s="29" t="n"/>
      <c r="BK34" s="29" t="n"/>
      <c r="BL34" s="29" t="n"/>
      <c r="BM34" s="29" t="n"/>
      <c r="BN34" s="29" t="n"/>
      <c r="BO34" s="29" t="n"/>
      <c r="BP34" s="29" t="n"/>
      <c r="BQ34" s="29" t="n"/>
      <c r="BR34" s="222" t="n"/>
      <c r="BS34" s="13" t="n"/>
      <c r="BT34" s="13" t="n"/>
    </row>
    <row r="35" ht="19.5" customHeight="1">
      <c r="A35" s="23" t="n">
        <v>33</v>
      </c>
      <c r="B35" s="29" t="n"/>
      <c r="C35" s="29" t="n"/>
      <c r="D35" s="29" t="n"/>
      <c r="E35" s="29" t="n"/>
      <c r="F35" s="29" t="n"/>
      <c r="G35" s="29" t="n"/>
      <c r="H35" s="29" t="n"/>
      <c r="I35" s="29" t="n"/>
      <c r="J35" s="29" t="n"/>
      <c r="K35" s="29" t="n"/>
      <c r="L35" s="29" t="n"/>
      <c r="M35" s="29" t="n"/>
      <c r="N35" s="29" t="n"/>
      <c r="O35" s="29" t="n"/>
      <c r="P35" s="29" t="n"/>
      <c r="Q35" s="29" t="n"/>
      <c r="R35" s="29" t="n"/>
      <c r="S35" s="29" t="n"/>
      <c r="T35" s="29" t="n"/>
      <c r="U35" s="29" t="n"/>
      <c r="V35" s="29" t="n"/>
      <c r="W35" s="29" t="n"/>
      <c r="X35" s="29" t="n"/>
      <c r="Y35" s="29" t="n"/>
      <c r="Z35" s="29" t="n"/>
      <c r="AA35" s="29" t="n"/>
      <c r="AB35" s="29" t="n"/>
      <c r="AC35" s="29" t="n"/>
      <c r="AD35" s="29" t="n"/>
      <c r="AE35" s="29" t="n"/>
      <c r="AF35" s="29" t="n"/>
      <c r="AG35" s="29" t="n"/>
      <c r="AH35" s="29" t="n"/>
      <c r="AI35" s="29" t="n"/>
      <c r="AJ35" s="29" t="n"/>
      <c r="AK35" s="29" t="n"/>
      <c r="AL35" s="29" t="n"/>
      <c r="AM35" s="29" t="n"/>
      <c r="AN35" s="29" t="n"/>
      <c r="AO35" s="29" t="n"/>
      <c r="AP35" s="29" t="n"/>
      <c r="AQ35" s="29" t="n"/>
      <c r="AR35" s="29" t="n"/>
      <c r="AS35" s="29" t="n"/>
      <c r="AT35" s="29" t="n"/>
      <c r="AU35" s="29" t="n"/>
      <c r="AV35" s="29" t="n"/>
      <c r="AW35" s="29" t="n"/>
      <c r="AX35" s="29" t="n"/>
      <c r="AY35" s="29" t="n"/>
      <c r="AZ35" s="29" t="n"/>
      <c r="BA35" s="29" t="n"/>
      <c r="BB35" s="29" t="n"/>
      <c r="BC35" s="29" t="n"/>
      <c r="BD35" s="29" t="n"/>
      <c r="BE35" s="29" t="n"/>
      <c r="BF35" s="29" t="n"/>
      <c r="BG35" s="29" t="n"/>
      <c r="BH35" s="29" t="n"/>
      <c r="BI35" s="29" t="n"/>
      <c r="BJ35" s="29" t="n"/>
      <c r="BK35" s="29" t="n"/>
      <c r="BL35" s="29" t="n"/>
      <c r="BM35" s="29" t="n"/>
      <c r="BN35" s="29" t="n"/>
      <c r="BO35" s="29" t="n"/>
      <c r="BP35" s="29" t="n"/>
      <c r="BQ35" s="29" t="n"/>
      <c r="BR35" s="222" t="n"/>
      <c r="BS35" s="13" t="n"/>
      <c r="BT35" s="13" t="n"/>
    </row>
    <row r="36" ht="19.5" customHeight="1">
      <c r="A36" s="23" t="n">
        <v>34</v>
      </c>
      <c r="B36" s="29" t="n"/>
      <c r="C36" s="29" t="n"/>
      <c r="D36" s="29" t="n"/>
      <c r="E36" s="29" t="n"/>
      <c r="F36" s="29" t="n"/>
      <c r="G36" s="29" t="n"/>
      <c r="H36" s="29" t="n"/>
      <c r="I36" s="29" t="n"/>
      <c r="J36" s="29" t="n"/>
      <c r="K36" s="29" t="n"/>
      <c r="L36" s="29" t="n"/>
      <c r="M36" s="29" t="n"/>
      <c r="N36" s="29" t="n"/>
      <c r="O36" s="29" t="n"/>
      <c r="P36" s="29" t="n"/>
      <c r="Q36" s="29" t="n"/>
      <c r="R36" s="29" t="n"/>
      <c r="S36" s="29" t="n"/>
      <c r="T36" s="29" t="n"/>
      <c r="U36" s="29" t="n"/>
      <c r="V36" s="29" t="n"/>
      <c r="W36" s="29" t="n"/>
      <c r="X36" s="29" t="n"/>
      <c r="Y36" s="29" t="n"/>
      <c r="Z36" s="29" t="n"/>
      <c r="AA36" s="29" t="n"/>
      <c r="AB36" s="29" t="n"/>
      <c r="AC36" s="29" t="n"/>
      <c r="AD36" s="29" t="n"/>
      <c r="AE36" s="29" t="n"/>
      <c r="AF36" s="29" t="n"/>
      <c r="AG36" s="29" t="n"/>
      <c r="AH36" s="29" t="n"/>
      <c r="AI36" s="29" t="n"/>
      <c r="AJ36" s="29" t="n"/>
      <c r="AK36" s="29" t="n"/>
      <c r="AL36" s="29" t="n"/>
      <c r="AM36" s="29" t="n"/>
      <c r="AN36" s="29" t="n"/>
      <c r="AO36" s="29" t="n"/>
      <c r="AP36" s="29" t="n"/>
      <c r="AQ36" s="29" t="n"/>
      <c r="AR36" s="29" t="n"/>
      <c r="AS36" s="29" t="n"/>
      <c r="AT36" s="29" t="n"/>
      <c r="AU36" s="29" t="n"/>
      <c r="AV36" s="29" t="n"/>
      <c r="AW36" s="29" t="n"/>
      <c r="AX36" s="29" t="n"/>
      <c r="AY36" s="29" t="n"/>
      <c r="AZ36" s="29" t="n"/>
      <c r="BA36" s="29" t="n"/>
      <c r="BB36" s="29" t="n"/>
      <c r="BC36" s="29" t="n"/>
      <c r="BD36" s="29" t="n"/>
      <c r="BE36" s="29" t="n"/>
      <c r="BF36" s="29" t="n"/>
      <c r="BG36" s="29" t="n"/>
      <c r="BH36" s="29" t="n"/>
      <c r="BI36" s="29" t="n"/>
      <c r="BJ36" s="29" t="n"/>
      <c r="BK36" s="29" t="n"/>
      <c r="BL36" s="29" t="n"/>
      <c r="BM36" s="29" t="n"/>
      <c r="BN36" s="29" t="n"/>
      <c r="BO36" s="29" t="n"/>
      <c r="BP36" s="29" t="n"/>
      <c r="BQ36" s="29" t="n"/>
      <c r="BR36" s="222" t="n"/>
      <c r="BS36" s="13" t="n"/>
      <c r="BT36" s="13" t="n"/>
    </row>
    <row r="37" ht="19.5" customHeight="1">
      <c r="A37" s="23" t="n">
        <v>35</v>
      </c>
      <c r="B37" s="29" t="n"/>
      <c r="C37" s="29" t="n"/>
      <c r="D37" s="29" t="n"/>
      <c r="E37" s="29" t="n"/>
      <c r="F37" s="29" t="n"/>
      <c r="G37" s="29" t="n"/>
      <c r="H37" s="29" t="n"/>
      <c r="I37" s="29" t="n"/>
      <c r="J37" s="29" t="n"/>
      <c r="K37" s="29" t="n"/>
      <c r="L37" s="29" t="n"/>
      <c r="M37" s="29" t="n"/>
      <c r="N37" s="29" t="n"/>
      <c r="O37" s="29" t="n"/>
      <c r="P37" s="29" t="n"/>
      <c r="Q37" s="29" t="n"/>
      <c r="R37" s="29" t="n"/>
      <c r="S37" s="29" t="n"/>
      <c r="T37" s="29" t="n"/>
      <c r="U37" s="29" t="n"/>
      <c r="V37" s="29" t="n"/>
      <c r="W37" s="29" t="n"/>
      <c r="X37" s="29" t="n"/>
      <c r="Y37" s="29" t="n"/>
      <c r="Z37" s="29" t="n"/>
      <c r="AA37" s="29" t="n"/>
      <c r="AB37" s="29" t="n"/>
      <c r="AC37" s="29" t="n"/>
      <c r="AD37" s="29" t="n"/>
      <c r="AE37" s="29" t="n"/>
      <c r="AF37" s="29" t="n"/>
      <c r="AG37" s="29" t="n"/>
      <c r="AH37" s="29" t="n"/>
      <c r="AI37" s="29" t="n"/>
      <c r="AJ37" s="29" t="n"/>
      <c r="AK37" s="29" t="n"/>
      <c r="AL37" s="29" t="n"/>
      <c r="AM37" s="29" t="n"/>
      <c r="AN37" s="29" t="n"/>
      <c r="AO37" s="29" t="n"/>
      <c r="AP37" s="29" t="n"/>
      <c r="AQ37" s="29" t="n"/>
      <c r="AR37" s="29" t="n"/>
      <c r="AS37" s="29" t="n"/>
      <c r="AT37" s="29" t="n"/>
      <c r="AU37" s="29" t="n"/>
      <c r="AV37" s="29" t="n"/>
      <c r="AW37" s="29" t="n"/>
      <c r="AX37" s="29" t="n"/>
      <c r="AY37" s="29" t="n"/>
      <c r="AZ37" s="29" t="n"/>
      <c r="BA37" s="29" t="n"/>
      <c r="BB37" s="29" t="n"/>
      <c r="BC37" s="29" t="n"/>
      <c r="BD37" s="29" t="n"/>
      <c r="BE37" s="29" t="n"/>
      <c r="BF37" s="29" t="n"/>
      <c r="BG37" s="29" t="n"/>
      <c r="BH37" s="29" t="n"/>
      <c r="BI37" s="29" t="n"/>
      <c r="BJ37" s="29" t="n"/>
      <c r="BK37" s="29" t="n"/>
      <c r="BL37" s="29" t="n"/>
      <c r="BM37" s="29" t="n"/>
      <c r="BN37" s="29" t="n"/>
      <c r="BO37" s="29" t="n"/>
      <c r="BP37" s="29" t="n"/>
      <c r="BQ37" s="29" t="n"/>
      <c r="BR37" s="222" t="n"/>
      <c r="BS37" s="13" t="n"/>
      <c r="BT37" s="13" t="n"/>
    </row>
    <row r="38" ht="19.5" customHeight="1">
      <c r="A38" s="23" t="n">
        <v>36</v>
      </c>
      <c r="B38" s="29" t="n"/>
      <c r="C38" s="29" t="n"/>
      <c r="D38" s="29" t="n"/>
      <c r="E38" s="29" t="n"/>
      <c r="F38" s="29" t="n"/>
      <c r="G38" s="29" t="n"/>
      <c r="H38" s="29" t="n"/>
      <c r="I38" s="29" t="n"/>
      <c r="J38" s="29" t="n"/>
      <c r="K38" s="29" t="n"/>
      <c r="L38" s="29" t="n"/>
      <c r="M38" s="29" t="n"/>
      <c r="N38" s="29" t="n"/>
      <c r="O38" s="29" t="n"/>
      <c r="P38" s="29" t="n"/>
      <c r="Q38" s="29" t="n"/>
      <c r="R38" s="29" t="n"/>
      <c r="S38" s="29" t="n"/>
      <c r="T38" s="29" t="n"/>
      <c r="U38" s="29" t="n"/>
      <c r="V38" s="29" t="n"/>
      <c r="W38" s="29" t="n"/>
      <c r="X38" s="29" t="n"/>
      <c r="Y38" s="29" t="n"/>
      <c r="Z38" s="29" t="n"/>
      <c r="AA38" s="29" t="n"/>
      <c r="AB38" s="29" t="n"/>
      <c r="AC38" s="29" t="n"/>
      <c r="AD38" s="29" t="n"/>
      <c r="AE38" s="29" t="n"/>
      <c r="AF38" s="29" t="n"/>
      <c r="AG38" s="29" t="n"/>
      <c r="AH38" s="29" t="n"/>
      <c r="AI38" s="29" t="n"/>
      <c r="AJ38" s="29" t="n"/>
      <c r="AK38" s="29" t="n"/>
      <c r="AL38" s="29" t="n"/>
      <c r="AM38" s="29" t="n"/>
      <c r="AN38" s="29" t="n"/>
      <c r="AO38" s="29" t="n"/>
      <c r="AP38" s="29" t="n"/>
      <c r="AQ38" s="29" t="n"/>
      <c r="AR38" s="29" t="n"/>
      <c r="AS38" s="29" t="n"/>
      <c r="AT38" s="29" t="n"/>
      <c r="AU38" s="29" t="n"/>
      <c r="AV38" s="29" t="n"/>
      <c r="AW38" s="29" t="n"/>
      <c r="AX38" s="29" t="n"/>
      <c r="AY38" s="29" t="n"/>
      <c r="AZ38" s="29" t="n"/>
      <c r="BA38" s="29" t="n"/>
      <c r="BB38" s="29" t="n"/>
      <c r="BC38" s="29" t="n"/>
      <c r="BD38" s="29" t="n"/>
      <c r="BE38" s="29" t="n"/>
      <c r="BF38" s="29" t="n"/>
      <c r="BG38" s="29" t="n"/>
      <c r="BH38" s="29" t="n"/>
      <c r="BI38" s="29" t="n"/>
      <c r="BJ38" s="29" t="n"/>
      <c r="BK38" s="29" t="n"/>
      <c r="BL38" s="29" t="n"/>
      <c r="BM38" s="29" t="n"/>
      <c r="BN38" s="29" t="n"/>
      <c r="BO38" s="29" t="n"/>
      <c r="BP38" s="29" t="n"/>
      <c r="BQ38" s="29" t="n"/>
      <c r="BR38" s="222" t="n"/>
      <c r="BS38" s="13" t="n"/>
      <c r="BT38" s="13" t="n"/>
    </row>
    <row r="39" ht="19.5" customHeight="1">
      <c r="A39" s="23" t="n">
        <v>37</v>
      </c>
      <c r="B39" s="29" t="n"/>
      <c r="C39" s="29" t="n"/>
      <c r="D39" s="29" t="n"/>
      <c r="E39" s="29" t="n"/>
      <c r="F39" s="29" t="n"/>
      <c r="G39" s="29" t="n"/>
      <c r="H39" s="29" t="n"/>
      <c r="I39" s="29" t="n"/>
      <c r="J39" s="29" t="n"/>
      <c r="K39" s="29" t="n"/>
      <c r="L39" s="29" t="n"/>
      <c r="M39" s="29" t="n"/>
      <c r="N39" s="29" t="n"/>
      <c r="O39" s="29" t="n"/>
      <c r="P39" s="29" t="n"/>
      <c r="Q39" s="29" t="n"/>
      <c r="R39" s="29" t="n"/>
      <c r="S39" s="29" t="n"/>
      <c r="T39" s="29" t="n"/>
      <c r="U39" s="29" t="n"/>
      <c r="V39" s="29" t="n"/>
      <c r="W39" s="29" t="n"/>
      <c r="X39" s="29" t="n"/>
      <c r="Y39" s="29" t="n"/>
      <c r="Z39" s="29" t="n"/>
      <c r="AA39" s="29" t="n"/>
      <c r="AB39" s="29" t="n"/>
      <c r="AC39" s="29" t="n"/>
      <c r="AD39" s="29" t="n"/>
      <c r="AE39" s="29" t="n"/>
      <c r="AF39" s="29" t="n"/>
      <c r="AG39" s="29" t="n"/>
      <c r="AH39" s="29" t="n"/>
      <c r="AI39" s="29" t="n"/>
      <c r="AJ39" s="29" t="n"/>
      <c r="AK39" s="29" t="n"/>
      <c r="AL39" s="29" t="n"/>
      <c r="AM39" s="29" t="n"/>
      <c r="AN39" s="29" t="n"/>
      <c r="AO39" s="29" t="n"/>
      <c r="AP39" s="29" t="n"/>
      <c r="AQ39" s="29" t="n"/>
      <c r="AR39" s="29" t="n"/>
      <c r="AS39" s="29" t="n"/>
      <c r="AT39" s="29" t="n"/>
      <c r="AU39" s="29" t="n"/>
      <c r="AV39" s="29" t="n"/>
      <c r="AW39" s="29" t="n"/>
      <c r="AX39" s="29" t="n"/>
      <c r="AY39" s="29" t="n"/>
      <c r="AZ39" s="29" t="n"/>
      <c r="BA39" s="29" t="n"/>
      <c r="BB39" s="29" t="n"/>
      <c r="BC39" s="29" t="n"/>
      <c r="BD39" s="29" t="n"/>
      <c r="BE39" s="29" t="n"/>
      <c r="BF39" s="29" t="n"/>
      <c r="BG39" s="29" t="n"/>
      <c r="BH39" s="29" t="n"/>
      <c r="BI39" s="29" t="n"/>
      <c r="BJ39" s="29" t="n"/>
      <c r="BK39" s="29" t="n"/>
      <c r="BL39" s="29" t="n"/>
      <c r="BM39" s="29" t="n"/>
      <c r="BN39" s="29" t="n"/>
      <c r="BO39" s="29" t="n"/>
      <c r="BP39" s="29" t="n"/>
      <c r="BQ39" s="29" t="n"/>
      <c r="BR39" s="222" t="n"/>
      <c r="BS39" s="13" t="n"/>
      <c r="BT39" s="13" t="n"/>
    </row>
    <row r="40" ht="19.5" customHeight="1">
      <c r="A40" s="23" t="n">
        <v>38</v>
      </c>
      <c r="B40" s="29" t="n"/>
      <c r="C40" s="29" t="n"/>
      <c r="D40" s="29" t="n"/>
      <c r="E40" s="29" t="n"/>
      <c r="F40" s="29" t="n"/>
      <c r="G40" s="29" t="n"/>
      <c r="H40" s="29" t="n"/>
      <c r="I40" s="29" t="n"/>
      <c r="J40" s="29" t="n"/>
      <c r="K40" s="29" t="n"/>
      <c r="L40" s="29" t="n"/>
      <c r="M40" s="29" t="n"/>
      <c r="N40" s="29" t="n"/>
      <c r="O40" s="29" t="n"/>
      <c r="P40" s="29" t="n"/>
      <c r="Q40" s="29" t="n"/>
      <c r="R40" s="29" t="n"/>
      <c r="S40" s="29" t="n"/>
      <c r="T40" s="29" t="n"/>
      <c r="U40" s="29" t="n"/>
      <c r="V40" s="29" t="n"/>
      <c r="W40" s="29" t="n"/>
      <c r="X40" s="29" t="n"/>
      <c r="Y40" s="29" t="n"/>
      <c r="Z40" s="29" t="n"/>
      <c r="AA40" s="29" t="n"/>
      <c r="AB40" s="29" t="n"/>
      <c r="AC40" s="29" t="n"/>
      <c r="AD40" s="29" t="n"/>
      <c r="AE40" s="29" t="n"/>
      <c r="AF40" s="29" t="n"/>
      <c r="AG40" s="29" t="n"/>
      <c r="AH40" s="29" t="n"/>
      <c r="AI40" s="29" t="n"/>
      <c r="AJ40" s="29" t="n"/>
      <c r="AK40" s="29" t="n"/>
      <c r="AL40" s="29" t="n"/>
      <c r="AM40" s="29" t="n"/>
      <c r="AN40" s="29" t="n"/>
      <c r="AO40" s="29" t="n"/>
      <c r="AP40" s="29" t="n"/>
      <c r="AQ40" s="29" t="n"/>
      <c r="AR40" s="29" t="n"/>
      <c r="AS40" s="29" t="n"/>
      <c r="AT40" s="29" t="n"/>
      <c r="AU40" s="29" t="n"/>
      <c r="AV40" s="29" t="n"/>
      <c r="AW40" s="29" t="n"/>
      <c r="AX40" s="29" t="n"/>
      <c r="AY40" s="29" t="n"/>
      <c r="AZ40" s="29" t="n"/>
      <c r="BA40" s="29" t="n"/>
      <c r="BB40" s="29" t="n"/>
      <c r="BC40" s="29" t="n"/>
      <c r="BD40" s="29" t="n"/>
      <c r="BE40" s="29" t="n"/>
      <c r="BF40" s="29" t="n"/>
      <c r="BG40" s="29" t="n"/>
      <c r="BH40" s="29" t="n"/>
      <c r="BI40" s="29" t="n"/>
      <c r="BJ40" s="29" t="n"/>
      <c r="BK40" s="29" t="n"/>
      <c r="BL40" s="29" t="n"/>
      <c r="BM40" s="29" t="n"/>
      <c r="BN40" s="29" t="n"/>
      <c r="BO40" s="29" t="n"/>
      <c r="BP40" s="29" t="n"/>
      <c r="BQ40" s="29" t="n"/>
      <c r="BR40" s="222" t="n"/>
      <c r="BS40" s="13" t="n"/>
      <c r="BT40" s="13" t="n"/>
    </row>
    <row r="41" ht="19.5" customHeight="1">
      <c r="A41" s="23" t="n">
        <v>39</v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29" t="n"/>
      <c r="K41" s="29" t="n"/>
      <c r="L41" s="29" t="n"/>
      <c r="M41" s="29" t="n"/>
      <c r="N41" s="29" t="n"/>
      <c r="O41" s="29" t="n"/>
      <c r="P41" s="29" t="n"/>
      <c r="Q41" s="29" t="n"/>
      <c r="R41" s="29" t="n"/>
      <c r="S41" s="29" t="n"/>
      <c r="T41" s="29" t="n"/>
      <c r="U41" s="29" t="n"/>
      <c r="V41" s="29" t="n"/>
      <c r="W41" s="29" t="n"/>
      <c r="X41" s="29" t="n"/>
      <c r="Y41" s="29" t="n"/>
      <c r="Z41" s="29" t="n"/>
      <c r="AA41" s="29" t="n"/>
      <c r="AB41" s="29" t="n"/>
      <c r="AC41" s="29" t="n"/>
      <c r="AD41" s="29" t="n"/>
      <c r="AE41" s="29" t="n"/>
      <c r="AF41" s="29" t="n"/>
      <c r="AG41" s="29" t="n"/>
      <c r="AH41" s="29" t="n"/>
      <c r="AI41" s="29" t="n"/>
      <c r="AJ41" s="29" t="n"/>
      <c r="AK41" s="29" t="n"/>
      <c r="AL41" s="29" t="n"/>
      <c r="AM41" s="29" t="n"/>
      <c r="AN41" s="29" t="n"/>
      <c r="AO41" s="29" t="n"/>
      <c r="AP41" s="29" t="n"/>
      <c r="AQ41" s="29" t="n"/>
      <c r="AR41" s="29" t="n"/>
      <c r="AS41" s="29" t="n"/>
      <c r="AT41" s="29" t="n"/>
      <c r="AU41" s="29" t="n"/>
      <c r="AV41" s="29" t="n"/>
      <c r="AW41" s="29" t="n"/>
      <c r="AX41" s="29" t="n"/>
      <c r="AY41" s="29" t="n"/>
      <c r="AZ41" s="29" t="n"/>
      <c r="BA41" s="29" t="n"/>
      <c r="BB41" s="29" t="n"/>
      <c r="BC41" s="29" t="n"/>
      <c r="BD41" s="29" t="n"/>
      <c r="BE41" s="29" t="n"/>
      <c r="BF41" s="29" t="n"/>
      <c r="BG41" s="29" t="n"/>
      <c r="BH41" s="29" t="n"/>
      <c r="BI41" s="29" t="n"/>
      <c r="BJ41" s="29" t="n"/>
      <c r="BK41" s="29" t="n"/>
      <c r="BL41" s="29" t="n"/>
      <c r="BM41" s="29" t="n"/>
      <c r="BN41" s="29" t="n"/>
      <c r="BO41" s="29" t="n"/>
      <c r="BP41" s="29" t="n"/>
      <c r="BQ41" s="29" t="n"/>
      <c r="BR41" s="222" t="n"/>
      <c r="BS41" s="13" t="n"/>
      <c r="BT41" s="13" t="n"/>
    </row>
    <row r="42" ht="15.75" customHeight="1">
      <c r="A42" s="23" t="n">
        <v>40</v>
      </c>
      <c r="B42" s="29" t="n"/>
      <c r="C42" s="29" t="n"/>
      <c r="D42" s="29" t="n"/>
      <c r="E42" s="29" t="n"/>
      <c r="F42" s="29" t="n"/>
      <c r="G42" s="29" t="n"/>
      <c r="H42" s="29" t="n"/>
      <c r="I42" s="29" t="n"/>
      <c r="J42" s="29" t="n"/>
      <c r="K42" s="29" t="n"/>
      <c r="L42" s="29" t="n"/>
      <c r="M42" s="29" t="n"/>
      <c r="N42" s="29" t="n"/>
      <c r="O42" s="29" t="n"/>
      <c r="P42" s="29" t="n"/>
      <c r="Q42" s="29" t="n"/>
      <c r="R42" s="29" t="n"/>
      <c r="S42" s="29" t="n"/>
      <c r="T42" s="29" t="n"/>
      <c r="U42" s="29" t="n"/>
      <c r="V42" s="29" t="n"/>
      <c r="W42" s="29" t="n"/>
      <c r="X42" s="29" t="n"/>
      <c r="Y42" s="29" t="n"/>
      <c r="Z42" s="29" t="n"/>
      <c r="AA42" s="29" t="n"/>
      <c r="AB42" s="29" t="n"/>
      <c r="AC42" s="29" t="n"/>
      <c r="AD42" s="29" t="n"/>
      <c r="AE42" s="29" t="n"/>
      <c r="AF42" s="29" t="n"/>
      <c r="AG42" s="29" t="n"/>
      <c r="AH42" s="29" t="n"/>
      <c r="AI42" s="29" t="n"/>
      <c r="AJ42" s="29" t="n"/>
      <c r="AK42" s="29" t="n"/>
      <c r="AL42" s="29" t="n"/>
      <c r="AM42" s="29" t="n"/>
      <c r="AN42" s="29" t="n"/>
      <c r="AO42" s="29" t="n"/>
      <c r="AP42" s="29" t="n"/>
      <c r="AQ42" s="29" t="n"/>
      <c r="AR42" s="29" t="n"/>
      <c r="AS42" s="29" t="n"/>
      <c r="AT42" s="29" t="n"/>
      <c r="AU42" s="29" t="n"/>
      <c r="AV42" s="29" t="n"/>
      <c r="AW42" s="29" t="n"/>
      <c r="AX42" s="29" t="n"/>
      <c r="AY42" s="29" t="n"/>
      <c r="AZ42" s="29" t="n"/>
      <c r="BA42" s="29" t="n"/>
      <c r="BB42" s="29" t="n"/>
      <c r="BC42" s="29" t="n"/>
      <c r="BD42" s="29" t="n"/>
      <c r="BE42" s="29" t="n"/>
      <c r="BF42" s="29" t="n"/>
      <c r="BG42" s="29" t="n"/>
      <c r="BH42" s="29" t="n"/>
      <c r="BI42" s="29" t="n"/>
      <c r="BJ42" s="29" t="n"/>
      <c r="BK42" s="29" t="n"/>
      <c r="BL42" s="29" t="n"/>
      <c r="BM42" s="29" t="n"/>
      <c r="BN42" s="29" t="n"/>
      <c r="BO42" s="29" t="n"/>
      <c r="BP42" s="29" t="n"/>
      <c r="BQ42" s="29" t="n"/>
      <c r="BR42" s="223" t="n"/>
      <c r="BS42" s="13" t="n"/>
      <c r="BT42" s="13" t="n"/>
    </row>
    <row r="43" ht="15.75" customHeight="1">
      <c r="A43" s="31" t="inlineStr">
        <is>
          <t>Average</t>
        </is>
      </c>
      <c r="B43" s="32">
        <f>AVERAGE(B3:B42)</f>
        <v/>
      </c>
      <c r="C43" s="32">
        <f>AVERAGE(C3:C42)</f>
        <v/>
      </c>
      <c r="D43" s="32">
        <f>AVERAGE(D3:D42)</f>
        <v/>
      </c>
      <c r="E43" s="32">
        <f>AVERAGE(E3:E42)</f>
        <v/>
      </c>
      <c r="F43" s="32">
        <f>AVERAGE(F3:F42)</f>
        <v/>
      </c>
      <c r="G43" s="32">
        <f>AVERAGE(G3:G42)</f>
        <v/>
      </c>
      <c r="H43" s="32">
        <f>AVERAGE(H3:H42)</f>
        <v/>
      </c>
      <c r="I43" s="32">
        <f>AVERAGE(I3:I42)</f>
        <v/>
      </c>
      <c r="J43" s="32">
        <f>AVERAGE(J3:J42)</f>
        <v/>
      </c>
      <c r="K43" s="32">
        <f>AVERAGE(K3:K42)</f>
        <v/>
      </c>
      <c r="L43" s="32">
        <f>AVERAGE(L3:L42)</f>
        <v/>
      </c>
      <c r="M43" s="32">
        <f>AVERAGE(M3:M42)</f>
        <v/>
      </c>
      <c r="N43" s="32">
        <f>AVERAGE(N3:N42)</f>
        <v/>
      </c>
      <c r="O43" s="32">
        <f>AVERAGE(O3:O42)</f>
        <v/>
      </c>
      <c r="P43" s="32">
        <f>AVERAGE(P3:P42)</f>
        <v/>
      </c>
      <c r="Q43" s="32">
        <f>AVERAGE(Q3:Q42)</f>
        <v/>
      </c>
      <c r="R43" s="32">
        <f>AVERAGE(R3:R42)</f>
        <v/>
      </c>
      <c r="S43" s="32">
        <f>AVERAGE(S3:S42)</f>
        <v/>
      </c>
      <c r="T43" s="32">
        <f>AVERAGE(T3:T42)</f>
        <v/>
      </c>
      <c r="U43" s="32">
        <f>AVERAGE(U3:U42)</f>
        <v/>
      </c>
      <c r="V43" s="32">
        <f>AVERAGE(V3:V42)</f>
        <v/>
      </c>
      <c r="W43" s="32">
        <f>AVERAGE(W3:W42)</f>
        <v/>
      </c>
      <c r="X43" s="32">
        <f>AVERAGE(X3:X42)</f>
        <v/>
      </c>
      <c r="Y43" s="32">
        <f>AVERAGE(Y3:Y42)</f>
        <v/>
      </c>
      <c r="Z43" s="32">
        <f>AVERAGE(Z3:Z42)</f>
        <v/>
      </c>
      <c r="AA43" s="32">
        <f>AVERAGE(AA3:AA42)</f>
        <v/>
      </c>
      <c r="AB43" s="32">
        <f>AVERAGE(AB3:AB42)</f>
        <v/>
      </c>
      <c r="AC43" s="32">
        <f>AVERAGE(AC3:AC42)</f>
        <v/>
      </c>
      <c r="AD43" s="32">
        <f>AVERAGE(AD3:AD42)</f>
        <v/>
      </c>
      <c r="AE43" s="32">
        <f>AVERAGE(AE3:AE42)</f>
        <v/>
      </c>
      <c r="AF43" s="32">
        <f>AVERAGE(AF3:AF42)</f>
        <v/>
      </c>
      <c r="AG43" s="32">
        <f>AVERAGE(AG3:AG42)</f>
        <v/>
      </c>
      <c r="AH43" s="32">
        <f>AVERAGE(AH3:AH42)</f>
        <v/>
      </c>
      <c r="AI43" s="32">
        <f>AVERAGE(AI3:AI42)</f>
        <v/>
      </c>
      <c r="AJ43" s="32">
        <f>AVERAGE(AJ3:AJ42)</f>
        <v/>
      </c>
      <c r="AK43" s="32">
        <f>AVERAGE(AK3:AK42)</f>
        <v/>
      </c>
      <c r="AL43" s="32">
        <f>AVERAGE(AL3:AL42)</f>
        <v/>
      </c>
      <c r="AM43" s="32">
        <f>AVERAGE(AM3:AM42)</f>
        <v/>
      </c>
      <c r="AN43" s="32">
        <f>AVERAGE(AN3:AN42)</f>
        <v/>
      </c>
      <c r="AO43" s="32">
        <f>AVERAGE(AO3:AO42)</f>
        <v/>
      </c>
      <c r="AP43" s="32">
        <f>AVERAGE(AP3:AP42)</f>
        <v/>
      </c>
      <c r="AQ43" s="32">
        <f>AVERAGE(AQ3:AQ42)</f>
        <v/>
      </c>
      <c r="AR43" s="32">
        <f>AVERAGE(AR3:AR42)</f>
        <v/>
      </c>
      <c r="AS43" s="32">
        <f>AVERAGE(AS3:AS42)</f>
        <v/>
      </c>
      <c r="AT43" s="32">
        <f>AVERAGE(AT3:AT42)</f>
        <v/>
      </c>
      <c r="AU43" s="32">
        <f>AVERAGE(AU3:AU42)</f>
        <v/>
      </c>
      <c r="AV43" s="32">
        <f>AVERAGE(AV3:AV42)</f>
        <v/>
      </c>
      <c r="AW43" s="32">
        <f>AVERAGE(AW3:AW42)</f>
        <v/>
      </c>
      <c r="AX43" s="32">
        <f>AVERAGE(AX3:AX42)</f>
        <v/>
      </c>
      <c r="AY43" s="32">
        <f>AVERAGE(AY3:AY42)</f>
        <v/>
      </c>
      <c r="AZ43" s="32">
        <f>AVERAGE(AZ3:AZ42)</f>
        <v/>
      </c>
      <c r="BA43" s="32">
        <f>AVERAGE(BA3:BA42)</f>
        <v/>
      </c>
      <c r="BB43" s="32">
        <f>AVERAGE(BB3:BB42)</f>
        <v/>
      </c>
      <c r="BC43" s="32">
        <f>AVERAGE(BC3:BC42)</f>
        <v/>
      </c>
      <c r="BD43" s="32">
        <f>AVERAGE(BD3:BD42)</f>
        <v/>
      </c>
      <c r="BE43" s="32">
        <f>AVERAGE(BE3:BE42)</f>
        <v/>
      </c>
      <c r="BF43" s="32">
        <f>AVERAGE(BF3:BF42)</f>
        <v/>
      </c>
      <c r="BG43" s="32">
        <f>AVERAGE(BG3:BG42)</f>
        <v/>
      </c>
      <c r="BH43" s="32">
        <f>AVERAGE(BH3:BH42)</f>
        <v/>
      </c>
      <c r="BI43" s="32">
        <f>AVERAGE(BI3:BI42)</f>
        <v/>
      </c>
      <c r="BJ43" s="32">
        <f>AVERAGE(BJ3:BJ42)</f>
        <v/>
      </c>
      <c r="BK43" s="32">
        <f>AVERAGE(BK3:BK42)</f>
        <v/>
      </c>
      <c r="BL43" s="32">
        <f>AVERAGE(BL3:BL42)</f>
        <v/>
      </c>
      <c r="BM43" s="32">
        <f>AVERAGE(BM3:BM42)</f>
        <v/>
      </c>
      <c r="BN43" s="32">
        <f>AVERAGE(BN3:BN42)</f>
        <v/>
      </c>
      <c r="BO43" s="32">
        <f>AVERAGE(BO3:BO42)</f>
        <v/>
      </c>
      <c r="BP43" s="32">
        <f>AVERAGE(BP3:BP42)</f>
        <v/>
      </c>
      <c r="BQ43" s="32">
        <f>AVERAGE(BQ3:BQ42)</f>
        <v/>
      </c>
      <c r="BR43" s="33" t="n"/>
      <c r="BS43" s="13" t="n"/>
      <c r="BT43" s="13" t="n"/>
    </row>
    <row r="44" ht="19.5" customHeight="1">
      <c r="A44" s="23" t="inlineStr">
        <is>
          <t>Overall Average</t>
        </is>
      </c>
      <c r="B44" s="24">
        <f>AVERAGEIF(B43:BQ43, "&lt;&gt;#DIV/0!")</f>
        <v/>
      </c>
      <c r="C44" s="24" t="n"/>
      <c r="D44" s="24" t="n"/>
      <c r="E44" s="24" t="n"/>
      <c r="F44" s="24" t="n"/>
      <c r="G44" s="24" t="n"/>
      <c r="H44" s="24" t="n"/>
      <c r="I44" s="24" t="n"/>
      <c r="J44" s="24" t="n"/>
      <c r="K44" s="24" t="n"/>
      <c r="L44" s="24" t="n"/>
      <c r="M44" s="24" t="n"/>
      <c r="N44" s="24" t="n"/>
      <c r="O44" s="24" t="n"/>
      <c r="P44" s="24" t="n"/>
      <c r="Q44" s="24" t="n"/>
      <c r="R44" s="24" t="n"/>
      <c r="S44" s="24" t="n"/>
      <c r="T44" s="24" t="n"/>
      <c r="U44" s="24" t="n"/>
      <c r="V44" s="24" t="n"/>
      <c r="W44" s="24" t="n"/>
      <c r="X44" s="24" t="n"/>
      <c r="Y44" s="24" t="n"/>
      <c r="Z44" s="24" t="n"/>
      <c r="AA44" s="24" t="n"/>
      <c r="AB44" s="24" t="n"/>
      <c r="AC44" s="24" t="n"/>
      <c r="AD44" s="24" t="n"/>
      <c r="AE44" s="24" t="n"/>
      <c r="AF44" s="24" t="n"/>
      <c r="AG44" s="24" t="n"/>
      <c r="AH44" s="24" t="n"/>
      <c r="AI44" s="24" t="n"/>
      <c r="AJ44" s="24" t="n"/>
      <c r="AK44" s="24" t="n"/>
      <c r="AL44" s="24" t="n"/>
      <c r="AM44" s="24" t="n"/>
      <c r="AN44" s="24" t="n"/>
      <c r="AO44" s="24" t="n"/>
      <c r="AP44" s="24" t="n"/>
      <c r="AQ44" s="24" t="n"/>
      <c r="AR44" s="24" t="n"/>
      <c r="AS44" s="24" t="n"/>
      <c r="AT44" s="24" t="n"/>
      <c r="AU44" s="24" t="n"/>
      <c r="AV44" s="24" t="n"/>
      <c r="AW44" s="24" t="n"/>
      <c r="AX44" s="24" t="n"/>
      <c r="AY44" s="24" t="n"/>
      <c r="AZ44" s="24" t="n"/>
      <c r="BA44" s="24" t="n"/>
      <c r="BB44" s="24" t="n"/>
      <c r="BC44" s="24" t="n"/>
      <c r="BD44" s="24" t="n"/>
      <c r="BE44" s="24" t="n"/>
      <c r="BF44" s="24" t="n"/>
      <c r="BG44" s="24" t="n"/>
      <c r="BH44" s="24" t="n"/>
      <c r="BI44" s="24" t="n"/>
      <c r="BJ44" s="24" t="n"/>
      <c r="BK44" s="24" t="n"/>
      <c r="BL44" s="24" t="n"/>
      <c r="BM44" s="24" t="n"/>
      <c r="BN44" s="24" t="n"/>
      <c r="BO44" s="24" t="n"/>
      <c r="BP44" s="24" t="n"/>
      <c r="BQ44" s="24" t="n"/>
      <c r="BR44" s="34" t="n"/>
      <c r="BS44" s="13" t="n"/>
      <c r="BT44" s="13" t="n"/>
    </row>
    <row r="45" ht="19.5" customHeight="1">
      <c r="A45" s="23" t="inlineStr">
        <is>
          <t>Total Students</t>
        </is>
      </c>
      <c r="B45" s="34">
        <f>COUNTIF(B3:B42, "&lt;&gt;")</f>
        <v/>
      </c>
      <c r="C45" s="34">
        <f>COUNTIF(C3:C42, "&lt;&gt;")</f>
        <v/>
      </c>
      <c r="D45" s="34">
        <f>COUNTIF(D3:D42, "&lt;&gt;")</f>
        <v/>
      </c>
      <c r="E45" s="34">
        <f>COUNTIF(E3:E42, "&lt;&gt;")</f>
        <v/>
      </c>
      <c r="F45" s="34">
        <f>COUNTIF(F3:F42, "&lt;&gt;")</f>
        <v/>
      </c>
      <c r="G45" s="34">
        <f>COUNTIF(G3:G42, "&lt;&gt;")</f>
        <v/>
      </c>
      <c r="H45" s="34">
        <f>COUNTIF(H3:H42, "&lt;&gt;")</f>
        <v/>
      </c>
      <c r="I45" s="34">
        <f>COUNTIF(I3:I42, "&lt;&gt;")</f>
        <v/>
      </c>
      <c r="J45" s="34">
        <f>COUNTIF(J3:J42, "&lt;&gt;")</f>
        <v/>
      </c>
      <c r="K45" s="34">
        <f>COUNTIF(K3:K42, "&lt;&gt;")</f>
        <v/>
      </c>
      <c r="L45" s="34">
        <f>COUNTIF(L3:L42, "&lt;&gt;")</f>
        <v/>
      </c>
      <c r="M45" s="34">
        <f>COUNTIF(M3:M42, "&lt;&gt;")</f>
        <v/>
      </c>
      <c r="N45" s="34">
        <f>COUNTIF(N3:N42, "&lt;&gt;")</f>
        <v/>
      </c>
      <c r="O45" s="34">
        <f>COUNTIF(O3:O42, "&lt;&gt;")</f>
        <v/>
      </c>
      <c r="P45" s="34">
        <f>COUNTIF(P3:P42, "&lt;&gt;")</f>
        <v/>
      </c>
      <c r="Q45" s="34">
        <f>COUNTIF(Q3:Q42, "&lt;&gt;")</f>
        <v/>
      </c>
      <c r="R45" s="34">
        <f>COUNTIF(R3:R42, "&lt;&gt;")</f>
        <v/>
      </c>
      <c r="S45" s="34">
        <f>COUNTIF(S3:S42, "&lt;&gt;")</f>
        <v/>
      </c>
      <c r="T45" s="34">
        <f>COUNTIF(T3:T42, "&lt;&gt;")</f>
        <v/>
      </c>
      <c r="U45" s="34">
        <f>COUNTIF(U3:U42, "&lt;&gt;")</f>
        <v/>
      </c>
      <c r="V45" s="34">
        <f>COUNTIF(V3:V42, "&lt;&gt;")</f>
        <v/>
      </c>
      <c r="W45" s="34">
        <f>COUNTIF(W3:W42, "&lt;&gt;")</f>
        <v/>
      </c>
      <c r="X45" s="34">
        <f>COUNTIF(X3:X42, "&lt;&gt;")</f>
        <v/>
      </c>
      <c r="Y45" s="34">
        <f>COUNTIF(Y3:Y42, "&lt;&gt;")</f>
        <v/>
      </c>
      <c r="Z45" s="34">
        <f>COUNTIF(Z3:Z42, "&lt;&gt;")</f>
        <v/>
      </c>
      <c r="AA45" s="34">
        <f>COUNTIF(AA3:AA42, "&lt;&gt;")</f>
        <v/>
      </c>
      <c r="AB45" s="34">
        <f>COUNTIF(AB3:AB42, "&lt;&gt;")</f>
        <v/>
      </c>
      <c r="AC45" s="34">
        <f>COUNTIF(AC3:AC42, "&lt;&gt;")</f>
        <v/>
      </c>
      <c r="AD45" s="34">
        <f>COUNTIF(AD3:AD42, "&lt;&gt;")</f>
        <v/>
      </c>
      <c r="AE45" s="34">
        <f>COUNTIF(AE3:AE42, "&lt;&gt;")</f>
        <v/>
      </c>
      <c r="AF45" s="34">
        <f>COUNTIF(AF3:AF42, "&lt;&gt;")</f>
        <v/>
      </c>
      <c r="AG45" s="34">
        <f>COUNTIF(AG3:AG42, "&lt;&gt;")</f>
        <v/>
      </c>
      <c r="AH45" s="34">
        <f>COUNTIF(AH3:AH42, "&lt;&gt;")</f>
        <v/>
      </c>
      <c r="AI45" s="34">
        <f>COUNTIF(AI3:AI42, "&lt;&gt;")</f>
        <v/>
      </c>
      <c r="AJ45" s="34">
        <f>COUNTIF(AJ3:AJ42, "&lt;&gt;")</f>
        <v/>
      </c>
      <c r="AK45" s="34">
        <f>COUNTIF(AK3:AK42, "&lt;&gt;")</f>
        <v/>
      </c>
      <c r="AL45" s="34">
        <f>COUNTIF(AL3:AL42, "&lt;&gt;")</f>
        <v/>
      </c>
      <c r="AM45" s="34">
        <f>COUNTIF(AM3:AM42, "&lt;&gt;")</f>
        <v/>
      </c>
      <c r="AN45" s="34">
        <f>COUNTIF(AN3:AN42, "&lt;&gt;")</f>
        <v/>
      </c>
      <c r="AO45" s="34">
        <f>COUNTIF(AO3:AO42, "&lt;&gt;")</f>
        <v/>
      </c>
      <c r="AP45" s="34">
        <f>COUNTIF(AP3:AP42, "&lt;&gt;")</f>
        <v/>
      </c>
      <c r="AQ45" s="34">
        <f>COUNTIF(AQ3:AQ42, "&lt;&gt;")</f>
        <v/>
      </c>
      <c r="AR45" s="34">
        <f>COUNTIF(AR3:AR42, "&lt;&gt;")</f>
        <v/>
      </c>
      <c r="AS45" s="34">
        <f>COUNTIF(AS3:AS42, "&lt;&gt;")</f>
        <v/>
      </c>
      <c r="AT45" s="34">
        <f>COUNTIF(AT3:AT42, "&lt;&gt;")</f>
        <v/>
      </c>
      <c r="AU45" s="34">
        <f>COUNTIF(AU3:AU42, "&lt;&gt;")</f>
        <v/>
      </c>
      <c r="AV45" s="34">
        <f>COUNTIF(AV3:AV42, "&lt;&gt;")</f>
        <v/>
      </c>
      <c r="AW45" s="34">
        <f>COUNTIF(AW3:AW42, "&lt;&gt;")</f>
        <v/>
      </c>
      <c r="AX45" s="34">
        <f>COUNTIF(AX3:AX42, "&lt;&gt;")</f>
        <v/>
      </c>
      <c r="AY45" s="34">
        <f>COUNTIF(AY3:AY42, "&lt;&gt;")</f>
        <v/>
      </c>
      <c r="AZ45" s="34">
        <f>COUNTIF(AZ3:AZ42, "&lt;&gt;")</f>
        <v/>
      </c>
      <c r="BA45" s="34">
        <f>COUNTIF(BA3:BA42, "&lt;&gt;")</f>
        <v/>
      </c>
      <c r="BB45" s="34">
        <f>COUNTIF(BB3:BB42, "&lt;&gt;")</f>
        <v/>
      </c>
      <c r="BC45" s="34">
        <f>COUNTIF(BC3:BC42, "&lt;&gt;")</f>
        <v/>
      </c>
      <c r="BD45" s="34">
        <f>COUNTIF(BD3:BD42, "&lt;&gt;")</f>
        <v/>
      </c>
      <c r="BE45" s="34">
        <f>COUNTIF(BE3:BE42, "&lt;&gt;")</f>
        <v/>
      </c>
      <c r="BF45" s="34">
        <f>COUNTIF(BF3:BF42, "&lt;&gt;")</f>
        <v/>
      </c>
      <c r="BG45" s="34">
        <f>COUNTIF(BG3:BG42, "&lt;&gt;")</f>
        <v/>
      </c>
      <c r="BH45" s="34">
        <f>COUNTIF(BH3:BH42, "&lt;&gt;")</f>
        <v/>
      </c>
      <c r="BI45" s="34">
        <f>COUNTIF(BI3:BI42, "&lt;&gt;")</f>
        <v/>
      </c>
      <c r="BJ45" s="34">
        <f>COUNTIF(BJ3:BJ42, "&lt;&gt;")</f>
        <v/>
      </c>
      <c r="BK45" s="34">
        <f>COUNTIF(BK3:BK42, "&lt;&gt;")</f>
        <v/>
      </c>
      <c r="BL45" s="34">
        <f>COUNTIF(BL3:BL42, "&lt;&gt;")</f>
        <v/>
      </c>
      <c r="BM45" s="34">
        <f>COUNTIF(BM3:BM42, "&lt;&gt;")</f>
        <v/>
      </c>
      <c r="BN45" s="34">
        <f>COUNTIF(BN3:BN42, "&lt;&gt;")</f>
        <v/>
      </c>
      <c r="BO45" s="34">
        <f>COUNTIF(BO3:BO42, "&lt;&gt;")</f>
        <v/>
      </c>
      <c r="BP45" s="34">
        <f>COUNTIF(BP3:BP42, "&lt;&gt;")</f>
        <v/>
      </c>
      <c r="BQ45" s="34">
        <f>COUNTIF(BQ3:BQ42, "&lt;&gt;")</f>
        <v/>
      </c>
      <c r="BR45" s="13" t="n"/>
      <c r="BS45" s="13" t="n"/>
      <c r="BT45" s="13" t="n"/>
    </row>
    <row r="46" ht="19.5" customHeight="1">
      <c r="A46" s="35" t="n"/>
      <c r="B46" s="36" t="n"/>
      <c r="C46" s="36" t="n"/>
      <c r="D46" s="36" t="n"/>
      <c r="E46" s="36" t="n"/>
      <c r="F46" s="36" t="n"/>
      <c r="G46" s="36" t="n"/>
      <c r="H46" s="36" t="n"/>
      <c r="I46" s="36" t="n"/>
      <c r="J46" s="36" t="n"/>
      <c r="K46" s="36" t="n"/>
      <c r="L46" s="36" t="n"/>
      <c r="M46" s="36" t="n"/>
      <c r="N46" s="36" t="n"/>
      <c r="O46" s="36" t="n"/>
      <c r="P46" s="36" t="n"/>
      <c r="Q46" s="36" t="n"/>
      <c r="R46" s="36" t="n"/>
      <c r="S46" s="36" t="n"/>
      <c r="T46" s="36" t="n"/>
      <c r="U46" s="36" t="n"/>
      <c r="V46" s="36" t="n"/>
      <c r="W46" s="36" t="n"/>
      <c r="X46" s="36" t="n"/>
      <c r="Y46" s="36" t="n"/>
      <c r="Z46" s="36" t="n"/>
      <c r="AA46" s="36" t="n"/>
      <c r="AB46" s="36" t="n"/>
      <c r="AC46" s="36" t="n"/>
      <c r="AD46" s="36" t="n"/>
      <c r="AE46" s="36" t="n"/>
      <c r="AF46" s="36" t="n"/>
      <c r="AG46" s="36" t="n"/>
      <c r="AH46" s="36" t="n"/>
      <c r="AI46" s="36" t="n"/>
      <c r="AJ46" s="36" t="n"/>
      <c r="AK46" s="36" t="n"/>
      <c r="AL46" s="36" t="n"/>
      <c r="AM46" s="36" t="n"/>
      <c r="AN46" s="36" t="n"/>
      <c r="AO46" s="36" t="n"/>
      <c r="AP46" s="36" t="n"/>
      <c r="AQ46" s="36" t="n"/>
      <c r="AR46" s="36" t="n"/>
      <c r="AS46" s="36" t="n"/>
      <c r="AT46" s="36" t="n"/>
      <c r="AU46" s="36" t="n"/>
      <c r="AV46" s="36" t="n"/>
      <c r="AW46" s="36" t="n"/>
      <c r="AX46" s="36" t="n"/>
      <c r="AY46" s="36" t="n"/>
      <c r="AZ46" s="36" t="n"/>
      <c r="BA46" s="36" t="n"/>
      <c r="BB46" s="36" t="n"/>
      <c r="BC46" s="36" t="n"/>
      <c r="BD46" s="36" t="n"/>
      <c r="BE46" s="36" t="n"/>
      <c r="BF46" s="36" t="n"/>
      <c r="BG46" s="36" t="n"/>
      <c r="BH46" s="36" t="n"/>
      <c r="BI46" s="36" t="n"/>
      <c r="BJ46" s="36" t="n"/>
      <c r="BK46" s="36" t="n"/>
      <c r="BL46" s="36" t="n"/>
      <c r="BM46" s="36" t="n"/>
      <c r="BN46" s="36" t="n"/>
      <c r="BO46" s="36" t="n"/>
      <c r="BP46" s="36" t="n"/>
      <c r="BQ46" s="36" t="n"/>
      <c r="BR46" s="36" t="n"/>
      <c r="BS46" s="13" t="n"/>
      <c r="BT46" s="13" t="n"/>
    </row>
    <row r="47" ht="19.5" customHeight="1">
      <c r="A47" s="14" t="n"/>
      <c r="B47" s="40" t="inlineStr">
        <is>
          <t>Assignment (A)</t>
        </is>
      </c>
      <c r="C47" s="22" t="inlineStr">
        <is>
          <t>Quiz (Q)</t>
        </is>
      </c>
      <c r="D47" s="40" t="inlineStr">
        <is>
          <t>Mid Term (M)</t>
        </is>
      </c>
      <c r="E47" s="40" t="inlineStr">
        <is>
          <t>Final Exam (F)</t>
        </is>
      </c>
      <c r="F47" s="40" t="inlineStr">
        <is>
          <t>Project (P)</t>
        </is>
      </c>
      <c r="G47" s="40" t="inlineStr">
        <is>
          <t>Lab (L)</t>
        </is>
      </c>
      <c r="H47" s="40" t="inlineStr">
        <is>
          <t>Anyother (OT)</t>
        </is>
      </c>
      <c r="I47" s="40" t="inlineStr">
        <is>
          <t>Total</t>
        </is>
      </c>
      <c r="J47" s="13" t="n"/>
      <c r="K47" s="13" t="n"/>
      <c r="L47" s="13" t="n"/>
      <c r="M47" s="13" t="n"/>
      <c r="N47" s="13" t="n"/>
      <c r="O47" s="13" t="n"/>
      <c r="P47" s="13" t="n"/>
      <c r="Q47" s="13" t="n"/>
      <c r="R47" s="13" t="n"/>
      <c r="S47" s="13" t="n"/>
      <c r="T47" s="13" t="n"/>
      <c r="U47" s="13" t="n"/>
      <c r="V47" s="13" t="n"/>
      <c r="W47" s="13" t="n"/>
      <c r="X47" s="13" t="n"/>
      <c r="Y47" s="13" t="n"/>
      <c r="Z47" s="13" t="n"/>
      <c r="AA47" s="13" t="n"/>
      <c r="AB47" s="13" t="n"/>
      <c r="AC47" s="13" t="n"/>
      <c r="AD47" s="13" t="n"/>
      <c r="AE47" s="13" t="n"/>
      <c r="AF47" s="13" t="n"/>
      <c r="AG47" s="13" t="n"/>
      <c r="AH47" s="13" t="n"/>
      <c r="AI47" s="13" t="n"/>
      <c r="AJ47" s="13" t="n"/>
      <c r="AK47" s="13" t="n"/>
      <c r="AL47" s="13" t="n"/>
      <c r="AM47" s="13" t="n"/>
      <c r="AN47" s="13" t="n"/>
      <c r="AO47" s="13" t="n"/>
      <c r="AP47" s="13" t="n"/>
      <c r="AQ47" s="13" t="n"/>
      <c r="AR47" s="13" t="n"/>
      <c r="AS47" s="13" t="n"/>
      <c r="AT47" s="13" t="n"/>
      <c r="AU47" s="13" t="n"/>
      <c r="AV47" s="13" t="n"/>
      <c r="AW47" s="13" t="n"/>
      <c r="AX47" s="13" t="n"/>
      <c r="AY47" s="13" t="n"/>
      <c r="AZ47" s="13" t="n"/>
      <c r="BA47" s="13" t="n"/>
      <c r="BB47" s="13" t="n"/>
      <c r="BC47" s="13" t="n"/>
      <c r="BD47" s="13" t="n"/>
      <c r="BE47" s="13" t="n"/>
      <c r="BF47" s="13" t="n"/>
      <c r="BG47" s="13" t="n"/>
      <c r="BH47" s="13" t="n"/>
      <c r="BI47" s="13" t="n"/>
      <c r="BJ47" s="13" t="n"/>
      <c r="BK47" s="13" t="n"/>
      <c r="BL47" s="13" t="n"/>
      <c r="BM47" s="13" t="n"/>
      <c r="BN47" s="13" t="n"/>
      <c r="BO47" s="13" t="n"/>
      <c r="BP47" s="13" t="n"/>
      <c r="BQ47" s="13" t="n"/>
      <c r="BR47" s="13" t="n"/>
      <c r="BS47" s="13" t="n"/>
      <c r="BT47" s="13" t="n"/>
    </row>
    <row r="48" ht="19.5" customHeight="1">
      <c r="A48" s="37" t="inlineStr">
        <is>
          <t>I (1st, 2nd yr)</t>
        </is>
      </c>
      <c r="B48" s="111">
        <f>COUNTIF(B2:O2, "A")</f>
        <v/>
      </c>
      <c r="C48" s="39">
        <f>COUNTIF(B2:O2, "Q")</f>
        <v/>
      </c>
      <c r="D48" s="111">
        <f>COUNTIF(B2:O2, "M")</f>
        <v/>
      </c>
      <c r="E48" s="111">
        <f>COUNTIF(B2:O2, "F")</f>
        <v/>
      </c>
      <c r="F48" s="111">
        <f>COUNTIF(B2:O2, "P")</f>
        <v/>
      </c>
      <c r="G48" s="111">
        <f>COUNTIF(B2:O2, "L")</f>
        <v/>
      </c>
      <c r="H48" s="111">
        <f>COUNTIF(B2:O2, "OT")</f>
        <v/>
      </c>
      <c r="I48" s="111">
        <f>SUM(B48:H48)</f>
        <v/>
      </c>
      <c r="J48" s="13" t="n"/>
      <c r="K48" s="13" t="n"/>
      <c r="L48" s="13" t="n"/>
      <c r="M48" s="13" t="n"/>
      <c r="N48" s="13" t="n"/>
      <c r="O48" s="13" t="n"/>
      <c r="P48" s="13" t="n"/>
      <c r="Q48" s="13" t="n"/>
      <c r="R48" s="13" t="n"/>
      <c r="S48" s="13" t="n"/>
      <c r="T48" s="13" t="n"/>
      <c r="U48" s="13" t="n"/>
      <c r="V48" s="13" t="n"/>
      <c r="W48" s="13" t="n"/>
      <c r="X48" s="13" t="n"/>
      <c r="Y48" s="13" t="n"/>
      <c r="Z48" s="13" t="n"/>
      <c r="AA48" s="13" t="n"/>
      <c r="AB48" s="13" t="n"/>
      <c r="AC48" s="13" t="n"/>
      <c r="AD48" s="13" t="n"/>
      <c r="AE48" s="13" t="n"/>
      <c r="AF48" s="13" t="n"/>
      <c r="AG48" s="13" t="n"/>
      <c r="AH48" s="13" t="n"/>
      <c r="AI48" s="13" t="n"/>
      <c r="AJ48" s="13" t="n"/>
      <c r="AK48" s="13" t="n"/>
      <c r="AL48" s="13" t="n"/>
      <c r="AM48" s="13" t="n"/>
      <c r="AN48" s="13" t="n"/>
      <c r="AO48" s="13" t="n"/>
      <c r="AP48" s="13" t="n"/>
      <c r="AQ48" s="13" t="n"/>
      <c r="AR48" s="13" t="n"/>
      <c r="AS48" s="13" t="n"/>
      <c r="AT48" s="13" t="n"/>
      <c r="AU48" s="13" t="n"/>
      <c r="AV48" s="13" t="n"/>
      <c r="AW48" s="13" t="n"/>
      <c r="AX48" s="13" t="n"/>
      <c r="AY48" s="13" t="n"/>
      <c r="AZ48" s="13" t="n"/>
      <c r="BA48" s="13" t="n"/>
      <c r="BB48" s="13" t="n"/>
      <c r="BC48" s="13" t="n"/>
      <c r="BD48" s="13" t="n"/>
      <c r="BE48" s="13" t="n"/>
      <c r="BF48" s="13" t="n"/>
      <c r="BG48" s="13" t="n"/>
      <c r="BH48" s="13" t="n"/>
      <c r="BI48" s="13" t="n"/>
      <c r="BJ48" s="13" t="n"/>
      <c r="BK48" s="13" t="n"/>
      <c r="BL48" s="13" t="n"/>
      <c r="BM48" s="13" t="n"/>
      <c r="BN48" s="13" t="n"/>
      <c r="BO48" s="13" t="n"/>
      <c r="BP48" s="13" t="n"/>
      <c r="BQ48" s="13" t="n"/>
      <c r="BR48" s="13" t="n"/>
      <c r="BS48" s="13" t="n"/>
      <c r="BT48" s="13" t="n"/>
    </row>
    <row r="49" ht="19.5" customHeight="1">
      <c r="A49" s="41" t="inlineStr">
        <is>
          <t>D (2nd &amp; 3rd yr)</t>
        </is>
      </c>
      <c r="B49" s="111">
        <f>COUNTIF($P$2:$AL$2, "A")</f>
        <v/>
      </c>
      <c r="C49" s="39">
        <f>COUNTIF($P$2:$AL$2, "Q")</f>
        <v/>
      </c>
      <c r="D49" s="111">
        <f>COUNTIF($P$2:$AL$2, "M")</f>
        <v/>
      </c>
      <c r="E49" s="111">
        <f>COUNTIF($P$2:$AL$2, "F")</f>
        <v/>
      </c>
      <c r="F49" s="111">
        <f>COUNTIF($P$2:$AL$2, "P")</f>
        <v/>
      </c>
      <c r="G49" s="111">
        <f>COUNTIF($P$2:$AL$2, "L")</f>
        <v/>
      </c>
      <c r="H49" s="111">
        <f>COUNTIF($P$2:$AL$2, "OT")</f>
        <v/>
      </c>
      <c r="I49" s="111">
        <f>SUM(B49:H49)</f>
        <v/>
      </c>
      <c r="J49" s="13" t="n"/>
      <c r="K49" s="13" t="n"/>
      <c r="L49" s="13" t="n"/>
      <c r="M49" s="13" t="n"/>
      <c r="N49" s="13" t="n"/>
      <c r="O49" s="13" t="n"/>
      <c r="P49" s="13" t="n"/>
      <c r="Q49" s="13" t="n"/>
      <c r="R49" s="13" t="n"/>
      <c r="S49" s="13" t="n"/>
      <c r="T49" s="13" t="n"/>
      <c r="U49" s="13" t="n"/>
      <c r="V49" s="13" t="n"/>
      <c r="W49" s="13" t="n"/>
      <c r="X49" s="13" t="n"/>
      <c r="Y49" s="13" t="n"/>
      <c r="Z49" s="13" t="n"/>
      <c r="AA49" s="13" t="n"/>
      <c r="AB49" s="13" t="n"/>
      <c r="AC49" s="13" t="n"/>
      <c r="AD49" s="13" t="n"/>
      <c r="AE49" s="13" t="n"/>
      <c r="AF49" s="13" t="n"/>
      <c r="AG49" s="13" t="n"/>
      <c r="AH49" s="13" t="n"/>
      <c r="AI49" s="13" t="n"/>
      <c r="AJ49" s="13" t="n"/>
      <c r="AK49" s="13" t="n"/>
      <c r="AL49" s="13" t="n"/>
      <c r="AM49" s="13" t="n"/>
      <c r="AN49" s="13" t="n"/>
      <c r="AO49" s="13" t="n"/>
      <c r="AP49" s="13" t="n"/>
      <c r="AQ49" s="13" t="n"/>
      <c r="AR49" s="13" t="n"/>
      <c r="AS49" s="13" t="n"/>
      <c r="AT49" s="13" t="n"/>
      <c r="AU49" s="13" t="n"/>
      <c r="AV49" s="13" t="n"/>
      <c r="AW49" s="13" t="n"/>
      <c r="AX49" s="13" t="n"/>
      <c r="AY49" s="13" t="n"/>
      <c r="AZ49" s="13" t="n"/>
      <c r="BA49" s="13" t="n"/>
      <c r="BB49" s="13" t="n"/>
      <c r="BC49" s="13" t="n"/>
      <c r="BD49" s="13" t="n"/>
      <c r="BE49" s="13" t="n"/>
      <c r="BF49" s="13" t="n"/>
      <c r="BG49" s="13" t="n"/>
      <c r="BH49" s="13" t="n"/>
      <c r="BI49" s="13" t="n"/>
      <c r="BJ49" s="13" t="n"/>
      <c r="BK49" s="13" t="n"/>
      <c r="BL49" s="13" t="n"/>
      <c r="BM49" s="13" t="n"/>
      <c r="BN49" s="13" t="n"/>
      <c r="BO49" s="13" t="n"/>
      <c r="BP49" s="13" t="n"/>
      <c r="BQ49" s="13" t="n"/>
      <c r="BR49" s="13" t="n"/>
      <c r="BS49" s="13" t="n"/>
      <c r="BT49" s="13" t="n"/>
    </row>
    <row r="50" ht="19.5" customHeight="1">
      <c r="A50" s="42" t="inlineStr">
        <is>
          <t>A (3rd, 4yr)</t>
        </is>
      </c>
      <c r="B50" s="111">
        <f>COUNTIF($AM$2:$BQ$2, "A")</f>
        <v/>
      </c>
      <c r="C50" s="39">
        <f>COUNTIF($AM$2:$BQ$2, "Q")</f>
        <v/>
      </c>
      <c r="D50" s="111">
        <f>COUNTIF($AM$2:$BQ$2, "M")</f>
        <v/>
      </c>
      <c r="E50" s="111">
        <f>COUNTIF($AM$2:$BQ$2, "F")</f>
        <v/>
      </c>
      <c r="F50" s="111">
        <f>COUNTIF($AM$2:$BQ$2, "P")</f>
        <v/>
      </c>
      <c r="G50" s="111">
        <f>COUNTIF($AM$2:$BQ$2, "L")</f>
        <v/>
      </c>
      <c r="H50" s="111">
        <f>COUNTIF($AM$2:$BQ$2, "OT")</f>
        <v/>
      </c>
      <c r="I50" s="111">
        <f>SUM(B50:H50)</f>
        <v/>
      </c>
      <c r="J50" s="13" t="n"/>
      <c r="K50" s="13" t="n"/>
      <c r="L50" s="13" t="n"/>
      <c r="M50" s="13" t="n"/>
      <c r="N50" s="13" t="n"/>
      <c r="O50" s="13" t="n"/>
      <c r="P50" s="13" t="n"/>
      <c r="Q50" s="13" t="n"/>
      <c r="R50" s="13" t="n"/>
      <c r="S50" s="13" t="n"/>
      <c r="T50" s="13" t="n"/>
      <c r="U50" s="13" t="n"/>
      <c r="V50" s="13" t="n"/>
      <c r="W50" s="13" t="n"/>
      <c r="X50" s="13" t="n"/>
      <c r="Y50" s="13" t="n"/>
      <c r="Z50" s="13" t="n"/>
      <c r="AA50" s="13" t="n"/>
      <c r="AB50" s="13" t="n"/>
      <c r="AC50" s="13" t="n"/>
      <c r="AD50" s="13" t="n"/>
      <c r="AE50" s="13" t="n"/>
      <c r="AF50" s="13" t="n"/>
      <c r="AG50" s="13" t="n"/>
      <c r="AH50" s="13" t="n"/>
      <c r="AI50" s="13" t="n"/>
      <c r="AJ50" s="13" t="n"/>
      <c r="AK50" s="13" t="n"/>
      <c r="AL50" s="13" t="n"/>
      <c r="AM50" s="13" t="n"/>
      <c r="AN50" s="13" t="n"/>
      <c r="AO50" s="13" t="n"/>
      <c r="AP50" s="13" t="n"/>
      <c r="AQ50" s="13" t="n"/>
      <c r="AR50" s="13" t="n"/>
      <c r="AS50" s="13" t="n"/>
      <c r="AT50" s="13" t="n"/>
      <c r="AU50" s="13" t="n"/>
      <c r="AV50" s="13" t="n"/>
      <c r="AW50" s="13" t="n"/>
      <c r="AX50" s="13" t="n"/>
      <c r="AY50" s="13" t="n"/>
      <c r="AZ50" s="13" t="n"/>
      <c r="BA50" s="13" t="n"/>
      <c r="BB50" s="13" t="n"/>
      <c r="BC50" s="13" t="n"/>
      <c r="BD50" s="13" t="n"/>
      <c r="BE50" s="13" t="n"/>
      <c r="BF50" s="13" t="n"/>
      <c r="BG50" s="13" t="n"/>
      <c r="BH50" s="13" t="n"/>
      <c r="BI50" s="13" t="n"/>
      <c r="BJ50" s="13" t="n"/>
      <c r="BK50" s="13" t="n"/>
      <c r="BL50" s="13" t="n"/>
      <c r="BM50" s="13" t="n"/>
      <c r="BN50" s="13" t="n"/>
      <c r="BO50" s="13" t="n"/>
      <c r="BP50" s="13" t="n"/>
      <c r="BQ50" s="13" t="n"/>
      <c r="BR50" s="13" t="n"/>
      <c r="BS50" s="13" t="n"/>
      <c r="BT50" s="13" t="n"/>
    </row>
    <row r="51" ht="19.5" customHeight="1">
      <c r="A51" s="14" t="inlineStr">
        <is>
          <t>Total</t>
        </is>
      </c>
      <c r="B51" s="40">
        <f>SUM(B48:B50)</f>
        <v/>
      </c>
      <c r="C51" s="22">
        <f>SUM(C48:C50)</f>
        <v/>
      </c>
      <c r="D51" s="40">
        <f>SUM(D48:D50)</f>
        <v/>
      </c>
      <c r="E51" s="40">
        <f>SUM(E48:E50)</f>
        <v/>
      </c>
      <c r="F51" s="40">
        <f>SUM(F48:F50)</f>
        <v/>
      </c>
      <c r="G51" s="40">
        <f>SUM(G48:G50)</f>
        <v/>
      </c>
      <c r="H51" s="40">
        <f>SUM(H48:H50)</f>
        <v/>
      </c>
      <c r="I51" s="40">
        <f>SUM(I48:I50)</f>
        <v/>
      </c>
      <c r="J51" s="13" t="n"/>
      <c r="K51" s="13" t="n"/>
      <c r="L51" s="13" t="n"/>
      <c r="M51" s="13" t="n"/>
      <c r="N51" s="13" t="n"/>
      <c r="O51" s="13" t="n"/>
      <c r="P51" s="13" t="n"/>
      <c r="Q51" s="13" t="n"/>
      <c r="R51" s="13" t="n"/>
      <c r="S51" s="13" t="n"/>
      <c r="T51" s="13" t="n"/>
      <c r="U51" s="13" t="n"/>
      <c r="V51" s="13" t="n"/>
      <c r="W51" s="13" t="n"/>
      <c r="X51" s="13" t="n"/>
      <c r="Y51" s="13" t="n"/>
      <c r="Z51" s="13" t="n"/>
      <c r="AA51" s="13" t="n"/>
      <c r="AB51" s="13" t="n"/>
      <c r="AC51" s="13" t="n"/>
      <c r="AD51" s="13" t="n"/>
      <c r="AE51" s="13" t="n"/>
      <c r="AF51" s="13" t="n"/>
      <c r="AG51" s="13" t="n"/>
      <c r="AH51" s="13" t="n"/>
      <c r="AI51" s="13" t="n"/>
      <c r="AJ51" s="13" t="n"/>
      <c r="AK51" s="13" t="n"/>
      <c r="AL51" s="13" t="n"/>
      <c r="AM51" s="13" t="n"/>
      <c r="AN51" s="13" t="n"/>
      <c r="AO51" s="13" t="n"/>
      <c r="AP51" s="13" t="n"/>
      <c r="AQ51" s="13" t="n"/>
      <c r="AR51" s="13" t="n"/>
      <c r="AS51" s="13" t="n"/>
      <c r="AT51" s="13" t="n"/>
      <c r="AU51" s="13" t="n"/>
      <c r="AV51" s="13" t="n"/>
      <c r="AW51" s="13" t="n"/>
      <c r="AX51" s="13" t="n"/>
      <c r="AY51" s="13" t="n"/>
      <c r="AZ51" s="13" t="n"/>
      <c r="BA51" s="13" t="n"/>
      <c r="BB51" s="13" t="n"/>
      <c r="BC51" s="13" t="n"/>
      <c r="BD51" s="13" t="n"/>
      <c r="BE51" s="13" t="n"/>
      <c r="BF51" s="13" t="n"/>
      <c r="BG51" s="13" t="n"/>
      <c r="BH51" s="13" t="n"/>
      <c r="BI51" s="13" t="n"/>
      <c r="BJ51" s="13" t="n"/>
      <c r="BK51" s="13" t="n"/>
      <c r="BL51" s="13" t="n"/>
      <c r="BM51" s="13" t="n"/>
      <c r="BN51" s="13" t="n"/>
      <c r="BO51" s="13" t="n"/>
      <c r="BP51" s="13" t="n"/>
      <c r="BQ51" s="13" t="n"/>
      <c r="BR51" s="13" t="n"/>
      <c r="BS51" s="13" t="n"/>
      <c r="BT51" s="13" t="n"/>
    </row>
    <row r="52" ht="19.5" customHeight="1">
      <c r="A52" s="58" t="n"/>
      <c r="B52" s="59" t="n"/>
      <c r="C52" s="60" t="n"/>
      <c r="D52" s="13" t="n"/>
      <c r="E52" s="13" t="n"/>
      <c r="F52" s="13" t="n"/>
      <c r="G52" s="13" t="n"/>
      <c r="H52" s="13" t="n"/>
      <c r="I52" s="13" t="n"/>
      <c r="J52" s="13" t="n"/>
      <c r="K52" s="13" t="n"/>
      <c r="L52" s="13" t="n"/>
      <c r="M52" s="13" t="n"/>
      <c r="N52" s="13" t="n"/>
      <c r="O52" s="13" t="n"/>
      <c r="P52" s="13" t="n"/>
      <c r="Q52" s="13" t="n"/>
      <c r="R52" s="13" t="n"/>
      <c r="S52" s="13" t="n"/>
      <c r="T52" s="13" t="n"/>
      <c r="U52" s="13" t="n"/>
      <c r="V52" s="13" t="n"/>
      <c r="W52" s="13" t="n"/>
      <c r="X52" s="13" t="n"/>
      <c r="Y52" s="13" t="n"/>
      <c r="Z52" s="13" t="n"/>
      <c r="AA52" s="13" t="n"/>
      <c r="AB52" s="13" t="n"/>
      <c r="AC52" s="13" t="n"/>
      <c r="AD52" s="13" t="n"/>
      <c r="AE52" s="13" t="n"/>
      <c r="AF52" s="13" t="n"/>
      <c r="AG52" s="13" t="n"/>
      <c r="AH52" s="13" t="n"/>
      <c r="AI52" s="13" t="n"/>
      <c r="AJ52" s="13" t="n"/>
      <c r="AK52" s="13" t="n"/>
      <c r="AL52" s="13" t="n"/>
      <c r="AM52" s="13" t="n"/>
      <c r="AN52" s="13" t="n"/>
      <c r="AO52" s="13" t="n"/>
      <c r="AP52" s="13" t="n"/>
      <c r="AQ52" s="13" t="n"/>
      <c r="AR52" s="13" t="n"/>
      <c r="AS52" s="13" t="n"/>
      <c r="AT52" s="13" t="n"/>
      <c r="AU52" s="13" t="n"/>
      <c r="AV52" s="13" t="n"/>
      <c r="AW52" s="13" t="n"/>
      <c r="AX52" s="13" t="n"/>
      <c r="AY52" s="13" t="n"/>
      <c r="AZ52" s="13" t="n"/>
      <c r="BA52" s="13" t="n"/>
      <c r="BB52" s="13" t="n"/>
      <c r="BC52" s="13" t="n"/>
      <c r="BD52" s="13" t="n"/>
      <c r="BE52" s="13" t="n"/>
      <c r="BF52" s="13" t="n"/>
      <c r="BG52" s="13" t="n"/>
      <c r="BH52" s="13" t="n"/>
      <c r="BI52" s="13" t="n"/>
      <c r="BJ52" s="13" t="n"/>
      <c r="BK52" s="13" t="n"/>
      <c r="BL52" s="13" t="n"/>
      <c r="BM52" s="13" t="n"/>
      <c r="BN52" s="13" t="n"/>
      <c r="BO52" s="13" t="n"/>
      <c r="BP52" s="13" t="n"/>
      <c r="BQ52" s="13" t="n"/>
      <c r="BR52" s="13" t="n"/>
      <c r="BS52" s="13" t="n"/>
      <c r="BT52" s="13" t="n"/>
    </row>
    <row r="53" ht="18.75" customHeight="1">
      <c r="A53" s="43" t="inlineStr">
        <is>
          <t>Frequency Distribution Analysis</t>
        </is>
      </c>
      <c r="B53" s="59" t="n"/>
      <c r="C53" s="44" t="n"/>
      <c r="D53" s="44" t="n"/>
      <c r="E53" s="44" t="n"/>
      <c r="F53" s="44" t="n"/>
      <c r="G53" s="44" t="n"/>
      <c r="H53" s="36" t="n"/>
      <c r="I53" s="36" t="n"/>
      <c r="J53" s="36" t="n"/>
      <c r="K53" s="36" t="n"/>
      <c r="L53" s="36" t="n"/>
      <c r="M53" s="36" t="n"/>
      <c r="N53" s="36" t="n"/>
      <c r="O53" s="36" t="n"/>
      <c r="P53" s="36" t="n"/>
      <c r="Q53" s="36" t="n"/>
      <c r="R53" s="36" t="n"/>
      <c r="S53" s="36" t="n"/>
      <c r="T53" s="36" t="n"/>
      <c r="U53" s="36" t="n"/>
      <c r="V53" s="36" t="n"/>
      <c r="W53" s="36" t="n"/>
      <c r="X53" s="36" t="n"/>
      <c r="Y53" s="36" t="n"/>
      <c r="Z53" s="36" t="n"/>
      <c r="AA53" s="36" t="n"/>
      <c r="AB53" s="36" t="n"/>
      <c r="AC53" s="36" t="n"/>
      <c r="AD53" s="36" t="n"/>
      <c r="AE53" s="36" t="n"/>
      <c r="AF53" s="36" t="n"/>
      <c r="AG53" s="36" t="n"/>
      <c r="AH53" s="36" t="n"/>
      <c r="AI53" s="36" t="n"/>
      <c r="AJ53" s="36" t="n"/>
      <c r="AK53" s="36" t="n"/>
      <c r="AL53" s="36" t="n"/>
      <c r="AM53" s="36" t="n"/>
      <c r="AN53" s="36" t="n"/>
      <c r="AO53" s="36" t="n"/>
      <c r="AP53" s="36" t="n"/>
      <c r="AQ53" s="36" t="n"/>
      <c r="AR53" s="36" t="n"/>
      <c r="AS53" s="36" t="n"/>
      <c r="AT53" s="36" t="n"/>
      <c r="AU53" s="36" t="n"/>
      <c r="AV53" s="36" t="n"/>
      <c r="AW53" s="36" t="n"/>
      <c r="AX53" s="36" t="n"/>
      <c r="AY53" s="36" t="n"/>
      <c r="AZ53" s="36" t="n"/>
      <c r="BA53" s="36" t="n"/>
      <c r="BB53" s="36" t="n"/>
      <c r="BC53" s="36" t="n"/>
      <c r="BD53" s="36" t="n"/>
      <c r="BE53" s="36" t="n"/>
      <c r="BF53" s="36" t="n"/>
      <c r="BG53" s="36" t="n"/>
      <c r="BH53" s="36" t="n"/>
      <c r="BI53" s="36" t="n"/>
      <c r="BJ53" s="36" t="n"/>
      <c r="BK53" s="36" t="n"/>
      <c r="BL53" s="36" t="n"/>
      <c r="BM53" s="36" t="n"/>
      <c r="BN53" s="36" t="n"/>
      <c r="BO53" s="36" t="n"/>
      <c r="BP53" s="36" t="n"/>
      <c r="BQ53" s="36" t="n"/>
      <c r="BR53" s="13" t="n"/>
      <c r="BS53" s="13" t="n"/>
      <c r="BT53" s="13" t="n"/>
    </row>
    <row r="54" ht="16.5" customHeight="1">
      <c r="A54" s="68" t="inlineStr">
        <is>
          <t>Scale</t>
        </is>
      </c>
      <c r="B54" s="15" t="inlineStr">
        <is>
          <t>SENG-1110-1</t>
        </is>
      </c>
      <c r="C54" s="16" t="inlineStr">
        <is>
          <t>SENG-1110-6</t>
        </is>
      </c>
      <c r="D54" s="67" t="inlineStr">
        <is>
          <t>SENG-1210-1</t>
        </is>
      </c>
      <c r="E54" s="67" t="inlineStr">
        <is>
          <t>SENG-1210-2</t>
        </is>
      </c>
      <c r="F54" s="67" t="inlineStr">
        <is>
          <t>SENG-1210-3</t>
        </is>
      </c>
      <c r="G54" s="67" t="inlineStr">
        <is>
          <t>SENG-1210-4</t>
        </is>
      </c>
      <c r="H54" s="67" t="inlineStr">
        <is>
          <t>SENG-1210-5</t>
        </is>
      </c>
      <c r="I54" s="67" t="inlineStr">
        <is>
          <t>SENG-1210-6</t>
        </is>
      </c>
      <c r="J54" s="67" t="inlineStr">
        <is>
          <t>CENG-2010-1</t>
        </is>
      </c>
      <c r="K54" s="67" t="inlineStr">
        <is>
          <t>CENG-2010-2</t>
        </is>
      </c>
      <c r="L54" s="67" t="inlineStr">
        <is>
          <t>CENG-2010-3</t>
        </is>
      </c>
      <c r="M54" s="67" t="inlineStr">
        <is>
          <t>CENG-2010-4</t>
        </is>
      </c>
      <c r="N54" s="67" t="inlineStr">
        <is>
          <t>CENG-2010-5</t>
        </is>
      </c>
      <c r="O54" s="67" t="inlineStr">
        <is>
          <t>CENG-2010-6</t>
        </is>
      </c>
      <c r="P54" s="17" t="inlineStr">
        <is>
          <t>SENG-3110-1</t>
        </is>
      </c>
      <c r="Q54" s="17" t="inlineStr">
        <is>
          <t>SENG-3110-2</t>
        </is>
      </c>
      <c r="R54" s="17" t="inlineStr">
        <is>
          <t>SENG-3110-3</t>
        </is>
      </c>
      <c r="S54" s="17" t="inlineStr">
        <is>
          <t>CENG-3010-1</t>
        </is>
      </c>
      <c r="T54" s="17" t="inlineStr">
        <is>
          <t>CENG-3010-2</t>
        </is>
      </c>
      <c r="U54" s="17" t="inlineStr">
        <is>
          <t>CENG-3010-3</t>
        </is>
      </c>
      <c r="V54" s="17" t="inlineStr">
        <is>
          <t>CENG-3010-4</t>
        </is>
      </c>
      <c r="W54" s="17" t="inlineStr">
        <is>
          <t>CENG-3310-1</t>
        </is>
      </c>
      <c r="X54" s="17" t="inlineStr">
        <is>
          <t>CENG-3310-2</t>
        </is>
      </c>
      <c r="Y54" s="17" t="inlineStr">
        <is>
          <t>CENG-3310-3</t>
        </is>
      </c>
      <c r="Z54" s="17" t="inlineStr">
        <is>
          <t>CENG-3310-4</t>
        </is>
      </c>
      <c r="AA54" s="17" t="inlineStr">
        <is>
          <t>CENG-3310-5</t>
        </is>
      </c>
      <c r="AB54" s="17" t="inlineStr">
        <is>
          <t>COMP-3410-1</t>
        </is>
      </c>
      <c r="AC54" s="17" t="inlineStr">
        <is>
          <t>COMP-3410-2</t>
        </is>
      </c>
      <c r="AD54" s="17" t="inlineStr">
        <is>
          <t>COMP-3410-3</t>
        </is>
      </c>
      <c r="AE54" s="17" t="inlineStr">
        <is>
          <t>COMP-3610-1</t>
        </is>
      </c>
      <c r="AF54" s="17" t="inlineStr">
        <is>
          <t>COMP-3610-2</t>
        </is>
      </c>
      <c r="AG54" s="17" t="inlineStr">
        <is>
          <t>COMP-3610-3</t>
        </is>
      </c>
      <c r="AH54" s="17" t="inlineStr">
        <is>
          <t>COMP-3610-4</t>
        </is>
      </c>
      <c r="AI54" s="17" t="inlineStr">
        <is>
          <t>COMP-3610-5</t>
        </is>
      </c>
      <c r="AJ54" s="17" t="inlineStr">
        <is>
          <t>COMP-3610-6</t>
        </is>
      </c>
      <c r="AK54" s="17" t="inlineStr">
        <is>
          <t>COMP-3610-8</t>
        </is>
      </c>
      <c r="AL54" s="17" t="inlineStr">
        <is>
          <t>COMP-3610-9</t>
        </is>
      </c>
      <c r="AM54" s="18" t="inlineStr">
        <is>
          <t>SENG-4130-1</t>
        </is>
      </c>
      <c r="AN54" s="18" t="inlineStr">
        <is>
          <t>SENG-4130-2</t>
        </is>
      </c>
      <c r="AO54" s="18" t="inlineStr">
        <is>
          <t>SENG-4130-3</t>
        </is>
      </c>
      <c r="AP54" s="18" t="inlineStr">
        <is>
          <t>SENG-4130-4</t>
        </is>
      </c>
      <c r="AQ54" s="18" t="inlineStr">
        <is>
          <t>SENG-4130-5</t>
        </is>
      </c>
      <c r="AR54" s="18" t="inlineStr">
        <is>
          <t>SENG-4230-1</t>
        </is>
      </c>
      <c r="AS54" s="18" t="inlineStr">
        <is>
          <t>SENG-4230-3</t>
        </is>
      </c>
      <c r="AT54" s="18" t="inlineStr">
        <is>
          <t>SENG-4230-5</t>
        </is>
      </c>
      <c r="AU54" s="18" t="inlineStr">
        <is>
          <t>SENG-4220-1</t>
        </is>
      </c>
      <c r="AV54" s="18" t="inlineStr">
        <is>
          <t>SENG-4220-2</t>
        </is>
      </c>
      <c r="AW54" s="18" t="inlineStr">
        <is>
          <t>SENG-4220-4</t>
        </is>
      </c>
      <c r="AX54" s="18" t="inlineStr">
        <is>
          <t>SENG-4140-1</t>
        </is>
      </c>
      <c r="AY54" s="18" t="inlineStr">
        <is>
          <t>SENG-4140-2</t>
        </is>
      </c>
      <c r="AZ54" s="18" t="inlineStr">
        <is>
          <t>SENG-4140-3</t>
        </is>
      </c>
      <c r="BA54" s="18" t="inlineStr">
        <is>
          <t>SENG-4610-1</t>
        </is>
      </c>
      <c r="BB54" s="18" t="inlineStr">
        <is>
          <t>SENG-4610-2</t>
        </is>
      </c>
      <c r="BC54" s="18" t="inlineStr">
        <is>
          <t>SENG-4610-4</t>
        </is>
      </c>
      <c r="BD54" s="18" t="inlineStr">
        <is>
          <t>SENG-4620-1</t>
        </is>
      </c>
      <c r="BE54" s="18" t="inlineStr">
        <is>
          <t>SENG-4620-4</t>
        </is>
      </c>
      <c r="BF54" s="18" t="inlineStr">
        <is>
          <t>SENG-4620-5</t>
        </is>
      </c>
      <c r="BG54" s="18" t="inlineStr">
        <is>
          <t>SENG-4630-1</t>
        </is>
      </c>
      <c r="BH54" s="18" t="inlineStr">
        <is>
          <t>SENG-4630-2</t>
        </is>
      </c>
      <c r="BI54" s="18" t="inlineStr">
        <is>
          <t>SENG-4650-1</t>
        </is>
      </c>
      <c r="BJ54" s="18" t="inlineStr">
        <is>
          <t>SENG-4650-2</t>
        </is>
      </c>
      <c r="BK54" s="18" t="inlineStr">
        <is>
          <t>SENG-4650-3</t>
        </is>
      </c>
      <c r="BL54" s="18" t="inlineStr">
        <is>
          <t>SENG-4660-1</t>
        </is>
      </c>
      <c r="BM54" s="18" t="inlineStr">
        <is>
          <t>SENG-4660-2</t>
        </is>
      </c>
      <c r="BN54" s="18" t="inlineStr">
        <is>
          <t>SENG-4660-3</t>
        </is>
      </c>
      <c r="BO54" s="18" t="inlineStr">
        <is>
          <t>CENG-4320-1</t>
        </is>
      </c>
      <c r="BP54" s="18" t="inlineStr">
        <is>
          <t>CENG-4320-2</t>
        </is>
      </c>
      <c r="BQ54" s="18" t="inlineStr">
        <is>
          <t>CENG-4320-3</t>
        </is>
      </c>
      <c r="BR54" s="46" t="inlineStr">
        <is>
          <t>Average</t>
        </is>
      </c>
      <c r="BS54" s="13" t="n"/>
      <c r="BT54" s="13" t="n"/>
    </row>
    <row r="55" ht="16.5" customHeight="1">
      <c r="A55" s="47" t="inlineStr">
        <is>
          <t>Below Expectation (C- and below)  (%)</t>
        </is>
      </c>
      <c r="B55" s="48">
        <f>(COUNTIF(B3:B42, "&lt;=59%"))/B45</f>
        <v/>
      </c>
      <c r="C55" s="48">
        <f>(COUNTIF(C3:C42, "&lt;=59%"))/C45</f>
        <v/>
      </c>
      <c r="D55" s="48">
        <f>(COUNTIF(D3:D42, "&lt;=59%"))/D45</f>
        <v/>
      </c>
      <c r="E55" s="48">
        <f>(COUNTIF(E3:E42, "&lt;=59%"))/E45</f>
        <v/>
      </c>
      <c r="F55" s="48">
        <f>(COUNTIF(F3:F42, "&lt;=59%"))/F45</f>
        <v/>
      </c>
      <c r="G55" s="48">
        <f>(COUNTIF(G3:G42, "&lt;=59%"))/G45</f>
        <v/>
      </c>
      <c r="H55" s="48">
        <f>(COUNTIF(H3:H42, "&lt;=59%"))/H45</f>
        <v/>
      </c>
      <c r="I55" s="48">
        <f>(COUNTIF(I3:I42, "&lt;=59%"))/I45</f>
        <v/>
      </c>
      <c r="J55" s="48">
        <f>(COUNTIF(J3:J42, "&lt;=59%"))/J45</f>
        <v/>
      </c>
      <c r="K55" s="48">
        <f>(COUNTIF(K3:K42, "&lt;=59%"))/K45</f>
        <v/>
      </c>
      <c r="L55" s="48">
        <f>(COUNTIF(L3:L42, "&lt;=59%"))/L45</f>
        <v/>
      </c>
      <c r="M55" s="48">
        <f>(COUNTIF(M3:M42, "&lt;=59%"))/M45</f>
        <v/>
      </c>
      <c r="N55" s="48">
        <f>(COUNTIF(N3:N42, "&lt;=59%"))/N45</f>
        <v/>
      </c>
      <c r="O55" s="48">
        <f>(COUNTIF(O3:O42, "&lt;=59%"))/O45</f>
        <v/>
      </c>
      <c r="P55" s="48">
        <f>(COUNTIF(P3:P42, "&lt;=59%"))/P45</f>
        <v/>
      </c>
      <c r="Q55" s="48">
        <f>(COUNTIF(Q3:Q42, "&lt;=59%"))/Q45</f>
        <v/>
      </c>
      <c r="R55" s="48">
        <f>(COUNTIF(R3:R42, "&lt;=59%"))/R45</f>
        <v/>
      </c>
      <c r="S55" s="48">
        <f>(COUNTIF(S3:S42, "&lt;=59%"))/S45</f>
        <v/>
      </c>
      <c r="T55" s="48">
        <f>(COUNTIF(T3:T42, "&lt;=59%"))/T45</f>
        <v/>
      </c>
      <c r="U55" s="48">
        <f>(COUNTIF(U3:U42, "&lt;=59%"))/U45</f>
        <v/>
      </c>
      <c r="V55" s="48">
        <f>(COUNTIF(V3:V42, "&lt;=59%"))/V45</f>
        <v/>
      </c>
      <c r="W55" s="48">
        <f>(COUNTIF(W3:W42, "&lt;=59%"))/W45</f>
        <v/>
      </c>
      <c r="X55" s="48">
        <f>(COUNTIF(X3:X42, "&lt;=59%"))/X45</f>
        <v/>
      </c>
      <c r="Y55" s="48">
        <f>(COUNTIF(Y3:Y42, "&lt;=59%"))/Y45</f>
        <v/>
      </c>
      <c r="Z55" s="48">
        <f>(COUNTIF(Z3:Z42, "&lt;=59%"))/Z45</f>
        <v/>
      </c>
      <c r="AA55" s="48">
        <f>(COUNTIF(AA3:AA42, "&lt;=59%"))/AA45</f>
        <v/>
      </c>
      <c r="AB55" s="48">
        <f>(COUNTIF(AB3:AB42, "&lt;=59%"))/AB45</f>
        <v/>
      </c>
      <c r="AC55" s="48">
        <f>(COUNTIF(AC3:AC42, "&lt;=59%"))/AC45</f>
        <v/>
      </c>
      <c r="AD55" s="48">
        <f>(COUNTIF(AD3:AD42, "&lt;=59%"))/AD45</f>
        <v/>
      </c>
      <c r="AE55" s="48">
        <f>(COUNTIF(AE3:AE42, "&lt;=59%"))/AE45</f>
        <v/>
      </c>
      <c r="AF55" s="48">
        <f>(COUNTIF(AF3:AF42, "&lt;=59%"))/AF45</f>
        <v/>
      </c>
      <c r="AG55" s="48">
        <f>(COUNTIF(AG3:AG42, "&lt;=59%"))/AG45</f>
        <v/>
      </c>
      <c r="AH55" s="48">
        <f>(COUNTIF(AH3:AH42, "&lt;=59%"))/AH45</f>
        <v/>
      </c>
      <c r="AI55" s="48">
        <f>(COUNTIF(AI3:AI42, "&lt;=59%"))/AI45</f>
        <v/>
      </c>
      <c r="AJ55" s="48">
        <f>(COUNTIF(AJ3:AJ42, "&lt;=59%"))/AJ45</f>
        <v/>
      </c>
      <c r="AK55" s="48">
        <f>(COUNTIF(AK3:AK42, "&lt;=59%"))/AK45</f>
        <v/>
      </c>
      <c r="AL55" s="48">
        <f>(COUNTIF(AL3:AL42, "&lt;=59%"))/AL45</f>
        <v/>
      </c>
      <c r="AM55" s="48">
        <f>(COUNTIF(AM3:AM42, "&lt;=59%"))/AM45</f>
        <v/>
      </c>
      <c r="AN55" s="48">
        <f>(COUNTIF(AN3:AN42, "&lt;=59%"))/AN45</f>
        <v/>
      </c>
      <c r="AO55" s="48">
        <f>(COUNTIF(AO3:AO42, "&lt;=59%"))/AO45</f>
        <v/>
      </c>
      <c r="AP55" s="48">
        <f>(COUNTIF(AP3:AP42, "&lt;=59%"))/AP45</f>
        <v/>
      </c>
      <c r="AQ55" s="48">
        <f>(COUNTIF(AQ3:AQ42, "&lt;=59%"))/AQ45</f>
        <v/>
      </c>
      <c r="AR55" s="48">
        <f>(COUNTIF(AR3:AR42, "&lt;=59%"))/AR45</f>
        <v/>
      </c>
      <c r="AS55" s="48">
        <f>(COUNTIF(AS3:AS42, "&lt;=59%"))/AS45</f>
        <v/>
      </c>
      <c r="AT55" s="48">
        <f>(COUNTIF(AT3:AT42, "&lt;=59%"))/AT45</f>
        <v/>
      </c>
      <c r="AU55" s="48">
        <f>(COUNTIF(AU3:AU42, "&lt;=59%"))/AU45</f>
        <v/>
      </c>
      <c r="AV55" s="48">
        <f>(COUNTIF(AV3:AV42, "&lt;=59%"))/AV45</f>
        <v/>
      </c>
      <c r="AW55" s="48">
        <f>(COUNTIF(AW3:AW42, "&lt;=59%"))/AW45</f>
        <v/>
      </c>
      <c r="AX55" s="48">
        <f>(COUNTIF(AX3:AX42, "&lt;=59%"))/AX45</f>
        <v/>
      </c>
      <c r="AY55" s="48">
        <f>(COUNTIF(AY3:AY42, "&lt;=59%"))/AY45</f>
        <v/>
      </c>
      <c r="AZ55" s="48">
        <f>(COUNTIF(AZ3:AZ42, "&lt;=59%"))/AZ45</f>
        <v/>
      </c>
      <c r="BA55" s="48">
        <f>(COUNTIF(BA3:BA42, "&lt;=59%"))/BA45</f>
        <v/>
      </c>
      <c r="BB55" s="48">
        <f>(COUNTIF(BB3:BB42, "&lt;=59%"))/BB45</f>
        <v/>
      </c>
      <c r="BC55" s="48">
        <f>(COUNTIF(BC3:BC42, "&lt;=59%"))/BC45</f>
        <v/>
      </c>
      <c r="BD55" s="48">
        <f>(COUNTIF(BD3:BD42, "&lt;=59%"))/BD45</f>
        <v/>
      </c>
      <c r="BE55" s="48">
        <f>(COUNTIF(BE3:BE42, "&lt;=59%"))/BE45</f>
        <v/>
      </c>
      <c r="BF55" s="48">
        <f>(COUNTIF(BF3:BF42, "&lt;=59%"))/BF45</f>
        <v/>
      </c>
      <c r="BG55" s="48">
        <f>(COUNTIF(BG3:BG42, "&lt;=59%"))/BG45</f>
        <v/>
      </c>
      <c r="BH55" s="48">
        <f>(COUNTIF(BH3:BH42, "&lt;=59%"))/BH45</f>
        <v/>
      </c>
      <c r="BI55" s="48">
        <f>(COUNTIF(BI3:BI42, "&lt;=59%"))/BI45</f>
        <v/>
      </c>
      <c r="BJ55" s="48">
        <f>(COUNTIF(BJ3:BJ42, "&lt;=59%"))/BJ45</f>
        <v/>
      </c>
      <c r="BK55" s="48">
        <f>(COUNTIF(BK3:BK42, "&lt;=59%"))/BK45</f>
        <v/>
      </c>
      <c r="BL55" s="48">
        <f>(COUNTIF(BL3:BL42, "&lt;=59%"))/BL45</f>
        <v/>
      </c>
      <c r="BM55" s="48">
        <f>(COUNTIF(BM3:BM42, "&lt;=59%"))/BM45</f>
        <v/>
      </c>
      <c r="BN55" s="48">
        <f>(COUNTIF(BN3:BN42, "&lt;=59%"))/BN45</f>
        <v/>
      </c>
      <c r="BO55" s="48">
        <f>(COUNTIF(BO3:BO42, "&lt;=59%"))/BO45</f>
        <v/>
      </c>
      <c r="BP55" s="48">
        <f>(COUNTIF(BP3:BP42, "&lt;=59%"))/BP45</f>
        <v/>
      </c>
      <c r="BQ55" s="48">
        <f>(COUNTIF(BQ3:BQ42, "&lt;=59%"))/BQ45</f>
        <v/>
      </c>
      <c r="BR55" s="49">
        <f>AVERAGEIF(B55:BQ55, "&lt;&gt;#DIV/0!")</f>
        <v/>
      </c>
      <c r="BS55" s="13" t="n"/>
      <c r="BT55" s="13" t="n"/>
    </row>
    <row r="56" ht="16.5" customHeight="1">
      <c r="A56" s="50" t="inlineStr">
        <is>
          <t>Marginal (C+, C)  (%)</t>
        </is>
      </c>
      <c r="B56" s="48">
        <f>(COUNTIFS(B3:B42, "&gt;= 60%", B3:B42, "&lt;=69%" ))/B45</f>
        <v/>
      </c>
      <c r="C56" s="48">
        <f>(COUNTIFS(C3:C42, "&gt;= 60%", C3:C42, "&lt;=69%" ))/C45</f>
        <v/>
      </c>
      <c r="D56" s="48">
        <f>(COUNTIFS(D3:D42, "&gt;= 60%", D3:D42, "&lt;=69%" ))/D45</f>
        <v/>
      </c>
      <c r="E56" s="48">
        <f>(COUNTIFS(E3:E42, "&gt;= 60%", E3:E42, "&lt;=69%" ))/E45</f>
        <v/>
      </c>
      <c r="F56" s="48">
        <f>(COUNTIFS(F3:F42, "&gt;= 60%", F3:F42, "&lt;=69%" ))/F45</f>
        <v/>
      </c>
      <c r="G56" s="48">
        <f>(COUNTIFS(G3:G42, "&gt;= 60%", G3:G42, "&lt;=69%" ))/G45</f>
        <v/>
      </c>
      <c r="H56" s="48">
        <f>(COUNTIFS(H3:H42, "&gt;= 60%", H3:H42, "&lt;=69%" ))/H45</f>
        <v/>
      </c>
      <c r="I56" s="48">
        <f>(COUNTIFS(I3:I42, "&gt;= 60%", I3:I42, "&lt;=69%" ))/I45</f>
        <v/>
      </c>
      <c r="J56" s="48">
        <f>(COUNTIFS(J3:J42, "&gt;= 60%", J3:J42, "&lt;=69%" ))/J45</f>
        <v/>
      </c>
      <c r="K56" s="48">
        <f>(COUNTIFS(K3:K42, "&gt;= 60%", K3:K42, "&lt;=69%" ))/K45</f>
        <v/>
      </c>
      <c r="L56" s="48">
        <f>(COUNTIFS(L3:L42, "&gt;= 60%", L3:L42, "&lt;=69%" ))/L45</f>
        <v/>
      </c>
      <c r="M56" s="48">
        <f>(COUNTIFS(M3:M42, "&gt;= 60%", M3:M42, "&lt;=69%" ))/M45</f>
        <v/>
      </c>
      <c r="N56" s="48">
        <f>(COUNTIFS(N3:N42, "&gt;= 60%", N3:N42, "&lt;=69%" ))/N45</f>
        <v/>
      </c>
      <c r="O56" s="48">
        <f>(COUNTIFS(O3:O42, "&gt;= 60%", O3:O42, "&lt;=69%" ))/O45</f>
        <v/>
      </c>
      <c r="P56" s="48">
        <f>(COUNTIFS(P3:P42, "&gt;= 60%", P3:P42, "&lt;=69%" ))/P45</f>
        <v/>
      </c>
      <c r="Q56" s="48">
        <f>(COUNTIFS(Q3:Q42, "&gt;= 60%", Q3:Q42, "&lt;=69%" ))/Q45</f>
        <v/>
      </c>
      <c r="R56" s="48">
        <f>(COUNTIFS(R3:R42, "&gt;= 60%", R3:R42, "&lt;=69%" ))/R45</f>
        <v/>
      </c>
      <c r="S56" s="48">
        <f>(COUNTIFS(S3:S42, "&gt;= 60%", S3:S42, "&lt;=69%" ))/S45</f>
        <v/>
      </c>
      <c r="T56" s="48">
        <f>(COUNTIFS(T3:T42, "&gt;= 60%", T3:T42, "&lt;=69%" ))/T45</f>
        <v/>
      </c>
      <c r="U56" s="48">
        <f>(COUNTIFS(U3:U42, "&gt;= 60%", U3:U42, "&lt;=69%" ))/U45</f>
        <v/>
      </c>
      <c r="V56" s="48">
        <f>(COUNTIFS(V3:V42, "&gt;= 60%", V3:V42, "&lt;=69%" ))/V45</f>
        <v/>
      </c>
      <c r="W56" s="48">
        <f>(COUNTIFS(W3:W42, "&gt;= 60%", W3:W42, "&lt;=69%" ))/W45</f>
        <v/>
      </c>
      <c r="X56" s="48">
        <f>(COUNTIFS(X3:X42, "&gt;= 60%", X3:X42, "&lt;=69%" ))/X45</f>
        <v/>
      </c>
      <c r="Y56" s="48">
        <f>(COUNTIFS(Y3:Y42, "&gt;= 60%", Y3:Y42, "&lt;=69%" ))/Y45</f>
        <v/>
      </c>
      <c r="Z56" s="48">
        <f>(COUNTIFS(Z3:Z42, "&gt;= 60%", Z3:Z42, "&lt;=69%" ))/Z45</f>
        <v/>
      </c>
      <c r="AA56" s="48">
        <f>(COUNTIFS(AA3:AA42, "&gt;= 60%", AA3:AA42, "&lt;=69%" ))/AA45</f>
        <v/>
      </c>
      <c r="AB56" s="48">
        <f>(COUNTIFS(AB3:AB42, "&gt;= 60%", AB3:AB42, "&lt;=69%" ))/AB45</f>
        <v/>
      </c>
      <c r="AC56" s="48">
        <f>(COUNTIFS(AC3:AC42, "&gt;= 60%", AC3:AC42, "&lt;=69%" ))/AC45</f>
        <v/>
      </c>
      <c r="AD56" s="48">
        <f>(COUNTIFS(AD3:AD42, "&gt;= 60%", AD3:AD42, "&lt;=69%" ))/AD45</f>
        <v/>
      </c>
      <c r="AE56" s="48">
        <f>(COUNTIFS(AE3:AE42, "&gt;= 60%", AE3:AE42, "&lt;=69%" ))/AE45</f>
        <v/>
      </c>
      <c r="AF56" s="48">
        <f>(COUNTIFS(AF3:AF42, "&gt;= 60%", AF3:AF42, "&lt;=69%" ))/AF45</f>
        <v/>
      </c>
      <c r="AG56" s="48">
        <f>(COUNTIFS(AG3:AG42, "&gt;= 60%", AG3:AG42, "&lt;=69%" ))/AG45</f>
        <v/>
      </c>
      <c r="AH56" s="48">
        <f>(COUNTIFS(AH3:AH42, "&gt;= 60%", AH3:AH42, "&lt;=69%" ))/AH45</f>
        <v/>
      </c>
      <c r="AI56" s="48">
        <f>(COUNTIFS(AI3:AI42, "&gt;= 60%", AI3:AI42, "&lt;=69%" ))/AI45</f>
        <v/>
      </c>
      <c r="AJ56" s="48">
        <f>(COUNTIFS(AJ3:AJ42, "&gt;= 60%", AJ3:AJ42, "&lt;=69%" ))/AJ45</f>
        <v/>
      </c>
      <c r="AK56" s="48">
        <f>(COUNTIFS(AK3:AK42, "&gt;= 60%", AK3:AK42, "&lt;=69%" ))/AK45</f>
        <v/>
      </c>
      <c r="AL56" s="48">
        <f>(COUNTIFS(AL3:AL42, "&gt;= 60%", AL3:AL42, "&lt;=69%" ))/AL45</f>
        <v/>
      </c>
      <c r="AM56" s="48">
        <f>(COUNTIFS(AM3:AM42, "&gt;= 60%", AM3:AM42, "&lt;=69%" ))/AM45</f>
        <v/>
      </c>
      <c r="AN56" s="48">
        <f>(COUNTIFS(AN3:AN42, "&gt;= 60%", AN3:AN42, "&lt;=69%" ))/AN45</f>
        <v/>
      </c>
      <c r="AO56" s="48">
        <f>(COUNTIFS(AO3:AO42, "&gt;= 60%", AO3:AO42, "&lt;=69%" ))/AO45</f>
        <v/>
      </c>
      <c r="AP56" s="48">
        <f>(COUNTIFS(AP3:AP42, "&gt;= 60%", AP3:AP42, "&lt;=69%" ))/AP45</f>
        <v/>
      </c>
      <c r="AQ56" s="48">
        <f>(COUNTIFS(AQ3:AQ42, "&gt;= 60%", AQ3:AQ42, "&lt;=69%" ))/AQ45</f>
        <v/>
      </c>
      <c r="AR56" s="48">
        <f>(COUNTIFS(AR3:AR42, "&gt;= 60%", AR3:AR42, "&lt;=69%" ))/AR45</f>
        <v/>
      </c>
      <c r="AS56" s="48">
        <f>(COUNTIFS(AS3:AS42, "&gt;= 60%", AS3:AS42, "&lt;=69%" ))/AS45</f>
        <v/>
      </c>
      <c r="AT56" s="48">
        <f>(COUNTIFS(AT3:AT42, "&gt;= 60%", AT3:AT42, "&lt;=69%" ))/AT45</f>
        <v/>
      </c>
      <c r="AU56" s="48">
        <f>(COUNTIFS(AU3:AU42, "&gt;= 60%", AU3:AU42, "&lt;=69%" ))/AU45</f>
        <v/>
      </c>
      <c r="AV56" s="48">
        <f>(COUNTIFS(AV3:AV42, "&gt;= 60%", AV3:AV42, "&lt;=69%" ))/AV45</f>
        <v/>
      </c>
      <c r="AW56" s="48">
        <f>(COUNTIFS(AW3:AW42, "&gt;= 60%", AW3:AW42, "&lt;=69%" ))/AW45</f>
        <v/>
      </c>
      <c r="AX56" s="48">
        <f>(COUNTIFS(AX3:AX42, "&gt;= 60%", AX3:AX42, "&lt;=69%" ))/AX45</f>
        <v/>
      </c>
      <c r="AY56" s="48">
        <f>(COUNTIFS(AY3:AY42, "&gt;= 60%", AY3:AY42, "&lt;=69%" ))/AY45</f>
        <v/>
      </c>
      <c r="AZ56" s="48">
        <f>(COUNTIFS(AZ3:AZ42, "&gt;= 60%", AZ3:AZ42, "&lt;=69%" ))/AZ45</f>
        <v/>
      </c>
      <c r="BA56" s="48">
        <f>(COUNTIFS(BA3:BA42, "&gt;= 60%", BA3:BA42, "&lt;=69%" ))/BA45</f>
        <v/>
      </c>
      <c r="BB56" s="48">
        <f>(COUNTIFS(BB3:BB42, "&gt;= 60%", BB3:BB42, "&lt;=69%" ))/BB45</f>
        <v/>
      </c>
      <c r="BC56" s="48">
        <f>(COUNTIFS(BC3:BC42, "&gt;= 60%", BC3:BC42, "&lt;=69%" ))/BC45</f>
        <v/>
      </c>
      <c r="BD56" s="48">
        <f>(COUNTIFS(BD3:BD42, "&gt;= 60%", BD3:BD42, "&lt;=69%" ))/BD45</f>
        <v/>
      </c>
      <c r="BE56" s="48">
        <f>(COUNTIFS(BE3:BE42, "&gt;= 60%", BE3:BE42, "&lt;=69%" ))/BE45</f>
        <v/>
      </c>
      <c r="BF56" s="48">
        <f>(COUNTIFS(BF3:BF42, "&gt;= 60%", BF3:BF42, "&lt;=69%" ))/BF45</f>
        <v/>
      </c>
      <c r="BG56" s="48">
        <f>(COUNTIFS(BG3:BG42, "&gt;= 60%", BG3:BG42, "&lt;=69%" ))/BG45</f>
        <v/>
      </c>
      <c r="BH56" s="48">
        <f>(COUNTIFS(BH3:BH42, "&gt;= 60%", BH3:BH42, "&lt;=69%" ))/BH45</f>
        <v/>
      </c>
      <c r="BI56" s="48">
        <f>(COUNTIFS(BI3:BI42, "&gt;= 60%", BI3:BI42, "&lt;=69%" ))/BI45</f>
        <v/>
      </c>
      <c r="BJ56" s="48">
        <f>(COUNTIFS(BJ3:BJ42, "&gt;= 60%", BJ3:BJ42, "&lt;=69%" ))/BJ45</f>
        <v/>
      </c>
      <c r="BK56" s="48">
        <f>(COUNTIFS(BK3:BK42, "&gt;= 60%", BK3:BK42, "&lt;=69%" ))/BK45</f>
        <v/>
      </c>
      <c r="BL56" s="48">
        <f>(COUNTIFS(BL3:BL42, "&gt;= 60%", BL3:BL42, "&lt;=69%" ))/BL45</f>
        <v/>
      </c>
      <c r="BM56" s="48">
        <f>(COUNTIFS(BM3:BM42, "&gt;= 60%", BM3:BM42, "&lt;=69%" ))/BM45</f>
        <v/>
      </c>
      <c r="BN56" s="48">
        <f>(COUNTIFS(BN3:BN42, "&gt;= 60%", BN3:BN42, "&lt;=69%" ))/BN45</f>
        <v/>
      </c>
      <c r="BO56" s="48">
        <f>(COUNTIFS(BO3:BO42, "&gt;= 60%", BO3:BO42, "&lt;=69%" ))/BO45</f>
        <v/>
      </c>
      <c r="BP56" s="48">
        <f>(COUNTIFS(BP3:BP42, "&gt;= 60%", BP3:BP42, "&lt;=69%" ))/BP45</f>
        <v/>
      </c>
      <c r="BQ56" s="48">
        <f>(COUNTIFS(BQ3:BQ42, "&gt;= 60%", BQ3:BQ42, "&lt;=69%" ))/BQ45</f>
        <v/>
      </c>
      <c r="BR56" s="49">
        <f>AVERAGEIF(B56:BQ56, "&lt;&gt;#DIV/0!")</f>
        <v/>
      </c>
      <c r="BS56" s="13" t="n"/>
      <c r="BT56" s="13" t="n"/>
    </row>
    <row r="57" ht="16.5" customHeight="1">
      <c r="A57" s="51" t="inlineStr">
        <is>
          <t>Meets Expectation (B+, B, B-) (%)</t>
        </is>
      </c>
      <c r="B57" s="48">
        <f>(COUNTIFS(B3:B42, "&gt;= 70%", B3:B42, "&lt;=79%" ))/B45</f>
        <v/>
      </c>
      <c r="C57" s="48">
        <f>(COUNTIFS(C3:C42, "&gt;= 70%", C3:C42, "&lt;=79%" ))/C45</f>
        <v/>
      </c>
      <c r="D57" s="48">
        <f>(COUNTIFS(D3:D42, "&gt;= 70%", D3:D42, "&lt;=79%" ))/D45</f>
        <v/>
      </c>
      <c r="E57" s="48">
        <f>(COUNTIFS(E3:E42, "&gt;= 70%", E3:E42, "&lt;=79%" ))/E45</f>
        <v/>
      </c>
      <c r="F57" s="48">
        <f>(COUNTIFS(F3:F42, "&gt;= 70%", F3:F42, "&lt;=79%" ))/F45</f>
        <v/>
      </c>
      <c r="G57" s="48">
        <f>(COUNTIFS(G3:G42, "&gt;= 70%", G3:G42, "&lt;=79%" ))/G45</f>
        <v/>
      </c>
      <c r="H57" s="48">
        <f>(COUNTIFS(H3:H42, "&gt;= 70%", H3:H42, "&lt;=79%" ))/H45</f>
        <v/>
      </c>
      <c r="I57" s="48">
        <f>(COUNTIFS(I3:I42, "&gt;= 70%", I3:I42, "&lt;=79%" ))/I45</f>
        <v/>
      </c>
      <c r="J57" s="48">
        <f>(COUNTIFS(J3:J42, "&gt;= 70%", J3:J42, "&lt;=79%" ))/J45</f>
        <v/>
      </c>
      <c r="K57" s="48">
        <f>(COUNTIFS(K3:K42, "&gt;= 70%", K3:K42, "&lt;=79%" ))/K45</f>
        <v/>
      </c>
      <c r="L57" s="48">
        <f>(COUNTIFS(L3:L42, "&gt;= 70%", L3:L42, "&lt;=79%" ))/L45</f>
        <v/>
      </c>
      <c r="M57" s="48">
        <f>(COUNTIFS(M3:M42, "&gt;= 70%", M3:M42, "&lt;=79%" ))/M45</f>
        <v/>
      </c>
      <c r="N57" s="48">
        <f>(COUNTIFS(N3:N42, "&gt;= 70%", N3:N42, "&lt;=79%" ))/N45</f>
        <v/>
      </c>
      <c r="O57" s="48">
        <f>(COUNTIFS(O3:O42, "&gt;= 70%", O3:O42, "&lt;=79%" ))/O45</f>
        <v/>
      </c>
      <c r="P57" s="48">
        <f>(COUNTIFS(P3:P42, "&gt;= 70%", P3:P42, "&lt;=79%" ))/P45</f>
        <v/>
      </c>
      <c r="Q57" s="48">
        <f>(COUNTIFS(Q3:Q42, "&gt;= 70%", Q3:Q42, "&lt;=79%" ))/Q45</f>
        <v/>
      </c>
      <c r="R57" s="48">
        <f>(COUNTIFS(R3:R42, "&gt;= 70%", R3:R42, "&lt;=79%" ))/R45</f>
        <v/>
      </c>
      <c r="S57" s="48">
        <f>(COUNTIFS(S3:S42, "&gt;= 70%", S3:S42, "&lt;=79%" ))/S45</f>
        <v/>
      </c>
      <c r="T57" s="48">
        <f>(COUNTIFS(T3:T42, "&gt;= 70%", T3:T42, "&lt;=79%" ))/T45</f>
        <v/>
      </c>
      <c r="U57" s="48">
        <f>(COUNTIFS(U3:U42, "&gt;= 70%", U3:U42, "&lt;=79%" ))/U45</f>
        <v/>
      </c>
      <c r="V57" s="48">
        <f>(COUNTIFS(V3:V42, "&gt;= 70%", V3:V42, "&lt;=79%" ))/V45</f>
        <v/>
      </c>
      <c r="W57" s="48">
        <f>(COUNTIFS(W3:W42, "&gt;= 70%", W3:W42, "&lt;=79%" ))/W45</f>
        <v/>
      </c>
      <c r="X57" s="48">
        <f>(COUNTIFS(X3:X42, "&gt;= 70%", X3:X42, "&lt;=79%" ))/X45</f>
        <v/>
      </c>
      <c r="Y57" s="48">
        <f>(COUNTIFS(Y3:Y42, "&gt;= 70%", Y3:Y42, "&lt;=79%" ))/Y45</f>
        <v/>
      </c>
      <c r="Z57" s="48">
        <f>(COUNTIFS(Z3:Z42, "&gt;= 70%", Z3:Z42, "&lt;=79%" ))/Z45</f>
        <v/>
      </c>
      <c r="AA57" s="48">
        <f>(COUNTIFS(AA3:AA42, "&gt;= 70%", AA3:AA42, "&lt;=79%" ))/AA45</f>
        <v/>
      </c>
      <c r="AB57" s="48">
        <f>(COUNTIFS(AB3:AB42, "&gt;= 70%", AB3:AB42, "&lt;=79%" ))/AB45</f>
        <v/>
      </c>
      <c r="AC57" s="48">
        <f>(COUNTIFS(AC3:AC42, "&gt;= 70%", AC3:AC42, "&lt;=79%" ))/AC45</f>
        <v/>
      </c>
      <c r="AD57" s="48">
        <f>(COUNTIFS(AD3:AD42, "&gt;= 70%", AD3:AD42, "&lt;=79%" ))/AD45</f>
        <v/>
      </c>
      <c r="AE57" s="48">
        <f>(COUNTIFS(AE3:AE42, "&gt;= 70%", AE3:AE42, "&lt;=79%" ))/AE45</f>
        <v/>
      </c>
      <c r="AF57" s="48">
        <f>(COUNTIFS(AF3:AF42, "&gt;= 70%", AF3:AF42, "&lt;=79%" ))/AF45</f>
        <v/>
      </c>
      <c r="AG57" s="48">
        <f>(COUNTIFS(AG3:AG42, "&gt;= 70%", AG3:AG42, "&lt;=79%" ))/AG45</f>
        <v/>
      </c>
      <c r="AH57" s="48">
        <f>(COUNTIFS(AH3:AH42, "&gt;= 70%", AH3:AH42, "&lt;=79%" ))/AH45</f>
        <v/>
      </c>
      <c r="AI57" s="48">
        <f>(COUNTIFS(AI3:AI42, "&gt;= 70%", AI3:AI42, "&lt;=79%" ))/AI45</f>
        <v/>
      </c>
      <c r="AJ57" s="48">
        <f>(COUNTIFS(AJ3:AJ42, "&gt;= 70%", AJ3:AJ42, "&lt;=79%" ))/AJ45</f>
        <v/>
      </c>
      <c r="AK57" s="48">
        <f>(COUNTIFS(AK3:AK42, "&gt;= 70%", AK3:AK42, "&lt;=79%" ))/AK45</f>
        <v/>
      </c>
      <c r="AL57" s="48">
        <f>(COUNTIFS(AL3:AL42, "&gt;= 70%", AL3:AL42, "&lt;=79%" ))/AL45</f>
        <v/>
      </c>
      <c r="AM57" s="48">
        <f>(COUNTIFS(AM3:AM42, "&gt;= 70%", AM3:AM42, "&lt;=79%" ))/AM45</f>
        <v/>
      </c>
      <c r="AN57" s="48">
        <f>(COUNTIFS(AN3:AN42, "&gt;= 70%", AN3:AN42, "&lt;=79%" ))/AN45</f>
        <v/>
      </c>
      <c r="AO57" s="48">
        <f>(COUNTIFS(AO3:AO42, "&gt;= 70%", AO3:AO42, "&lt;=79%" ))/AO45</f>
        <v/>
      </c>
      <c r="AP57" s="48">
        <f>(COUNTIFS(AP3:AP42, "&gt;= 70%", AP3:AP42, "&lt;=79%" ))/AP45</f>
        <v/>
      </c>
      <c r="AQ57" s="48">
        <f>(COUNTIFS(AQ3:AQ42, "&gt;= 70%", AQ3:AQ42, "&lt;=79%" ))/AQ45</f>
        <v/>
      </c>
      <c r="AR57" s="48">
        <f>(COUNTIFS(AR3:AR42, "&gt;= 70%", AR3:AR42, "&lt;=79%" ))/AR45</f>
        <v/>
      </c>
      <c r="AS57" s="48">
        <f>(COUNTIFS(AS3:AS42, "&gt;= 70%", AS3:AS42, "&lt;=79%" ))/AS45</f>
        <v/>
      </c>
      <c r="AT57" s="48">
        <f>(COUNTIFS(AT3:AT42, "&gt;= 70%", AT3:AT42, "&lt;=79%" ))/AT45</f>
        <v/>
      </c>
      <c r="AU57" s="48">
        <f>(COUNTIFS(AU3:AU42, "&gt;= 70%", AU3:AU42, "&lt;=79%" ))/AU45</f>
        <v/>
      </c>
      <c r="AV57" s="48">
        <f>(COUNTIFS(AV3:AV42, "&gt;= 70%", AV3:AV42, "&lt;=79%" ))/AV45</f>
        <v/>
      </c>
      <c r="AW57" s="48">
        <f>(COUNTIFS(AW3:AW42, "&gt;= 70%", AW3:AW42, "&lt;=79%" ))/AW45</f>
        <v/>
      </c>
      <c r="AX57" s="48">
        <f>(COUNTIFS(AX3:AX42, "&gt;= 70%", AX3:AX42, "&lt;=79%" ))/AX45</f>
        <v/>
      </c>
      <c r="AY57" s="48">
        <f>(COUNTIFS(AY3:AY42, "&gt;= 70%", AY3:AY42, "&lt;=79%" ))/AY45</f>
        <v/>
      </c>
      <c r="AZ57" s="48">
        <f>(COUNTIFS(AZ3:AZ42, "&gt;= 70%", AZ3:AZ42, "&lt;=79%" ))/AZ45</f>
        <v/>
      </c>
      <c r="BA57" s="48">
        <f>(COUNTIFS(BA3:BA42, "&gt;= 70%", BA3:BA42, "&lt;=79%" ))/BA45</f>
        <v/>
      </c>
      <c r="BB57" s="48">
        <f>(COUNTIFS(BB3:BB42, "&gt;= 70%", BB3:BB42, "&lt;=79%" ))/BB45</f>
        <v/>
      </c>
      <c r="BC57" s="48">
        <f>(COUNTIFS(BC3:BC42, "&gt;= 70%", BC3:BC42, "&lt;=79%" ))/BC45</f>
        <v/>
      </c>
      <c r="BD57" s="48">
        <f>(COUNTIFS(BD3:BD42, "&gt;= 70%", BD3:BD42, "&lt;=79%" ))/BD45</f>
        <v/>
      </c>
      <c r="BE57" s="48">
        <f>(COUNTIFS(BE3:BE42, "&gt;= 70%", BE3:BE42, "&lt;=79%" ))/BE45</f>
        <v/>
      </c>
      <c r="BF57" s="48">
        <f>(COUNTIFS(BF3:BF42, "&gt;= 70%", BF3:BF42, "&lt;=79%" ))/BF45</f>
        <v/>
      </c>
      <c r="BG57" s="48">
        <f>(COUNTIFS(BG3:BG42, "&gt;= 70%", BG3:BG42, "&lt;=79%" ))/BG45</f>
        <v/>
      </c>
      <c r="BH57" s="48">
        <f>(COUNTIFS(BH3:BH42, "&gt;= 70%", BH3:BH42, "&lt;=79%" ))/BH45</f>
        <v/>
      </c>
      <c r="BI57" s="48">
        <f>(COUNTIFS(BI3:BI42, "&gt;= 70%", BI3:BI42, "&lt;=79%" ))/BI45</f>
        <v/>
      </c>
      <c r="BJ57" s="48">
        <f>(COUNTIFS(BJ3:BJ42, "&gt;= 70%", BJ3:BJ42, "&lt;=79%" ))/BJ45</f>
        <v/>
      </c>
      <c r="BK57" s="48">
        <f>(COUNTIFS(BK3:BK42, "&gt;= 70%", BK3:BK42, "&lt;=79%" ))/BK45</f>
        <v/>
      </c>
      <c r="BL57" s="48">
        <f>(COUNTIFS(BL3:BL42, "&gt;= 70%", BL3:BL42, "&lt;=79%" ))/BL45</f>
        <v/>
      </c>
      <c r="BM57" s="48">
        <f>(COUNTIFS(BM3:BM42, "&gt;= 70%", BM3:BM42, "&lt;=79%" ))/BM45</f>
        <v/>
      </c>
      <c r="BN57" s="48">
        <f>(COUNTIFS(BN3:BN42, "&gt;= 70%", BN3:BN42, "&lt;=79%" ))/BN45</f>
        <v/>
      </c>
      <c r="BO57" s="48">
        <f>(COUNTIFS(BO3:BO42, "&gt;= 70%", BO3:BO42, "&lt;=79%" ))/BO45</f>
        <v/>
      </c>
      <c r="BP57" s="48">
        <f>(COUNTIFS(BP3:BP42, "&gt;= 70%", BP3:BP42, "&lt;=79%" ))/BP45</f>
        <v/>
      </c>
      <c r="BQ57" s="48">
        <f>(COUNTIFS(BQ3:BQ42, "&gt;= 70%", BQ3:BQ42, "&lt;=79%" ))/BQ45</f>
        <v/>
      </c>
      <c r="BR57" s="49">
        <f>AVERAGEIF(B57:BQ57, "&lt;&gt;#DIV/0!")</f>
        <v/>
      </c>
      <c r="BS57" s="13" t="n"/>
      <c r="BT57" s="13" t="n"/>
    </row>
    <row r="58" ht="16.5" customHeight="1">
      <c r="A58" s="52" t="inlineStr">
        <is>
          <t>Exceeds Expectation (A+, A, A-) (%)</t>
        </is>
      </c>
      <c r="B58" s="48">
        <f>(COUNTIF(B3:B42,"&gt;= 80%")/B45)</f>
        <v/>
      </c>
      <c r="C58" s="48">
        <f>(COUNTIF(C3:C42,"&gt;= 80%")/C45)</f>
        <v/>
      </c>
      <c r="D58" s="48">
        <f>(COUNTIF(D3:D42,"&gt;= 80%")/D45)</f>
        <v/>
      </c>
      <c r="E58" s="48">
        <f>(COUNTIF(E3:E42,"&gt;= 80%")/E45)</f>
        <v/>
      </c>
      <c r="F58" s="48">
        <f>(COUNTIF(F3:F42,"&gt;= 80%")/F45)</f>
        <v/>
      </c>
      <c r="G58" s="48">
        <f>(COUNTIF(G3:G42,"&gt;= 80%")/G45)</f>
        <v/>
      </c>
      <c r="H58" s="48">
        <f>(COUNTIF(H3:H42,"&gt;= 80%")/H45)</f>
        <v/>
      </c>
      <c r="I58" s="48">
        <f>(COUNTIF(I3:I42,"&gt;= 80%")/I45)</f>
        <v/>
      </c>
      <c r="J58" s="48">
        <f>(COUNTIF(J3:J42,"&gt;= 80%")/J45)</f>
        <v/>
      </c>
      <c r="K58" s="48">
        <f>(COUNTIF(K3:K42,"&gt;= 80%")/K45)</f>
        <v/>
      </c>
      <c r="L58" s="48">
        <f>(COUNTIF(L3:L42,"&gt;= 80%")/L45)</f>
        <v/>
      </c>
      <c r="M58" s="48">
        <f>(COUNTIF(M3:M42,"&gt;= 80%")/M45)</f>
        <v/>
      </c>
      <c r="N58" s="48">
        <f>(COUNTIF(N3:N42,"&gt;= 80%")/N45)</f>
        <v/>
      </c>
      <c r="O58" s="48">
        <f>(COUNTIF(O3:O42,"&gt;= 80%")/O45)</f>
        <v/>
      </c>
      <c r="P58" s="48">
        <f>(COUNTIF(P3:P42,"&gt;= 80%")/P45)</f>
        <v/>
      </c>
      <c r="Q58" s="48">
        <f>(COUNTIF(Q3:Q42,"&gt;= 80%")/Q45)</f>
        <v/>
      </c>
      <c r="R58" s="48">
        <f>(COUNTIF(R3:R42,"&gt;= 80%")/R45)</f>
        <v/>
      </c>
      <c r="S58" s="48">
        <f>(COUNTIF(S3:S42,"&gt;= 80%")/S45)</f>
        <v/>
      </c>
      <c r="T58" s="48">
        <f>(COUNTIF(T3:T42,"&gt;= 80%")/T45)</f>
        <v/>
      </c>
      <c r="U58" s="48">
        <f>(COUNTIF(U3:U42,"&gt;= 80%")/U45)</f>
        <v/>
      </c>
      <c r="V58" s="48">
        <f>(COUNTIF(V3:V42,"&gt;= 80%")/V45)</f>
        <v/>
      </c>
      <c r="W58" s="48">
        <f>(COUNTIF(W3:W42,"&gt;= 80%")/W45)</f>
        <v/>
      </c>
      <c r="X58" s="48">
        <f>(COUNTIF(X3:X42,"&gt;= 80%")/X45)</f>
        <v/>
      </c>
      <c r="Y58" s="48">
        <f>(COUNTIF(Y3:Y42,"&gt;= 80%")/Y45)</f>
        <v/>
      </c>
      <c r="Z58" s="48">
        <f>(COUNTIF(Z3:Z42,"&gt;= 80%")/Z45)</f>
        <v/>
      </c>
      <c r="AA58" s="48">
        <f>(COUNTIF(AA3:AA42,"&gt;= 80%")/AA45)</f>
        <v/>
      </c>
      <c r="AB58" s="48">
        <f>(COUNTIF(AB3:AB42,"&gt;= 80%")/AB45)</f>
        <v/>
      </c>
      <c r="AC58" s="48">
        <f>(COUNTIF(AC3:AC42,"&gt;= 80%")/AC45)</f>
        <v/>
      </c>
      <c r="AD58" s="48">
        <f>(COUNTIF(AD3:AD42,"&gt;= 80%")/AD45)</f>
        <v/>
      </c>
      <c r="AE58" s="48">
        <f>(COUNTIF(AE3:AE42,"&gt;= 80%")/AE45)</f>
        <v/>
      </c>
      <c r="AF58" s="48">
        <f>(COUNTIF(AF3:AF42,"&gt;= 80%")/AF45)</f>
        <v/>
      </c>
      <c r="AG58" s="48">
        <f>(COUNTIF(AG3:AG42,"&gt;= 80%")/AG45)</f>
        <v/>
      </c>
      <c r="AH58" s="48">
        <f>(COUNTIF(AH3:AH42,"&gt;= 80%")/AH45)</f>
        <v/>
      </c>
      <c r="AI58" s="48">
        <f>(COUNTIF(AI3:AI42,"&gt;= 80%")/AI45)</f>
        <v/>
      </c>
      <c r="AJ58" s="48">
        <f>(COUNTIF(AJ3:AJ42,"&gt;= 80%")/AJ45)</f>
        <v/>
      </c>
      <c r="AK58" s="48">
        <f>(COUNTIF(AK3:AK42,"&gt;= 80%")/AK45)</f>
        <v/>
      </c>
      <c r="AL58" s="48">
        <f>(COUNTIF(AL3:AL42,"&gt;= 80%")/AL45)</f>
        <v/>
      </c>
      <c r="AM58" s="48">
        <f>(COUNTIF(AM3:AM42,"&gt;= 80%")/AM45)</f>
        <v/>
      </c>
      <c r="AN58" s="48">
        <f>(COUNTIF(AN3:AN42,"&gt;= 80%")/AN45)</f>
        <v/>
      </c>
      <c r="AO58" s="48">
        <f>(COUNTIF(AO3:AO42,"&gt;= 80%")/AO45)</f>
        <v/>
      </c>
      <c r="AP58" s="48">
        <f>(COUNTIF(AP3:AP42,"&gt;= 80%")/AP45)</f>
        <v/>
      </c>
      <c r="AQ58" s="48">
        <f>(COUNTIF(AQ3:AQ42,"&gt;= 80%")/AQ45)</f>
        <v/>
      </c>
      <c r="AR58" s="48">
        <f>(COUNTIF(AR3:AR42,"&gt;= 80%")/AR45)</f>
        <v/>
      </c>
      <c r="AS58" s="48">
        <f>(COUNTIF(AS3:AS42,"&gt;= 80%")/AS45)</f>
        <v/>
      </c>
      <c r="AT58" s="48">
        <f>(COUNTIF(AT3:AT42,"&gt;= 80%")/AT45)</f>
        <v/>
      </c>
      <c r="AU58" s="48">
        <f>(COUNTIF(AU3:AU42,"&gt;= 80%")/AU45)</f>
        <v/>
      </c>
      <c r="AV58" s="48">
        <f>(COUNTIF(AV3:AV42,"&gt;= 80%")/AV45)</f>
        <v/>
      </c>
      <c r="AW58" s="48">
        <f>(COUNTIF(AW3:AW42,"&gt;= 80%")/AW45)</f>
        <v/>
      </c>
      <c r="AX58" s="48">
        <f>(COUNTIF(AX3:AX42,"&gt;= 80%")/AX45)</f>
        <v/>
      </c>
      <c r="AY58" s="48">
        <f>(COUNTIF(AY3:AY42,"&gt;= 80%")/AY45)</f>
        <v/>
      </c>
      <c r="AZ58" s="48">
        <f>(COUNTIF(AZ3:AZ42,"&gt;= 80%")/AZ45)</f>
        <v/>
      </c>
      <c r="BA58" s="48">
        <f>(COUNTIF(BA3:BA42,"&gt;= 80%")/BA45)</f>
        <v/>
      </c>
      <c r="BB58" s="48">
        <f>(COUNTIF(BB3:BB42,"&gt;= 80%")/BB45)</f>
        <v/>
      </c>
      <c r="BC58" s="48">
        <f>(COUNTIF(BC3:BC42,"&gt;= 80%")/BC45)</f>
        <v/>
      </c>
      <c r="BD58" s="48">
        <f>(COUNTIF(BD3:BD42,"&gt;= 80%")/BD45)</f>
        <v/>
      </c>
      <c r="BE58" s="48">
        <f>(COUNTIF(BE3:BE42,"&gt;= 80%")/BE45)</f>
        <v/>
      </c>
      <c r="BF58" s="48">
        <f>(COUNTIF(BF3:BF42,"&gt;= 80%")/BF45)</f>
        <v/>
      </c>
      <c r="BG58" s="48">
        <f>(COUNTIF(BG3:BG42,"&gt;= 80%")/BG45)</f>
        <v/>
      </c>
      <c r="BH58" s="48">
        <f>(COUNTIF(BH3:BH42,"&gt;= 80%")/BH45)</f>
        <v/>
      </c>
      <c r="BI58" s="48">
        <f>(COUNTIF(BI3:BI42,"&gt;= 80%")/BI45)</f>
        <v/>
      </c>
      <c r="BJ58" s="48">
        <f>(COUNTIF(BJ3:BJ42,"&gt;= 80%")/BJ45)</f>
        <v/>
      </c>
      <c r="BK58" s="48">
        <f>(COUNTIF(BK3:BK42,"&gt;= 80%")/BK45)</f>
        <v/>
      </c>
      <c r="BL58" s="48">
        <f>(COUNTIF(BL3:BL42,"&gt;= 80%")/BL45)</f>
        <v/>
      </c>
      <c r="BM58" s="48">
        <f>(COUNTIF(BM3:BM42,"&gt;= 80%")/BM45)</f>
        <v/>
      </c>
      <c r="BN58" s="48">
        <f>(COUNTIF(BN3:BN42,"&gt;= 80%")/BN45)</f>
        <v/>
      </c>
      <c r="BO58" s="48">
        <f>(COUNTIF(BO3:BO42,"&gt;= 80%")/BO45)</f>
        <v/>
      </c>
      <c r="BP58" s="48">
        <f>(COUNTIF(BP3:BP42,"&gt;= 80%")/BP45)</f>
        <v/>
      </c>
      <c r="BQ58" s="48">
        <f>(COUNTIF(BQ3:BQ42,"&gt;= 80%")/BQ45)</f>
        <v/>
      </c>
      <c r="BR58" s="53">
        <f>AVERAGEIF(B58:BQ58, "&lt;&gt;#DIV/0!")</f>
        <v/>
      </c>
      <c r="BS58" s="13" t="n"/>
      <c r="BT58" s="13" t="n"/>
    </row>
    <row r="59" ht="15.75" customHeight="1">
      <c r="A59" s="69" t="n"/>
      <c r="B59" s="55">
        <f>SUMIF(B55:B58, "&lt;&gt;#DIV/0!")</f>
        <v/>
      </c>
      <c r="C59" s="56">
        <f>SUMIF(C55:C58, "&lt;&gt;#DIV/0!")</f>
        <v/>
      </c>
      <c r="D59" s="56">
        <f>SUMIF(D55:D58, "&lt;&gt;#DIV/0!")</f>
        <v/>
      </c>
      <c r="E59" s="56">
        <f>SUMIF(E55:E58, "&lt;&gt;#DIV/0!")</f>
        <v/>
      </c>
      <c r="F59" s="56">
        <f>SUMIF(F55:F58, "&lt;&gt;#DIV/0!")</f>
        <v/>
      </c>
      <c r="G59" s="56">
        <f>SUMIF(G55:G58, "&lt;&gt;#DIV/0!")</f>
        <v/>
      </c>
      <c r="H59" s="56">
        <f>SUMIF(H55:H58, "&lt;&gt;#DIV/0!")</f>
        <v/>
      </c>
      <c r="I59" s="56">
        <f>SUMIF(I55:I58, "&lt;&gt;#DIV/0!")</f>
        <v/>
      </c>
      <c r="J59" s="56">
        <f>SUMIF(J55:J58, "&lt;&gt;#DIV/0!")</f>
        <v/>
      </c>
      <c r="K59" s="56">
        <f>SUMIF(K55:K58, "&lt;&gt;#DIV/0!")</f>
        <v/>
      </c>
      <c r="L59" s="56">
        <f>SUMIF(L55:L58, "&lt;&gt;#DIV/0!")</f>
        <v/>
      </c>
      <c r="M59" s="56">
        <f>SUMIF(M55:M58, "&lt;&gt;#DIV/0!")</f>
        <v/>
      </c>
      <c r="N59" s="56">
        <f>SUMIF(N55:N58, "&lt;&gt;#DIV/0!")</f>
        <v/>
      </c>
      <c r="O59" s="56">
        <f>SUMIF(O55:O58, "&lt;&gt;#DIV/0!")</f>
        <v/>
      </c>
      <c r="P59" s="56">
        <f>SUMIF(P55:P58, "&lt;&gt;#DIV/0!")</f>
        <v/>
      </c>
      <c r="Q59" s="56">
        <f>SUMIF(Q55:Q58, "&lt;&gt;#DIV/0!")</f>
        <v/>
      </c>
      <c r="R59" s="56">
        <f>SUMIF(R55:R58, "&lt;&gt;#DIV/0!")</f>
        <v/>
      </c>
      <c r="S59" s="56">
        <f>SUMIF(S55:S58, "&lt;&gt;#DIV/0!")</f>
        <v/>
      </c>
      <c r="T59" s="56">
        <f>SUMIF(T55:T58, "&lt;&gt;#DIV/0!")</f>
        <v/>
      </c>
      <c r="U59" s="56">
        <f>SUMIF(U55:U58, "&lt;&gt;#DIV/0!")</f>
        <v/>
      </c>
      <c r="V59" s="56">
        <f>SUMIF(V55:V58, "&lt;&gt;#DIV/0!")</f>
        <v/>
      </c>
      <c r="W59" s="56">
        <f>SUMIF(W55:W58, "&lt;&gt;#DIV/0!")</f>
        <v/>
      </c>
      <c r="X59" s="56">
        <f>SUMIF(X55:X58, "&lt;&gt;#DIV/0!")</f>
        <v/>
      </c>
      <c r="Y59" s="56">
        <f>SUMIF(Y55:Y58, "&lt;&gt;#DIV/0!")</f>
        <v/>
      </c>
      <c r="Z59" s="56">
        <f>SUMIF(Z55:Z58, "&lt;&gt;#DIV/0!")</f>
        <v/>
      </c>
      <c r="AA59" s="56">
        <f>SUMIF(AA55:AA58, "&lt;&gt;#DIV/0!")</f>
        <v/>
      </c>
      <c r="AB59" s="56">
        <f>SUMIF(AB55:AB58, "&lt;&gt;#DIV/0!")</f>
        <v/>
      </c>
      <c r="AC59" s="56">
        <f>SUMIF(AC55:AC58, "&lt;&gt;#DIV/0!")</f>
        <v/>
      </c>
      <c r="AD59" s="56">
        <f>SUMIF(AD55:AD58, "&lt;&gt;#DIV/0!")</f>
        <v/>
      </c>
      <c r="AE59" s="56">
        <f>SUMIF(AE55:AE58, "&lt;&gt;#DIV/0!")</f>
        <v/>
      </c>
      <c r="AF59" s="56">
        <f>SUMIF(AF55:AF58, "&lt;&gt;#DIV/0!")</f>
        <v/>
      </c>
      <c r="AG59" s="56">
        <f>SUMIF(AG55:AG58, "&lt;&gt;#DIV/0!")</f>
        <v/>
      </c>
      <c r="AH59" s="56">
        <f>SUMIF(AH55:AH58, "&lt;&gt;#DIV/0!")</f>
        <v/>
      </c>
      <c r="AI59" s="56">
        <f>SUMIF(AI55:AI58, "&lt;&gt;#DIV/0!")</f>
        <v/>
      </c>
      <c r="AJ59" s="56">
        <f>SUMIF(AJ55:AJ58, "&lt;&gt;#DIV/0!")</f>
        <v/>
      </c>
      <c r="AK59" s="56">
        <f>SUMIF(AK55:AK58, "&lt;&gt;#DIV/0!")</f>
        <v/>
      </c>
      <c r="AL59" s="56">
        <f>SUMIF(AL55:AL58, "&lt;&gt;#DIV/0!")</f>
        <v/>
      </c>
      <c r="AM59" s="56">
        <f>SUMIF(AM55:AM58, "&lt;&gt;#DIV/0!")</f>
        <v/>
      </c>
      <c r="AN59" s="56">
        <f>SUMIF(AN55:AN58, "&lt;&gt;#DIV/0!")</f>
        <v/>
      </c>
      <c r="AO59" s="56">
        <f>SUMIF(AO55:AO58, "&lt;&gt;#DIV/0!")</f>
        <v/>
      </c>
      <c r="AP59" s="56">
        <f>SUMIF(AP55:AP58, "&lt;&gt;#DIV/0!")</f>
        <v/>
      </c>
      <c r="AQ59" s="56">
        <f>SUMIF(AQ55:AQ58, "&lt;&gt;#DIV/0!")</f>
        <v/>
      </c>
      <c r="AR59" s="56">
        <f>SUMIF(AR55:AR58, "&lt;&gt;#DIV/0!")</f>
        <v/>
      </c>
      <c r="AS59" s="56">
        <f>SUMIF(AS55:AS58, "&lt;&gt;#DIV/0!")</f>
        <v/>
      </c>
      <c r="AT59" s="56">
        <f>SUMIF(AT55:AT58, "&lt;&gt;#DIV/0!")</f>
        <v/>
      </c>
      <c r="AU59" s="56">
        <f>SUMIF(AU55:AU58, "&lt;&gt;#DIV/0!")</f>
        <v/>
      </c>
      <c r="AV59" s="56">
        <f>SUMIF(AV55:AV58, "&lt;&gt;#DIV/0!")</f>
        <v/>
      </c>
      <c r="AW59" s="56">
        <f>SUMIF(AW55:AW58, "&lt;&gt;#DIV/0!")</f>
        <v/>
      </c>
      <c r="AX59" s="56">
        <f>SUMIF(AX55:AX58, "&lt;&gt;#DIV/0!")</f>
        <v/>
      </c>
      <c r="AY59" s="56">
        <f>SUMIF(AY55:AY58, "&lt;&gt;#DIV/0!")</f>
        <v/>
      </c>
      <c r="AZ59" s="56">
        <f>SUMIF(AZ55:AZ58, "&lt;&gt;#DIV/0!")</f>
        <v/>
      </c>
      <c r="BA59" s="56">
        <f>SUMIF(BA55:BA58, "&lt;&gt;#DIV/0!")</f>
        <v/>
      </c>
      <c r="BB59" s="56">
        <f>SUMIF(BB55:BB58, "&lt;&gt;#DIV/0!")</f>
        <v/>
      </c>
      <c r="BC59" s="56">
        <f>SUMIF(BC55:BC58, "&lt;&gt;#DIV/0!")</f>
        <v/>
      </c>
      <c r="BD59" s="56">
        <f>SUMIF(BD55:BD58, "&lt;&gt;#DIV/0!")</f>
        <v/>
      </c>
      <c r="BE59" s="56">
        <f>SUMIF(BE55:BE58, "&lt;&gt;#DIV/0!")</f>
        <v/>
      </c>
      <c r="BF59" s="56">
        <f>SUMIF(BF55:BF58, "&lt;&gt;#DIV/0!")</f>
        <v/>
      </c>
      <c r="BG59" s="56">
        <f>SUMIF(BG55:BG58, "&lt;&gt;#DIV/0!")</f>
        <v/>
      </c>
      <c r="BH59" s="56">
        <f>SUMIF(BH55:BH58, "&lt;&gt;#DIV/0!")</f>
        <v/>
      </c>
      <c r="BI59" s="56">
        <f>SUMIF(BI55:BI58, "&lt;&gt;#DIV/0!")</f>
        <v/>
      </c>
      <c r="BJ59" s="56">
        <f>SUMIF(BJ55:BJ58, "&lt;&gt;#DIV/0!")</f>
        <v/>
      </c>
      <c r="BK59" s="56">
        <f>SUMIF(BK55:BK58, "&lt;&gt;#DIV/0!")</f>
        <v/>
      </c>
      <c r="BL59" s="56">
        <f>SUMIF(BL55:BL58, "&lt;&gt;#DIV/0!")</f>
        <v/>
      </c>
      <c r="BM59" s="56">
        <f>SUMIF(BM55:BM58, "&lt;&gt;#DIV/0!")</f>
        <v/>
      </c>
      <c r="BN59" s="56">
        <f>SUMIF(BN55:BN58, "&lt;&gt;#DIV/0!")</f>
        <v/>
      </c>
      <c r="BO59" s="56">
        <f>SUMIF(BO55:BO58, "&lt;&gt;#DIV/0!")</f>
        <v/>
      </c>
      <c r="BP59" s="56">
        <f>SUMIF(BP55:BP58, "&lt;&gt;#DIV/0!")</f>
        <v/>
      </c>
      <c r="BQ59" s="56">
        <f>SUMIF(BQ55:BQ58, "&lt;&gt;#DIV/0!")</f>
        <v/>
      </c>
      <c r="BR59" s="70" t="n"/>
      <c r="BS59" s="13" t="n"/>
      <c r="BT59" s="13" t="n"/>
    </row>
    <row r="60" ht="15.75" customHeight="1">
      <c r="A60" s="58" t="n"/>
      <c r="B60" s="59" t="n"/>
      <c r="C60" s="60" t="n"/>
      <c r="D60" s="13" t="n"/>
      <c r="E60" s="13" t="n"/>
      <c r="F60" s="13" t="n"/>
      <c r="G60" s="13" t="n"/>
      <c r="H60" s="13" t="n"/>
      <c r="I60" s="13" t="n"/>
      <c r="J60" s="13" t="n"/>
      <c r="K60" s="13" t="n"/>
      <c r="L60" s="13" t="n"/>
      <c r="M60" s="13" t="n"/>
      <c r="N60" s="13" t="n"/>
      <c r="O60" s="13" t="n"/>
      <c r="P60" s="13" t="n"/>
      <c r="Q60" s="13" t="n"/>
      <c r="R60" s="13" t="n"/>
      <c r="S60" s="13" t="n"/>
      <c r="T60" s="13" t="n"/>
      <c r="U60" s="13" t="n"/>
      <c r="V60" s="13" t="n"/>
      <c r="W60" s="13" t="n"/>
      <c r="X60" s="13" t="n"/>
      <c r="Y60" s="13" t="n"/>
      <c r="Z60" s="13" t="n"/>
      <c r="AA60" s="13" t="n"/>
      <c r="AB60" s="13" t="n"/>
      <c r="AC60" s="13" t="n"/>
      <c r="AD60" s="13" t="n"/>
      <c r="AE60" s="13" t="n"/>
      <c r="AF60" s="13" t="n"/>
      <c r="AG60" s="13" t="n"/>
      <c r="AH60" s="13" t="n"/>
      <c r="AI60" s="13" t="n"/>
      <c r="AJ60" s="13" t="n"/>
      <c r="AK60" s="13" t="n"/>
      <c r="AL60" s="13" t="n"/>
      <c r="AM60" s="13" t="n"/>
      <c r="AN60" s="13" t="n"/>
      <c r="AO60" s="13" t="n"/>
      <c r="AP60" s="13" t="n"/>
      <c r="AQ60" s="13" t="n"/>
      <c r="AR60" s="13" t="n"/>
      <c r="AS60" s="13" t="n"/>
      <c r="AT60" s="13" t="n"/>
      <c r="AU60" s="13" t="n"/>
      <c r="AV60" s="13" t="n"/>
      <c r="AW60" s="13" t="n"/>
      <c r="AX60" s="13" t="n"/>
      <c r="AY60" s="13" t="n"/>
      <c r="AZ60" s="13" t="n"/>
      <c r="BA60" s="13" t="n"/>
      <c r="BB60" s="13" t="n"/>
      <c r="BC60" s="13" t="n"/>
      <c r="BD60" s="13" t="n"/>
      <c r="BE60" s="13" t="n"/>
      <c r="BF60" s="13" t="n"/>
      <c r="BG60" s="13" t="n"/>
      <c r="BH60" s="13" t="n"/>
      <c r="BI60" s="13" t="n"/>
      <c r="BJ60" s="13" t="n"/>
      <c r="BK60" s="13" t="n"/>
      <c r="BL60" s="13" t="n"/>
      <c r="BM60" s="13" t="n"/>
      <c r="BN60" s="13" t="n"/>
      <c r="BO60" s="13" t="n"/>
      <c r="BP60" s="13" t="n"/>
      <c r="BQ60" s="13" t="n"/>
      <c r="BR60" s="13" t="n"/>
      <c r="BS60" s="13" t="n"/>
      <c r="BT60" s="13" t="n"/>
    </row>
    <row r="61" ht="15.75" customHeight="1">
      <c r="A61" s="35" t="n"/>
      <c r="B61" s="61" t="inlineStr">
        <is>
          <t>Class Limit</t>
        </is>
      </c>
      <c r="C61" s="62" t="inlineStr">
        <is>
          <t>Bin</t>
        </is>
      </c>
      <c r="D61" s="13" t="n"/>
      <c r="E61" s="13" t="n"/>
      <c r="F61" s="13" t="n"/>
      <c r="G61" s="13" t="n"/>
      <c r="H61" s="13" t="n"/>
      <c r="I61" s="13" t="n"/>
      <c r="J61" s="13" t="n"/>
      <c r="K61" s="13" t="n"/>
      <c r="L61" s="13" t="n"/>
      <c r="M61" s="13" t="n"/>
      <c r="N61" s="13" t="n"/>
      <c r="O61" s="13" t="n"/>
      <c r="P61" s="13" t="n"/>
      <c r="Q61" s="13" t="n"/>
      <c r="R61" s="13" t="n"/>
      <c r="S61" s="13" t="n"/>
      <c r="T61" s="13" t="n"/>
      <c r="U61" s="13" t="n"/>
      <c r="V61" s="13" t="n"/>
      <c r="W61" s="13" t="n"/>
      <c r="X61" s="13" t="n"/>
      <c r="Y61" s="13" t="n"/>
      <c r="Z61" s="13" t="n"/>
      <c r="AA61" s="13" t="n"/>
      <c r="AB61" s="13" t="n"/>
      <c r="AC61" s="13" t="n"/>
      <c r="AD61" s="13" t="n"/>
      <c r="AE61" s="13" t="n"/>
      <c r="AF61" s="13" t="n"/>
      <c r="AG61" s="13" t="n"/>
      <c r="AH61" s="13" t="n"/>
      <c r="AI61" s="13" t="n"/>
      <c r="AJ61" s="13" t="n"/>
      <c r="AK61" s="13" t="n"/>
      <c r="AL61" s="13" t="n"/>
      <c r="AM61" s="13" t="n"/>
      <c r="AN61" s="13" t="n"/>
      <c r="AO61" s="13" t="n"/>
      <c r="AP61" s="13" t="n"/>
      <c r="AQ61" s="13" t="n"/>
      <c r="AR61" s="13" t="n"/>
      <c r="AS61" s="13" t="n"/>
      <c r="AT61" s="13" t="n"/>
      <c r="AU61" s="13" t="n"/>
      <c r="AV61" s="13" t="n"/>
      <c r="AW61" s="13" t="n"/>
      <c r="AX61" s="13" t="n"/>
      <c r="AY61" s="13" t="n"/>
      <c r="AZ61" s="13" t="n"/>
      <c r="BA61" s="13" t="n"/>
      <c r="BB61" s="13" t="n"/>
      <c r="BC61" s="13" t="n"/>
      <c r="BD61" s="13" t="n"/>
      <c r="BE61" s="13" t="n"/>
      <c r="BF61" s="13" t="n"/>
      <c r="BG61" s="13" t="n"/>
      <c r="BH61" s="13" t="n"/>
      <c r="BI61" s="13" t="n"/>
      <c r="BJ61" s="13" t="n"/>
      <c r="BK61" s="13" t="n"/>
      <c r="BL61" s="13" t="n"/>
      <c r="BM61" s="13" t="n"/>
      <c r="BN61" s="13" t="n"/>
      <c r="BO61" s="13" t="n"/>
      <c r="BP61" s="13" t="n"/>
      <c r="BQ61" s="13" t="n"/>
      <c r="BR61" s="13" t="n"/>
      <c r="BS61" s="13" t="n"/>
      <c r="BT61" s="13" t="n"/>
    </row>
    <row r="62" ht="16.5" customHeight="1">
      <c r="A62" s="63" t="inlineStr">
        <is>
          <t>Exceeds Expectation (A+, A, A-) (%)</t>
        </is>
      </c>
      <c r="B62" s="61" t="inlineStr">
        <is>
          <t>80-100</t>
        </is>
      </c>
      <c r="C62" s="62" t="n">
        <v>100</v>
      </c>
      <c r="D62" s="13" t="n"/>
      <c r="E62" s="13" t="n"/>
      <c r="F62" s="13" t="n"/>
      <c r="G62" s="13" t="n"/>
      <c r="H62" s="13" t="n"/>
      <c r="I62" s="13" t="n"/>
      <c r="J62" s="13" t="n"/>
      <c r="K62" s="13" t="n"/>
      <c r="L62" s="13" t="n"/>
      <c r="M62" s="13" t="n"/>
      <c r="N62" s="13" t="n"/>
      <c r="O62" s="13" t="n"/>
      <c r="P62" s="13" t="n"/>
      <c r="Q62" s="13" t="n"/>
      <c r="R62" s="13" t="n"/>
      <c r="S62" s="13" t="n"/>
      <c r="T62" s="13" t="n"/>
      <c r="U62" s="13" t="n"/>
      <c r="V62" s="13" t="n"/>
      <c r="W62" s="13" t="n"/>
      <c r="X62" s="13" t="n"/>
      <c r="Y62" s="13" t="n"/>
      <c r="Z62" s="13" t="n"/>
      <c r="AA62" s="13" t="n"/>
      <c r="AB62" s="13" t="n"/>
      <c r="AC62" s="13" t="n"/>
      <c r="AD62" s="13" t="n"/>
      <c r="AE62" s="13" t="n"/>
      <c r="AF62" s="13" t="n"/>
      <c r="AG62" s="13" t="n"/>
      <c r="AH62" s="13" t="n"/>
      <c r="AI62" s="13" t="n"/>
      <c r="AJ62" s="13" t="n"/>
      <c r="AK62" s="13" t="n"/>
      <c r="AL62" s="13" t="n"/>
      <c r="AM62" s="13" t="n"/>
      <c r="AN62" s="13" t="n"/>
      <c r="AO62" s="13" t="n"/>
      <c r="AP62" s="13" t="n"/>
      <c r="AQ62" s="13" t="n"/>
      <c r="AR62" s="13" t="n"/>
      <c r="AS62" s="13" t="n"/>
      <c r="AT62" s="13" t="n"/>
      <c r="AU62" s="13" t="n"/>
      <c r="AV62" s="13" t="n"/>
      <c r="AW62" s="13" t="n"/>
      <c r="AX62" s="13" t="n"/>
      <c r="AY62" s="13" t="n"/>
      <c r="AZ62" s="13" t="n"/>
      <c r="BA62" s="13" t="n"/>
      <c r="BB62" s="13" t="n"/>
      <c r="BC62" s="13" t="n"/>
      <c r="BD62" s="13" t="n"/>
      <c r="BE62" s="13" t="n"/>
      <c r="BF62" s="13" t="n"/>
      <c r="BG62" s="13" t="n"/>
      <c r="BH62" s="13" t="n"/>
      <c r="BI62" s="13" t="n"/>
      <c r="BJ62" s="13" t="n"/>
      <c r="BK62" s="13" t="n"/>
      <c r="BL62" s="13" t="n"/>
      <c r="BM62" s="13" t="n"/>
      <c r="BN62" s="13" t="n"/>
      <c r="BO62" s="13" t="n"/>
      <c r="BP62" s="13" t="n"/>
      <c r="BQ62" s="13" t="n"/>
      <c r="BR62" s="13" t="n"/>
      <c r="BS62" s="13" t="n"/>
      <c r="BT62" s="13" t="n"/>
    </row>
    <row r="63" ht="16.5" customHeight="1">
      <c r="A63" s="63" t="inlineStr">
        <is>
          <t>Meets Expectation (B+, B, B-) (%)</t>
        </is>
      </c>
      <c r="B63" s="61" t="inlineStr">
        <is>
          <t>70-79</t>
        </is>
      </c>
      <c r="C63" s="62" t="n">
        <v>79</v>
      </c>
      <c r="D63" s="13" t="n"/>
      <c r="E63" s="13" t="n"/>
      <c r="F63" s="13" t="n"/>
      <c r="G63" s="13" t="n"/>
      <c r="H63" s="13" t="n"/>
      <c r="I63" s="13" t="n"/>
      <c r="J63" s="13" t="n"/>
      <c r="K63" s="13" t="n"/>
      <c r="L63" s="13" t="n"/>
      <c r="M63" s="13" t="n"/>
      <c r="N63" s="13" t="n"/>
      <c r="O63" s="13" t="n"/>
      <c r="P63" s="13" t="n"/>
      <c r="Q63" s="13" t="n"/>
      <c r="R63" s="13" t="n"/>
      <c r="S63" s="13" t="n"/>
      <c r="T63" s="13" t="n"/>
      <c r="U63" s="13" t="n"/>
      <c r="V63" s="13" t="n"/>
      <c r="W63" s="13" t="n"/>
      <c r="X63" s="13" t="n"/>
      <c r="Y63" s="13" t="n"/>
      <c r="Z63" s="13" t="n"/>
      <c r="AA63" s="13" t="n"/>
      <c r="AB63" s="13" t="n"/>
      <c r="AC63" s="13" t="n"/>
      <c r="AD63" s="13" t="n"/>
      <c r="AE63" s="13" t="n"/>
      <c r="AF63" s="13" t="n"/>
      <c r="AG63" s="13" t="n"/>
      <c r="AH63" s="13" t="n"/>
      <c r="AI63" s="13" t="n"/>
      <c r="AJ63" s="13" t="n"/>
      <c r="AK63" s="13" t="n"/>
      <c r="AL63" s="13" t="n"/>
      <c r="AM63" s="13" t="n"/>
      <c r="AN63" s="13" t="n"/>
      <c r="AO63" s="13" t="n"/>
      <c r="AP63" s="13" t="n"/>
      <c r="AQ63" s="13" t="n"/>
      <c r="AR63" s="13" t="n"/>
      <c r="AS63" s="13" t="n"/>
      <c r="AT63" s="13" t="n"/>
      <c r="AU63" s="13" t="n"/>
      <c r="AV63" s="13" t="n"/>
      <c r="AW63" s="13" t="n"/>
      <c r="AX63" s="13" t="n"/>
      <c r="AY63" s="13" t="n"/>
      <c r="AZ63" s="13" t="n"/>
      <c r="BA63" s="13" t="n"/>
      <c r="BB63" s="13" t="n"/>
      <c r="BC63" s="13" t="n"/>
      <c r="BD63" s="13" t="n"/>
      <c r="BE63" s="13" t="n"/>
      <c r="BF63" s="13" t="n"/>
      <c r="BG63" s="13" t="n"/>
      <c r="BH63" s="13" t="n"/>
      <c r="BI63" s="13" t="n"/>
      <c r="BJ63" s="13" t="n"/>
      <c r="BK63" s="13" t="n"/>
      <c r="BL63" s="13" t="n"/>
      <c r="BM63" s="13" t="n"/>
      <c r="BN63" s="13" t="n"/>
      <c r="BO63" s="13" t="n"/>
      <c r="BP63" s="13" t="n"/>
      <c r="BQ63" s="13" t="n"/>
      <c r="BR63" s="13" t="n"/>
      <c r="BS63" s="13" t="n"/>
      <c r="BT63" s="13" t="n"/>
    </row>
    <row r="64" ht="16.5" customHeight="1">
      <c r="A64" s="63" t="inlineStr">
        <is>
          <t>Marginal (C+, C)  (%)</t>
        </is>
      </c>
      <c r="B64" s="61" t="inlineStr">
        <is>
          <t>60-69</t>
        </is>
      </c>
      <c r="C64" s="62" t="n">
        <v>69</v>
      </c>
      <c r="D64" s="13" t="n"/>
      <c r="E64" s="13" t="n"/>
      <c r="F64" s="13" t="n"/>
      <c r="G64" s="13" t="n"/>
      <c r="H64" s="13" t="n"/>
      <c r="I64" s="13" t="n"/>
      <c r="J64" s="13" t="n"/>
      <c r="K64" s="13" t="n"/>
      <c r="L64" s="13" t="n"/>
      <c r="M64" s="13" t="n"/>
      <c r="N64" s="13" t="n"/>
      <c r="O64" s="13" t="n"/>
      <c r="P64" s="13" t="n"/>
      <c r="Q64" s="13" t="n"/>
      <c r="R64" s="13" t="n"/>
      <c r="S64" s="13" t="n"/>
      <c r="T64" s="13" t="n"/>
      <c r="U64" s="13" t="n"/>
      <c r="V64" s="13" t="n"/>
      <c r="W64" s="13" t="n"/>
      <c r="X64" s="13" t="n"/>
      <c r="Y64" s="13" t="n"/>
      <c r="Z64" s="13" t="n"/>
      <c r="AA64" s="13" t="n"/>
      <c r="AB64" s="13" t="n"/>
      <c r="AC64" s="13" t="n"/>
      <c r="AD64" s="13" t="n"/>
      <c r="AE64" s="13" t="n"/>
      <c r="AF64" s="13" t="n"/>
      <c r="AG64" s="13" t="n"/>
      <c r="AH64" s="13" t="n"/>
      <c r="AI64" s="13" t="n"/>
      <c r="AJ64" s="13" t="n"/>
      <c r="AK64" s="13" t="n"/>
      <c r="AL64" s="13" t="n"/>
      <c r="AM64" s="13" t="n"/>
      <c r="AN64" s="13" t="n"/>
      <c r="AO64" s="13" t="n"/>
      <c r="AP64" s="13" t="n"/>
      <c r="AQ64" s="13" t="n"/>
      <c r="AR64" s="13" t="n"/>
      <c r="AS64" s="13" t="n"/>
      <c r="AT64" s="13" t="n"/>
      <c r="AU64" s="13" t="n"/>
      <c r="AV64" s="13" t="n"/>
      <c r="AW64" s="13" t="n"/>
      <c r="AX64" s="13" t="n"/>
      <c r="AY64" s="13" t="n"/>
      <c r="AZ64" s="13" t="n"/>
      <c r="BA64" s="13" t="n"/>
      <c r="BB64" s="13" t="n"/>
      <c r="BC64" s="13" t="n"/>
      <c r="BD64" s="13" t="n"/>
      <c r="BE64" s="13" t="n"/>
      <c r="BF64" s="13" t="n"/>
      <c r="BG64" s="13" t="n"/>
      <c r="BH64" s="13" t="n"/>
      <c r="BI64" s="13" t="n"/>
      <c r="BJ64" s="13" t="n"/>
      <c r="BK64" s="13" t="n"/>
      <c r="BL64" s="13" t="n"/>
      <c r="BM64" s="13" t="n"/>
      <c r="BN64" s="13" t="n"/>
      <c r="BO64" s="13" t="n"/>
      <c r="BP64" s="13" t="n"/>
      <c r="BQ64" s="13" t="n"/>
      <c r="BR64" s="13" t="n"/>
      <c r="BS64" s="13" t="n"/>
      <c r="BT64" s="13" t="n"/>
    </row>
    <row r="65" ht="16.5" customHeight="1">
      <c r="A65" s="63" t="inlineStr">
        <is>
          <t>Below Expectation (C- and below)  (%)</t>
        </is>
      </c>
      <c r="B65" s="61" t="inlineStr">
        <is>
          <t>0-59</t>
        </is>
      </c>
      <c r="C65" s="62" t="n">
        <v>59</v>
      </c>
      <c r="D65" s="13" t="n"/>
      <c r="E65" s="13" t="n"/>
      <c r="F65" s="13" t="n"/>
      <c r="G65" s="13" t="n"/>
      <c r="H65" s="13" t="n"/>
      <c r="I65" s="13" t="n"/>
      <c r="J65" s="13" t="n"/>
      <c r="K65" s="13" t="n"/>
      <c r="L65" s="13" t="n"/>
      <c r="M65" s="13" t="n"/>
      <c r="N65" s="13" t="n"/>
      <c r="O65" s="13" t="n"/>
      <c r="P65" s="13" t="n"/>
      <c r="Q65" s="13" t="n"/>
      <c r="R65" s="13" t="n"/>
      <c r="S65" s="13" t="n"/>
      <c r="T65" s="13" t="n"/>
      <c r="U65" s="13" t="n"/>
      <c r="V65" s="13" t="n"/>
      <c r="W65" s="13" t="n"/>
      <c r="X65" s="13" t="n"/>
      <c r="Y65" s="13" t="n"/>
      <c r="Z65" s="13" t="n"/>
      <c r="AA65" s="13" t="n"/>
      <c r="AB65" s="13" t="n"/>
      <c r="AC65" s="13" t="n"/>
      <c r="AD65" s="13" t="n"/>
      <c r="AE65" s="13" t="n"/>
      <c r="AF65" s="13" t="n"/>
      <c r="AG65" s="13" t="n"/>
      <c r="AH65" s="13" t="n"/>
      <c r="AI65" s="13" t="n"/>
      <c r="AJ65" s="13" t="n"/>
      <c r="AK65" s="13" t="n"/>
      <c r="AL65" s="13" t="n"/>
      <c r="AM65" s="13" t="n"/>
      <c r="AN65" s="13" t="n"/>
      <c r="AO65" s="13" t="n"/>
      <c r="AP65" s="13" t="n"/>
      <c r="AQ65" s="13" t="n"/>
      <c r="AR65" s="13" t="n"/>
      <c r="AS65" s="13" t="n"/>
      <c r="AT65" s="13" t="n"/>
      <c r="AU65" s="13" t="n"/>
      <c r="AV65" s="13" t="n"/>
      <c r="AW65" s="13" t="n"/>
      <c r="AX65" s="13" t="n"/>
      <c r="AY65" s="13" t="n"/>
      <c r="AZ65" s="13" t="n"/>
      <c r="BA65" s="13" t="n"/>
      <c r="BB65" s="13" t="n"/>
      <c r="BC65" s="13" t="n"/>
      <c r="BD65" s="13" t="n"/>
      <c r="BE65" s="13" t="n"/>
      <c r="BF65" s="13" t="n"/>
      <c r="BG65" s="13" t="n"/>
      <c r="BH65" s="13" t="n"/>
      <c r="BI65" s="13" t="n"/>
      <c r="BJ65" s="13" t="n"/>
      <c r="BK65" s="13" t="n"/>
      <c r="BL65" s="13" t="n"/>
      <c r="BM65" s="13" t="n"/>
      <c r="BN65" s="13" t="n"/>
      <c r="BO65" s="13" t="n"/>
      <c r="BP65" s="13" t="n"/>
      <c r="BQ65" s="13" t="n"/>
      <c r="BR65" s="13" t="n"/>
      <c r="BS65" s="13" t="n"/>
      <c r="BT65" s="13" t="n"/>
    </row>
  </sheetData>
  <mergeCells count="1">
    <mergeCell ref="BR3:BR4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0"/>
    <pageSetUpPr/>
  </sheetPr>
  <dimension ref="A1:AA65"/>
  <sheetViews>
    <sheetView workbookViewId="0">
      <selection activeCell="A1" sqref="A1"/>
    </sheetView>
  </sheetViews>
  <sheetFormatPr baseColWidth="8" defaultRowHeight="15" outlineLevelCol="0"/>
  <cols>
    <col width="44.86214285714286" bestFit="1" customWidth="1" style="64" min="1" max="1"/>
    <col width="18.86214285714286" bestFit="1" customWidth="1" style="65" min="2" max="2"/>
    <col width="14.57642857142857" bestFit="1" customWidth="1" style="66" min="3" max="3"/>
    <col width="15.86214285714286" bestFit="1" customWidth="1" style="13" min="4" max="4"/>
    <col width="17.71928571428571" bestFit="1" customWidth="1" style="13" min="5" max="5"/>
    <col width="15.005" bestFit="1" customWidth="1" style="13" min="6" max="6"/>
    <col width="15.43357142857143" bestFit="1" customWidth="1" style="13" min="7" max="7"/>
    <col width="17.71928571428571" bestFit="1" customWidth="1" style="13" min="8" max="8"/>
    <col width="15.43357142857143" bestFit="1" customWidth="1" style="13" min="9" max="9"/>
    <col width="15.43357142857143" bestFit="1" customWidth="1" style="13" min="10" max="10"/>
    <col width="15.86214285714286" bestFit="1" customWidth="1" style="13" min="11" max="11"/>
    <col width="15.86214285714286" bestFit="1" customWidth="1" style="13" min="12" max="12"/>
    <col width="15.43357142857143" bestFit="1" customWidth="1" style="13" min="13" max="13"/>
    <col width="15.86214285714286" bestFit="1" customWidth="1" style="13" min="14" max="14"/>
    <col width="15.86214285714286" bestFit="1" customWidth="1" style="13" min="15" max="15"/>
    <col width="15.86214285714286" bestFit="1" customWidth="1" style="13" min="16" max="16"/>
    <col width="15.86214285714286" bestFit="1" customWidth="1" style="13" min="17" max="17"/>
    <col width="15.86214285714286" bestFit="1" customWidth="1" style="13" min="18" max="18"/>
    <col width="15.86214285714286" bestFit="1" customWidth="1" style="13" min="19" max="19"/>
    <col width="15.86214285714286" bestFit="1" customWidth="1" style="13" min="20" max="20"/>
    <col width="15.86214285714286" bestFit="1" customWidth="1" style="13" min="21" max="21"/>
    <col width="15.86214285714286" bestFit="1" customWidth="1" style="13" min="22" max="22"/>
    <col width="15.86214285714286" bestFit="1" customWidth="1" style="13" min="23" max="23"/>
    <col width="15.86214285714286" bestFit="1" customWidth="1" style="13" min="24" max="24"/>
    <col width="9.290714285714287" bestFit="1" customWidth="1" style="13" min="25" max="25"/>
    <col width="14.14785714285714" bestFit="1" customWidth="1" style="13" min="26" max="26"/>
    <col width="4.290714285714285" bestFit="1" customWidth="1" style="13" min="27" max="27"/>
  </cols>
  <sheetData>
    <row r="1" ht="19.5" customHeight="1">
      <c r="A1" s="14" t="inlineStr">
        <is>
          <t>Student Number</t>
        </is>
      </c>
      <c r="B1" s="15" t="inlineStr">
        <is>
          <t>SENG-1110-3</t>
        </is>
      </c>
      <c r="C1" s="16" t="inlineStr">
        <is>
          <t>SENG-1110-4</t>
        </is>
      </c>
      <c r="D1" s="17" t="inlineStr">
        <is>
          <t>EPHY-2300-5</t>
        </is>
      </c>
      <c r="E1" s="17" t="inlineStr">
        <is>
          <t>SENG-3110-4</t>
        </is>
      </c>
      <c r="F1" s="17" t="inlineStr">
        <is>
          <t>SENG-3110-5</t>
        </is>
      </c>
      <c r="G1" s="17" t="inlineStr">
        <is>
          <t>CENG-3010-5</t>
        </is>
      </c>
      <c r="H1" s="17" t="inlineStr">
        <is>
          <t>EENG-3010-5</t>
        </is>
      </c>
      <c r="I1" s="17" t="inlineStr">
        <is>
          <t>COMP-3610-10</t>
        </is>
      </c>
      <c r="J1" s="18" t="inlineStr">
        <is>
          <t>SENG-4130-6</t>
        </is>
      </c>
      <c r="K1" s="18" t="inlineStr">
        <is>
          <t>SENG-4230-2</t>
        </is>
      </c>
      <c r="L1" s="18" t="inlineStr">
        <is>
          <t>SENG-4220-5</t>
        </is>
      </c>
      <c r="M1" s="18" t="inlineStr">
        <is>
          <t>SENG-4140-4</t>
        </is>
      </c>
      <c r="N1" s="18" t="inlineStr">
        <is>
          <t>SENG-4620-2</t>
        </is>
      </c>
      <c r="O1" s="18" t="inlineStr">
        <is>
          <t>SENG-4620-3</t>
        </is>
      </c>
      <c r="P1" s="18" t="inlineStr">
        <is>
          <t>SENG-4630-3</t>
        </is>
      </c>
      <c r="Q1" s="18" t="inlineStr">
        <is>
          <t>SENG-4630-4</t>
        </is>
      </c>
      <c r="R1" s="18" t="inlineStr">
        <is>
          <t>SENG-4630-5</t>
        </is>
      </c>
      <c r="S1" s="18" t="inlineStr">
        <is>
          <t>SENG-4650-4</t>
        </is>
      </c>
      <c r="T1" s="18" t="inlineStr">
        <is>
          <t>SENG-4650-5</t>
        </is>
      </c>
      <c r="U1" s="18" t="inlineStr">
        <is>
          <t>SENG-4660-4</t>
        </is>
      </c>
      <c r="V1" s="18" t="inlineStr">
        <is>
          <t>SENG-4660-5</t>
        </is>
      </c>
      <c r="W1" s="18" t="inlineStr">
        <is>
          <t>CENG-4320-4</t>
        </is>
      </c>
      <c r="X1" s="18" t="inlineStr">
        <is>
          <t>CENG-4320-5</t>
        </is>
      </c>
      <c r="Y1" s="19">
        <f>COUNTA(B1:X1)</f>
        <v/>
      </c>
      <c r="Z1" s="13" t="n"/>
      <c r="AA1" s="13" t="n"/>
    </row>
    <row r="2" ht="33.75" customHeight="1">
      <c r="A2" s="20" t="inlineStr">
        <is>
          <t>Assessment
Tool</t>
        </is>
      </c>
      <c r="B2" s="40" t="inlineStr">
        <is>
          <t>Lab</t>
        </is>
      </c>
      <c r="C2" s="22" t="inlineStr">
        <is>
          <t>Lab</t>
        </is>
      </c>
      <c r="D2" s="40" t="inlineStr">
        <is>
          <t>Lab</t>
        </is>
      </c>
      <c r="E2" s="40" t="inlineStr">
        <is>
          <t>Final Exam</t>
        </is>
      </c>
      <c r="F2" s="40" t="inlineStr">
        <is>
          <t>Project</t>
        </is>
      </c>
      <c r="G2" s="40" t="inlineStr">
        <is>
          <t>Final Exam</t>
        </is>
      </c>
      <c r="H2" s="40" t="inlineStr">
        <is>
          <t>Final Exam</t>
        </is>
      </c>
      <c r="I2" s="40" t="inlineStr">
        <is>
          <t>Assignment</t>
        </is>
      </c>
      <c r="J2" s="40" t="inlineStr">
        <is>
          <t>Lab</t>
        </is>
      </c>
      <c r="K2" s="40" t="inlineStr">
        <is>
          <t>Final Exam</t>
        </is>
      </c>
      <c r="L2" s="40" t="inlineStr">
        <is>
          <t>Lab</t>
        </is>
      </c>
      <c r="M2" s="40" t="inlineStr">
        <is>
          <t>Final Exam</t>
        </is>
      </c>
      <c r="N2" s="40" t="inlineStr">
        <is>
          <t>Project</t>
        </is>
      </c>
      <c r="O2" s="40" t="inlineStr">
        <is>
          <t>Lab</t>
        </is>
      </c>
      <c r="P2" s="40" t="inlineStr">
        <is>
          <t>Lab</t>
        </is>
      </c>
      <c r="Q2" s="40" t="inlineStr">
        <is>
          <t>Lab</t>
        </is>
      </c>
      <c r="R2" s="40" t="inlineStr">
        <is>
          <t>Other</t>
        </is>
      </c>
      <c r="S2" s="40" t="inlineStr">
        <is>
          <t>Project</t>
        </is>
      </c>
      <c r="T2" s="40" t="inlineStr">
        <is>
          <t>Lab</t>
        </is>
      </c>
      <c r="U2" s="40" t="inlineStr">
        <is>
          <t>Project</t>
        </is>
      </c>
      <c r="V2" s="40" t="inlineStr">
        <is>
          <t>Lab</t>
        </is>
      </c>
      <c r="W2" s="40" t="inlineStr">
        <is>
          <t>Project</t>
        </is>
      </c>
      <c r="X2" s="40" t="inlineStr">
        <is>
          <t>Lab</t>
        </is>
      </c>
      <c r="Y2" s="19">
        <f>COUNTIF(B2:X2, "&lt;&gt;")</f>
        <v/>
      </c>
      <c r="Z2" s="13" t="n"/>
      <c r="AA2" s="13" t="n"/>
    </row>
    <row r="3" ht="19.5" customHeight="1">
      <c r="A3" s="23" t="n">
        <v>1</v>
      </c>
      <c r="B3" s="24" t="n">
        <v>1</v>
      </c>
      <c r="C3" s="24" t="n">
        <v>1</v>
      </c>
      <c r="D3" s="24" t="n">
        <v>0.8166666666666667</v>
      </c>
      <c r="E3" s="24" t="n">
        <v>0.6666666666666666</v>
      </c>
      <c r="F3" s="24" t="n">
        <v>0.95</v>
      </c>
      <c r="G3" s="24" t="n">
        <v>0.75</v>
      </c>
      <c r="H3" s="24" t="n">
        <v>0.67</v>
      </c>
      <c r="I3" s="24" t="n">
        <v>1</v>
      </c>
      <c r="J3" s="24" t="n">
        <v>1</v>
      </c>
      <c r="K3" s="24" t="n">
        <v>0.9375</v>
      </c>
      <c r="L3" s="24" t="n">
        <v>1</v>
      </c>
      <c r="M3" s="24" t="n">
        <v>1</v>
      </c>
      <c r="N3" s="24" t="n">
        <v>0.914971</v>
      </c>
      <c r="O3" s="24" t="n">
        <v>1</v>
      </c>
      <c r="P3" s="24" t="n">
        <v>1</v>
      </c>
      <c r="Q3" s="24" t="n">
        <v>0.8125</v>
      </c>
      <c r="R3" s="24" t="n">
        <v>1</v>
      </c>
      <c r="S3" s="24" t="n">
        <v>0.9400000000000001</v>
      </c>
      <c r="T3" s="24" t="n">
        <v>1</v>
      </c>
      <c r="U3" s="24" t="n">
        <v>0.9400000000000001</v>
      </c>
      <c r="V3" s="24" t="n">
        <v>1</v>
      </c>
      <c r="W3" s="24" t="n">
        <v>0.9400000000000001</v>
      </c>
      <c r="X3" s="24" t="n">
        <v>1</v>
      </c>
      <c r="Y3" s="25" t="n"/>
      <c r="Z3" s="13" t="n"/>
      <c r="AA3" s="13" t="n"/>
    </row>
    <row r="4" ht="19.5" customHeight="1">
      <c r="A4" s="23" t="n">
        <v>2</v>
      </c>
      <c r="B4" s="24" t="n">
        <v>0.65</v>
      </c>
      <c r="C4" s="24" t="n">
        <v>0.75</v>
      </c>
      <c r="D4" s="24" t="n">
        <v>0.8166666666666667</v>
      </c>
      <c r="E4" s="24" t="n">
        <v>0.5333333333333333</v>
      </c>
      <c r="F4" s="24" t="n">
        <v>0.62</v>
      </c>
      <c r="G4" s="24" t="n">
        <v>0.375</v>
      </c>
      <c r="H4" s="24" t="n">
        <v>0.95</v>
      </c>
      <c r="I4" s="24" t="n">
        <v>1</v>
      </c>
      <c r="J4" s="24" t="n">
        <v>0.95</v>
      </c>
      <c r="K4" s="24" t="n">
        <v>0.9375</v>
      </c>
      <c r="L4" s="24" t="n">
        <v>0.85</v>
      </c>
      <c r="M4" s="24" t="n">
        <v>0.8333333333333334</v>
      </c>
      <c r="N4" s="24" t="n">
        <v>0.9705369999999999</v>
      </c>
      <c r="O4" s="24" t="n">
        <v>1</v>
      </c>
      <c r="P4" s="24" t="n">
        <v>1</v>
      </c>
      <c r="Q4" s="24" t="n">
        <v>0.75</v>
      </c>
      <c r="R4" s="24" t="n">
        <v>1</v>
      </c>
      <c r="S4" s="24" t="n">
        <v>0.9400000000000001</v>
      </c>
      <c r="T4" s="24" t="n">
        <v>1</v>
      </c>
      <c r="U4" s="24" t="n">
        <v>0.9400000000000001</v>
      </c>
      <c r="V4" s="24" t="n">
        <v>1</v>
      </c>
      <c r="W4" s="24" t="n">
        <v>0.9400000000000001</v>
      </c>
      <c r="X4" s="24" t="n">
        <v>1</v>
      </c>
      <c r="Y4" s="222" t="n"/>
      <c r="Z4" s="13" t="n"/>
      <c r="AA4" s="27" t="inlineStr">
        <is>
          <t>A</t>
        </is>
      </c>
    </row>
    <row r="5" ht="19.5" customHeight="1">
      <c r="A5" s="23" t="n">
        <v>3</v>
      </c>
      <c r="B5" s="24" t="n">
        <v>0.65</v>
      </c>
      <c r="C5" s="24" t="n">
        <v>0.85</v>
      </c>
      <c r="D5" s="24" t="n">
        <v>0.8666666666666667</v>
      </c>
      <c r="E5" s="24" t="n">
        <v>0.6</v>
      </c>
      <c r="F5" s="24" t="n">
        <v>0.73</v>
      </c>
      <c r="G5" s="24" t="n">
        <v>0.75</v>
      </c>
      <c r="H5" s="24" t="n">
        <v>1</v>
      </c>
      <c r="I5" s="24" t="n"/>
      <c r="J5" s="24" t="n">
        <v>1</v>
      </c>
      <c r="K5" s="24" t="n">
        <v>0.9375</v>
      </c>
      <c r="L5" s="24" t="n">
        <v>1</v>
      </c>
      <c r="M5" s="24" t="n">
        <v>1</v>
      </c>
      <c r="N5" s="24" t="n">
        <v>0.914971</v>
      </c>
      <c r="O5" s="24" t="n">
        <v>1</v>
      </c>
      <c r="P5" s="24" t="n">
        <v>1</v>
      </c>
      <c r="Q5" s="24" t="n">
        <v>0.6875</v>
      </c>
      <c r="R5" s="24" t="n">
        <v>0.675</v>
      </c>
      <c r="S5" s="24" t="n">
        <v>0.9400000000000001</v>
      </c>
      <c r="T5" s="24" t="n">
        <v>1</v>
      </c>
      <c r="U5" s="24" t="n">
        <v>0.9400000000000001</v>
      </c>
      <c r="V5" s="24" t="n">
        <v>1</v>
      </c>
      <c r="W5" s="24" t="n">
        <v>0.9400000000000001</v>
      </c>
      <c r="X5" s="24" t="n">
        <v>1</v>
      </c>
      <c r="Y5" s="222" t="n"/>
      <c r="Z5" s="13" t="n"/>
      <c r="AA5" s="27" t="inlineStr">
        <is>
          <t>Q</t>
        </is>
      </c>
    </row>
    <row r="6" ht="19.5" customHeight="1">
      <c r="A6" s="23" t="n">
        <v>4</v>
      </c>
      <c r="B6" s="24" t="n">
        <v>1</v>
      </c>
      <c r="C6" s="24" t="n">
        <v>1</v>
      </c>
      <c r="D6" s="24" t="n">
        <v>0.8666666666666667</v>
      </c>
      <c r="E6" s="24" t="n">
        <v>1</v>
      </c>
      <c r="F6" s="24" t="n">
        <v>0.62</v>
      </c>
      <c r="G6" s="24" t="n">
        <v>0.75</v>
      </c>
      <c r="H6" s="24" t="n">
        <v>0.667</v>
      </c>
      <c r="I6" s="24" t="n"/>
      <c r="J6" s="24" t="n">
        <v>1</v>
      </c>
      <c r="K6" s="24" t="n">
        <v>0.9375</v>
      </c>
      <c r="L6" s="24" t="n">
        <v>0</v>
      </c>
      <c r="M6" s="24" t="n">
        <v>1</v>
      </c>
      <c r="N6" s="24" t="n">
        <v>0.859405</v>
      </c>
      <c r="O6" s="24" t="n">
        <v>1</v>
      </c>
      <c r="P6" s="24" t="n">
        <v>0.775</v>
      </c>
      <c r="Q6" s="24" t="n">
        <v>0.8125</v>
      </c>
      <c r="R6" s="24" t="n">
        <v>0.95</v>
      </c>
      <c r="S6" s="24" t="n">
        <v>0.9400000000000001</v>
      </c>
      <c r="T6" s="24" t="n">
        <v>0.7999999999999999</v>
      </c>
      <c r="U6" s="24" t="n">
        <v>0.9400000000000001</v>
      </c>
      <c r="V6" s="24" t="n">
        <v>0.7999999999999999</v>
      </c>
      <c r="W6" s="24" t="n">
        <v>0.9400000000000001</v>
      </c>
      <c r="X6" s="24" t="n">
        <v>0.7999999999999999</v>
      </c>
      <c r="Y6" s="222" t="n"/>
      <c r="Z6" s="13" t="n"/>
      <c r="AA6" s="27" t="inlineStr">
        <is>
          <t>M</t>
        </is>
      </c>
    </row>
    <row r="7" ht="19.5" customHeight="1">
      <c r="A7" s="23" t="n">
        <v>5</v>
      </c>
      <c r="B7" s="24" t="n">
        <v>1</v>
      </c>
      <c r="C7" s="24" t="n">
        <v>1</v>
      </c>
      <c r="D7" s="24" t="n">
        <v>0.8666666666666667</v>
      </c>
      <c r="E7" s="24" t="n">
        <v>0.2666666666666667</v>
      </c>
      <c r="F7" s="24" t="n">
        <v>0.95</v>
      </c>
      <c r="G7" s="24" t="n">
        <v>0</v>
      </c>
      <c r="H7" s="24" t="n">
        <v>0.8</v>
      </c>
      <c r="I7" s="24" t="n"/>
      <c r="J7" s="24" t="n">
        <v>1</v>
      </c>
      <c r="K7" s="24" t="n">
        <v>0.625</v>
      </c>
      <c r="L7" s="24" t="n">
        <v>0.85</v>
      </c>
      <c r="M7" s="24" t="n">
        <v>0.8888888888888888</v>
      </c>
      <c r="N7" s="24" t="n">
        <v>0.914971</v>
      </c>
      <c r="O7" s="24" t="n">
        <v>0.75</v>
      </c>
      <c r="P7" s="24" t="n">
        <v>1</v>
      </c>
      <c r="Q7" s="24" t="n">
        <v>0.625</v>
      </c>
      <c r="R7" s="24" t="n">
        <v>0.725</v>
      </c>
      <c r="S7" s="24" t="n">
        <v>0.9400000000000001</v>
      </c>
      <c r="T7" s="24" t="n">
        <v>1</v>
      </c>
      <c r="U7" s="24" t="n">
        <v>0.9400000000000001</v>
      </c>
      <c r="V7" s="24" t="n">
        <v>1</v>
      </c>
      <c r="W7" s="24" t="n">
        <v>0.9400000000000001</v>
      </c>
      <c r="X7" s="24" t="n">
        <v>1</v>
      </c>
      <c r="Y7" s="222" t="n"/>
      <c r="Z7" s="13" t="n"/>
      <c r="AA7" s="27" t="inlineStr">
        <is>
          <t>F</t>
        </is>
      </c>
    </row>
    <row r="8" ht="19.5" customHeight="1">
      <c r="A8" s="23" t="n">
        <v>6</v>
      </c>
      <c r="B8" s="24" t="n"/>
      <c r="C8" s="24" t="n"/>
      <c r="D8" s="24" t="n">
        <v>0.3166666666666667</v>
      </c>
      <c r="E8" s="24" t="n">
        <v>0.3333333333333333</v>
      </c>
      <c r="F8" s="24" t="n">
        <v>0.62</v>
      </c>
      <c r="G8" s="24" t="n">
        <v>0.625</v>
      </c>
      <c r="H8" s="24" t="n">
        <v>0.9</v>
      </c>
      <c r="I8" s="24" t="n"/>
      <c r="J8" s="24" t="n">
        <v>0.8</v>
      </c>
      <c r="K8" s="24" t="n">
        <v>0.1875</v>
      </c>
      <c r="L8" s="24" t="n">
        <v>0.9</v>
      </c>
      <c r="M8" s="24" t="n">
        <v>0.8333333333333334</v>
      </c>
      <c r="N8" s="24" t="n"/>
      <c r="O8" s="24" t="n"/>
      <c r="P8" s="24" t="n">
        <v>0.8</v>
      </c>
      <c r="Q8" s="24" t="n">
        <v>0.6875</v>
      </c>
      <c r="R8" s="24" t="n">
        <v>1</v>
      </c>
      <c r="S8" s="24" t="n"/>
      <c r="T8" s="24" t="n"/>
      <c r="U8" s="24" t="n"/>
      <c r="V8" s="24" t="n"/>
      <c r="W8" s="24" t="n"/>
      <c r="X8" s="24" t="n"/>
      <c r="Y8" s="222" t="n"/>
      <c r="Z8" s="13" t="n"/>
      <c r="AA8" s="27" t="inlineStr">
        <is>
          <t>P</t>
        </is>
      </c>
    </row>
    <row r="9" ht="19.5" customHeight="1">
      <c r="A9" s="23" t="n">
        <v>7</v>
      </c>
      <c r="B9" s="24" t="n"/>
      <c r="C9" s="24" t="n"/>
      <c r="D9" s="24" t="n">
        <v>0.9166666666666666</v>
      </c>
      <c r="E9" s="24" t="n">
        <v>0.5333333333333333</v>
      </c>
      <c r="F9" s="24" t="n">
        <v>0.84</v>
      </c>
      <c r="G9" s="24" t="n">
        <v>0.125</v>
      </c>
      <c r="H9" s="24" t="n">
        <v>0.8</v>
      </c>
      <c r="I9" s="24" t="n"/>
      <c r="J9" s="24" t="n"/>
      <c r="K9" s="24" t="n"/>
      <c r="L9" s="24" t="n"/>
      <c r="M9" s="24" t="n"/>
      <c r="N9" s="24" t="n"/>
      <c r="O9" s="24" t="n"/>
      <c r="P9" s="24" t="n"/>
      <c r="Q9" s="24" t="n"/>
      <c r="R9" s="24" t="n"/>
      <c r="S9" s="24" t="n"/>
      <c r="T9" s="24" t="n"/>
      <c r="U9" s="24" t="n"/>
      <c r="V9" s="24" t="n"/>
      <c r="W9" s="24" t="n"/>
      <c r="X9" s="24" t="n"/>
      <c r="Y9" s="222" t="n"/>
      <c r="Z9" s="13" t="n"/>
      <c r="AA9" s="27" t="inlineStr">
        <is>
          <t>L</t>
        </is>
      </c>
    </row>
    <row r="10" ht="19.5" customHeight="1">
      <c r="A10" s="23" t="n">
        <v>8</v>
      </c>
      <c r="B10" s="24" t="n"/>
      <c r="C10" s="24" t="n"/>
      <c r="D10" s="24" t="n">
        <v>0.9</v>
      </c>
      <c r="E10" s="24" t="n">
        <v>1</v>
      </c>
      <c r="F10" s="24" t="n">
        <v>0.84</v>
      </c>
      <c r="G10" s="24" t="n">
        <v>0.75</v>
      </c>
      <c r="H10" s="24" t="n">
        <v>0.67</v>
      </c>
      <c r="I10" s="24" t="n"/>
      <c r="J10" s="24" t="n"/>
      <c r="K10" s="24" t="n"/>
      <c r="L10" s="24" t="n"/>
      <c r="M10" s="24" t="n"/>
      <c r="N10" s="24" t="n"/>
      <c r="O10" s="24" t="n"/>
      <c r="P10" s="24" t="n"/>
      <c r="Q10" s="24" t="n"/>
      <c r="R10" s="24" t="n"/>
      <c r="S10" s="24" t="n"/>
      <c r="T10" s="24" t="n"/>
      <c r="U10" s="24" t="n"/>
      <c r="V10" s="24" t="n"/>
      <c r="W10" s="24" t="n"/>
      <c r="X10" s="24" t="n"/>
      <c r="Y10" s="222" t="n"/>
      <c r="Z10" s="13" t="n"/>
      <c r="AA10" s="27" t="inlineStr">
        <is>
          <t>OT</t>
        </is>
      </c>
    </row>
    <row r="11" ht="19.5" customHeight="1">
      <c r="A11" s="23" t="n">
        <v>9</v>
      </c>
      <c r="B11" s="24" t="n"/>
      <c r="C11" s="24" t="n"/>
      <c r="D11" s="24" t="n">
        <v>0.7833333333333333</v>
      </c>
      <c r="E11" s="24" t="n">
        <v>0.6666666666666666</v>
      </c>
      <c r="F11" s="24" t="n">
        <v>0.84</v>
      </c>
      <c r="G11" s="24" t="n">
        <v>0</v>
      </c>
      <c r="H11" s="24" t="n">
        <v>0.75</v>
      </c>
      <c r="I11" s="24" t="n"/>
      <c r="J11" s="24" t="n"/>
      <c r="K11" s="24" t="n"/>
      <c r="L11" s="24" t="n"/>
      <c r="M11" s="24" t="n"/>
      <c r="N11" s="24" t="n"/>
      <c r="O11" s="24" t="n"/>
      <c r="P11" s="24" t="n"/>
      <c r="Q11" s="24" t="n"/>
      <c r="R11" s="24" t="n"/>
      <c r="S11" s="24" t="n"/>
      <c r="T11" s="24" t="n"/>
      <c r="U11" s="24" t="n"/>
      <c r="V11" s="24" t="n"/>
      <c r="W11" s="24" t="n"/>
      <c r="X11" s="24" t="n"/>
      <c r="Y11" s="222" t="n"/>
      <c r="Z11" s="13" t="n"/>
      <c r="AA11" s="13" t="n"/>
    </row>
    <row r="12" ht="19.5" customHeight="1">
      <c r="A12" s="23" t="n">
        <v>10</v>
      </c>
      <c r="B12" s="24" t="n"/>
      <c r="C12" s="24" t="n"/>
      <c r="D12" s="24" t="n">
        <v>0.9166666666666666</v>
      </c>
      <c r="E12" s="24" t="n">
        <v>1</v>
      </c>
      <c r="F12" s="24" t="n">
        <v>0.73</v>
      </c>
      <c r="G12" s="24" t="n">
        <v>0.125</v>
      </c>
      <c r="H12" s="24" t="n">
        <v>0.9</v>
      </c>
      <c r="I12" s="24" t="n"/>
      <c r="J12" s="24" t="n"/>
      <c r="K12" s="24" t="n"/>
      <c r="L12" s="24" t="n"/>
      <c r="M12" s="24" t="n"/>
      <c r="N12" s="24" t="n"/>
      <c r="O12" s="24" t="n"/>
      <c r="P12" s="24" t="n"/>
      <c r="Q12" s="24" t="n"/>
      <c r="R12" s="24" t="n"/>
      <c r="S12" s="24" t="n"/>
      <c r="T12" s="24" t="n"/>
      <c r="U12" s="24" t="n"/>
      <c r="V12" s="24" t="n"/>
      <c r="W12" s="24" t="n"/>
      <c r="X12" s="24" t="n"/>
      <c r="Y12" s="222" t="n"/>
      <c r="Z12" s="13" t="n"/>
      <c r="AA12" s="13" t="n"/>
    </row>
    <row r="13" ht="19.5" customHeight="1">
      <c r="A13" s="23" t="n">
        <v>11</v>
      </c>
      <c r="B13" s="24" t="n"/>
      <c r="C13" s="24" t="n"/>
      <c r="D13" s="24" t="n">
        <v>0.8333333333333334</v>
      </c>
      <c r="E13" s="24" t="n">
        <v>0.6</v>
      </c>
      <c r="F13" s="24" t="n">
        <v>0.95</v>
      </c>
      <c r="G13" s="24" t="n">
        <v>0.125</v>
      </c>
      <c r="H13" s="24" t="n">
        <v>0.15</v>
      </c>
      <c r="I13" s="24" t="n"/>
      <c r="J13" s="24" t="n"/>
      <c r="K13" s="24" t="n"/>
      <c r="L13" s="24" t="n"/>
      <c r="M13" s="24" t="n"/>
      <c r="N13" s="24" t="n"/>
      <c r="O13" s="24" t="n"/>
      <c r="P13" s="24" t="n"/>
      <c r="Q13" s="24" t="n"/>
      <c r="R13" s="24" t="n"/>
      <c r="S13" s="24" t="n"/>
      <c r="T13" s="24" t="n"/>
      <c r="U13" s="24" t="n"/>
      <c r="V13" s="24" t="n"/>
      <c r="W13" s="24" t="n"/>
      <c r="X13" s="24" t="n"/>
      <c r="Y13" s="222" t="n"/>
      <c r="Z13" s="13" t="n"/>
      <c r="AA13" s="13" t="n"/>
    </row>
    <row r="14" ht="19.5" customHeight="1">
      <c r="A14" s="23" t="n">
        <v>12</v>
      </c>
      <c r="B14" s="24" t="n"/>
      <c r="C14" s="24" t="n"/>
      <c r="D14" s="24" t="n">
        <v>0.8583333333333333</v>
      </c>
      <c r="E14" s="24" t="n"/>
      <c r="F14" s="24" t="n"/>
      <c r="G14" s="24" t="n">
        <v>0.5</v>
      </c>
      <c r="H14" s="24" t="n">
        <v>0.95</v>
      </c>
      <c r="I14" s="24" t="n"/>
      <c r="J14" s="24" t="n"/>
      <c r="K14" s="24" t="n"/>
      <c r="L14" s="24" t="n"/>
      <c r="M14" s="24" t="n"/>
      <c r="N14" s="24" t="n"/>
      <c r="O14" s="24" t="n"/>
      <c r="P14" s="24" t="n"/>
      <c r="Q14" s="24" t="n"/>
      <c r="R14" s="24" t="n"/>
      <c r="S14" s="24" t="n"/>
      <c r="T14" s="24" t="n"/>
      <c r="U14" s="24" t="n"/>
      <c r="V14" s="24" t="n"/>
      <c r="W14" s="24" t="n"/>
      <c r="X14" s="24" t="n"/>
      <c r="Y14" s="222" t="n"/>
      <c r="Z14" s="13" t="n"/>
      <c r="AA14" s="13" t="n"/>
    </row>
    <row r="15" ht="19.5" customHeight="1">
      <c r="A15" s="23" t="n">
        <v>13</v>
      </c>
      <c r="B15" s="24" t="n"/>
      <c r="C15" s="24" t="n"/>
      <c r="D15" s="24" t="n">
        <v>0.85</v>
      </c>
      <c r="E15" s="24" t="n"/>
      <c r="F15" s="24" t="n"/>
      <c r="G15" s="24" t="n">
        <v>0.625</v>
      </c>
      <c r="H15" s="24" t="n">
        <v>0.667</v>
      </c>
      <c r="I15" s="24" t="n"/>
      <c r="J15" s="24" t="n"/>
      <c r="K15" s="24" t="n"/>
      <c r="L15" s="24" t="n"/>
      <c r="M15" s="24" t="n"/>
      <c r="N15" s="24" t="n"/>
      <c r="O15" s="24" t="n"/>
      <c r="P15" s="24" t="n"/>
      <c r="Q15" s="24" t="n"/>
      <c r="R15" s="24" t="n"/>
      <c r="S15" s="24" t="n"/>
      <c r="T15" s="24" t="n"/>
      <c r="U15" s="24" t="n"/>
      <c r="V15" s="24" t="n"/>
      <c r="W15" s="24" t="n"/>
      <c r="X15" s="24" t="n"/>
      <c r="Y15" s="222" t="n"/>
      <c r="Z15" s="13" t="n"/>
      <c r="AA15" s="13" t="n"/>
    </row>
    <row r="16" ht="19.5" customHeight="1">
      <c r="A16" s="23" t="n">
        <v>14</v>
      </c>
      <c r="B16" s="24" t="n"/>
      <c r="C16" s="24" t="n"/>
      <c r="D16" s="24" t="n">
        <v>0.5166666666666667</v>
      </c>
      <c r="E16" s="24" t="n"/>
      <c r="F16" s="24" t="n"/>
      <c r="G16" s="24" t="n">
        <v>0.375</v>
      </c>
      <c r="H16" s="24" t="n">
        <v>0.734</v>
      </c>
      <c r="I16" s="24" t="n"/>
      <c r="J16" s="24" t="n"/>
      <c r="K16" s="24" t="n"/>
      <c r="L16" s="24" t="n"/>
      <c r="M16" s="24" t="n"/>
      <c r="N16" s="24" t="n"/>
      <c r="O16" s="24" t="n"/>
      <c r="P16" s="24" t="n"/>
      <c r="Q16" s="24" t="n"/>
      <c r="R16" s="24" t="n"/>
      <c r="S16" s="24" t="n"/>
      <c r="T16" s="24" t="n"/>
      <c r="U16" s="24" t="n"/>
      <c r="V16" s="24" t="n"/>
      <c r="W16" s="24" t="n"/>
      <c r="X16" s="24" t="n"/>
      <c r="Y16" s="222" t="n"/>
      <c r="Z16" s="13" t="n"/>
      <c r="AA16" s="13" t="n"/>
    </row>
    <row r="17" ht="19.5" customHeight="1">
      <c r="A17" s="23" t="n">
        <v>15</v>
      </c>
      <c r="B17" s="24" t="n"/>
      <c r="C17" s="24" t="n"/>
      <c r="D17" s="24" t="n">
        <v>0.8833333333333333</v>
      </c>
      <c r="E17" s="24" t="n"/>
      <c r="F17" s="24" t="n"/>
      <c r="G17" s="24" t="n"/>
      <c r="H17" s="24" t="n"/>
      <c r="I17" s="24" t="n"/>
      <c r="J17" s="24" t="n"/>
      <c r="K17" s="24" t="n"/>
      <c r="L17" s="24" t="n"/>
      <c r="M17" s="24" t="n"/>
      <c r="N17" s="24" t="n"/>
      <c r="O17" s="24" t="n"/>
      <c r="P17" s="24" t="n"/>
      <c r="Q17" s="24" t="n"/>
      <c r="R17" s="24" t="n"/>
      <c r="S17" s="24" t="n"/>
      <c r="T17" s="24" t="n"/>
      <c r="U17" s="24" t="n"/>
      <c r="V17" s="24" t="n"/>
      <c r="W17" s="24" t="n"/>
      <c r="X17" s="24" t="n"/>
      <c r="Y17" s="222" t="n"/>
      <c r="Z17" s="13" t="n"/>
      <c r="AA17" s="13" t="n"/>
    </row>
    <row r="18" ht="19.5" customHeight="1">
      <c r="A18" s="23" t="n">
        <v>16</v>
      </c>
      <c r="B18" s="24" t="n"/>
      <c r="C18" s="24" t="n"/>
      <c r="D18" s="24" t="n">
        <v>0.9</v>
      </c>
      <c r="E18" s="24" t="n"/>
      <c r="F18" s="24" t="n"/>
      <c r="G18" s="24" t="n"/>
      <c r="H18" s="24" t="n"/>
      <c r="I18" s="24" t="n"/>
      <c r="J18" s="24" t="n"/>
      <c r="K18" s="24" t="n"/>
      <c r="L18" s="24" t="n"/>
      <c r="M18" s="24" t="n"/>
      <c r="N18" s="24" t="n"/>
      <c r="O18" s="24" t="n"/>
      <c r="P18" s="24" t="n"/>
      <c r="Q18" s="24" t="n"/>
      <c r="R18" s="24" t="n"/>
      <c r="S18" s="24" t="n"/>
      <c r="T18" s="24" t="n"/>
      <c r="U18" s="24" t="n"/>
      <c r="V18" s="24" t="n"/>
      <c r="W18" s="24" t="n"/>
      <c r="X18" s="24" t="n"/>
      <c r="Y18" s="222" t="n"/>
      <c r="Z18" s="13" t="n"/>
      <c r="AA18" s="13" t="n"/>
    </row>
    <row r="19" ht="19.5" customHeight="1">
      <c r="A19" s="23" t="n">
        <v>17</v>
      </c>
      <c r="B19" s="24" t="n"/>
      <c r="C19" s="24" t="n"/>
      <c r="D19" s="24" t="n"/>
      <c r="E19" s="24" t="n"/>
      <c r="F19" s="24" t="n"/>
      <c r="G19" s="24" t="n"/>
      <c r="H19" s="24" t="n"/>
      <c r="I19" s="24" t="n"/>
      <c r="J19" s="24" t="n"/>
      <c r="K19" s="24" t="n"/>
      <c r="L19" s="24" t="n"/>
      <c r="M19" s="24" t="n"/>
      <c r="N19" s="24" t="n"/>
      <c r="O19" s="24" t="n"/>
      <c r="P19" s="24" t="n"/>
      <c r="Q19" s="24" t="n"/>
      <c r="R19" s="24" t="n"/>
      <c r="S19" s="24" t="n"/>
      <c r="T19" s="24" t="n"/>
      <c r="U19" s="24" t="n"/>
      <c r="V19" s="24" t="n"/>
      <c r="W19" s="24" t="n"/>
      <c r="X19" s="24" t="n"/>
      <c r="Y19" s="222" t="n"/>
      <c r="Z19" s="13" t="n"/>
      <c r="AA19" s="13" t="n"/>
    </row>
    <row r="20" ht="19.5" customHeight="1">
      <c r="A20" s="23" t="n">
        <v>18</v>
      </c>
      <c r="B20" s="24" t="n"/>
      <c r="C20" s="24" t="n"/>
      <c r="D20" s="24" t="n"/>
      <c r="E20" s="24" t="n"/>
      <c r="F20" s="24" t="n"/>
      <c r="G20" s="24" t="n"/>
      <c r="H20" s="24" t="n"/>
      <c r="I20" s="24" t="n"/>
      <c r="J20" s="24" t="n"/>
      <c r="K20" s="24" t="n"/>
      <c r="L20" s="24" t="n"/>
      <c r="M20" s="24" t="n"/>
      <c r="N20" s="24" t="n"/>
      <c r="O20" s="24" t="n"/>
      <c r="P20" s="24" t="n"/>
      <c r="Q20" s="24" t="n"/>
      <c r="R20" s="24" t="n"/>
      <c r="S20" s="24" t="n"/>
      <c r="T20" s="24" t="n"/>
      <c r="U20" s="24" t="n"/>
      <c r="V20" s="24" t="n"/>
      <c r="W20" s="24" t="n"/>
      <c r="X20" s="24" t="n"/>
      <c r="Y20" s="222" t="n"/>
      <c r="Z20" s="13" t="n"/>
      <c r="AA20" s="13" t="n"/>
    </row>
    <row r="21" ht="19.5" customHeight="1">
      <c r="A21" s="23" t="n">
        <v>19</v>
      </c>
      <c r="B21" s="24" t="n"/>
      <c r="C21" s="24" t="n"/>
      <c r="D21" s="24" t="n"/>
      <c r="E21" s="24" t="n"/>
      <c r="F21" s="24" t="n"/>
      <c r="G21" s="24" t="n"/>
      <c r="H21" s="24" t="n"/>
      <c r="I21" s="24" t="n"/>
      <c r="J21" s="24" t="n"/>
      <c r="K21" s="24" t="n"/>
      <c r="L21" s="24" t="n"/>
      <c r="M21" s="24" t="n"/>
      <c r="N21" s="24" t="n"/>
      <c r="O21" s="24" t="n"/>
      <c r="P21" s="24" t="n"/>
      <c r="Q21" s="24" t="n"/>
      <c r="R21" s="24" t="n"/>
      <c r="S21" s="24" t="n"/>
      <c r="T21" s="24" t="n"/>
      <c r="U21" s="24" t="n"/>
      <c r="V21" s="24" t="n"/>
      <c r="W21" s="24" t="n"/>
      <c r="X21" s="24" t="n"/>
      <c r="Y21" s="222" t="n"/>
      <c r="Z21" s="13" t="n"/>
      <c r="AA21" s="13" t="n"/>
    </row>
    <row r="22" ht="15.75" customHeight="1">
      <c r="A22" s="23" t="n">
        <v>20</v>
      </c>
      <c r="B22" s="24" t="n"/>
      <c r="C22" s="24" t="n"/>
      <c r="D22" s="24" t="n"/>
      <c r="E22" s="24" t="n"/>
      <c r="F22" s="24" t="n"/>
      <c r="G22" s="24" t="n"/>
      <c r="H22" s="24" t="n"/>
      <c r="I22" s="24" t="n"/>
      <c r="J22" s="24" t="n"/>
      <c r="K22" s="24" t="n"/>
      <c r="L22" s="24" t="n"/>
      <c r="M22" s="24" t="n"/>
      <c r="N22" s="24" t="n"/>
      <c r="O22" s="24" t="n"/>
      <c r="P22" s="24" t="n"/>
      <c r="Q22" s="24" t="n"/>
      <c r="R22" s="24" t="n"/>
      <c r="S22" s="24" t="n"/>
      <c r="T22" s="24" t="n"/>
      <c r="U22" s="24" t="n"/>
      <c r="V22" s="24" t="n"/>
      <c r="W22" s="24" t="n"/>
      <c r="X22" s="24" t="n"/>
      <c r="Y22" s="223" t="n"/>
      <c r="Z22" s="13" t="n"/>
      <c r="AA22" s="13" t="n"/>
    </row>
    <row r="23" ht="15.75" customHeight="1">
      <c r="A23" s="23" t="n">
        <v>21</v>
      </c>
      <c r="B23" s="29" t="n"/>
      <c r="C23" s="29" t="n"/>
      <c r="D23" s="29" t="n"/>
      <c r="E23" s="29" t="n"/>
      <c r="F23" s="29" t="n"/>
      <c r="G23" s="29" t="n"/>
      <c r="H23" s="29" t="n"/>
      <c r="I23" s="29" t="n"/>
      <c r="J23" s="29" t="n"/>
      <c r="K23" s="29" t="n"/>
      <c r="L23" s="29" t="n"/>
      <c r="M23" s="29" t="n"/>
      <c r="N23" s="29" t="n"/>
      <c r="O23" s="29" t="n"/>
      <c r="P23" s="29" t="n"/>
      <c r="Q23" s="29" t="n"/>
      <c r="R23" s="29" t="n"/>
      <c r="S23" s="29" t="n"/>
      <c r="T23" s="29" t="n"/>
      <c r="U23" s="29" t="n"/>
      <c r="V23" s="29" t="n"/>
      <c r="W23" s="29" t="n"/>
      <c r="X23" s="29" t="n"/>
      <c r="Y23" s="30" t="n"/>
      <c r="Z23" s="13" t="n"/>
      <c r="AA23" s="13" t="n"/>
    </row>
    <row r="24" ht="19.5" customHeight="1">
      <c r="A24" s="23" t="n">
        <v>22</v>
      </c>
      <c r="B24" s="29" t="n"/>
      <c r="C24" s="29" t="n"/>
      <c r="D24" s="29" t="n"/>
      <c r="E24" s="29" t="n"/>
      <c r="F24" s="29" t="n"/>
      <c r="G24" s="29" t="n"/>
      <c r="H24" s="29" t="n"/>
      <c r="I24" s="29" t="n"/>
      <c r="J24" s="29" t="n"/>
      <c r="K24" s="29" t="n"/>
      <c r="L24" s="29" t="n"/>
      <c r="M24" s="29" t="n"/>
      <c r="N24" s="29" t="n"/>
      <c r="O24" s="29" t="n"/>
      <c r="P24" s="29" t="n"/>
      <c r="Q24" s="29" t="n"/>
      <c r="R24" s="29" t="n"/>
      <c r="S24" s="29" t="n"/>
      <c r="T24" s="29" t="n"/>
      <c r="U24" s="29" t="n"/>
      <c r="V24" s="29" t="n"/>
      <c r="W24" s="29" t="n"/>
      <c r="X24" s="29" t="n"/>
      <c r="Y24" s="30" t="n"/>
      <c r="Z24" s="13" t="n"/>
      <c r="AA24" s="13" t="n"/>
    </row>
    <row r="25" ht="19.5" customHeight="1">
      <c r="A25" s="23" t="n">
        <v>23</v>
      </c>
      <c r="B25" s="29" t="n"/>
      <c r="C25" s="29" t="n"/>
      <c r="D25" s="29" t="n"/>
      <c r="E25" s="29" t="n"/>
      <c r="F25" s="29" t="n"/>
      <c r="G25" s="29" t="n"/>
      <c r="H25" s="29" t="n"/>
      <c r="I25" s="29" t="n"/>
      <c r="J25" s="29" t="n"/>
      <c r="K25" s="29" t="n"/>
      <c r="L25" s="29" t="n"/>
      <c r="M25" s="29" t="n"/>
      <c r="N25" s="29" t="n"/>
      <c r="O25" s="29" t="n"/>
      <c r="P25" s="29" t="n"/>
      <c r="Q25" s="29" t="n"/>
      <c r="R25" s="29" t="n"/>
      <c r="S25" s="29" t="n"/>
      <c r="T25" s="29" t="n"/>
      <c r="U25" s="29" t="n"/>
      <c r="V25" s="29" t="n"/>
      <c r="W25" s="29" t="n"/>
      <c r="X25" s="29" t="n"/>
      <c r="Y25" s="30" t="n"/>
      <c r="Z25" s="13" t="n"/>
      <c r="AA25" s="13" t="n"/>
    </row>
    <row r="26" ht="19.5" customHeight="1">
      <c r="A26" s="23" t="n">
        <v>24</v>
      </c>
      <c r="B26" s="29" t="n"/>
      <c r="C26" s="29" t="n"/>
      <c r="D26" s="29" t="n"/>
      <c r="E26" s="29" t="n"/>
      <c r="F26" s="29" t="n"/>
      <c r="G26" s="29" t="n"/>
      <c r="H26" s="29" t="n"/>
      <c r="I26" s="29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30" t="n"/>
      <c r="Z26" s="13" t="n"/>
      <c r="AA26" s="13" t="n"/>
    </row>
    <row r="27" ht="19.5" customHeight="1">
      <c r="A27" s="23" t="n">
        <v>25</v>
      </c>
      <c r="B27" s="29" t="n"/>
      <c r="C27" s="29" t="n"/>
      <c r="D27" s="29" t="n"/>
      <c r="E27" s="29" t="n"/>
      <c r="F27" s="29" t="n"/>
      <c r="G27" s="29" t="n"/>
      <c r="H27" s="29" t="n"/>
      <c r="I27" s="29" t="n"/>
      <c r="J27" s="29" t="n"/>
      <c r="K27" s="29" t="n"/>
      <c r="L27" s="29" t="n"/>
      <c r="M27" s="29" t="n"/>
      <c r="N27" s="29" t="n"/>
      <c r="O27" s="29" t="n"/>
      <c r="P27" s="29" t="n"/>
      <c r="Q27" s="29" t="n"/>
      <c r="R27" s="29" t="n"/>
      <c r="S27" s="29" t="n"/>
      <c r="T27" s="29" t="n"/>
      <c r="U27" s="29" t="n"/>
      <c r="V27" s="29" t="n"/>
      <c r="W27" s="29" t="n"/>
      <c r="X27" s="29" t="n"/>
      <c r="Y27" s="30" t="n"/>
      <c r="Z27" s="13" t="n"/>
      <c r="AA27" s="13" t="n"/>
    </row>
    <row r="28" ht="19.5" customHeight="1">
      <c r="A28" s="23" t="n">
        <v>26</v>
      </c>
      <c r="B28" s="29" t="n"/>
      <c r="C28" s="29" t="n"/>
      <c r="D28" s="29" t="n"/>
      <c r="E28" s="29" t="n"/>
      <c r="F28" s="29" t="n"/>
      <c r="G28" s="29" t="n"/>
      <c r="H28" s="29" t="n"/>
      <c r="I28" s="29" t="n"/>
      <c r="J28" s="29" t="n"/>
      <c r="K28" s="29" t="n"/>
      <c r="L28" s="29" t="n"/>
      <c r="M28" s="29" t="n"/>
      <c r="N28" s="29" t="n"/>
      <c r="O28" s="29" t="n"/>
      <c r="P28" s="29" t="n"/>
      <c r="Q28" s="29" t="n"/>
      <c r="R28" s="29" t="n"/>
      <c r="S28" s="29" t="n"/>
      <c r="T28" s="29" t="n"/>
      <c r="U28" s="29" t="n"/>
      <c r="V28" s="29" t="n"/>
      <c r="W28" s="29" t="n"/>
      <c r="X28" s="29" t="n"/>
      <c r="Y28" s="30" t="n"/>
      <c r="Z28" s="13" t="n"/>
      <c r="AA28" s="13" t="n"/>
    </row>
    <row r="29" ht="19.5" customHeight="1">
      <c r="A29" s="23" t="n">
        <v>27</v>
      </c>
      <c r="B29" s="29" t="n"/>
      <c r="C29" s="29" t="n"/>
      <c r="D29" s="29" t="n"/>
      <c r="E29" s="29" t="n"/>
      <c r="F29" s="29" t="n"/>
      <c r="G29" s="29" t="n"/>
      <c r="H29" s="29" t="n"/>
      <c r="I29" s="29" t="n"/>
      <c r="J29" s="29" t="n"/>
      <c r="K29" s="29" t="n"/>
      <c r="L29" s="29" t="n"/>
      <c r="M29" s="29" t="n"/>
      <c r="N29" s="29" t="n"/>
      <c r="O29" s="29" t="n"/>
      <c r="P29" s="29" t="n"/>
      <c r="Q29" s="29" t="n"/>
      <c r="R29" s="29" t="n"/>
      <c r="S29" s="29" t="n"/>
      <c r="T29" s="29" t="n"/>
      <c r="U29" s="29" t="n"/>
      <c r="V29" s="29" t="n"/>
      <c r="W29" s="29" t="n"/>
      <c r="X29" s="29" t="n"/>
      <c r="Y29" s="30" t="n"/>
      <c r="Z29" s="13" t="n"/>
      <c r="AA29" s="13" t="n"/>
    </row>
    <row r="30" ht="19.5" customHeight="1">
      <c r="A30" s="23" t="n">
        <v>28</v>
      </c>
      <c r="B30" s="29" t="n"/>
      <c r="C30" s="29" t="n"/>
      <c r="D30" s="29" t="n"/>
      <c r="E30" s="29" t="n"/>
      <c r="F30" s="29" t="n"/>
      <c r="G30" s="29" t="n"/>
      <c r="H30" s="29" t="n"/>
      <c r="I30" s="29" t="n"/>
      <c r="J30" s="29" t="n"/>
      <c r="K30" s="29" t="n"/>
      <c r="L30" s="29" t="n"/>
      <c r="M30" s="29" t="n"/>
      <c r="N30" s="29" t="n"/>
      <c r="O30" s="29" t="n"/>
      <c r="P30" s="29" t="n"/>
      <c r="Q30" s="29" t="n"/>
      <c r="R30" s="29" t="n"/>
      <c r="S30" s="29" t="n"/>
      <c r="T30" s="29" t="n"/>
      <c r="U30" s="29" t="n"/>
      <c r="V30" s="29" t="n"/>
      <c r="W30" s="29" t="n"/>
      <c r="X30" s="29" t="n"/>
      <c r="Y30" s="30" t="n"/>
      <c r="Z30" s="13" t="n"/>
      <c r="AA30" s="13" t="n"/>
    </row>
    <row r="31" ht="19.5" customHeight="1">
      <c r="A31" s="23" t="n">
        <v>29</v>
      </c>
      <c r="B31" s="29" t="n"/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30" t="n"/>
      <c r="Z31" s="13" t="n"/>
      <c r="AA31" s="13" t="n"/>
    </row>
    <row r="32" ht="19.5" customHeight="1">
      <c r="A32" s="23" t="n">
        <v>30</v>
      </c>
      <c r="B32" s="29" t="n"/>
      <c r="C32" s="29" t="n"/>
      <c r="D32" s="29" t="n"/>
      <c r="E32" s="29" t="n"/>
      <c r="F32" s="29" t="n"/>
      <c r="G32" s="29" t="n"/>
      <c r="H32" s="29" t="n"/>
      <c r="I32" s="29" t="n"/>
      <c r="J32" s="29" t="n"/>
      <c r="K32" s="29" t="n"/>
      <c r="L32" s="29" t="n"/>
      <c r="M32" s="29" t="n"/>
      <c r="N32" s="29" t="n"/>
      <c r="O32" s="29" t="n"/>
      <c r="P32" s="29" t="n"/>
      <c r="Q32" s="29" t="n"/>
      <c r="R32" s="29" t="n"/>
      <c r="S32" s="29" t="n"/>
      <c r="T32" s="29" t="n"/>
      <c r="U32" s="29" t="n"/>
      <c r="V32" s="29" t="n"/>
      <c r="W32" s="29" t="n"/>
      <c r="X32" s="29" t="n"/>
      <c r="Y32" s="30" t="n"/>
      <c r="Z32" s="13" t="n"/>
      <c r="AA32" s="13" t="n"/>
    </row>
    <row r="33" ht="19.5" customHeight="1">
      <c r="A33" s="23" t="n">
        <v>31</v>
      </c>
      <c r="B33" s="29" t="n"/>
      <c r="C33" s="29" t="n"/>
      <c r="D33" s="29" t="n"/>
      <c r="E33" s="29" t="n"/>
      <c r="F33" s="29" t="n"/>
      <c r="G33" s="29" t="n"/>
      <c r="H33" s="29" t="n"/>
      <c r="I33" s="29" t="n"/>
      <c r="J33" s="29" t="n"/>
      <c r="K33" s="29" t="n"/>
      <c r="L33" s="29" t="n"/>
      <c r="M33" s="29" t="n"/>
      <c r="N33" s="29" t="n"/>
      <c r="O33" s="29" t="n"/>
      <c r="P33" s="29" t="n"/>
      <c r="Q33" s="29" t="n"/>
      <c r="R33" s="29" t="n"/>
      <c r="S33" s="29" t="n"/>
      <c r="T33" s="29" t="n"/>
      <c r="U33" s="29" t="n"/>
      <c r="V33" s="29" t="n"/>
      <c r="W33" s="29" t="n"/>
      <c r="X33" s="29" t="n"/>
      <c r="Y33" s="30" t="n"/>
      <c r="Z33" s="13" t="n"/>
      <c r="AA33" s="13" t="n"/>
    </row>
    <row r="34" ht="19.5" customHeight="1">
      <c r="A34" s="23" t="n">
        <v>32</v>
      </c>
      <c r="B34" s="29" t="n"/>
      <c r="C34" s="29" t="n"/>
      <c r="D34" s="29" t="n"/>
      <c r="E34" s="29" t="n"/>
      <c r="F34" s="29" t="n"/>
      <c r="G34" s="29" t="n"/>
      <c r="H34" s="29" t="n"/>
      <c r="I34" s="29" t="n"/>
      <c r="J34" s="29" t="n"/>
      <c r="K34" s="29" t="n"/>
      <c r="L34" s="29" t="n"/>
      <c r="M34" s="29" t="n"/>
      <c r="N34" s="29" t="n"/>
      <c r="O34" s="29" t="n"/>
      <c r="P34" s="29" t="n"/>
      <c r="Q34" s="29" t="n"/>
      <c r="R34" s="29" t="n"/>
      <c r="S34" s="29" t="n"/>
      <c r="T34" s="29" t="n"/>
      <c r="U34" s="29" t="n"/>
      <c r="V34" s="29" t="n"/>
      <c r="W34" s="29" t="n"/>
      <c r="X34" s="29" t="n"/>
      <c r="Y34" s="30" t="n"/>
      <c r="Z34" s="13" t="n"/>
      <c r="AA34" s="13" t="n"/>
    </row>
    <row r="35" ht="19.5" customHeight="1">
      <c r="A35" s="23" t="n">
        <v>33</v>
      </c>
      <c r="B35" s="29" t="n"/>
      <c r="C35" s="29" t="n"/>
      <c r="D35" s="29" t="n"/>
      <c r="E35" s="29" t="n"/>
      <c r="F35" s="29" t="n"/>
      <c r="G35" s="29" t="n"/>
      <c r="H35" s="29" t="n"/>
      <c r="I35" s="29" t="n"/>
      <c r="J35" s="29" t="n"/>
      <c r="K35" s="29" t="n"/>
      <c r="L35" s="29" t="n"/>
      <c r="M35" s="29" t="n"/>
      <c r="N35" s="29" t="n"/>
      <c r="O35" s="29" t="n"/>
      <c r="P35" s="29" t="n"/>
      <c r="Q35" s="29" t="n"/>
      <c r="R35" s="29" t="n"/>
      <c r="S35" s="29" t="n"/>
      <c r="T35" s="29" t="n"/>
      <c r="U35" s="29" t="n"/>
      <c r="V35" s="29" t="n"/>
      <c r="W35" s="29" t="n"/>
      <c r="X35" s="29" t="n"/>
      <c r="Y35" s="30" t="n"/>
      <c r="Z35" s="13" t="n"/>
      <c r="AA35" s="13" t="n"/>
    </row>
    <row r="36" ht="19.5" customHeight="1">
      <c r="A36" s="23" t="n">
        <v>34</v>
      </c>
      <c r="B36" s="29" t="n"/>
      <c r="C36" s="29" t="n"/>
      <c r="D36" s="29" t="n"/>
      <c r="E36" s="29" t="n"/>
      <c r="F36" s="29" t="n"/>
      <c r="G36" s="29" t="n"/>
      <c r="H36" s="29" t="n"/>
      <c r="I36" s="29" t="n"/>
      <c r="J36" s="29" t="n"/>
      <c r="K36" s="29" t="n"/>
      <c r="L36" s="29" t="n"/>
      <c r="M36" s="29" t="n"/>
      <c r="N36" s="29" t="n"/>
      <c r="O36" s="29" t="n"/>
      <c r="P36" s="29" t="n"/>
      <c r="Q36" s="29" t="n"/>
      <c r="R36" s="29" t="n"/>
      <c r="S36" s="29" t="n"/>
      <c r="T36" s="29" t="n"/>
      <c r="U36" s="29" t="n"/>
      <c r="V36" s="29" t="n"/>
      <c r="W36" s="29" t="n"/>
      <c r="X36" s="29" t="n"/>
      <c r="Y36" s="30" t="n"/>
      <c r="Z36" s="13" t="n"/>
      <c r="AA36" s="13" t="n"/>
    </row>
    <row r="37" ht="19.5" customHeight="1">
      <c r="A37" s="23" t="n">
        <v>35</v>
      </c>
      <c r="B37" s="29" t="n"/>
      <c r="C37" s="29" t="n"/>
      <c r="D37" s="29" t="n"/>
      <c r="E37" s="29" t="n"/>
      <c r="F37" s="29" t="n"/>
      <c r="G37" s="29" t="n"/>
      <c r="H37" s="29" t="n"/>
      <c r="I37" s="29" t="n"/>
      <c r="J37" s="29" t="n"/>
      <c r="K37" s="29" t="n"/>
      <c r="L37" s="29" t="n"/>
      <c r="M37" s="29" t="n"/>
      <c r="N37" s="29" t="n"/>
      <c r="O37" s="29" t="n"/>
      <c r="P37" s="29" t="n"/>
      <c r="Q37" s="29" t="n"/>
      <c r="R37" s="29" t="n"/>
      <c r="S37" s="29" t="n"/>
      <c r="T37" s="29" t="n"/>
      <c r="U37" s="29" t="n"/>
      <c r="V37" s="29" t="n"/>
      <c r="W37" s="29" t="n"/>
      <c r="X37" s="29" t="n"/>
      <c r="Y37" s="30" t="n"/>
      <c r="Z37" s="13" t="n"/>
      <c r="AA37" s="13" t="n"/>
    </row>
    <row r="38" ht="19.5" customHeight="1">
      <c r="A38" s="23" t="n">
        <v>36</v>
      </c>
      <c r="B38" s="29" t="n"/>
      <c r="C38" s="29" t="n"/>
      <c r="D38" s="29" t="n"/>
      <c r="E38" s="29" t="n"/>
      <c r="F38" s="29" t="n"/>
      <c r="G38" s="29" t="n"/>
      <c r="H38" s="29" t="n"/>
      <c r="I38" s="29" t="n"/>
      <c r="J38" s="29" t="n"/>
      <c r="K38" s="29" t="n"/>
      <c r="L38" s="29" t="n"/>
      <c r="M38" s="29" t="n"/>
      <c r="N38" s="29" t="n"/>
      <c r="O38" s="29" t="n"/>
      <c r="P38" s="29" t="n"/>
      <c r="Q38" s="29" t="n"/>
      <c r="R38" s="29" t="n"/>
      <c r="S38" s="29" t="n"/>
      <c r="T38" s="29" t="n"/>
      <c r="U38" s="29" t="n"/>
      <c r="V38" s="29" t="n"/>
      <c r="W38" s="29" t="n"/>
      <c r="X38" s="29" t="n"/>
      <c r="Y38" s="30" t="n"/>
      <c r="Z38" s="13" t="n"/>
      <c r="AA38" s="13" t="n"/>
    </row>
    <row r="39" ht="19.5" customHeight="1">
      <c r="A39" s="23" t="n">
        <v>37</v>
      </c>
      <c r="B39" s="29" t="n"/>
      <c r="C39" s="29" t="n"/>
      <c r="D39" s="29" t="n"/>
      <c r="E39" s="29" t="n"/>
      <c r="F39" s="29" t="n"/>
      <c r="G39" s="29" t="n"/>
      <c r="H39" s="29" t="n"/>
      <c r="I39" s="29" t="n"/>
      <c r="J39" s="29" t="n"/>
      <c r="K39" s="29" t="n"/>
      <c r="L39" s="29" t="n"/>
      <c r="M39" s="29" t="n"/>
      <c r="N39" s="29" t="n"/>
      <c r="O39" s="29" t="n"/>
      <c r="P39" s="29" t="n"/>
      <c r="Q39" s="29" t="n"/>
      <c r="R39" s="29" t="n"/>
      <c r="S39" s="29" t="n"/>
      <c r="T39" s="29" t="n"/>
      <c r="U39" s="29" t="n"/>
      <c r="V39" s="29" t="n"/>
      <c r="W39" s="29" t="n"/>
      <c r="X39" s="29" t="n"/>
      <c r="Y39" s="30" t="n"/>
      <c r="Z39" s="13" t="n"/>
      <c r="AA39" s="13" t="n"/>
    </row>
    <row r="40" ht="19.5" customHeight="1">
      <c r="A40" s="23" t="n">
        <v>38</v>
      </c>
      <c r="B40" s="29" t="n"/>
      <c r="C40" s="29" t="n"/>
      <c r="D40" s="29" t="n"/>
      <c r="E40" s="29" t="n"/>
      <c r="F40" s="29" t="n"/>
      <c r="G40" s="29" t="n"/>
      <c r="H40" s="29" t="n"/>
      <c r="I40" s="29" t="n"/>
      <c r="J40" s="29" t="n"/>
      <c r="K40" s="29" t="n"/>
      <c r="L40" s="29" t="n"/>
      <c r="M40" s="29" t="n"/>
      <c r="N40" s="29" t="n"/>
      <c r="O40" s="29" t="n"/>
      <c r="P40" s="29" t="n"/>
      <c r="Q40" s="29" t="n"/>
      <c r="R40" s="29" t="n"/>
      <c r="S40" s="29" t="n"/>
      <c r="T40" s="29" t="n"/>
      <c r="U40" s="29" t="n"/>
      <c r="V40" s="29" t="n"/>
      <c r="W40" s="29" t="n"/>
      <c r="X40" s="29" t="n"/>
      <c r="Y40" s="30" t="n"/>
      <c r="Z40" s="13" t="n"/>
      <c r="AA40" s="13" t="n"/>
    </row>
    <row r="41" ht="19.5" customHeight="1">
      <c r="A41" s="23" t="n">
        <v>39</v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29" t="n"/>
      <c r="K41" s="29" t="n"/>
      <c r="L41" s="29" t="n"/>
      <c r="M41" s="29" t="n"/>
      <c r="N41" s="29" t="n"/>
      <c r="O41" s="29" t="n"/>
      <c r="P41" s="29" t="n"/>
      <c r="Q41" s="29" t="n"/>
      <c r="R41" s="29" t="n"/>
      <c r="S41" s="29" t="n"/>
      <c r="T41" s="29" t="n"/>
      <c r="U41" s="29" t="n"/>
      <c r="V41" s="29" t="n"/>
      <c r="W41" s="29" t="n"/>
      <c r="X41" s="29" t="n"/>
      <c r="Y41" s="30" t="n"/>
      <c r="Z41" s="13" t="n"/>
      <c r="AA41" s="13" t="n"/>
    </row>
    <row r="42" ht="15.75" customHeight="1">
      <c r="A42" s="23" t="n">
        <v>40</v>
      </c>
      <c r="B42" s="29" t="n"/>
      <c r="C42" s="29" t="n"/>
      <c r="D42" s="29" t="n"/>
      <c r="E42" s="29" t="n"/>
      <c r="F42" s="29" t="n"/>
      <c r="G42" s="29" t="n"/>
      <c r="H42" s="29" t="n"/>
      <c r="I42" s="29" t="n"/>
      <c r="J42" s="29" t="n"/>
      <c r="K42" s="29" t="n"/>
      <c r="L42" s="29" t="n"/>
      <c r="M42" s="29" t="n"/>
      <c r="N42" s="29" t="n"/>
      <c r="O42" s="29" t="n"/>
      <c r="P42" s="29" t="n"/>
      <c r="Q42" s="29" t="n"/>
      <c r="R42" s="29" t="n"/>
      <c r="S42" s="29" t="n"/>
      <c r="T42" s="29" t="n"/>
      <c r="U42" s="29" t="n"/>
      <c r="V42" s="29" t="n"/>
      <c r="W42" s="29" t="n"/>
      <c r="X42" s="29" t="n"/>
      <c r="Y42" s="30" t="n"/>
      <c r="Z42" s="13" t="n"/>
      <c r="AA42" s="13" t="n"/>
    </row>
    <row r="43" ht="15.75" customHeight="1">
      <c r="A43" s="31" t="inlineStr">
        <is>
          <t>Average</t>
        </is>
      </c>
      <c r="B43" s="32">
        <f>AVERAGE(B3:B42)</f>
        <v/>
      </c>
      <c r="C43" s="32">
        <f>AVERAGE(C3:C42)</f>
        <v/>
      </c>
      <c r="D43" s="32">
        <f>AVERAGE(D3:D42)</f>
        <v/>
      </c>
      <c r="E43" s="32">
        <f>AVERAGE(E3:E42)</f>
        <v/>
      </c>
      <c r="F43" s="32">
        <f>AVERAGE(F3:F42)</f>
        <v/>
      </c>
      <c r="G43" s="32">
        <f>AVERAGE(G3:G42)</f>
        <v/>
      </c>
      <c r="H43" s="32">
        <f>AVERAGE(H3:H42)</f>
        <v/>
      </c>
      <c r="I43" s="32">
        <f>AVERAGE(I3:I42)</f>
        <v/>
      </c>
      <c r="J43" s="32">
        <f>AVERAGE(J3:J42)</f>
        <v/>
      </c>
      <c r="K43" s="32">
        <f>AVERAGE(K3:K42)</f>
        <v/>
      </c>
      <c r="L43" s="32">
        <f>AVERAGE(L3:L42)</f>
        <v/>
      </c>
      <c r="M43" s="32">
        <f>AVERAGE(M3:M42)</f>
        <v/>
      </c>
      <c r="N43" s="32">
        <f>AVERAGE(N3:N42)</f>
        <v/>
      </c>
      <c r="O43" s="32">
        <f>AVERAGE(O3:O42)</f>
        <v/>
      </c>
      <c r="P43" s="32">
        <f>AVERAGE(P3:P42)</f>
        <v/>
      </c>
      <c r="Q43" s="32">
        <f>AVERAGE(Q3:Q42)</f>
        <v/>
      </c>
      <c r="R43" s="32">
        <f>AVERAGE(R3:R42)</f>
        <v/>
      </c>
      <c r="S43" s="32">
        <f>AVERAGE(S3:S42)</f>
        <v/>
      </c>
      <c r="T43" s="32">
        <f>AVERAGE(T3:T42)</f>
        <v/>
      </c>
      <c r="U43" s="32">
        <f>AVERAGE(U3:U42)</f>
        <v/>
      </c>
      <c r="V43" s="32">
        <f>AVERAGE(V3:V42)</f>
        <v/>
      </c>
      <c r="W43" s="32">
        <f>AVERAGE(W3:W42)</f>
        <v/>
      </c>
      <c r="X43" s="32">
        <f>AVERAGE(X3:X42)</f>
        <v/>
      </c>
      <c r="Y43" s="33" t="n"/>
      <c r="Z43" s="13" t="n"/>
      <c r="AA43" s="13" t="n"/>
    </row>
    <row r="44" ht="19.5" customHeight="1">
      <c r="A44" s="23" t="inlineStr">
        <is>
          <t>Overall Average</t>
        </is>
      </c>
      <c r="B44" s="24">
        <f>AVERAGEIF(B43:X43, "&lt;&gt;#DIV/0!")</f>
        <v/>
      </c>
      <c r="C44" s="24" t="n"/>
      <c r="D44" s="24" t="n"/>
      <c r="E44" s="24" t="n"/>
      <c r="F44" s="24" t="n"/>
      <c r="G44" s="24" t="n"/>
      <c r="H44" s="24" t="n"/>
      <c r="I44" s="24" t="n"/>
      <c r="J44" s="24" t="n"/>
      <c r="K44" s="24" t="n"/>
      <c r="L44" s="24" t="n"/>
      <c r="M44" s="24" t="n"/>
      <c r="N44" s="24" t="n"/>
      <c r="O44" s="24" t="n"/>
      <c r="P44" s="24" t="n"/>
      <c r="Q44" s="24" t="n"/>
      <c r="R44" s="24" t="n"/>
      <c r="S44" s="24" t="n"/>
      <c r="T44" s="24" t="n"/>
      <c r="U44" s="24" t="n"/>
      <c r="V44" s="24" t="n"/>
      <c r="W44" s="24" t="n"/>
      <c r="X44" s="24" t="n"/>
      <c r="Y44" s="34" t="n"/>
      <c r="Z44" s="13" t="n"/>
      <c r="AA44" s="13" t="n"/>
    </row>
    <row r="45" ht="19.5" customHeight="1">
      <c r="A45" s="23" t="inlineStr">
        <is>
          <t>Total Students</t>
        </is>
      </c>
      <c r="B45" s="34">
        <f>COUNTIF(B3:B42, "&lt;&gt;")</f>
        <v/>
      </c>
      <c r="C45" s="34">
        <f>COUNTIF(C3:C42, "&lt;&gt;")</f>
        <v/>
      </c>
      <c r="D45" s="34">
        <f>COUNTIF(D3:D42, "&lt;&gt;")</f>
        <v/>
      </c>
      <c r="E45" s="34">
        <f>COUNTIF(E3:E42, "&lt;&gt;")</f>
        <v/>
      </c>
      <c r="F45" s="34">
        <f>COUNTIF(F3:F42, "&lt;&gt;")</f>
        <v/>
      </c>
      <c r="G45" s="34">
        <f>COUNTIF(G3:G42, "&lt;&gt;")</f>
        <v/>
      </c>
      <c r="H45" s="34">
        <f>COUNTIF(H3:H42, "&lt;&gt;")</f>
        <v/>
      </c>
      <c r="I45" s="34">
        <f>COUNTIF(I3:I42, "&lt;&gt;")</f>
        <v/>
      </c>
      <c r="J45" s="34">
        <f>COUNTIF(J3:J42, "&lt;&gt;")</f>
        <v/>
      </c>
      <c r="K45" s="34">
        <f>COUNTIF(K3:K42, "&lt;&gt;")</f>
        <v/>
      </c>
      <c r="L45" s="34">
        <f>COUNTIF(L3:L42, "&lt;&gt;")</f>
        <v/>
      </c>
      <c r="M45" s="34">
        <f>COUNTIF(M3:M42, "&lt;&gt;")</f>
        <v/>
      </c>
      <c r="N45" s="34">
        <f>COUNTIF(N3:N42, "&lt;&gt;")</f>
        <v/>
      </c>
      <c r="O45" s="34">
        <f>COUNTIF(O3:O42, "&lt;&gt;")</f>
        <v/>
      </c>
      <c r="P45" s="34">
        <f>COUNTIF(P3:P42, "&lt;&gt;")</f>
        <v/>
      </c>
      <c r="Q45" s="34">
        <f>COUNTIF(Q3:Q42, "&lt;&gt;")</f>
        <v/>
      </c>
      <c r="R45" s="34">
        <f>COUNTIF(R3:R42, "&lt;&gt;")</f>
        <v/>
      </c>
      <c r="S45" s="34">
        <f>COUNTIF(S3:S42, "&lt;&gt;")</f>
        <v/>
      </c>
      <c r="T45" s="34">
        <f>COUNTIF(T3:T42, "&lt;&gt;")</f>
        <v/>
      </c>
      <c r="U45" s="34">
        <f>COUNTIF(U3:U42, "&lt;&gt;")</f>
        <v/>
      </c>
      <c r="V45" s="34">
        <f>COUNTIF(V3:V42, "&lt;&gt;")</f>
        <v/>
      </c>
      <c r="W45" s="34">
        <f>COUNTIF(W3:W42, "&lt;&gt;")</f>
        <v/>
      </c>
      <c r="X45" s="34">
        <f>COUNTIF(X3:X42, "&lt;&gt;")</f>
        <v/>
      </c>
      <c r="Y45" s="34" t="n"/>
      <c r="Z45" s="13" t="n"/>
      <c r="AA45" s="13" t="n"/>
    </row>
    <row r="46" ht="19.5" customHeight="1">
      <c r="A46" s="35" t="n"/>
      <c r="B46" s="36" t="n"/>
      <c r="C46" s="36" t="n"/>
      <c r="D46" s="36" t="n"/>
      <c r="E46" s="36" t="n"/>
      <c r="F46" s="36" t="n"/>
      <c r="G46" s="36" t="n"/>
      <c r="H46" s="36" t="n"/>
      <c r="I46" s="36" t="n"/>
      <c r="J46" s="36" t="n"/>
      <c r="K46" s="36" t="n"/>
      <c r="L46" s="36" t="n"/>
      <c r="M46" s="36" t="n"/>
      <c r="N46" s="36" t="n"/>
      <c r="O46" s="36" t="n"/>
      <c r="P46" s="36" t="n"/>
      <c r="Q46" s="36" t="n"/>
      <c r="R46" s="36" t="n"/>
      <c r="S46" s="36" t="n"/>
      <c r="T46" s="36" t="n"/>
      <c r="U46" s="36" t="n"/>
      <c r="V46" s="36" t="n"/>
      <c r="W46" s="36" t="n"/>
      <c r="X46" s="36" t="n"/>
      <c r="Y46" s="36" t="n"/>
      <c r="Z46" s="13" t="n"/>
      <c r="AA46" s="13" t="n"/>
    </row>
    <row r="47" ht="19.5" customHeight="1">
      <c r="A47" s="14" t="n"/>
      <c r="B47" s="40" t="inlineStr">
        <is>
          <t>Assignment (A)</t>
        </is>
      </c>
      <c r="C47" s="22" t="inlineStr">
        <is>
          <t>Quiz (Q)</t>
        </is>
      </c>
      <c r="D47" s="40" t="inlineStr">
        <is>
          <t>Mid Term (M)</t>
        </is>
      </c>
      <c r="E47" s="40" t="inlineStr">
        <is>
          <t>Final Exam (F)</t>
        </is>
      </c>
      <c r="F47" s="40" t="inlineStr">
        <is>
          <t>Project (P)</t>
        </is>
      </c>
      <c r="G47" s="40" t="inlineStr">
        <is>
          <t>Lab (L)</t>
        </is>
      </c>
      <c r="H47" s="40" t="inlineStr">
        <is>
          <t>Anyother (OT)</t>
        </is>
      </c>
      <c r="I47" s="40" t="inlineStr">
        <is>
          <t>Total</t>
        </is>
      </c>
      <c r="J47" s="36" t="n"/>
      <c r="K47" s="36" t="n"/>
      <c r="L47" s="36" t="n"/>
      <c r="M47" s="36" t="n"/>
      <c r="N47" s="36" t="n"/>
      <c r="O47" s="36" t="n"/>
      <c r="P47" s="36" t="n"/>
      <c r="Q47" s="36" t="n"/>
      <c r="R47" s="36" t="n"/>
      <c r="S47" s="36" t="n"/>
      <c r="T47" s="36" t="n"/>
      <c r="U47" s="36" t="n"/>
      <c r="V47" s="36" t="n"/>
      <c r="W47" s="36" t="n"/>
      <c r="X47" s="36" t="n"/>
      <c r="Y47" s="36" t="n"/>
      <c r="Z47" s="13" t="n"/>
      <c r="AA47" s="13" t="n"/>
    </row>
    <row r="48" ht="19.5" customHeight="1">
      <c r="A48" s="37" t="inlineStr">
        <is>
          <t>I (1st, 2nd yr)</t>
        </is>
      </c>
      <c r="B48" s="111">
        <f>COUNTIF($B$2:$C$2, "A")</f>
        <v/>
      </c>
      <c r="C48" s="39">
        <f>COUNTIF($B$2:$C$2, "Q")</f>
        <v/>
      </c>
      <c r="D48" s="111">
        <f>COUNTIF($B$2:$C$2, "M")</f>
        <v/>
      </c>
      <c r="E48" s="111">
        <f>COUNTIF($B$2:$C$2, "F")</f>
        <v/>
      </c>
      <c r="F48" s="111">
        <f>COUNTIF($B$2:$C$2, "P")</f>
        <v/>
      </c>
      <c r="G48" s="111">
        <f>COUNTIF($B$2:$C$2, "L")</f>
        <v/>
      </c>
      <c r="H48" s="111">
        <f>COUNTIF($B$2:$C$2, "OT")</f>
        <v/>
      </c>
      <c r="I48" s="40">
        <f>SUM(B48:H48)</f>
        <v/>
      </c>
      <c r="J48" s="36" t="n"/>
      <c r="K48" s="36" t="n"/>
      <c r="L48" s="36" t="n"/>
      <c r="M48" s="36" t="n"/>
      <c r="N48" s="36" t="n"/>
      <c r="O48" s="36" t="n"/>
      <c r="P48" s="36" t="n"/>
      <c r="Q48" s="36" t="n"/>
      <c r="R48" s="36" t="n"/>
      <c r="S48" s="36" t="n"/>
      <c r="T48" s="36" t="n"/>
      <c r="U48" s="36" t="n"/>
      <c r="V48" s="36" t="n"/>
      <c r="W48" s="36" t="n"/>
      <c r="X48" s="36" t="n"/>
      <c r="Y48" s="36" t="n"/>
      <c r="Z48" s="13" t="n"/>
      <c r="AA48" s="13" t="n"/>
    </row>
    <row r="49" ht="19.5" customHeight="1">
      <c r="A49" s="41" t="inlineStr">
        <is>
          <t>D (2nd &amp; 3rd yr)</t>
        </is>
      </c>
      <c r="B49" s="111">
        <f>COUNTIF(D2:I2, "A")</f>
        <v/>
      </c>
      <c r="C49" s="39">
        <f>COUNTIF(E2:J2, "Q")</f>
        <v/>
      </c>
      <c r="D49" s="111">
        <f>COUNTIF(F2:K2, "M")</f>
        <v/>
      </c>
      <c r="E49" s="111">
        <f>COUNTIF(G2:L2, "F")</f>
        <v/>
      </c>
      <c r="F49" s="111">
        <f>COUNTIF(H2:M2, "P")</f>
        <v/>
      </c>
      <c r="G49" s="111">
        <f>COUNTIF(I2:N2, "L")</f>
        <v/>
      </c>
      <c r="H49" s="111">
        <f>COUNTIF(J2:O2, "OT")</f>
        <v/>
      </c>
      <c r="I49" s="40">
        <f>SUM(B49:H49)</f>
        <v/>
      </c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13" t="n"/>
      <c r="AA49" s="13" t="n"/>
    </row>
    <row r="50" ht="19.5" customHeight="1">
      <c r="A50" s="42" t="inlineStr">
        <is>
          <t>A (3rd, 4yr)</t>
        </is>
      </c>
      <c r="B50" s="111">
        <f>COUNTIF($J$2:$X$2, "A")</f>
        <v/>
      </c>
      <c r="C50" s="39">
        <f>COUNTIF($J$2:$X$2, "Q")</f>
        <v/>
      </c>
      <c r="D50" s="111">
        <f>COUNTIF($J$2:$X$2, "M")</f>
        <v/>
      </c>
      <c r="E50" s="111">
        <f>COUNTIF($J$2:$X$2, "F")</f>
        <v/>
      </c>
      <c r="F50" s="111">
        <f>COUNTIF($J$2:$X$2, "P")</f>
        <v/>
      </c>
      <c r="G50" s="111">
        <f>COUNTIF($J$2:$X$2, "L")</f>
        <v/>
      </c>
      <c r="H50" s="111">
        <f>COUNTIF($J$2:$X$2, "OT")</f>
        <v/>
      </c>
      <c r="I50" s="40">
        <f>SUM(B50:H50)</f>
        <v/>
      </c>
      <c r="J50" s="36" t="n"/>
      <c r="K50" s="36" t="n"/>
      <c r="L50" s="36" t="n"/>
      <c r="M50" s="36" t="n"/>
      <c r="N50" s="36" t="n"/>
      <c r="O50" s="36" t="n"/>
      <c r="P50" s="36" t="n"/>
      <c r="Q50" s="36" t="n"/>
      <c r="R50" s="36" t="n"/>
      <c r="S50" s="36" t="n"/>
      <c r="T50" s="36" t="n"/>
      <c r="U50" s="36" t="n"/>
      <c r="V50" s="36" t="n"/>
      <c r="W50" s="36" t="n"/>
      <c r="X50" s="36" t="n"/>
      <c r="Y50" s="36" t="n"/>
      <c r="Z50" s="13" t="n"/>
      <c r="AA50" s="13" t="n"/>
    </row>
    <row r="51" ht="19.5" customHeight="1">
      <c r="A51" s="14" t="inlineStr">
        <is>
          <t>Total</t>
        </is>
      </c>
      <c r="B51" s="40">
        <f>SUM(B48:B50)</f>
        <v/>
      </c>
      <c r="C51" s="22">
        <f>SUM(C48:C50)</f>
        <v/>
      </c>
      <c r="D51" s="40">
        <f>SUM(D48:D50)</f>
        <v/>
      </c>
      <c r="E51" s="40">
        <f>SUM(E48:E50)</f>
        <v/>
      </c>
      <c r="F51" s="40">
        <f>SUM(F48:F50)</f>
        <v/>
      </c>
      <c r="G51" s="40">
        <f>SUM(G48:G50)</f>
        <v/>
      </c>
      <c r="H51" s="40">
        <f>SUM(H48:H50)</f>
        <v/>
      </c>
      <c r="I51" s="40">
        <f>SUM(I48:I50)</f>
        <v/>
      </c>
      <c r="J51" s="36" t="n"/>
      <c r="K51" s="36" t="n"/>
      <c r="L51" s="36" t="n"/>
      <c r="M51" s="36" t="n"/>
      <c r="N51" s="36" t="n"/>
      <c r="O51" s="36" t="n"/>
      <c r="P51" s="36" t="n"/>
      <c r="Q51" s="36" t="n"/>
      <c r="R51" s="36" t="n"/>
      <c r="S51" s="36" t="n"/>
      <c r="T51" s="36" t="n"/>
      <c r="U51" s="36" t="n"/>
      <c r="V51" s="36" t="n"/>
      <c r="W51" s="36" t="n"/>
      <c r="X51" s="36" t="n"/>
      <c r="Y51" s="36" t="n"/>
      <c r="Z51" s="13" t="n"/>
      <c r="AA51" s="13" t="n"/>
    </row>
    <row r="52" ht="19.5" customHeight="1">
      <c r="A52" s="35" t="n"/>
      <c r="B52" s="36" t="n"/>
      <c r="C52" s="36" t="n"/>
      <c r="D52" s="36" t="n"/>
      <c r="E52" s="36" t="n"/>
      <c r="F52" s="36" t="n"/>
      <c r="G52" s="36" t="n"/>
      <c r="H52" s="36" t="n"/>
      <c r="I52" s="36" t="n"/>
      <c r="J52" s="36" t="n"/>
      <c r="K52" s="36" t="n"/>
      <c r="L52" s="36" t="n"/>
      <c r="M52" s="36" t="n"/>
      <c r="N52" s="36" t="n"/>
      <c r="O52" s="36" t="n"/>
      <c r="P52" s="36" t="n"/>
      <c r="Q52" s="36" t="n"/>
      <c r="R52" s="36" t="n"/>
      <c r="S52" s="36" t="n"/>
      <c r="T52" s="36" t="n"/>
      <c r="U52" s="36" t="n"/>
      <c r="V52" s="36" t="n"/>
      <c r="W52" s="36" t="n"/>
      <c r="X52" s="36" t="n"/>
      <c r="Y52" s="36" t="n"/>
      <c r="Z52" s="13" t="n"/>
      <c r="AA52" s="13" t="n"/>
    </row>
    <row r="53" ht="18.75" customHeight="1">
      <c r="A53" s="43" t="inlineStr">
        <is>
          <t>Frequency Distribution Analysis</t>
        </is>
      </c>
      <c r="B53" s="44" t="n"/>
      <c r="C53" s="44" t="n"/>
      <c r="D53" s="44" t="n"/>
      <c r="E53" s="44" t="n"/>
      <c r="F53" s="44" t="n"/>
      <c r="G53" s="13" t="n"/>
      <c r="H53" s="36" t="n"/>
      <c r="I53" s="36" t="n"/>
      <c r="J53" s="36" t="n"/>
      <c r="K53" s="36" t="n"/>
      <c r="L53" s="36" t="n"/>
      <c r="M53" s="36" t="n"/>
      <c r="N53" s="36" t="n"/>
      <c r="O53" s="36" t="n"/>
      <c r="P53" s="36" t="n"/>
      <c r="Q53" s="36" t="n"/>
      <c r="R53" s="36" t="n"/>
      <c r="S53" s="36" t="n"/>
      <c r="T53" s="36" t="n"/>
      <c r="U53" s="36" t="n"/>
      <c r="V53" s="36" t="n"/>
      <c r="W53" s="36" t="n"/>
      <c r="X53" s="36" t="n"/>
      <c r="Y53" s="13" t="n"/>
      <c r="Z53" s="13" t="n"/>
      <c r="AA53" s="13" t="n"/>
    </row>
    <row r="54" ht="16.5" customHeight="1">
      <c r="A54" s="45" t="inlineStr">
        <is>
          <t>Scale</t>
        </is>
      </c>
      <c r="B54" s="15" t="inlineStr">
        <is>
          <t>SENG-1110-3</t>
        </is>
      </c>
      <c r="C54" s="16" t="inlineStr">
        <is>
          <t>SENG-1110-4</t>
        </is>
      </c>
      <c r="D54" s="17" t="inlineStr">
        <is>
          <t>EPHY-2300-5</t>
        </is>
      </c>
      <c r="E54" s="17" t="inlineStr">
        <is>
          <t>SENG-3110-4</t>
        </is>
      </c>
      <c r="F54" s="17" t="inlineStr">
        <is>
          <t>SENG-3110-5</t>
        </is>
      </c>
      <c r="G54" s="17" t="inlineStr">
        <is>
          <t>CENG-3010-5</t>
        </is>
      </c>
      <c r="H54" s="17" t="inlineStr">
        <is>
          <t>EENG-3010-5</t>
        </is>
      </c>
      <c r="I54" s="17" t="inlineStr">
        <is>
          <t>COMP-3610-10</t>
        </is>
      </c>
      <c r="J54" s="18" t="inlineStr">
        <is>
          <t>SENG-4130-6</t>
        </is>
      </c>
      <c r="K54" s="18" t="inlineStr">
        <is>
          <t>SENG-4230-2</t>
        </is>
      </c>
      <c r="L54" s="18" t="inlineStr">
        <is>
          <t>SENG-4220-5</t>
        </is>
      </c>
      <c r="M54" s="18" t="inlineStr">
        <is>
          <t>SENG-4140-4</t>
        </is>
      </c>
      <c r="N54" s="18" t="inlineStr">
        <is>
          <t>SENG-4620-2</t>
        </is>
      </c>
      <c r="O54" s="18" t="inlineStr">
        <is>
          <t>SENG-4620-3</t>
        </is>
      </c>
      <c r="P54" s="18" t="inlineStr">
        <is>
          <t>SENG-4630-3</t>
        </is>
      </c>
      <c r="Q54" s="18" t="inlineStr">
        <is>
          <t>SENG-4630-4</t>
        </is>
      </c>
      <c r="R54" s="18" t="inlineStr">
        <is>
          <t>SENG-4630-5</t>
        </is>
      </c>
      <c r="S54" s="18" t="inlineStr">
        <is>
          <t>SENG-4650-4</t>
        </is>
      </c>
      <c r="T54" s="18" t="inlineStr">
        <is>
          <t>SENG-4650-5</t>
        </is>
      </c>
      <c r="U54" s="18" t="inlineStr">
        <is>
          <t>SENG-4660-4</t>
        </is>
      </c>
      <c r="V54" s="18" t="inlineStr">
        <is>
          <t>SENG-4660-5</t>
        </is>
      </c>
      <c r="W54" s="18" t="inlineStr">
        <is>
          <t>CENG-4320-4</t>
        </is>
      </c>
      <c r="X54" s="18" t="inlineStr">
        <is>
          <t>CENG-4320-5</t>
        </is>
      </c>
      <c r="Y54" s="46" t="inlineStr">
        <is>
          <t>Average</t>
        </is>
      </c>
      <c r="Z54" s="13" t="n"/>
      <c r="AA54" s="13" t="n"/>
    </row>
    <row r="55" ht="16.5" customHeight="1">
      <c r="A55" s="47" t="inlineStr">
        <is>
          <t>Below Expectation (C- and below)  (%)</t>
        </is>
      </c>
      <c r="B55" s="48">
        <f>(COUNTIF(B3:B42, "&lt;=59%"))/B45</f>
        <v/>
      </c>
      <c r="C55" s="48">
        <f>(COUNTIF(C3:C42, "&lt;=59%"))/C45</f>
        <v/>
      </c>
      <c r="D55" s="48">
        <f>(COUNTIF(D3:D42, "&lt;=59%"))/D45</f>
        <v/>
      </c>
      <c r="E55" s="48">
        <f>(COUNTIF(E3:E42, "&lt;=59%"))/E45</f>
        <v/>
      </c>
      <c r="F55" s="48">
        <f>(COUNTIF(F3:F42, "&lt;=59%"))/F45</f>
        <v/>
      </c>
      <c r="G55" s="48">
        <f>(COUNTIF(G3:G42, "&lt;=59%"))/G45</f>
        <v/>
      </c>
      <c r="H55" s="48">
        <f>(COUNTIF(H3:H42, "&lt;=59%"))/H45</f>
        <v/>
      </c>
      <c r="I55" s="48">
        <f>(COUNTIF(I3:I42, "&lt;=59%"))/I45</f>
        <v/>
      </c>
      <c r="J55" s="48">
        <f>(COUNTIF(J3:J42, "&lt;=59%"))/J45</f>
        <v/>
      </c>
      <c r="K55" s="48">
        <f>(COUNTIF(K3:K42, "&lt;=59%"))/K45</f>
        <v/>
      </c>
      <c r="L55" s="48">
        <f>(COUNTIF(L3:L42, "&lt;=59%"))/L45</f>
        <v/>
      </c>
      <c r="M55" s="48">
        <f>(COUNTIF(M3:M42, "&lt;=59%"))/M45</f>
        <v/>
      </c>
      <c r="N55" s="48">
        <f>(COUNTIF(N3:N42, "&lt;=59%"))/N45</f>
        <v/>
      </c>
      <c r="O55" s="48">
        <f>(COUNTIF(O3:O42, "&lt;=59%"))/O45</f>
        <v/>
      </c>
      <c r="P55" s="48">
        <f>(COUNTIF(P3:P42, "&lt;=59%"))/P45</f>
        <v/>
      </c>
      <c r="Q55" s="48">
        <f>(COUNTIF(Q3:Q42, "&lt;=59%"))/Q45</f>
        <v/>
      </c>
      <c r="R55" s="48">
        <f>(COUNTIF(R3:R42, "&lt;=59%"))/R45</f>
        <v/>
      </c>
      <c r="S55" s="48">
        <f>(COUNTIF(S3:S42, "&lt;=59%"))/S45</f>
        <v/>
      </c>
      <c r="T55" s="48">
        <f>(COUNTIF(T3:T42, "&lt;=59%"))/T45</f>
        <v/>
      </c>
      <c r="U55" s="48">
        <f>(COUNTIF(U3:U42, "&lt;=59%"))/U45</f>
        <v/>
      </c>
      <c r="V55" s="48">
        <f>(COUNTIF(V3:V42, "&lt;=59%"))/V45</f>
        <v/>
      </c>
      <c r="W55" s="48">
        <f>(COUNTIF(W3:W42, "&lt;=59%"))/W45</f>
        <v/>
      </c>
      <c r="X55" s="48">
        <f>(COUNTIF(X3:X42, "&lt;=59%"))/X45</f>
        <v/>
      </c>
      <c r="Y55" s="49">
        <f>AVERAGEIF(B55:X55, "&lt;&gt;#DIV/0!")</f>
        <v/>
      </c>
      <c r="Z55" s="13" t="n"/>
      <c r="AA55" s="13" t="n"/>
    </row>
    <row r="56" ht="16.5" customHeight="1">
      <c r="A56" s="50" t="inlineStr">
        <is>
          <t>Marginal (C+, C)  (%)</t>
        </is>
      </c>
      <c r="B56" s="48">
        <f>(COUNTIFS(B3:B42, "&gt;= 60%", B3:B42, "&lt;=69%" ))/B45</f>
        <v/>
      </c>
      <c r="C56" s="48">
        <f>(COUNTIFS(C3:C42, "&gt;= 60%", C3:C42, "&lt;=69%" ))/C45</f>
        <v/>
      </c>
      <c r="D56" s="48">
        <f>(COUNTIFS(D3:D42, "&gt;= 60%", D3:D42, "&lt;=69%" ))/D45</f>
        <v/>
      </c>
      <c r="E56" s="48">
        <f>(COUNTIFS(E3:E42, "&gt;= 60%", E3:E42, "&lt;=69%" ))/E45</f>
        <v/>
      </c>
      <c r="F56" s="48">
        <f>(COUNTIFS(F3:F42, "&gt;= 60%", F3:F42, "&lt;=69%" ))/F45</f>
        <v/>
      </c>
      <c r="G56" s="48">
        <f>(COUNTIFS(G3:G42, "&gt;= 60%", G3:G42, "&lt;=69%" ))/G45</f>
        <v/>
      </c>
      <c r="H56" s="48">
        <f>(COUNTIFS(H3:H42, "&gt;= 60%", H3:H42, "&lt;=69%" ))/H45</f>
        <v/>
      </c>
      <c r="I56" s="48">
        <f>(COUNTIFS(I3:I42, "&gt;= 60%", I3:I42, "&lt;=69%" ))/I45</f>
        <v/>
      </c>
      <c r="J56" s="48">
        <f>(COUNTIFS(J3:J42, "&gt;= 60%", J3:J42, "&lt;=69%" ))/J45</f>
        <v/>
      </c>
      <c r="K56" s="48">
        <f>(COUNTIFS(K3:K42, "&gt;= 60%", K3:K42, "&lt;=69%" ))/K45</f>
        <v/>
      </c>
      <c r="L56" s="48">
        <f>(COUNTIFS(L3:L42, "&gt;= 60%", L3:L42, "&lt;=69%" ))/L45</f>
        <v/>
      </c>
      <c r="M56" s="48">
        <f>(COUNTIFS(M3:M42, "&gt;= 60%", M3:M42, "&lt;=69%" ))/M45</f>
        <v/>
      </c>
      <c r="N56" s="48">
        <f>(COUNTIFS(N3:N42, "&gt;= 60%", N3:N42, "&lt;=69%" ))/N45</f>
        <v/>
      </c>
      <c r="O56" s="48">
        <f>(COUNTIFS(O3:O42, "&gt;= 60%", O3:O42, "&lt;=69%" ))/O45</f>
        <v/>
      </c>
      <c r="P56" s="48">
        <f>(COUNTIFS(P3:P42, "&gt;= 60%", P3:P42, "&lt;=69%" ))/P45</f>
        <v/>
      </c>
      <c r="Q56" s="48">
        <f>(COUNTIFS(Q3:Q42, "&gt;= 60%", Q3:Q42, "&lt;=69%" ))/Q45</f>
        <v/>
      </c>
      <c r="R56" s="48">
        <f>(COUNTIFS(R3:R42, "&gt;= 60%", R3:R42, "&lt;=69%" ))/R45</f>
        <v/>
      </c>
      <c r="S56" s="48">
        <f>(COUNTIFS(S3:S42, "&gt;= 60%", S3:S42, "&lt;=69%" ))/S45</f>
        <v/>
      </c>
      <c r="T56" s="48">
        <f>(COUNTIFS(T3:T42, "&gt;= 60%", T3:T42, "&lt;=69%" ))/T45</f>
        <v/>
      </c>
      <c r="U56" s="48">
        <f>(COUNTIFS(U3:U42, "&gt;= 60%", U3:U42, "&lt;=69%" ))/U45</f>
        <v/>
      </c>
      <c r="V56" s="48">
        <f>(COUNTIFS(V3:V42, "&gt;= 60%", V3:V42, "&lt;=69%" ))/V45</f>
        <v/>
      </c>
      <c r="W56" s="48">
        <f>(COUNTIFS(W3:W42, "&gt;= 60%", W3:W42, "&lt;=69%" ))/W45</f>
        <v/>
      </c>
      <c r="X56" s="48">
        <f>(COUNTIFS(X3:X42, "&gt;= 60%", X3:X42, "&lt;=69%" ))/X45</f>
        <v/>
      </c>
      <c r="Y56" s="49">
        <f>AVERAGEIF(B56:X56, "&lt;&gt;#DIV/0!")</f>
        <v/>
      </c>
      <c r="Z56" s="13" t="n"/>
      <c r="AA56" s="13" t="n"/>
    </row>
    <row r="57" ht="16.5" customHeight="1">
      <c r="A57" s="51" t="inlineStr">
        <is>
          <t>Meets Expectation (B+, B, B-) (%)</t>
        </is>
      </c>
      <c r="B57" s="48">
        <f>(COUNTIFS(B3:B42, "&gt;= 70%", B3:B42, "&lt;=79%" ))/B45</f>
        <v/>
      </c>
      <c r="C57" s="48">
        <f>(COUNTIFS(C3:C42, "&gt;= 70%", C3:C42, "&lt;=79%" ))/C45</f>
        <v/>
      </c>
      <c r="D57" s="48">
        <f>(COUNTIFS(D3:D42, "&gt;= 70%", D3:D42, "&lt;=79%" ))/D45</f>
        <v/>
      </c>
      <c r="E57" s="48">
        <f>(COUNTIFS(E3:E42, "&gt;= 70%", E3:E42, "&lt;=79%" ))/E45</f>
        <v/>
      </c>
      <c r="F57" s="48">
        <f>(COUNTIFS(F3:F42, "&gt;= 70%", F3:F42, "&lt;=79%" ))/F45</f>
        <v/>
      </c>
      <c r="G57" s="48">
        <f>(COUNTIFS(G3:G42, "&gt;= 70%", G3:G42, "&lt;=79%" ))/G45</f>
        <v/>
      </c>
      <c r="H57" s="48">
        <f>(COUNTIFS(H3:H42, "&gt;= 70%", H3:H42, "&lt;=79%" ))/H45</f>
        <v/>
      </c>
      <c r="I57" s="48">
        <f>(COUNTIFS(I3:I42, "&gt;= 70%", I3:I42, "&lt;=79%" ))/I45</f>
        <v/>
      </c>
      <c r="J57" s="48">
        <f>(COUNTIFS(J3:J42, "&gt;= 70%", J3:J42, "&lt;=79%" ))/J45</f>
        <v/>
      </c>
      <c r="K57" s="48">
        <f>(COUNTIFS(K3:K42, "&gt;= 70%", K3:K42, "&lt;=79%" ))/K45</f>
        <v/>
      </c>
      <c r="L57" s="48">
        <f>(COUNTIFS(L3:L42, "&gt;= 70%", L3:L42, "&lt;=79%" ))/L45</f>
        <v/>
      </c>
      <c r="M57" s="48">
        <f>(COUNTIFS(M3:M42, "&gt;= 70%", M3:M42, "&lt;=79%" ))/M45</f>
        <v/>
      </c>
      <c r="N57" s="48">
        <f>(COUNTIFS(N3:N42, "&gt;= 70%", N3:N42, "&lt;=79%" ))/N45</f>
        <v/>
      </c>
      <c r="O57" s="48">
        <f>(COUNTIFS(O3:O42, "&gt;= 70%", O3:O42, "&lt;=79%" ))/O45</f>
        <v/>
      </c>
      <c r="P57" s="48">
        <f>(COUNTIFS(P3:P42, "&gt;= 70%", P3:P42, "&lt;=79%" ))/P45</f>
        <v/>
      </c>
      <c r="Q57" s="48">
        <f>(COUNTIFS(Q3:Q42, "&gt;= 70%", Q3:Q42, "&lt;=79%" ))/Q45</f>
        <v/>
      </c>
      <c r="R57" s="48">
        <f>(COUNTIFS(R3:R42, "&gt;= 70%", R3:R42, "&lt;=79%" ))/R45</f>
        <v/>
      </c>
      <c r="S57" s="48">
        <f>(COUNTIFS(S3:S42, "&gt;= 70%", S3:S42, "&lt;=79%" ))/S45</f>
        <v/>
      </c>
      <c r="T57" s="48">
        <f>(COUNTIFS(T3:T42, "&gt;= 70%", T3:T42, "&lt;=79%" ))/T45</f>
        <v/>
      </c>
      <c r="U57" s="48">
        <f>(COUNTIFS(U3:U42, "&gt;= 70%", U3:U42, "&lt;=79%" ))/U45</f>
        <v/>
      </c>
      <c r="V57" s="48">
        <f>(COUNTIFS(V3:V42, "&gt;= 70%", V3:V42, "&lt;=79%" ))/V45</f>
        <v/>
      </c>
      <c r="W57" s="48">
        <f>(COUNTIFS(W3:W42, "&gt;= 70%", W3:W42, "&lt;=79%" ))/W45</f>
        <v/>
      </c>
      <c r="X57" s="48">
        <f>(COUNTIFS(X3:X42, "&gt;= 70%", X3:X42, "&lt;=79%" ))/X45</f>
        <v/>
      </c>
      <c r="Y57" s="49">
        <f>AVERAGEIF(B57:X57, "&lt;&gt;#DIV/0!")</f>
        <v/>
      </c>
      <c r="Z57" s="13" t="n"/>
      <c r="AA57" s="13" t="n"/>
    </row>
    <row r="58" ht="16.5" customHeight="1">
      <c r="A58" s="52" t="inlineStr">
        <is>
          <t>Exceeds Expectation (A+, A, A-) (%)</t>
        </is>
      </c>
      <c r="B58" s="48">
        <f>(COUNTIF(B3:B42,"&gt;= 80%")/B45)</f>
        <v/>
      </c>
      <c r="C58" s="48">
        <f>(COUNTIF(C3:C42,"&gt;= 80%")/C45)</f>
        <v/>
      </c>
      <c r="D58" s="48">
        <f>(COUNTIF(D3:D42,"&gt;= 80%")/D45)</f>
        <v/>
      </c>
      <c r="E58" s="48">
        <f>(COUNTIF(E3:E42,"&gt;= 80%")/E45)</f>
        <v/>
      </c>
      <c r="F58" s="48">
        <f>(COUNTIF(F3:F42,"&gt;= 80%")/F45)</f>
        <v/>
      </c>
      <c r="G58" s="48">
        <f>(COUNTIF(G3:G42,"&gt;= 80%")/G45)</f>
        <v/>
      </c>
      <c r="H58" s="48">
        <f>(COUNTIF(H3:H42,"&gt;= 80%")/H45)</f>
        <v/>
      </c>
      <c r="I58" s="48">
        <f>(COUNTIF(I3:I42,"&gt;= 80%")/I45)</f>
        <v/>
      </c>
      <c r="J58" s="48">
        <f>(COUNTIF(J3:J42,"&gt;= 80%")/J45)</f>
        <v/>
      </c>
      <c r="K58" s="48">
        <f>(COUNTIF(K3:K42,"&gt;= 80%")/K45)</f>
        <v/>
      </c>
      <c r="L58" s="48">
        <f>(COUNTIF(L3:L42,"&gt;= 80%")/L45)</f>
        <v/>
      </c>
      <c r="M58" s="48">
        <f>(COUNTIF(M3:M42,"&gt;= 80%")/M45)</f>
        <v/>
      </c>
      <c r="N58" s="48">
        <f>(COUNTIF(N3:N42,"&gt;= 80%")/N45)</f>
        <v/>
      </c>
      <c r="O58" s="48">
        <f>(COUNTIF(O3:O42,"&gt;= 80%")/O45)</f>
        <v/>
      </c>
      <c r="P58" s="48">
        <f>(COUNTIF(P3:P42,"&gt;= 80%")/P45)</f>
        <v/>
      </c>
      <c r="Q58" s="48">
        <f>(COUNTIF(Q3:Q42,"&gt;= 80%")/Q45)</f>
        <v/>
      </c>
      <c r="R58" s="48">
        <f>(COUNTIF(R3:R42,"&gt;= 80%")/R45)</f>
        <v/>
      </c>
      <c r="S58" s="48">
        <f>(COUNTIF(S3:S42,"&gt;= 80%")/S45)</f>
        <v/>
      </c>
      <c r="T58" s="48">
        <f>(COUNTIF(T3:T42,"&gt;= 80%")/T45)</f>
        <v/>
      </c>
      <c r="U58" s="48">
        <f>(COUNTIF(U3:U42,"&gt;= 80%")/U45)</f>
        <v/>
      </c>
      <c r="V58" s="48">
        <f>(COUNTIF(V3:V42,"&gt;= 80%")/V45)</f>
        <v/>
      </c>
      <c r="W58" s="48">
        <f>(COUNTIF(W3:W42,"&gt;= 80%")/W45)</f>
        <v/>
      </c>
      <c r="X58" s="48">
        <f>(COUNTIF(X3:X42,"&gt;= 80%")/X45)</f>
        <v/>
      </c>
      <c r="Y58" s="53">
        <f>AVERAGEIF(B58:X58, "&lt;&gt;#DIV/0!")</f>
        <v/>
      </c>
      <c r="Z58" s="13" t="n"/>
      <c r="AA58" s="13" t="n"/>
    </row>
    <row r="59" ht="15.75" customHeight="1">
      <c r="A59" s="54" t="n"/>
      <c r="B59" s="55">
        <f>SUMIF(B55:B58, "&lt;&gt;#DIV/0!")</f>
        <v/>
      </c>
      <c r="C59" s="56">
        <f>SUMIF(C55:C58, "&lt;&gt;#DIV/0!")</f>
        <v/>
      </c>
      <c r="D59" s="56">
        <f>SUMIF(D55:D58, "&lt;&gt;#DIV/0!")</f>
        <v/>
      </c>
      <c r="E59" s="56">
        <f>SUMIF(E55:E58, "&lt;&gt;#DIV/0!")</f>
        <v/>
      </c>
      <c r="F59" s="56">
        <f>SUMIF(F55:F58, "&lt;&gt;#DIV/0!")</f>
        <v/>
      </c>
      <c r="G59" s="56">
        <f>SUMIF(G55:G58, "&lt;&gt;#DIV/0!")</f>
        <v/>
      </c>
      <c r="H59" s="56">
        <f>SUMIF(H55:H58, "&lt;&gt;#DIV/0!")</f>
        <v/>
      </c>
      <c r="I59" s="56">
        <f>SUMIF(I55:I58, "&lt;&gt;#DIV/0!")</f>
        <v/>
      </c>
      <c r="J59" s="56">
        <f>SUMIF(J55:J58, "&lt;&gt;#DIV/0!")</f>
        <v/>
      </c>
      <c r="K59" s="56">
        <f>SUMIF(K55:K58, "&lt;&gt;#DIV/0!")</f>
        <v/>
      </c>
      <c r="L59" s="56">
        <f>SUMIF(L55:L58, "&lt;&gt;#DIV/0!")</f>
        <v/>
      </c>
      <c r="M59" s="56">
        <f>SUMIF(M55:M58, "&lt;&gt;#DIV/0!")</f>
        <v/>
      </c>
      <c r="N59" s="56">
        <f>SUMIF(N55:N58, "&lt;&gt;#DIV/0!")</f>
        <v/>
      </c>
      <c r="O59" s="56">
        <f>SUMIF(O55:O58, "&lt;&gt;#DIV/0!")</f>
        <v/>
      </c>
      <c r="P59" s="56">
        <f>SUMIF(P55:P58, "&lt;&gt;#DIV/0!")</f>
        <v/>
      </c>
      <c r="Q59" s="56">
        <f>SUMIF(Q55:Q58, "&lt;&gt;#DIV/0!")</f>
        <v/>
      </c>
      <c r="R59" s="56">
        <f>SUMIF(R55:R58, "&lt;&gt;#DIV/0!")</f>
        <v/>
      </c>
      <c r="S59" s="56">
        <f>SUMIF(S55:S58, "&lt;&gt;#DIV/0!")</f>
        <v/>
      </c>
      <c r="T59" s="56">
        <f>SUMIF(T55:T58, "&lt;&gt;#DIV/0!")</f>
        <v/>
      </c>
      <c r="U59" s="56">
        <f>SUMIF(U55:U58, "&lt;&gt;#DIV/0!")</f>
        <v/>
      </c>
      <c r="V59" s="56">
        <f>SUMIF(V55:V58, "&lt;&gt;#DIV/0!")</f>
        <v/>
      </c>
      <c r="W59" s="56">
        <f>SUMIF(W55:W58, "&lt;&gt;#DIV/0!")</f>
        <v/>
      </c>
      <c r="X59" s="56">
        <f>SUMIF(X55:X58, "&lt;&gt;#DIV/0!")</f>
        <v/>
      </c>
      <c r="Y59" s="57" t="n"/>
      <c r="Z59" s="13" t="n"/>
      <c r="AA59" s="13" t="n"/>
    </row>
    <row r="60" ht="15.75" customHeight="1">
      <c r="A60" s="58" t="n"/>
      <c r="B60" s="59" t="n"/>
      <c r="C60" s="60" t="n"/>
      <c r="D60" s="13" t="n"/>
      <c r="E60" s="13" t="n"/>
      <c r="F60" s="13" t="n"/>
      <c r="G60" s="13" t="n"/>
      <c r="H60" s="13" t="n"/>
      <c r="I60" s="13" t="n"/>
      <c r="J60" s="13" t="n"/>
      <c r="K60" s="13" t="n"/>
      <c r="L60" s="13" t="n"/>
      <c r="M60" s="13" t="n"/>
      <c r="N60" s="13" t="n"/>
      <c r="O60" s="13" t="n"/>
      <c r="P60" s="13" t="n"/>
      <c r="Q60" s="13" t="n"/>
      <c r="R60" s="13" t="n"/>
      <c r="S60" s="13" t="n"/>
      <c r="T60" s="13" t="n"/>
      <c r="U60" s="13" t="n"/>
      <c r="V60" s="13" t="n"/>
      <c r="W60" s="13" t="n"/>
      <c r="X60" s="13" t="n"/>
      <c r="Y60" s="13" t="n"/>
      <c r="Z60" s="13" t="n"/>
      <c r="AA60" s="13" t="n"/>
    </row>
    <row r="61" ht="15.75" customHeight="1">
      <c r="A61" s="35" t="n"/>
      <c r="B61" s="61" t="inlineStr">
        <is>
          <t>Class Limit</t>
        </is>
      </c>
      <c r="C61" s="62" t="inlineStr">
        <is>
          <t>Bin</t>
        </is>
      </c>
      <c r="D61" s="13" t="n"/>
      <c r="E61" s="13" t="n"/>
      <c r="F61" s="13" t="n"/>
      <c r="G61" s="13" t="n"/>
      <c r="H61" s="13" t="n"/>
      <c r="I61" s="13" t="n"/>
      <c r="J61" s="13" t="n"/>
      <c r="K61" s="13" t="n"/>
      <c r="L61" s="13" t="n"/>
      <c r="M61" s="13" t="n"/>
      <c r="N61" s="13" t="n"/>
      <c r="O61" s="13" t="n"/>
      <c r="P61" s="13" t="n"/>
      <c r="Q61" s="13" t="n"/>
      <c r="R61" s="13" t="n"/>
      <c r="S61" s="13" t="n"/>
      <c r="T61" s="13" t="n"/>
      <c r="U61" s="13" t="n"/>
      <c r="V61" s="13" t="n"/>
      <c r="W61" s="13" t="n"/>
      <c r="X61" s="13" t="n"/>
      <c r="Y61" s="13" t="n"/>
      <c r="Z61" s="13" t="n"/>
      <c r="AA61" s="13" t="n"/>
    </row>
    <row r="62" ht="16.5" customHeight="1">
      <c r="A62" s="63" t="inlineStr">
        <is>
          <t>Exceeds Expectation (A+, A, A-) (%)</t>
        </is>
      </c>
      <c r="B62" s="61" t="inlineStr">
        <is>
          <t>80-100</t>
        </is>
      </c>
      <c r="C62" s="62" t="n">
        <v>100</v>
      </c>
      <c r="D62" s="13" t="n"/>
      <c r="E62" s="13" t="n"/>
      <c r="F62" s="13" t="n"/>
      <c r="G62" s="13" t="n"/>
      <c r="H62" s="13" t="n"/>
      <c r="I62" s="13" t="n"/>
      <c r="J62" s="13" t="n"/>
      <c r="K62" s="13" t="n"/>
      <c r="L62" s="13" t="n"/>
      <c r="M62" s="13" t="n"/>
      <c r="N62" s="13" t="n"/>
      <c r="O62" s="13" t="n"/>
      <c r="P62" s="13" t="n"/>
      <c r="Q62" s="13" t="n"/>
      <c r="R62" s="13" t="n"/>
      <c r="S62" s="13" t="n"/>
      <c r="T62" s="13" t="n"/>
      <c r="U62" s="13" t="n"/>
      <c r="V62" s="13" t="n"/>
      <c r="W62" s="13" t="n"/>
      <c r="X62" s="13" t="n"/>
      <c r="Y62" s="13" t="n"/>
      <c r="Z62" s="13" t="n"/>
      <c r="AA62" s="13" t="n"/>
    </row>
    <row r="63" ht="16.5" customHeight="1">
      <c r="A63" s="63" t="inlineStr">
        <is>
          <t>Meets Expectation (B+, B, B-) (%)</t>
        </is>
      </c>
      <c r="B63" s="61" t="inlineStr">
        <is>
          <t>70-79</t>
        </is>
      </c>
      <c r="C63" s="62" t="n">
        <v>79</v>
      </c>
      <c r="D63" s="13" t="n"/>
      <c r="E63" s="13" t="n"/>
      <c r="F63" s="13" t="n"/>
      <c r="G63" s="13" t="n"/>
      <c r="H63" s="13" t="n"/>
      <c r="I63" s="13" t="n"/>
      <c r="J63" s="13" t="n"/>
      <c r="K63" s="13" t="n"/>
      <c r="L63" s="13" t="n"/>
      <c r="M63" s="13" t="n"/>
      <c r="N63" s="13" t="n"/>
      <c r="O63" s="13" t="n"/>
      <c r="P63" s="13" t="n"/>
      <c r="Q63" s="13" t="n"/>
      <c r="R63" s="13" t="n"/>
      <c r="S63" s="13" t="n"/>
      <c r="T63" s="13" t="n"/>
      <c r="U63" s="13" t="n"/>
      <c r="V63" s="13" t="n"/>
      <c r="W63" s="13" t="n"/>
      <c r="X63" s="13" t="n"/>
      <c r="Y63" s="13" t="n"/>
      <c r="Z63" s="13" t="n"/>
      <c r="AA63" s="13" t="n"/>
    </row>
    <row r="64" ht="16.5" customHeight="1">
      <c r="A64" s="63" t="inlineStr">
        <is>
          <t>Marginal (C+, C)  (%)</t>
        </is>
      </c>
      <c r="B64" s="61" t="inlineStr">
        <is>
          <t>60-69</t>
        </is>
      </c>
      <c r="C64" s="62" t="n">
        <v>69</v>
      </c>
      <c r="D64" s="13" t="n"/>
      <c r="E64" s="13" t="n"/>
      <c r="F64" s="13" t="n"/>
      <c r="G64" s="13" t="n"/>
      <c r="H64" s="13" t="n"/>
      <c r="I64" s="13" t="n"/>
      <c r="J64" s="13" t="n"/>
      <c r="K64" s="13" t="n"/>
      <c r="L64" s="13" t="n"/>
      <c r="M64" s="13" t="n"/>
      <c r="N64" s="13" t="n"/>
      <c r="O64" s="13" t="n"/>
      <c r="P64" s="13" t="n"/>
      <c r="Q64" s="13" t="n"/>
      <c r="R64" s="13" t="n"/>
      <c r="S64" s="13" t="n"/>
      <c r="T64" s="13" t="n"/>
      <c r="U64" s="13" t="n"/>
      <c r="V64" s="13" t="n"/>
      <c r="W64" s="13" t="n"/>
      <c r="X64" s="13" t="n"/>
      <c r="Y64" s="13" t="n"/>
      <c r="Z64" s="13" t="n"/>
      <c r="AA64" s="13" t="n"/>
    </row>
    <row r="65" ht="16.5" customHeight="1">
      <c r="A65" s="63" t="inlineStr">
        <is>
          <t>Below Expectation (C- and below)  (%)</t>
        </is>
      </c>
      <c r="B65" s="61" t="inlineStr">
        <is>
          <t>0-59</t>
        </is>
      </c>
      <c r="C65" s="62" t="n">
        <v>59</v>
      </c>
      <c r="D65" s="13" t="n"/>
      <c r="E65" s="13" t="n"/>
      <c r="F65" s="13" t="n"/>
      <c r="G65" s="13" t="n"/>
      <c r="H65" s="13" t="n"/>
      <c r="I65" s="13" t="n"/>
      <c r="J65" s="13" t="n"/>
      <c r="K65" s="13" t="n"/>
      <c r="L65" s="13" t="n"/>
      <c r="M65" s="13" t="n"/>
      <c r="N65" s="13" t="n"/>
      <c r="O65" s="13" t="n"/>
      <c r="P65" s="13" t="n"/>
      <c r="Q65" s="13" t="n"/>
      <c r="R65" s="13" t="n"/>
      <c r="S65" s="13" t="n"/>
      <c r="T65" s="13" t="n"/>
      <c r="U65" s="13" t="n"/>
      <c r="V65" s="13" t="n"/>
      <c r="W65" s="13" t="n"/>
      <c r="X65" s="13" t="n"/>
      <c r="Y65" s="13" t="n"/>
      <c r="Z65" s="13" t="n"/>
      <c r="AA65" s="13" t="n"/>
    </row>
  </sheetData>
  <mergeCells count="1">
    <mergeCell ref="Y3:Y2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0"/>
    <pageSetUpPr/>
  </sheetPr>
  <dimension ref="A1:AH18"/>
  <sheetViews>
    <sheetView workbookViewId="0">
      <selection activeCell="A1" sqref="A1"/>
    </sheetView>
  </sheetViews>
  <sheetFormatPr baseColWidth="8" defaultRowHeight="15" outlineLevelCol="0"/>
  <cols>
    <col width="16.14785714285714" bestFit="1" customWidth="1" style="13" min="1" max="1"/>
    <col width="14.14785714285714" bestFit="1" customWidth="1" style="13" min="2" max="2"/>
    <col width="14.14785714285714" bestFit="1" customWidth="1" style="13" min="3" max="3"/>
    <col width="14.14785714285714" bestFit="1" customWidth="1" style="13" min="4" max="4"/>
    <col width="14.14785714285714" bestFit="1" customWidth="1" style="13" min="5" max="5"/>
    <col width="14.14785714285714" bestFit="1" customWidth="1" style="13" min="6" max="6"/>
    <col width="14.14785714285714" bestFit="1" customWidth="1" style="13" min="7" max="7"/>
    <col width="14.14785714285714" bestFit="1" customWidth="1" style="13" min="8" max="8"/>
    <col width="14.14785714285714" bestFit="1" customWidth="1" style="13" min="9" max="9"/>
    <col width="14.14785714285714" bestFit="1" customWidth="1" style="13" min="10" max="10"/>
    <col width="14.14785714285714" bestFit="1" customWidth="1" style="13" min="11" max="11"/>
    <col width="14.14785714285714" bestFit="1" customWidth="1" style="13" min="12" max="12"/>
    <col width="14.14785714285714" bestFit="1" customWidth="1" style="13" min="13" max="13"/>
    <col width="14.14785714285714" bestFit="1" customWidth="1" style="13" min="14" max="14"/>
    <col width="14.14785714285714" bestFit="1" customWidth="1" style="13" min="15" max="15"/>
    <col width="14.14785714285714" bestFit="1" customWidth="1" style="13" min="16" max="16"/>
    <col width="14.14785714285714" bestFit="1" customWidth="1" style="13" min="17" max="17"/>
    <col width="14.14785714285714" bestFit="1" customWidth="1" style="13" min="18" max="18"/>
    <col width="14.14785714285714" bestFit="1" customWidth="1" style="13" min="19" max="19"/>
    <col width="14.14785714285714" bestFit="1" customWidth="1" style="13" min="20" max="20"/>
    <col width="14.14785714285714" bestFit="1" customWidth="1" style="13" min="21" max="21"/>
    <col width="14.14785714285714" bestFit="1" customWidth="1" style="13" min="22" max="22"/>
    <col width="14.14785714285714" bestFit="1" customWidth="1" style="13" min="23" max="23"/>
    <col width="14.14785714285714" bestFit="1" customWidth="1" style="13" min="24" max="24"/>
    <col width="14.14785714285714" bestFit="1" customWidth="1" style="13" min="25" max="25"/>
    <col width="14.14785714285714" bestFit="1" customWidth="1" style="13" min="26" max="26"/>
    <col width="14.14785714285714" bestFit="1" customWidth="1" style="13" min="27" max="27"/>
    <col width="14.14785714285714" bestFit="1" customWidth="1" style="13" min="28" max="28"/>
    <col width="14.14785714285714" bestFit="1" customWidth="1" style="13" min="29" max="29"/>
    <col width="14.14785714285714" bestFit="1" customWidth="1" style="13" min="30" max="30"/>
    <col width="14.14785714285714" bestFit="1" customWidth="1" style="13" min="31" max="31"/>
    <col width="14.14785714285714" bestFit="1" customWidth="1" style="13" min="32" max="32"/>
    <col width="14.14785714285714" bestFit="1" customWidth="1" style="13" min="33" max="33"/>
    <col width="14.14785714285714" bestFit="1" customWidth="1" style="13" min="34" max="34"/>
  </cols>
  <sheetData>
    <row r="1" ht="18" customHeight="1">
      <c r="A1" s="1" t="inlineStr">
        <is>
          <t>A knowledge base for engineering (GA-1) Curriculum Map</t>
        </is>
      </c>
      <c r="AC1" s="13" t="n"/>
      <c r="AD1" s="13" t="n"/>
      <c r="AE1" s="13" t="n"/>
      <c r="AF1" s="13" t="n"/>
      <c r="AG1" s="13" t="n"/>
      <c r="AH1" s="13" t="n"/>
    </row>
    <row r="2" ht="16.5" customHeight="1">
      <c r="A2" s="3" t="n"/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13" t="n"/>
    </row>
    <row r="3" ht="157.5" customHeight="1">
      <c r="A3" s="4" t="inlineStr">
        <is>
          <t>A knowledge base for engineering</t>
        </is>
      </c>
      <c r="B3" s="5" t="inlineStr">
        <is>
          <t>SENG-1110</t>
        </is>
      </c>
      <c r="C3" s="5" t="inlineStr">
        <is>
          <t>MATH-1130</t>
        </is>
      </c>
      <c r="D3" s="5" t="inlineStr">
        <is>
          <t>MATH-1300</t>
        </is>
      </c>
      <c r="E3" s="5" t="inlineStr">
        <is>
          <t>EPHY-1170</t>
        </is>
      </c>
      <c r="F3" s="5" t="inlineStr">
        <is>
          <t>EPHY-1270</t>
        </is>
      </c>
      <c r="G3" s="5" t="inlineStr">
        <is>
          <t>EPHY-1700</t>
        </is>
      </c>
      <c r="H3" s="5" t="inlineStr">
        <is>
          <t>MATH-1230</t>
        </is>
      </c>
      <c r="I3" s="5" t="inlineStr">
        <is>
          <t>SENG-1210</t>
        </is>
      </c>
      <c r="J3" s="5" t="inlineStr">
        <is>
          <t>PHYS-2150</t>
        </is>
      </c>
      <c r="K3" s="5" t="inlineStr">
        <is>
          <t>EPHY-2200</t>
        </is>
      </c>
      <c r="L3" s="5" t="inlineStr">
        <is>
          <t>CENG-2010</t>
        </is>
      </c>
      <c r="M3" s="5" t="inlineStr">
        <is>
          <t>STAT-2230</t>
        </is>
      </c>
      <c r="N3" s="5" t="inlineStr">
        <is>
          <t>MATH-1700</t>
        </is>
      </c>
      <c r="O3" s="5" t="inlineStr">
        <is>
          <t>CENG-2030</t>
        </is>
      </c>
      <c r="P3" s="5" t="inlineStr">
        <is>
          <t>EPHY-2300</t>
        </is>
      </c>
      <c r="Q3" s="5" t="inlineStr">
        <is>
          <t>CHEM-1520</t>
        </is>
      </c>
      <c r="R3" s="5" t="inlineStr">
        <is>
          <t>SENG-3110</t>
        </is>
      </c>
      <c r="S3" s="5" t="inlineStr">
        <is>
          <t>CENG-3010</t>
        </is>
      </c>
      <c r="T3" s="5" t="inlineStr">
        <is>
          <t>EENG-3010</t>
        </is>
      </c>
      <c r="U3" s="5" t="inlineStr">
        <is>
          <t>CENG-3310</t>
        </is>
      </c>
      <c r="V3" s="5" t="inlineStr">
        <is>
          <t>COMP-3410</t>
        </is>
      </c>
      <c r="W3" s="5" t="inlineStr">
        <is>
          <t>COMP-3610</t>
        </is>
      </c>
      <c r="X3" s="5" t="inlineStr">
        <is>
          <t>SENG-4120</t>
        </is>
      </c>
      <c r="Y3" s="5" t="inlineStr">
        <is>
          <t>SENG-4130</t>
        </is>
      </c>
      <c r="Z3" s="5" t="inlineStr">
        <is>
          <t>SENG-4230</t>
        </is>
      </c>
      <c r="AA3" s="5" t="inlineStr">
        <is>
          <t>SENG-4220</t>
        </is>
      </c>
      <c r="AB3" s="5" t="inlineStr">
        <is>
          <t>SENG-4140</t>
        </is>
      </c>
      <c r="AC3" s="5" t="inlineStr">
        <is>
          <t>SENG-4610</t>
        </is>
      </c>
      <c r="AD3" s="5" t="inlineStr">
        <is>
          <t>SENG-4620</t>
        </is>
      </c>
      <c r="AE3" s="5" t="inlineStr">
        <is>
          <t>SENG-4630</t>
        </is>
      </c>
      <c r="AF3" s="5" t="inlineStr">
        <is>
          <t>SENG-4650</t>
        </is>
      </c>
      <c r="AG3" s="5" t="inlineStr">
        <is>
          <t>SENG-4660</t>
        </is>
      </c>
      <c r="AH3" s="5" t="inlineStr">
        <is>
          <t>CENG-4320</t>
        </is>
      </c>
    </row>
    <row r="4" ht="17.25" customHeight="1">
      <c r="A4" s="5" t="inlineStr">
        <is>
          <t>I</t>
        </is>
      </c>
      <c r="B4" s="6" t="inlineStr">
        <is>
          <t>X</t>
        </is>
      </c>
      <c r="C4" s="6" t="inlineStr">
        <is>
          <t>X</t>
        </is>
      </c>
      <c r="D4" s="6" t="inlineStr">
        <is>
          <t>X</t>
        </is>
      </c>
      <c r="E4" s="6" t="inlineStr">
        <is>
          <t>X</t>
        </is>
      </c>
      <c r="F4" s="6" t="inlineStr">
        <is>
          <t>X</t>
        </is>
      </c>
      <c r="G4" s="6" t="inlineStr">
        <is>
          <t>X</t>
        </is>
      </c>
      <c r="H4" s="6" t="inlineStr">
        <is>
          <t>X</t>
        </is>
      </c>
      <c r="I4" s="6" t="inlineStr">
        <is>
          <t>X</t>
        </is>
      </c>
      <c r="J4" s="6" t="inlineStr">
        <is>
          <t>X</t>
        </is>
      </c>
      <c r="K4" s="3" t="n"/>
      <c r="L4" s="6" t="inlineStr">
        <is>
          <t>X</t>
        </is>
      </c>
      <c r="M4" s="6" t="inlineStr">
        <is>
          <t>X</t>
        </is>
      </c>
      <c r="N4" s="6" t="inlineStr">
        <is>
          <t>X</t>
        </is>
      </c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</row>
    <row r="5" ht="17.25" customHeight="1">
      <c r="A5" s="5" t="inlineStr">
        <is>
          <t>D</t>
        </is>
      </c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7" t="inlineStr">
        <is>
          <t>X</t>
        </is>
      </c>
      <c r="L5" s="5" t="inlineStr">
        <is>
          <t xml:space="preserve"> </t>
        </is>
      </c>
      <c r="M5" s="5" t="n"/>
      <c r="N5" s="5" t="n"/>
      <c r="O5" s="7" t="inlineStr">
        <is>
          <t>X</t>
        </is>
      </c>
      <c r="P5" s="7" t="inlineStr">
        <is>
          <t>X</t>
        </is>
      </c>
      <c r="Q5" s="7" t="inlineStr">
        <is>
          <t>X</t>
        </is>
      </c>
      <c r="R5" s="7" t="inlineStr">
        <is>
          <t>X</t>
        </is>
      </c>
      <c r="S5" s="7" t="inlineStr">
        <is>
          <t>X</t>
        </is>
      </c>
      <c r="T5" s="7" t="inlineStr">
        <is>
          <t>X</t>
        </is>
      </c>
      <c r="U5" s="7" t="inlineStr">
        <is>
          <t>X</t>
        </is>
      </c>
      <c r="V5" s="7" t="inlineStr">
        <is>
          <t>X</t>
        </is>
      </c>
      <c r="W5" s="7" t="inlineStr">
        <is>
          <t>X</t>
        </is>
      </c>
      <c r="X5" s="5" t="n"/>
      <c r="Y5" s="5" t="n"/>
      <c r="Z5" s="5" t="n"/>
      <c r="AA5" s="5" t="n"/>
      <c r="AB5" s="5" t="n"/>
      <c r="AC5" s="5" t="n"/>
      <c r="AD5" s="5" t="n"/>
      <c r="AE5" s="5" t="n"/>
      <c r="AF5" s="5" t="n"/>
      <c r="AG5" s="5" t="n"/>
      <c r="AH5" s="5" t="n"/>
    </row>
    <row r="6" ht="17.25" customHeight="1">
      <c r="A6" s="5" t="inlineStr">
        <is>
          <t>A</t>
        </is>
      </c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 s="5" t="n"/>
      <c r="M6" s="5" t="n"/>
      <c r="N6" s="5" t="n"/>
      <c r="O6" s="5" t="n"/>
      <c r="P6" s="5" t="n"/>
      <c r="Q6" s="5" t="n"/>
      <c r="R6" s="5" t="n"/>
      <c r="S6" s="5" t="n"/>
      <c r="T6" s="5" t="n"/>
      <c r="U6" s="5" t="n"/>
      <c r="V6" s="5" t="n"/>
      <c r="W6" s="5" t="n"/>
      <c r="X6" s="8" t="inlineStr">
        <is>
          <t>X</t>
        </is>
      </c>
      <c r="Y6" s="8" t="inlineStr">
        <is>
          <t>X</t>
        </is>
      </c>
      <c r="Z6" s="8" t="inlineStr">
        <is>
          <t>X</t>
        </is>
      </c>
      <c r="AA6" s="8" t="inlineStr">
        <is>
          <t>X</t>
        </is>
      </c>
      <c r="AB6" s="8" t="inlineStr">
        <is>
          <t>X</t>
        </is>
      </c>
      <c r="AC6" s="8" t="inlineStr">
        <is>
          <t>X</t>
        </is>
      </c>
      <c r="AD6" s="8" t="inlineStr">
        <is>
          <t>X</t>
        </is>
      </c>
      <c r="AE6" s="8" t="inlineStr">
        <is>
          <t>X</t>
        </is>
      </c>
      <c r="AF6" s="8" t="inlineStr">
        <is>
          <t>X</t>
        </is>
      </c>
      <c r="AG6" s="8" t="inlineStr">
        <is>
          <t>X</t>
        </is>
      </c>
      <c r="AH6" s="8" t="inlineStr">
        <is>
          <t>X</t>
        </is>
      </c>
    </row>
    <row r="7" ht="17.25" customHeight="1">
      <c r="A7" s="5" t="inlineStr">
        <is>
          <t>GA Indicators</t>
        </is>
      </c>
      <c r="B7" s="5" t="inlineStr">
        <is>
          <t>cef</t>
        </is>
      </c>
      <c r="C7" s="5" t="inlineStr">
        <is>
          <t>b</t>
        </is>
      </c>
      <c r="D7" s="5" t="inlineStr">
        <is>
          <t>b</t>
        </is>
      </c>
      <c r="E7" s="5" t="inlineStr">
        <is>
          <t>ad</t>
        </is>
      </c>
      <c r="F7" s="5" t="inlineStr">
        <is>
          <t>a</t>
        </is>
      </c>
      <c r="G7" s="5" t="inlineStr">
        <is>
          <t>d</t>
        </is>
      </c>
      <c r="H7" s="5" t="inlineStr">
        <is>
          <t>b</t>
        </is>
      </c>
      <c r="I7" s="5" t="inlineStr">
        <is>
          <t>e</t>
        </is>
      </c>
      <c r="J7" s="5" t="inlineStr">
        <is>
          <t>cd</t>
        </is>
      </c>
      <c r="K7" s="5" t="inlineStr">
        <is>
          <t>d</t>
        </is>
      </c>
      <c r="L7" s="5" t="inlineStr">
        <is>
          <t>e</t>
        </is>
      </c>
      <c r="M7" s="5" t="inlineStr">
        <is>
          <t>b</t>
        </is>
      </c>
      <c r="N7" s="5" t="inlineStr">
        <is>
          <t>b</t>
        </is>
      </c>
      <c r="O7" s="5" t="inlineStr">
        <is>
          <t>d</t>
        </is>
      </c>
      <c r="P7" s="5" t="inlineStr">
        <is>
          <t>df</t>
        </is>
      </c>
      <c r="Q7" s="5" t="inlineStr">
        <is>
          <t>a</t>
        </is>
      </c>
      <c r="R7" s="5" t="inlineStr">
        <is>
          <t>ef</t>
        </is>
      </c>
      <c r="S7" s="5" t="inlineStr">
        <is>
          <t>ef</t>
        </is>
      </c>
      <c r="T7" s="5" t="inlineStr">
        <is>
          <t>cdf</t>
        </is>
      </c>
      <c r="U7" s="5" t="inlineStr">
        <is>
          <t>e</t>
        </is>
      </c>
      <c r="V7" s="5" t="inlineStr">
        <is>
          <t>e</t>
        </is>
      </c>
      <c r="W7" s="5" t="inlineStr">
        <is>
          <t>cef</t>
        </is>
      </c>
      <c r="X7" s="5" t="inlineStr">
        <is>
          <t>c</t>
        </is>
      </c>
      <c r="Y7" s="5" t="inlineStr">
        <is>
          <t>ef</t>
        </is>
      </c>
      <c r="Z7" s="5" t="inlineStr">
        <is>
          <t>ef</t>
        </is>
      </c>
      <c r="AA7" s="5" t="inlineStr">
        <is>
          <t>ef</t>
        </is>
      </c>
      <c r="AB7" s="5" t="inlineStr">
        <is>
          <t>ef</t>
        </is>
      </c>
      <c r="AC7" s="5" t="inlineStr">
        <is>
          <t>e</t>
        </is>
      </c>
      <c r="AD7" s="5" t="inlineStr">
        <is>
          <t>ef</t>
        </is>
      </c>
      <c r="AE7" s="5" t="inlineStr">
        <is>
          <t>ef</t>
        </is>
      </c>
      <c r="AF7" s="5" t="inlineStr">
        <is>
          <t>ef</t>
        </is>
      </c>
      <c r="AG7" s="5" t="inlineStr">
        <is>
          <t>ef</t>
        </is>
      </c>
      <c r="AH7" s="5" t="inlineStr">
        <is>
          <t>ef</t>
        </is>
      </c>
    </row>
    <row r="8" ht="15.75" customHeight="1">
      <c r="A8" s="13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 t="n"/>
      <c r="W8" s="13" t="n"/>
      <c r="X8" s="13" t="n"/>
      <c r="Y8" s="13" t="n"/>
      <c r="Z8" s="13" t="n"/>
      <c r="AA8" s="13" t="n"/>
      <c r="AB8" s="13" t="n"/>
      <c r="AC8" s="13" t="n"/>
      <c r="AD8" s="13" t="n"/>
      <c r="AE8" s="13" t="n"/>
      <c r="AF8" s="13" t="n"/>
      <c r="AG8" s="13" t="n"/>
      <c r="AH8" s="13" t="n"/>
    </row>
    <row r="9" ht="15.75" customHeight="1">
      <c r="A9" s="13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 t="n"/>
      <c r="W9" s="13" t="n"/>
      <c r="X9" s="13" t="n"/>
      <c r="Y9" s="13" t="n"/>
      <c r="Z9" s="13" t="n"/>
      <c r="AA9" s="13" t="n"/>
      <c r="AB9" s="13" t="n"/>
      <c r="AC9" s="13" t="n"/>
      <c r="AD9" s="13" t="n"/>
      <c r="AE9" s="13" t="n"/>
      <c r="AF9" s="13" t="n"/>
      <c r="AG9" s="13" t="n"/>
      <c r="AH9" s="13" t="n"/>
    </row>
    <row r="10" ht="17.25" customHeight="1">
      <c r="A10" s="5" t="inlineStr">
        <is>
          <t>I</t>
        </is>
      </c>
      <c r="B10" s="6" t="inlineStr">
        <is>
          <t>X</t>
        </is>
      </c>
      <c r="C10" s="6" t="inlineStr">
        <is>
          <t>X</t>
        </is>
      </c>
      <c r="D10" s="6" t="inlineStr">
        <is>
          <t>X</t>
        </is>
      </c>
      <c r="E10" s="6" t="inlineStr">
        <is>
          <t>X</t>
        </is>
      </c>
      <c r="F10" s="6" t="inlineStr">
        <is>
          <t>X</t>
        </is>
      </c>
      <c r="G10" s="6" t="inlineStr">
        <is>
          <t>X</t>
        </is>
      </c>
      <c r="H10" s="6" t="inlineStr">
        <is>
          <t>X</t>
        </is>
      </c>
      <c r="I10" s="6" t="inlineStr">
        <is>
          <t>X</t>
        </is>
      </c>
      <c r="J10" s="6" t="inlineStr">
        <is>
          <t>X</t>
        </is>
      </c>
      <c r="K10" s="6" t="inlineStr">
        <is>
          <t>X</t>
        </is>
      </c>
      <c r="L10" s="9" t="inlineStr">
        <is>
          <t>X</t>
        </is>
      </c>
      <c r="M10" s="10" t="inlineStr">
        <is>
          <t>X</t>
        </is>
      </c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 t="n"/>
      <c r="W10" s="13" t="n"/>
      <c r="X10" s="13" t="n"/>
      <c r="Y10" s="13" t="n"/>
      <c r="Z10" s="13" t="n"/>
      <c r="AA10" s="13" t="n"/>
      <c r="AB10" s="13" t="n"/>
      <c r="AC10" s="13" t="n"/>
      <c r="AD10" s="13" t="n"/>
      <c r="AE10" s="13" t="n"/>
      <c r="AF10" s="13" t="n"/>
      <c r="AG10" s="13" t="n"/>
      <c r="AH10" s="13" t="n"/>
    </row>
    <row r="11" ht="17.25" customHeight="1">
      <c r="A11" s="5" t="inlineStr">
        <is>
          <t>GA Indicators</t>
        </is>
      </c>
      <c r="B11" s="5" t="inlineStr">
        <is>
          <t>cef</t>
        </is>
      </c>
      <c r="C11" s="5" t="inlineStr">
        <is>
          <t>b</t>
        </is>
      </c>
      <c r="D11" s="5" t="inlineStr">
        <is>
          <t>b</t>
        </is>
      </c>
      <c r="E11" s="5" t="inlineStr">
        <is>
          <t>ad</t>
        </is>
      </c>
      <c r="F11" s="5" t="inlineStr">
        <is>
          <t>a</t>
        </is>
      </c>
      <c r="G11" s="5" t="inlineStr">
        <is>
          <t>d</t>
        </is>
      </c>
      <c r="H11" s="5" t="inlineStr">
        <is>
          <t>b</t>
        </is>
      </c>
      <c r="I11" s="5" t="inlineStr">
        <is>
          <t>e</t>
        </is>
      </c>
      <c r="J11" s="5" t="inlineStr">
        <is>
          <t>cd</t>
        </is>
      </c>
      <c r="K11" s="5" t="inlineStr">
        <is>
          <t>e</t>
        </is>
      </c>
      <c r="L11" s="11" t="inlineStr">
        <is>
          <t>b</t>
        </is>
      </c>
      <c r="M11" s="12" t="inlineStr">
        <is>
          <t>b</t>
        </is>
      </c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 t="n"/>
      <c r="W11" s="13" t="n"/>
      <c r="X11" s="13" t="n"/>
      <c r="Y11" s="13" t="n"/>
      <c r="Z11" s="13" t="n"/>
      <c r="AA11" s="13" t="n"/>
      <c r="AB11" s="13" t="n"/>
      <c r="AC11" s="13" t="n"/>
      <c r="AD11" s="13" t="n"/>
      <c r="AE11" s="13" t="n"/>
      <c r="AF11" s="13" t="n"/>
      <c r="AG11" s="13" t="n"/>
      <c r="AH11" s="13" t="n"/>
    </row>
    <row r="12" ht="17.2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3" t="n"/>
    </row>
    <row r="13" ht="17.25" customHeight="1">
      <c r="A13" s="5" t="inlineStr">
        <is>
          <t>D</t>
        </is>
      </c>
      <c r="B13" s="7" t="inlineStr">
        <is>
          <t>X</t>
        </is>
      </c>
      <c r="C13" s="7" t="inlineStr">
        <is>
          <t>X</t>
        </is>
      </c>
      <c r="D13" s="7" t="inlineStr">
        <is>
          <t>X</t>
        </is>
      </c>
      <c r="E13" s="7" t="inlineStr">
        <is>
          <t>X</t>
        </is>
      </c>
      <c r="F13" s="7" t="inlineStr">
        <is>
          <t>X</t>
        </is>
      </c>
      <c r="G13" s="7" t="inlineStr">
        <is>
          <t>X</t>
        </is>
      </c>
      <c r="H13" s="7" t="inlineStr">
        <is>
          <t>X</t>
        </is>
      </c>
      <c r="I13" s="7" t="inlineStr">
        <is>
          <t>X</t>
        </is>
      </c>
      <c r="J13" s="7" t="inlineStr">
        <is>
          <t>X</t>
        </is>
      </c>
      <c r="K13" s="7" t="inlineStr">
        <is>
          <t>X</t>
        </is>
      </c>
      <c r="L13" s="3" t="n"/>
      <c r="M13" s="3" t="n"/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 t="n"/>
      <c r="W13" s="13" t="n"/>
      <c r="X13" s="13" t="n"/>
      <c r="Y13" s="13" t="n"/>
      <c r="Z13" s="13" t="n"/>
      <c r="AA13" s="13" t="n"/>
      <c r="AB13" s="13" t="n"/>
      <c r="AC13" s="13" t="n"/>
      <c r="AD13" s="13" t="n"/>
      <c r="AE13" s="13" t="n"/>
      <c r="AF13" s="13" t="n"/>
      <c r="AG13" s="13" t="n"/>
      <c r="AH13" s="13" t="n"/>
    </row>
    <row r="14" ht="17.25" customHeight="1">
      <c r="A14" s="5" t="inlineStr">
        <is>
          <t>GA Indicators</t>
        </is>
      </c>
      <c r="B14" s="5" t="inlineStr">
        <is>
          <t>d</t>
        </is>
      </c>
      <c r="C14" s="5" t="inlineStr">
        <is>
          <t>d</t>
        </is>
      </c>
      <c r="D14" s="5" t="inlineStr">
        <is>
          <t>df</t>
        </is>
      </c>
      <c r="E14" s="5" t="inlineStr">
        <is>
          <t>a</t>
        </is>
      </c>
      <c r="F14" s="5" t="inlineStr">
        <is>
          <t>ef</t>
        </is>
      </c>
      <c r="G14" s="5" t="inlineStr">
        <is>
          <t>ef</t>
        </is>
      </c>
      <c r="H14" s="5" t="inlineStr">
        <is>
          <t>cdf</t>
        </is>
      </c>
      <c r="I14" s="5" t="inlineStr">
        <is>
          <t>e</t>
        </is>
      </c>
      <c r="J14" s="5" t="inlineStr">
        <is>
          <t>e</t>
        </is>
      </c>
      <c r="K14" s="5" t="inlineStr">
        <is>
          <t>cef</t>
        </is>
      </c>
      <c r="L14" s="3" t="n"/>
      <c r="M14" s="3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3" t="n"/>
      <c r="X14" s="13" t="n"/>
      <c r="Y14" s="13" t="n"/>
      <c r="Z14" s="13" t="n"/>
      <c r="AA14" s="13" t="n"/>
      <c r="AB14" s="13" t="n"/>
      <c r="AC14" s="13" t="n"/>
      <c r="AD14" s="13" t="n"/>
      <c r="AE14" s="13" t="n"/>
      <c r="AF14" s="13" t="n"/>
      <c r="AG14" s="13" t="n"/>
      <c r="AH14" s="13" t="n"/>
    </row>
    <row r="15" ht="17.25" customHeight="1">
      <c r="A15" s="3" t="n"/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 t="n"/>
      <c r="W15" s="13" t="n"/>
      <c r="X15" s="13" t="n"/>
      <c r="Y15" s="13" t="n"/>
      <c r="Z15" s="13" t="n"/>
      <c r="AA15" s="13" t="n"/>
      <c r="AB15" s="13" t="n"/>
      <c r="AC15" s="13" t="n"/>
      <c r="AD15" s="13" t="n"/>
      <c r="AE15" s="13" t="n"/>
      <c r="AF15" s="13" t="n"/>
      <c r="AG15" s="13" t="n"/>
      <c r="AH15" s="13" t="n"/>
    </row>
    <row r="16" ht="17.25" customHeight="1">
      <c r="A16" s="5" t="inlineStr">
        <is>
          <t>A</t>
        </is>
      </c>
      <c r="B16" s="8" t="inlineStr">
        <is>
          <t>X</t>
        </is>
      </c>
      <c r="C16" s="8" t="inlineStr">
        <is>
          <t>X</t>
        </is>
      </c>
      <c r="D16" s="8" t="inlineStr">
        <is>
          <t>X</t>
        </is>
      </c>
      <c r="E16" s="8" t="inlineStr">
        <is>
          <t>X</t>
        </is>
      </c>
      <c r="F16" s="8" t="inlineStr">
        <is>
          <t>X</t>
        </is>
      </c>
      <c r="G16" s="8" t="inlineStr">
        <is>
          <t>X</t>
        </is>
      </c>
      <c r="H16" s="8" t="inlineStr">
        <is>
          <t>X</t>
        </is>
      </c>
      <c r="I16" s="8" t="inlineStr">
        <is>
          <t>X</t>
        </is>
      </c>
      <c r="J16" s="8" t="inlineStr">
        <is>
          <t>X</t>
        </is>
      </c>
      <c r="K16" s="8" t="inlineStr">
        <is>
          <t>X</t>
        </is>
      </c>
      <c r="L16" s="3" t="n"/>
      <c r="M16" s="3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3" t="n"/>
      <c r="X16" s="13" t="n"/>
      <c r="Y16" s="13" t="n"/>
      <c r="Z16" s="13" t="n"/>
      <c r="AA16" s="13" t="n"/>
      <c r="AB16" s="13" t="n"/>
      <c r="AC16" s="13" t="n"/>
      <c r="AD16" s="13" t="n"/>
      <c r="AE16" s="13" t="n"/>
      <c r="AF16" s="13" t="n"/>
      <c r="AG16" s="13" t="n"/>
      <c r="AH16" s="13" t="n"/>
    </row>
    <row r="17" ht="17.25" customHeight="1">
      <c r="A17" s="5" t="inlineStr">
        <is>
          <t>GA Indicators</t>
        </is>
      </c>
      <c r="B17" s="5" t="inlineStr">
        <is>
          <t>c</t>
        </is>
      </c>
      <c r="C17" s="5" t="inlineStr">
        <is>
          <t>ef</t>
        </is>
      </c>
      <c r="D17" s="5" t="inlineStr">
        <is>
          <t>ef</t>
        </is>
      </c>
      <c r="E17" s="5" t="inlineStr">
        <is>
          <t>ef</t>
        </is>
      </c>
      <c r="F17" s="5" t="inlineStr">
        <is>
          <t>ef</t>
        </is>
      </c>
      <c r="G17" s="5" t="inlineStr">
        <is>
          <t>e</t>
        </is>
      </c>
      <c r="H17" s="5" t="inlineStr">
        <is>
          <t>ef</t>
        </is>
      </c>
      <c r="I17" s="5" t="inlineStr">
        <is>
          <t>ef</t>
        </is>
      </c>
      <c r="J17" s="5" t="inlineStr">
        <is>
          <t>ef</t>
        </is>
      </c>
      <c r="K17" s="5" t="inlineStr">
        <is>
          <t>ef</t>
        </is>
      </c>
      <c r="L17" s="3" t="n"/>
      <c r="M17" s="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3" t="n"/>
      <c r="X17" s="13" t="n"/>
      <c r="Y17" s="13" t="n"/>
      <c r="Z17" s="13" t="n"/>
      <c r="AA17" s="13" t="n"/>
      <c r="AB17" s="13" t="n"/>
      <c r="AC17" s="13" t="n"/>
      <c r="AD17" s="13" t="n"/>
      <c r="AE17" s="13" t="n"/>
      <c r="AF17" s="13" t="n"/>
      <c r="AG17" s="13" t="n"/>
      <c r="AH17" s="13" t="n"/>
    </row>
    <row r="18" ht="15.75" customHeight="1">
      <c r="A18" s="13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3" t="n"/>
      <c r="X18" s="13" t="n"/>
      <c r="Y18" s="13" t="n"/>
      <c r="Z18" s="13" t="n"/>
      <c r="AA18" s="13" t="n"/>
      <c r="AB18" s="13" t="n"/>
      <c r="AC18" s="13" t="n"/>
      <c r="AD18" s="13" t="n"/>
      <c r="AE18" s="13" t="n"/>
      <c r="AF18" s="13" t="n"/>
      <c r="AG18" s="13" t="n"/>
      <c r="AH18" s="13" t="n"/>
    </row>
  </sheetData>
  <mergeCells count="1">
    <mergeCell ref="A1:A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2022-08-03T09:20:27Z</dcterms:created>
  <dcterms:modified xsi:type="dcterms:W3CDTF">2022-08-03T09:20:27Z</dcterms:modified>
</cp:coreProperties>
</file>