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O:\Group Share\Engr and Applied Science\Software Engineering\Software Engineering Accreditation Work\Future Visit Data Analysis Work\FALL 2022 - WINTER 2023\Completed Templates 21-22\"/>
    </mc:Choice>
  </mc:AlternateContent>
  <xr:revisionPtr revIDLastSave="0" documentId="13_ncr:1_{29EA1264-AAAE-458D-A497-C43C043F6FB5}" xr6:coauthVersionLast="47" xr6:coauthVersionMax="47" xr10:uidLastSave="{00000000-0000-0000-0000-000000000000}"/>
  <bookViews>
    <workbookView xWindow="-24390" yWindow="1335" windowWidth="24390" windowHeight="13335" activeTab="7" xr2:uid="{00000000-000D-0000-FFFF-FFFF00000000}"/>
  </bookViews>
  <sheets>
    <sheet name="Analysis" sheetId="1" r:id="rId1"/>
    <sheet name="2a" sheetId="3" r:id="rId2"/>
    <sheet name="2b" sheetId="4" r:id="rId3"/>
    <sheet name="2c" sheetId="5" r:id="rId4"/>
    <sheet name="2d" sheetId="6" r:id="rId5"/>
    <sheet name="2e" sheetId="7" r:id="rId6"/>
    <sheet name="2f" sheetId="8" r:id="rId7"/>
    <sheet name="2g" sheetId="10" r:id="rId8"/>
    <sheet name="Indicator Map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0" l="1"/>
  <c r="D55" i="10"/>
  <c r="E55" i="10"/>
  <c r="F55" i="10"/>
  <c r="G55" i="10"/>
  <c r="H55" i="10"/>
  <c r="C56" i="10"/>
  <c r="D56" i="10"/>
  <c r="E56" i="10"/>
  <c r="F56" i="10"/>
  <c r="G56" i="10"/>
  <c r="H56" i="10"/>
  <c r="C57" i="10"/>
  <c r="D57" i="10"/>
  <c r="E57" i="10"/>
  <c r="F57" i="10"/>
  <c r="G57" i="10"/>
  <c r="H57" i="10"/>
  <c r="C58" i="10"/>
  <c r="D58" i="10"/>
  <c r="E58" i="10"/>
  <c r="F58" i="10"/>
  <c r="G58" i="10"/>
  <c r="H58" i="10"/>
  <c r="B58" i="10"/>
  <c r="B57" i="10"/>
  <c r="B56" i="10"/>
  <c r="B55" i="10"/>
  <c r="C55" i="8"/>
  <c r="D55" i="8"/>
  <c r="E55" i="8"/>
  <c r="F55" i="8"/>
  <c r="G55" i="8"/>
  <c r="H55" i="8"/>
  <c r="I55" i="8"/>
  <c r="J55" i="8"/>
  <c r="K55" i="8"/>
  <c r="L55" i="8"/>
  <c r="C56" i="8"/>
  <c r="D56" i="8"/>
  <c r="E56" i="8"/>
  <c r="F56" i="8"/>
  <c r="G56" i="8"/>
  <c r="H56" i="8"/>
  <c r="I56" i="8"/>
  <c r="J56" i="8"/>
  <c r="K56" i="8"/>
  <c r="L56" i="8"/>
  <c r="C57" i="8"/>
  <c r="D57" i="8"/>
  <c r="E57" i="8"/>
  <c r="F57" i="8"/>
  <c r="G57" i="8"/>
  <c r="H57" i="8"/>
  <c r="I57" i="8"/>
  <c r="J57" i="8"/>
  <c r="K57" i="8"/>
  <c r="L57" i="8"/>
  <c r="C58" i="8"/>
  <c r="D58" i="8"/>
  <c r="E58" i="8"/>
  <c r="F58" i="8"/>
  <c r="G58" i="8"/>
  <c r="H58" i="8"/>
  <c r="I58" i="8"/>
  <c r="J58" i="8"/>
  <c r="K58" i="8"/>
  <c r="L58" i="8"/>
  <c r="B58" i="8"/>
  <c r="B57" i="8"/>
  <c r="B56" i="8"/>
  <c r="B55" i="8"/>
  <c r="C55" i="7"/>
  <c r="D55" i="7"/>
  <c r="E55" i="7"/>
  <c r="F55" i="7"/>
  <c r="G55" i="7"/>
  <c r="H55" i="7"/>
  <c r="I55" i="7"/>
  <c r="J55" i="7"/>
  <c r="K55" i="7"/>
  <c r="L55" i="7"/>
  <c r="M55" i="7"/>
  <c r="N55" i="7"/>
  <c r="C56" i="7"/>
  <c r="D56" i="7"/>
  <c r="E56" i="7"/>
  <c r="F56" i="7"/>
  <c r="G56" i="7"/>
  <c r="H56" i="7"/>
  <c r="I56" i="7"/>
  <c r="J56" i="7"/>
  <c r="K56" i="7"/>
  <c r="L56" i="7"/>
  <c r="M56" i="7"/>
  <c r="N56" i="7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B58" i="7"/>
  <c r="B57" i="7"/>
  <c r="B56" i="7"/>
  <c r="B55" i="7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B58" i="6"/>
  <c r="B57" i="6"/>
  <c r="B56" i="6"/>
  <c r="B55" i="6"/>
  <c r="C55" i="5"/>
  <c r="C56" i="5"/>
  <c r="C57" i="5"/>
  <c r="C58" i="5"/>
  <c r="B58" i="5"/>
  <c r="B57" i="5"/>
  <c r="B56" i="5"/>
  <c r="B55" i="5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E59" i="4" s="1"/>
  <c r="AF56" i="4"/>
  <c r="AG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F59" i="4" s="1"/>
  <c r="AG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8" i="4"/>
  <c r="B57" i="4"/>
  <c r="B56" i="4"/>
  <c r="B55" i="4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B58" i="3"/>
  <c r="B57" i="3"/>
  <c r="B56" i="3"/>
  <c r="B55" i="3"/>
  <c r="C45" i="10"/>
  <c r="D45" i="10"/>
  <c r="E45" i="10"/>
  <c r="F45" i="10"/>
  <c r="G45" i="10"/>
  <c r="H45" i="10"/>
  <c r="B45" i="10"/>
  <c r="C43" i="10"/>
  <c r="D43" i="10"/>
  <c r="E43" i="10"/>
  <c r="F43" i="10"/>
  <c r="G43" i="10"/>
  <c r="H43" i="10"/>
  <c r="B43" i="10"/>
  <c r="C45" i="8"/>
  <c r="D45" i="8"/>
  <c r="E45" i="8"/>
  <c r="F45" i="8"/>
  <c r="G45" i="8"/>
  <c r="H45" i="8"/>
  <c r="I45" i="8"/>
  <c r="J45" i="8"/>
  <c r="K45" i="8"/>
  <c r="L45" i="8"/>
  <c r="C43" i="8"/>
  <c r="D43" i="8"/>
  <c r="E43" i="8"/>
  <c r="F43" i="8"/>
  <c r="G43" i="8"/>
  <c r="H43" i="8"/>
  <c r="I43" i="8"/>
  <c r="J43" i="8"/>
  <c r="K43" i="8"/>
  <c r="L43" i="8"/>
  <c r="B45" i="8"/>
  <c r="B43" i="8"/>
  <c r="C45" i="7"/>
  <c r="D45" i="7"/>
  <c r="E45" i="7"/>
  <c r="F45" i="7"/>
  <c r="G45" i="7"/>
  <c r="H45" i="7"/>
  <c r="I45" i="7"/>
  <c r="J45" i="7"/>
  <c r="K45" i="7"/>
  <c r="L45" i="7"/>
  <c r="M45" i="7"/>
  <c r="N45" i="7"/>
  <c r="C43" i="7"/>
  <c r="D43" i="7"/>
  <c r="E43" i="7"/>
  <c r="F43" i="7"/>
  <c r="G43" i="7"/>
  <c r="H43" i="7"/>
  <c r="I43" i="7"/>
  <c r="J43" i="7"/>
  <c r="K43" i="7"/>
  <c r="L43" i="7"/>
  <c r="M43" i="7"/>
  <c r="N43" i="7"/>
  <c r="B45" i="7"/>
  <c r="B43" i="7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B45" i="6"/>
  <c r="B43" i="6"/>
  <c r="B44" i="6" s="1"/>
  <c r="C43" i="5"/>
  <c r="C45" i="5"/>
  <c r="B45" i="5"/>
  <c r="B43" i="5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45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3" i="4"/>
  <c r="B44" i="3"/>
  <c r="C45" i="3"/>
  <c r="D45" i="3"/>
  <c r="E45" i="3"/>
  <c r="F45" i="3"/>
  <c r="G45" i="3"/>
  <c r="H45" i="3"/>
  <c r="I45" i="3"/>
  <c r="J45" i="3"/>
  <c r="K45" i="3"/>
  <c r="B45" i="3"/>
  <c r="C43" i="3"/>
  <c r="D43" i="3"/>
  <c r="E43" i="3"/>
  <c r="F43" i="3"/>
  <c r="G43" i="3"/>
  <c r="H43" i="3"/>
  <c r="I43" i="3"/>
  <c r="J43" i="3"/>
  <c r="K43" i="3"/>
  <c r="B43" i="3"/>
  <c r="L77" i="1"/>
  <c r="K77" i="1"/>
  <c r="J77" i="1"/>
  <c r="I77" i="1"/>
  <c r="H77" i="1"/>
  <c r="G77" i="1"/>
  <c r="F77" i="1"/>
  <c r="L76" i="1"/>
  <c r="K76" i="1"/>
  <c r="J76" i="1"/>
  <c r="I76" i="1"/>
  <c r="H76" i="1"/>
  <c r="G76" i="1"/>
  <c r="F76" i="1"/>
  <c r="L75" i="1"/>
  <c r="K75" i="1"/>
  <c r="J75" i="1"/>
  <c r="I75" i="1"/>
  <c r="H75" i="1"/>
  <c r="G75" i="1"/>
  <c r="F75" i="1"/>
  <c r="L74" i="1"/>
  <c r="K74" i="1"/>
  <c r="J74" i="1"/>
  <c r="I74" i="1"/>
  <c r="H74" i="1"/>
  <c r="G74" i="1"/>
  <c r="F74" i="1"/>
  <c r="L73" i="1"/>
  <c r="K73" i="1"/>
  <c r="J73" i="1"/>
  <c r="I73" i="1"/>
  <c r="H73" i="1"/>
  <c r="G73" i="1"/>
  <c r="F7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L70" i="1"/>
  <c r="K70" i="1"/>
  <c r="J70" i="1"/>
  <c r="I70" i="1"/>
  <c r="H70" i="1"/>
  <c r="G70" i="1"/>
  <c r="F70" i="1"/>
  <c r="L69" i="1"/>
  <c r="K69" i="1"/>
  <c r="J69" i="1"/>
  <c r="I69" i="1"/>
  <c r="H69" i="1"/>
  <c r="G69" i="1"/>
  <c r="F69" i="1"/>
  <c r="L68" i="1"/>
  <c r="K68" i="1"/>
  <c r="J68" i="1"/>
  <c r="I68" i="1"/>
  <c r="H68" i="1"/>
  <c r="G68" i="1"/>
  <c r="F68" i="1"/>
  <c r="L67" i="1"/>
  <c r="K67" i="1"/>
  <c r="J67" i="1"/>
  <c r="I67" i="1"/>
  <c r="H67" i="1"/>
  <c r="G67" i="1"/>
  <c r="F67" i="1"/>
  <c r="L66" i="1"/>
  <c r="K66" i="1"/>
  <c r="J66" i="1"/>
  <c r="I66" i="1"/>
  <c r="H66" i="1"/>
  <c r="G66" i="1"/>
  <c r="F66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3" i="1"/>
  <c r="K63" i="1"/>
  <c r="J63" i="1"/>
  <c r="I63" i="1"/>
  <c r="H63" i="1"/>
  <c r="G63" i="1"/>
  <c r="F63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0" i="1"/>
  <c r="K60" i="1"/>
  <c r="J60" i="1"/>
  <c r="I60" i="1"/>
  <c r="H60" i="1"/>
  <c r="G60" i="1"/>
  <c r="F60" i="1"/>
  <c r="L59" i="1"/>
  <c r="K59" i="1"/>
  <c r="J59" i="1"/>
  <c r="I59" i="1"/>
  <c r="H59" i="1"/>
  <c r="G59" i="1"/>
  <c r="F59" i="1"/>
  <c r="L58" i="1"/>
  <c r="K58" i="1"/>
  <c r="J58" i="1"/>
  <c r="I58" i="1"/>
  <c r="H58" i="1"/>
  <c r="G58" i="1"/>
  <c r="F58" i="1"/>
  <c r="L57" i="1"/>
  <c r="K57" i="1"/>
  <c r="J57" i="1"/>
  <c r="I57" i="1"/>
  <c r="H57" i="1"/>
  <c r="G57" i="1"/>
  <c r="F57" i="1"/>
  <c r="L56" i="1"/>
  <c r="K56" i="1"/>
  <c r="J56" i="1"/>
  <c r="I56" i="1"/>
  <c r="H56" i="1"/>
  <c r="G56" i="1"/>
  <c r="F56" i="1"/>
  <c r="L55" i="1"/>
  <c r="K55" i="1"/>
  <c r="J55" i="1"/>
  <c r="I55" i="1"/>
  <c r="H55" i="1"/>
  <c r="G55" i="1"/>
  <c r="F55" i="1"/>
  <c r="L54" i="1"/>
  <c r="K54" i="1"/>
  <c r="J54" i="1"/>
  <c r="I54" i="1"/>
  <c r="H54" i="1"/>
  <c r="G54" i="1"/>
  <c r="F54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1" i="1"/>
  <c r="K51" i="1"/>
  <c r="J51" i="1"/>
  <c r="I51" i="1"/>
  <c r="H51" i="1"/>
  <c r="G51" i="1"/>
  <c r="F51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B44" i="4"/>
  <c r="I2" i="10"/>
  <c r="M2" i="8"/>
  <c r="O2" i="7"/>
  <c r="AS2" i="6"/>
  <c r="D2" i="5"/>
  <c r="AH2" i="4"/>
  <c r="L2" i="3"/>
  <c r="D78" i="1"/>
  <c r="D74" i="1"/>
  <c r="D64" i="1"/>
  <c r="D62" i="1"/>
  <c r="D61" i="1"/>
  <c r="D47" i="1"/>
  <c r="D46" i="1"/>
  <c r="D45" i="1"/>
  <c r="D44" i="1"/>
  <c r="D43" i="1"/>
  <c r="D42" i="1"/>
  <c r="D41" i="1"/>
  <c r="D40" i="1"/>
  <c r="D36" i="1"/>
  <c r="F32" i="1"/>
  <c r="D32" i="1"/>
  <c r="D63" i="1"/>
  <c r="D65" i="1"/>
  <c r="AG59" i="4"/>
  <c r="F6" i="1"/>
  <c r="AD59" i="4" l="1"/>
  <c r="AP59" i="6"/>
  <c r="AL59" i="6"/>
  <c r="AH59" i="6"/>
  <c r="AD59" i="6"/>
  <c r="AO59" i="6"/>
  <c r="AK59" i="6"/>
  <c r="AG59" i="6"/>
  <c r="AC59" i="6"/>
  <c r="AR59" i="6"/>
  <c r="AN59" i="6"/>
  <c r="AJ59" i="6"/>
  <c r="AF59" i="6"/>
  <c r="AQ59" i="6"/>
  <c r="AM59" i="6"/>
  <c r="AI59" i="6"/>
  <c r="AE59" i="6"/>
  <c r="M74" i="1"/>
  <c r="M64" i="1"/>
  <c r="M62" i="1"/>
  <c r="M61" i="1"/>
  <c r="M47" i="1"/>
  <c r="M46" i="1"/>
  <c r="M45" i="1"/>
  <c r="M44" i="1"/>
  <c r="M43" i="1"/>
  <c r="M42" i="1"/>
  <c r="M41" i="1"/>
  <c r="M40" i="1"/>
  <c r="M36" i="1"/>
  <c r="M32" i="1"/>
  <c r="M63" i="1"/>
  <c r="M65" i="1"/>
  <c r="D34" i="1"/>
  <c r="B44" i="5"/>
  <c r="H50" i="10" l="1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H48" i="10"/>
  <c r="G48" i="10"/>
  <c r="F48" i="10"/>
  <c r="E48" i="10"/>
  <c r="D48" i="10"/>
  <c r="C48" i="10"/>
  <c r="B48" i="10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50" i="7"/>
  <c r="G50" i="7"/>
  <c r="F50" i="7"/>
  <c r="E50" i="7"/>
  <c r="D50" i="7"/>
  <c r="C50" i="7"/>
  <c r="B50" i="7"/>
  <c r="H49" i="7"/>
  <c r="G49" i="7"/>
  <c r="F49" i="7"/>
  <c r="E49" i="7"/>
  <c r="D49" i="7"/>
  <c r="C49" i="7"/>
  <c r="B49" i="7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B48" i="6"/>
  <c r="H48" i="6"/>
  <c r="G48" i="6"/>
  <c r="F48" i="6"/>
  <c r="E48" i="6"/>
  <c r="D48" i="6"/>
  <c r="C48" i="6"/>
  <c r="H48" i="5"/>
  <c r="G48" i="5"/>
  <c r="F48" i="5"/>
  <c r="E48" i="5"/>
  <c r="D48" i="5"/>
  <c r="C48" i="5"/>
  <c r="B48" i="5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B50" i="3"/>
  <c r="H50" i="3"/>
  <c r="G50" i="3"/>
  <c r="F50" i="3"/>
  <c r="E50" i="3"/>
  <c r="D50" i="3"/>
  <c r="C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L78" i="1" l="1"/>
  <c r="G78" i="1"/>
  <c r="L9" i="1"/>
  <c r="L8" i="1"/>
  <c r="F7" i="1"/>
  <c r="L7" i="1"/>
  <c r="L6" i="1"/>
  <c r="K6" i="1"/>
  <c r="J6" i="1"/>
  <c r="I6" i="1"/>
  <c r="H6" i="1"/>
  <c r="G6" i="1"/>
  <c r="H51" i="10"/>
  <c r="G51" i="10"/>
  <c r="F51" i="10"/>
  <c r="E51" i="10"/>
  <c r="D51" i="10"/>
  <c r="C51" i="10"/>
  <c r="B51" i="10"/>
  <c r="I50" i="10"/>
  <c r="I49" i="10"/>
  <c r="I48" i="10"/>
  <c r="L14" i="1"/>
  <c r="B44" i="10"/>
  <c r="I1" i="10"/>
  <c r="F78" i="1" l="1"/>
  <c r="I78" i="1"/>
  <c r="F5" i="1"/>
  <c r="M29" i="1"/>
  <c r="L5" i="1"/>
  <c r="I51" i="10"/>
  <c r="L20" i="1" s="1"/>
  <c r="L16" i="1"/>
  <c r="I58" i="10"/>
  <c r="L12" i="1"/>
  <c r="L13" i="1"/>
  <c r="L15" i="1" s="1"/>
  <c r="E59" i="10" l="1"/>
  <c r="L22" i="1"/>
  <c r="L23" i="1"/>
  <c r="L21" i="1"/>
  <c r="L18" i="1"/>
  <c r="L24" i="1"/>
  <c r="L19" i="1"/>
  <c r="I56" i="10"/>
  <c r="H59" i="10"/>
  <c r="F59" i="10"/>
  <c r="C59" i="10"/>
  <c r="D59" i="10"/>
  <c r="I57" i="10"/>
  <c r="B59" i="10"/>
  <c r="I55" i="10"/>
  <c r="G59" i="10"/>
  <c r="L11" i="1" l="1"/>
  <c r="I59" i="10"/>
  <c r="M67" i="1" l="1"/>
  <c r="M71" i="1"/>
  <c r="M76" i="1"/>
  <c r="M39" i="1"/>
  <c r="M51" i="1"/>
  <c r="M55" i="1"/>
  <c r="M59" i="1"/>
  <c r="M52" i="1"/>
  <c r="M38" i="1"/>
  <c r="M54" i="1"/>
  <c r="M70" i="1"/>
  <c r="M75" i="1"/>
  <c r="M73" i="1"/>
  <c r="M50" i="1"/>
  <c r="M58" i="1"/>
  <c r="M66" i="1"/>
  <c r="M37" i="1"/>
  <c r="M49" i="1"/>
  <c r="M53" i="1"/>
  <c r="M57" i="1"/>
  <c r="M77" i="1"/>
  <c r="M69" i="1"/>
  <c r="M35" i="1"/>
  <c r="M48" i="1"/>
  <c r="M56" i="1"/>
  <c r="M60" i="1"/>
  <c r="M68" i="1"/>
  <c r="M72" i="1"/>
  <c r="G59" i="8"/>
  <c r="N59" i="6"/>
  <c r="M1" i="8"/>
  <c r="M34" i="1"/>
  <c r="O1" i="7"/>
  <c r="M33" i="1"/>
  <c r="H51" i="8"/>
  <c r="G51" i="8"/>
  <c r="F51" i="8"/>
  <c r="E51" i="8"/>
  <c r="D51" i="8"/>
  <c r="C51" i="8"/>
  <c r="B51" i="8"/>
  <c r="I50" i="8"/>
  <c r="I49" i="8"/>
  <c r="I48" i="8"/>
  <c r="I50" i="7"/>
  <c r="I50" i="6"/>
  <c r="I16" i="1" l="1"/>
  <c r="F16" i="1"/>
  <c r="S59" i="4"/>
  <c r="L59" i="4"/>
  <c r="AB59" i="4"/>
  <c r="B59" i="3"/>
  <c r="R59" i="6"/>
  <c r="H59" i="6"/>
  <c r="X59" i="6"/>
  <c r="M56" i="8"/>
  <c r="D59" i="8"/>
  <c r="L59" i="8"/>
  <c r="J59" i="8"/>
  <c r="C59" i="8"/>
  <c r="K59" i="8"/>
  <c r="M57" i="8"/>
  <c r="M58" i="8"/>
  <c r="H59" i="8"/>
  <c r="F59" i="8"/>
  <c r="E59" i="8"/>
  <c r="I59" i="8"/>
  <c r="M55" i="8"/>
  <c r="B59" i="8"/>
  <c r="D59" i="7"/>
  <c r="H59" i="7"/>
  <c r="O58" i="7"/>
  <c r="G59" i="7"/>
  <c r="L59" i="7"/>
  <c r="I59" i="4"/>
  <c r="G59" i="4"/>
  <c r="Q59" i="4"/>
  <c r="J59" i="6"/>
  <c r="Z59" i="6"/>
  <c r="D59" i="6"/>
  <c r="AS55" i="6"/>
  <c r="I11" i="1" s="1"/>
  <c r="C59" i="6"/>
  <c r="S59" i="6"/>
  <c r="D58" i="5"/>
  <c r="C59" i="4"/>
  <c r="W59" i="4"/>
  <c r="P59" i="4"/>
  <c r="U59" i="4"/>
  <c r="E59" i="4"/>
  <c r="M59" i="4"/>
  <c r="Y59" i="4"/>
  <c r="AC59" i="4"/>
  <c r="H59" i="3"/>
  <c r="K59" i="7"/>
  <c r="E59" i="7"/>
  <c r="F59" i="6"/>
  <c r="V59" i="6"/>
  <c r="L59" i="6"/>
  <c r="AS58" i="6"/>
  <c r="AS57" i="6"/>
  <c r="Q59" i="6"/>
  <c r="G59" i="6"/>
  <c r="W59" i="6"/>
  <c r="D56" i="5"/>
  <c r="K59" i="4"/>
  <c r="AA59" i="4"/>
  <c r="D59" i="4"/>
  <c r="T59" i="4"/>
  <c r="AH57" i="4"/>
  <c r="O59" i="4"/>
  <c r="H59" i="4"/>
  <c r="X59" i="4"/>
  <c r="N59" i="4"/>
  <c r="I59" i="7"/>
  <c r="F59" i="7"/>
  <c r="O55" i="7"/>
  <c r="M59" i="7"/>
  <c r="J59" i="7"/>
  <c r="C59" i="7"/>
  <c r="O57" i="7"/>
  <c r="N59" i="7"/>
  <c r="AB59" i="6"/>
  <c r="AS56" i="6"/>
  <c r="P59" i="6"/>
  <c r="E59" i="6"/>
  <c r="U59" i="6"/>
  <c r="K59" i="6"/>
  <c r="AA59" i="6"/>
  <c r="T59" i="6"/>
  <c r="I59" i="6"/>
  <c r="Y59" i="6"/>
  <c r="O59" i="6"/>
  <c r="B59" i="6"/>
  <c r="M59" i="6"/>
  <c r="B59" i="5"/>
  <c r="D55" i="5"/>
  <c r="D57" i="5"/>
  <c r="C59" i="5"/>
  <c r="AH55" i="4"/>
  <c r="B59" i="4"/>
  <c r="AH58" i="4"/>
  <c r="R59" i="4"/>
  <c r="F59" i="4"/>
  <c r="V59" i="4"/>
  <c r="AH56" i="4"/>
  <c r="J59" i="4"/>
  <c r="Z59" i="4"/>
  <c r="E51" i="6"/>
  <c r="G51" i="6"/>
  <c r="D51" i="6"/>
  <c r="H51" i="6"/>
  <c r="C51" i="6"/>
  <c r="I49" i="6"/>
  <c r="I51" i="8"/>
  <c r="K24" i="1" s="1"/>
  <c r="C51" i="7"/>
  <c r="G51" i="7"/>
  <c r="F51" i="7"/>
  <c r="B51" i="7"/>
  <c r="D51" i="7"/>
  <c r="H51" i="7"/>
  <c r="E51" i="7"/>
  <c r="I49" i="7"/>
  <c r="I48" i="7"/>
  <c r="F51" i="6"/>
  <c r="I48" i="6"/>
  <c r="B51" i="6"/>
  <c r="M59" i="8" l="1"/>
  <c r="AH59" i="4"/>
  <c r="L55" i="3"/>
  <c r="D59" i="5"/>
  <c r="L57" i="3"/>
  <c r="L56" i="3"/>
  <c r="I51" i="6"/>
  <c r="I21" i="1" s="1"/>
  <c r="D59" i="3"/>
  <c r="K59" i="3"/>
  <c r="L58" i="3"/>
  <c r="G59" i="3"/>
  <c r="E59" i="3"/>
  <c r="J59" i="3"/>
  <c r="C59" i="3"/>
  <c r="F59" i="3"/>
  <c r="I59" i="3"/>
  <c r="K19" i="1"/>
  <c r="K18" i="1"/>
  <c r="K20" i="1"/>
  <c r="K23" i="1"/>
  <c r="K22" i="1"/>
  <c r="K21" i="1"/>
  <c r="I20" i="1"/>
  <c r="I51" i="7"/>
  <c r="J23" i="1" s="1"/>
  <c r="L59" i="3" l="1"/>
  <c r="I19" i="1"/>
  <c r="I23" i="1"/>
  <c r="I22" i="1"/>
  <c r="I24" i="1"/>
  <c r="I18" i="1"/>
  <c r="J18" i="1"/>
  <c r="J21" i="1"/>
  <c r="J19" i="1"/>
  <c r="J24" i="1"/>
  <c r="J20" i="1"/>
  <c r="J22" i="1"/>
  <c r="J78" i="1" l="1"/>
  <c r="M31" i="1"/>
  <c r="K78" i="1"/>
  <c r="H78" i="1"/>
  <c r="K12" i="1"/>
  <c r="K13" i="1"/>
  <c r="K14" i="1"/>
  <c r="K11" i="1"/>
  <c r="J13" i="1"/>
  <c r="J14" i="1"/>
  <c r="J11" i="1"/>
  <c r="B44" i="7"/>
  <c r="I13" i="1"/>
  <c r="I14" i="1"/>
  <c r="AS1" i="6"/>
  <c r="H12" i="1"/>
  <c r="H13" i="1"/>
  <c r="H14" i="1"/>
  <c r="H11" i="1"/>
  <c r="I50" i="5"/>
  <c r="I49" i="5"/>
  <c r="H51" i="5"/>
  <c r="G51" i="5"/>
  <c r="F51" i="5"/>
  <c r="E51" i="5"/>
  <c r="D51" i="5"/>
  <c r="C51" i="5"/>
  <c r="D1" i="5"/>
  <c r="B44" i="8" l="1"/>
  <c r="K16" i="1" s="1"/>
  <c r="O56" i="7"/>
  <c r="J16" i="1"/>
  <c r="M30" i="1"/>
  <c r="M78" i="1" s="1"/>
  <c r="I5" i="1"/>
  <c r="I15" i="1"/>
  <c r="H5" i="1"/>
  <c r="I48" i="5"/>
  <c r="I51" i="5" s="1"/>
  <c r="H20" i="1" s="1"/>
  <c r="G5" i="1"/>
  <c r="K5" i="1"/>
  <c r="J5" i="1"/>
  <c r="I12" i="1"/>
  <c r="B51" i="5"/>
  <c r="J12" i="1" l="1"/>
  <c r="O59" i="7"/>
  <c r="B59" i="7"/>
  <c r="H23" i="1"/>
  <c r="H19" i="1"/>
  <c r="H21" i="1"/>
  <c r="H18" i="1"/>
  <c r="H22" i="1"/>
  <c r="H24" i="1"/>
  <c r="D29" i="1" l="1"/>
  <c r="D77" i="1"/>
  <c r="D76" i="1"/>
  <c r="D75" i="1"/>
  <c r="D73" i="1"/>
  <c r="D72" i="1"/>
  <c r="D71" i="1"/>
  <c r="D70" i="1"/>
  <c r="D69" i="1"/>
  <c r="D68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39" i="1"/>
  <c r="D38" i="1"/>
  <c r="D37" i="1"/>
  <c r="D35" i="1"/>
  <c r="D33" i="1"/>
  <c r="D31" i="1"/>
  <c r="D30" i="1"/>
  <c r="F12" i="1"/>
  <c r="K15" i="1"/>
  <c r="J15" i="1"/>
  <c r="H15" i="1"/>
  <c r="G12" i="1"/>
  <c r="G13" i="1"/>
  <c r="G14" i="1"/>
  <c r="G11" i="1"/>
  <c r="I49" i="4"/>
  <c r="I50" i="4"/>
  <c r="H51" i="4"/>
  <c r="G51" i="4"/>
  <c r="F51" i="4"/>
  <c r="E51" i="4"/>
  <c r="D51" i="4"/>
  <c r="C51" i="4"/>
  <c r="B51" i="4"/>
  <c r="G16" i="1"/>
  <c r="AH1" i="4"/>
  <c r="F13" i="1"/>
  <c r="F14" i="1"/>
  <c r="F11" i="1"/>
  <c r="L1" i="3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F9" i="1"/>
  <c r="F8" i="1"/>
  <c r="I49" i="3" l="1"/>
  <c r="I51" i="4"/>
  <c r="G24" i="1" s="1"/>
  <c r="I48" i="4"/>
  <c r="F15" i="1"/>
  <c r="B51" i="3"/>
  <c r="F51" i="3"/>
  <c r="M13" i="1"/>
  <c r="C51" i="3"/>
  <c r="G51" i="3"/>
  <c r="E51" i="3"/>
  <c r="M11" i="1"/>
  <c r="I50" i="3"/>
  <c r="I48" i="3"/>
  <c r="M12" i="1"/>
  <c r="G15" i="1"/>
  <c r="M14" i="1"/>
  <c r="D51" i="3"/>
  <c r="H51" i="3"/>
  <c r="M5" i="1"/>
  <c r="M9" i="1"/>
  <c r="M8" i="1"/>
  <c r="M7" i="1"/>
  <c r="M15" i="1" l="1"/>
  <c r="G23" i="1"/>
  <c r="G19" i="1"/>
  <c r="G22" i="1"/>
  <c r="G21" i="1"/>
  <c r="G18" i="1"/>
  <c r="G20" i="1"/>
  <c r="I51" i="3"/>
  <c r="F24" i="1" s="1"/>
  <c r="M24" i="1" s="1"/>
  <c r="F18" i="1" l="1"/>
  <c r="F19" i="1"/>
  <c r="M19" i="1" s="1"/>
  <c r="F21" i="1"/>
  <c r="M21" i="1" s="1"/>
  <c r="F23" i="1"/>
  <c r="M23" i="1" s="1"/>
  <c r="M18" i="1"/>
  <c r="F22" i="1"/>
  <c r="M22" i="1" s="1"/>
  <c r="F20" i="1"/>
  <c r="M20" i="1" s="1"/>
  <c r="M6" i="1" l="1"/>
  <c r="H16" i="1"/>
  <c r="M16" i="1" s="1"/>
</calcChain>
</file>

<file path=xl/sharedStrings.xml><?xml version="1.0" encoding="utf-8"?>
<sst xmlns="http://schemas.openxmlformats.org/spreadsheetml/2006/main" count="1038" uniqueCount="293">
  <si>
    <t>LO#</t>
  </si>
  <si>
    <t>GA-2</t>
  </si>
  <si>
    <t>Problem Analysis (GA-2) 2021-2022</t>
  </si>
  <si>
    <t>CENG-2010-3</t>
  </si>
  <si>
    <t>2c</t>
  </si>
  <si>
    <t>CENG-2010-5</t>
  </si>
  <si>
    <t>2d</t>
  </si>
  <si>
    <t>Problem Analysis (GA-2)</t>
  </si>
  <si>
    <t>CENG-2010-6</t>
  </si>
  <si>
    <t>2g</t>
  </si>
  <si>
    <t>2a</t>
  </si>
  <si>
    <t>2b</t>
  </si>
  <si>
    <t>2e</t>
  </si>
  <si>
    <t>2f</t>
  </si>
  <si>
    <t>Average</t>
  </si>
  <si>
    <t>CENG-2030-2</t>
  </si>
  <si>
    <t>Number of Courses</t>
  </si>
  <si>
    <t>CENG-2030-3</t>
  </si>
  <si>
    <t>Number of CLO</t>
  </si>
  <si>
    <t>CENG-2030-4</t>
  </si>
  <si>
    <t>Introduced (Number of Courses)</t>
  </si>
  <si>
    <t>CENG-2030-5</t>
  </si>
  <si>
    <t>Developed (Number of Courses)</t>
  </si>
  <si>
    <t>CENG-2030-6</t>
  </si>
  <si>
    <t>Applied (Number of Courses)</t>
  </si>
  <si>
    <t>CENG-3010-1</t>
  </si>
  <si>
    <t>Scale</t>
  </si>
  <si>
    <t>CENG-3010-2</t>
  </si>
  <si>
    <t>Below Expectation (C- and below)  (%)</t>
  </si>
  <si>
    <t>CENG-3010-3</t>
  </si>
  <si>
    <t>Marginal (C+, C)  (%)</t>
  </si>
  <si>
    <t>CENG-3010-4</t>
  </si>
  <si>
    <t>Meets Expectation (B+, B, B-) (%)</t>
  </si>
  <si>
    <t>CENG-3010-5</t>
  </si>
  <si>
    <t>Exceeds Expectation (A+, A, A-) (%)</t>
  </si>
  <si>
    <t>CENG-3020-1</t>
  </si>
  <si>
    <t>Frequency Distribution Analysis (70% cutoff)</t>
  </si>
  <si>
    <t>CENG-3020-3</t>
  </si>
  <si>
    <t>Overall indicator simple Average Analysis</t>
  </si>
  <si>
    <t>CENG-3020-4</t>
  </si>
  <si>
    <t>Assessment Tool</t>
  </si>
  <si>
    <t>CENG-3020-5</t>
  </si>
  <si>
    <t>Assignment</t>
  </si>
  <si>
    <t>CENG-3310-2</t>
  </si>
  <si>
    <t>Quiz</t>
  </si>
  <si>
    <t>CENG-3310-3</t>
  </si>
  <si>
    <t>Mid Term</t>
  </si>
  <si>
    <t>CENG-3310-4</t>
  </si>
  <si>
    <t>Final Exam</t>
  </si>
  <si>
    <t>CENG-3310-5</t>
  </si>
  <si>
    <t>Project</t>
  </si>
  <si>
    <t>COMP-3410-2</t>
  </si>
  <si>
    <t>Lab</t>
  </si>
  <si>
    <t>COMP-3410-3</t>
  </si>
  <si>
    <t>Anyother</t>
  </si>
  <si>
    <t>COMP-3410-4</t>
  </si>
  <si>
    <t>COMP-3610-1</t>
  </si>
  <si>
    <t>COMP-3610-5</t>
  </si>
  <si>
    <t>COMP-3610-9</t>
  </si>
  <si>
    <t>Total LO</t>
  </si>
  <si>
    <t>Course</t>
  </si>
  <si>
    <t>Total</t>
  </si>
  <si>
    <t>EENG-3010-1</t>
  </si>
  <si>
    <t>CENG 2010</t>
  </si>
  <si>
    <t>EENG-3010-3</t>
  </si>
  <si>
    <t>CENG 2030</t>
  </si>
  <si>
    <t>EENG-3010-4</t>
  </si>
  <si>
    <t>CENG 3010</t>
  </si>
  <si>
    <t>ENGR-2000-1</t>
  </si>
  <si>
    <t>CENG 3020</t>
  </si>
  <si>
    <t>ENGR-2000-2</t>
  </si>
  <si>
    <t xml:space="preserve">CENG 3310 </t>
  </si>
  <si>
    <t>ENGR-2000-4</t>
  </si>
  <si>
    <t>CENG 4320</t>
  </si>
  <si>
    <t>ENGR-2000-6</t>
  </si>
  <si>
    <t>CHEM 1520</t>
  </si>
  <si>
    <t>ENGR-2000-7</t>
  </si>
  <si>
    <t>CMNS 1290</t>
  </si>
  <si>
    <t>EPHY-1170-5</t>
  </si>
  <si>
    <t>COMP 3410</t>
  </si>
  <si>
    <t>EPHY-1170-9</t>
  </si>
  <si>
    <t>COMP 3610</t>
  </si>
  <si>
    <t>EPHY-1270-1</t>
  </si>
  <si>
    <t>EENG 3010</t>
  </si>
  <si>
    <t>EPHY-1270-3</t>
  </si>
  <si>
    <t>ENGL 1100</t>
  </si>
  <si>
    <t>EPHY-1270-6</t>
  </si>
  <si>
    <t>ENGR 1100</t>
  </si>
  <si>
    <t>EPHY-1270-8</t>
  </si>
  <si>
    <t>ENGR 1200</t>
  </si>
  <si>
    <t>EPHY-1700-1</t>
  </si>
  <si>
    <t>ENGR 2000</t>
  </si>
  <si>
    <t>EPHY-1700-2</t>
  </si>
  <si>
    <t>ENGR 2200</t>
  </si>
  <si>
    <t>EPHY-1700-3</t>
  </si>
  <si>
    <t>ENGR 2300</t>
  </si>
  <si>
    <t>EPHY-1700-4</t>
  </si>
  <si>
    <t>ENGR 2400</t>
  </si>
  <si>
    <t>EPHY-1700-5</t>
  </si>
  <si>
    <t>ENGR 3300</t>
  </si>
  <si>
    <t>EPHY-1700-6</t>
  </si>
  <si>
    <t xml:space="preserve">EPHY 1170 </t>
  </si>
  <si>
    <t>EPHY-1700-7</t>
  </si>
  <si>
    <t>EPHY 1270</t>
  </si>
  <si>
    <t>EPHY-2300-2</t>
  </si>
  <si>
    <t>EPHY 1700</t>
  </si>
  <si>
    <t>EPHY-2300-3</t>
  </si>
  <si>
    <t>EPHY 2200</t>
  </si>
  <si>
    <t>EPHY-2300-5</t>
  </si>
  <si>
    <t>EPHY 2300</t>
  </si>
  <si>
    <t>MATH-1230-1</t>
  </si>
  <si>
    <t xml:space="preserve">MATH 1130 </t>
  </si>
  <si>
    <t>MATH-1230-2</t>
  </si>
  <si>
    <t>MATH 1230</t>
  </si>
  <si>
    <t>MATH-1230-3</t>
  </si>
  <si>
    <t xml:space="preserve">MATH 1300 </t>
  </si>
  <si>
    <t>MATH-1230-4</t>
  </si>
  <si>
    <t>MATH 1700</t>
  </si>
  <si>
    <t>MATH-1300-1</t>
  </si>
  <si>
    <t>PHYS 2150</t>
  </si>
  <si>
    <t>MATH-1300-10</t>
  </si>
  <si>
    <t>SENG 1110</t>
  </si>
  <si>
    <t>MATH-1300-2</t>
  </si>
  <si>
    <t>SENG 1210</t>
  </si>
  <si>
    <t>MATH-1300-3</t>
  </si>
  <si>
    <t>SENG 3110</t>
  </si>
  <si>
    <t>MATH-1300-4</t>
  </si>
  <si>
    <t>SENG 3120</t>
  </si>
  <si>
    <t>MATH-1300-5</t>
  </si>
  <si>
    <t>SENG 3130</t>
  </si>
  <si>
    <t>MATH-1300-6</t>
  </si>
  <si>
    <t>SENG 3210</t>
  </si>
  <si>
    <t>MATH-1300-7</t>
  </si>
  <si>
    <t>SENG 4100</t>
  </si>
  <si>
    <t>MATH-1300-8</t>
  </si>
  <si>
    <t>SENG 4110</t>
  </si>
  <si>
    <t>MATH-1300-9</t>
  </si>
  <si>
    <t>SENG 4120</t>
  </si>
  <si>
    <t>PHYS-2150-1</t>
  </si>
  <si>
    <t>SENG 4130</t>
  </si>
  <si>
    <t>PHYS-2150-2</t>
  </si>
  <si>
    <t>SENG 4230</t>
  </si>
  <si>
    <t>PHYS-2150-3</t>
  </si>
  <si>
    <t>SENG 4220</t>
  </si>
  <si>
    <t>PHYS-2150-4</t>
  </si>
  <si>
    <t>SENG 4140</t>
  </si>
  <si>
    <t>PHYS-2150-5</t>
  </si>
  <si>
    <t>SENG 4610</t>
  </si>
  <si>
    <t>SENG-1110-2</t>
  </si>
  <si>
    <t>SENG 4620</t>
  </si>
  <si>
    <t>SENG-1110-3</t>
  </si>
  <si>
    <t>SENG 4630</t>
  </si>
  <si>
    <t>SENG-1110-4</t>
  </si>
  <si>
    <t>SENG 4640</t>
  </si>
  <si>
    <t>SENG-1110-6</t>
  </si>
  <si>
    <t>SENG 4650</t>
  </si>
  <si>
    <t>SENG-1210-1</t>
  </si>
  <si>
    <t>SENG 4660</t>
  </si>
  <si>
    <t>SENG-1210-3</t>
  </si>
  <si>
    <t xml:space="preserve">STAT 2230 </t>
  </si>
  <si>
    <t>SENG-1210-6</t>
  </si>
  <si>
    <t>TOTAL</t>
  </si>
  <si>
    <t>SENG-3110-1</t>
  </si>
  <si>
    <t>SENG-3110-3</t>
  </si>
  <si>
    <t>SENG-3110-4</t>
  </si>
  <si>
    <t>SENG-3110-5</t>
  </si>
  <si>
    <t>SENG-4110-2</t>
  </si>
  <si>
    <t>SENG-4110-3</t>
  </si>
  <si>
    <t>SENG-4110-4</t>
  </si>
  <si>
    <t>SENG-4110-5</t>
  </si>
  <si>
    <t>SENG-4120-2</t>
  </si>
  <si>
    <t>SENG-4120-3</t>
  </si>
  <si>
    <t>SENG-4120-4</t>
  </si>
  <si>
    <t>SENG-4120-5</t>
  </si>
  <si>
    <t>SENG-4120-6</t>
  </si>
  <si>
    <t>SENG-4130-2</t>
  </si>
  <si>
    <t>SENG-4130-5</t>
  </si>
  <si>
    <t>SENG-4130-6</t>
  </si>
  <si>
    <t>SENG-4220-2</t>
  </si>
  <si>
    <t>SENG-4220-3</t>
  </si>
  <si>
    <t>SENG-4220-4</t>
  </si>
  <si>
    <t>SENG-4610-3</t>
  </si>
  <si>
    <t>SENG-4610-5</t>
  </si>
  <si>
    <t>SENG-4620-2</t>
  </si>
  <si>
    <t>SENG-4620-3</t>
  </si>
  <si>
    <t>SENG-4620-4</t>
  </si>
  <si>
    <t>SENG-4620-5</t>
  </si>
  <si>
    <t>SENG-4630-1</t>
  </si>
  <si>
    <t>SENG-4630-2</t>
  </si>
  <si>
    <t>SENG-4630-3</t>
  </si>
  <si>
    <t>SENG-4640-1</t>
  </si>
  <si>
    <t>SENG-4640-2</t>
  </si>
  <si>
    <t>SENG-4640-3</t>
  </si>
  <si>
    <t>SENG-4640-4</t>
  </si>
  <si>
    <t>SENG-4640-5</t>
  </si>
  <si>
    <t>SENG-4650-1</t>
  </si>
  <si>
    <t>SENG-4650-2</t>
  </si>
  <si>
    <t>SENG-4650-3</t>
  </si>
  <si>
    <t>SENG-4650-4</t>
  </si>
  <si>
    <t>SENG-4650-5</t>
  </si>
  <si>
    <t>STAT-2230-1</t>
  </si>
  <si>
    <t>STAT-2230-2</t>
  </si>
  <si>
    <t>STAT-2230-3</t>
  </si>
  <si>
    <t>Student Number</t>
  </si>
  <si>
    <t>SENG-1110-03</t>
  </si>
  <si>
    <t>SENG-4620</t>
  </si>
  <si>
    <t>SENG-4630</t>
  </si>
  <si>
    <t>SENG-4640</t>
  </si>
  <si>
    <t>SENG-4650</t>
  </si>
  <si>
    <t>Assessment
Tool</t>
  </si>
  <si>
    <t>A</t>
  </si>
  <si>
    <t>Q</t>
  </si>
  <si>
    <t>M</t>
  </si>
  <si>
    <t>F</t>
  </si>
  <si>
    <t>P</t>
  </si>
  <si>
    <t>L</t>
  </si>
  <si>
    <t>OT</t>
  </si>
  <si>
    <t>Overall Average</t>
  </si>
  <si>
    <t>Total Students</t>
  </si>
  <si>
    <t>Assignment (A)</t>
  </si>
  <si>
    <t>Quiz (Q)</t>
  </si>
  <si>
    <t>Mid Term (M)</t>
  </si>
  <si>
    <t>Final Exam (F)</t>
  </si>
  <si>
    <t>Project (P)</t>
  </si>
  <si>
    <t>Lab (L)</t>
  </si>
  <si>
    <t>Anyother (OT)</t>
  </si>
  <si>
    <t>I (1st, 2nd yr)</t>
  </si>
  <si>
    <t>D (2nd &amp; 3rd yr)</t>
  </si>
  <si>
    <t>A (3rd, 4yr)</t>
  </si>
  <si>
    <t>Frequency Distribution Analysis</t>
  </si>
  <si>
    <t>Class Limit</t>
  </si>
  <si>
    <t>Bin</t>
  </si>
  <si>
    <t>80-100</t>
  </si>
  <si>
    <t>70-79</t>
  </si>
  <si>
    <t>60-69</t>
  </si>
  <si>
    <t>0-59</t>
  </si>
  <si>
    <t>SENG-4120-b</t>
  </si>
  <si>
    <t>SENG-4130</t>
  </si>
  <si>
    <t>SENG-4220</t>
  </si>
  <si>
    <t>SENG-4610</t>
  </si>
  <si>
    <t>CENG-3310-1</t>
  </si>
  <si>
    <t>SENG-4110</t>
  </si>
  <si>
    <t>A knowledge base for engineering (GA-1) Curriculum Map</t>
  </si>
  <si>
    <t>Problem analysis</t>
  </si>
  <si>
    <t>SENG-1110</t>
  </si>
  <si>
    <t>MATH-1300</t>
  </si>
  <si>
    <t>EPHY-1170</t>
  </si>
  <si>
    <t>EPHY-1270</t>
  </si>
  <si>
    <t>EPHY-1700</t>
  </si>
  <si>
    <t>SENG-1210</t>
  </si>
  <si>
    <t>MATH-1230</t>
  </si>
  <si>
    <t>PHYS-2150</t>
  </si>
  <si>
    <t>CENG-2010</t>
  </si>
  <si>
    <t>STAT-2230</t>
  </si>
  <si>
    <t>CENG-2030</t>
  </si>
  <si>
    <t>ENGR-2000</t>
  </si>
  <si>
    <t>EPHY-2300</t>
  </si>
  <si>
    <t>SENG-3110</t>
  </si>
  <si>
    <t>CENG-3010</t>
  </si>
  <si>
    <t>EENG-3010</t>
  </si>
  <si>
    <t>CENG-3310</t>
  </si>
  <si>
    <t>COMP-3410</t>
  </si>
  <si>
    <t>COMP-3610</t>
  </si>
  <si>
    <t>CENG-3020</t>
  </si>
  <si>
    <t>SENG-4120</t>
  </si>
  <si>
    <t>SENG-4660</t>
  </si>
  <si>
    <t>CENG-4320</t>
  </si>
  <si>
    <t>I</t>
  </si>
  <si>
    <t>X</t>
  </si>
  <si>
    <t>D</t>
  </si>
  <si>
    <t xml:space="preserve"> </t>
  </si>
  <si>
    <t>GA Indicators</t>
  </si>
  <si>
    <t>abcd</t>
  </si>
  <si>
    <t>b</t>
  </si>
  <si>
    <t>bd</t>
  </si>
  <si>
    <t>d</t>
  </si>
  <si>
    <t>ag</t>
  </si>
  <si>
    <t>cdg</t>
  </si>
  <si>
    <t>abdf</t>
  </si>
  <si>
    <t>bdefg</t>
  </si>
  <si>
    <t>de</t>
  </si>
  <si>
    <t>defg</t>
  </si>
  <si>
    <t>ad</t>
  </si>
  <si>
    <t>aeg</t>
  </si>
  <si>
    <t>bdf</t>
  </si>
  <si>
    <t>bdef</t>
  </si>
  <si>
    <t>ef</t>
  </si>
  <si>
    <t>bdg</t>
  </si>
  <si>
    <t>bde</t>
  </si>
  <si>
    <t>adeg</t>
  </si>
  <si>
    <t>ab</t>
  </si>
  <si>
    <t>adf</t>
  </si>
  <si>
    <t>abef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</si>
</sst>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5" fillId="0" borderId="0" applyFont="0" applyFill="0" applyBorder="0" applyAlignment="0" applyProtection="0"/>
  </cellStyleXfs>
  <cellXfs count="18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9" xfId="0" applyFill="1" applyBorder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 wrapText="1"/>
    </xf>
    <xf numFmtId="1" fontId="0" fillId="9" borderId="9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2" fontId="1" fillId="8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64" fontId="10" fillId="0" borderId="2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3" borderId="8" xfId="0" applyFont="1" applyFill="1" applyBorder="1"/>
    <xf numFmtId="10" fontId="0" fillId="0" borderId="19" xfId="0" applyNumberFormat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10" fontId="0" fillId="11" borderId="1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8" fillId="0" borderId="9" xfId="0" applyFont="1" applyBorder="1"/>
    <xf numFmtId="0" fontId="9" fillId="11" borderId="9" xfId="0" applyFont="1" applyFill="1" applyBorder="1" applyAlignment="1">
      <alignment horizontal="center"/>
    </xf>
    <xf numFmtId="0" fontId="9" fillId="0" borderId="9" xfId="0" applyFont="1" applyBorder="1"/>
    <xf numFmtId="0" fontId="8" fillId="0" borderId="9" xfId="0" applyFont="1" applyBorder="1" applyAlignment="1">
      <alignment horizontal="center"/>
    </xf>
    <xf numFmtId="2" fontId="9" fillId="11" borderId="9" xfId="0" applyNumberFormat="1" applyFont="1" applyFill="1" applyBorder="1" applyAlignment="1">
      <alignment horizontal="center"/>
    </xf>
    <xf numFmtId="0" fontId="8" fillId="0" borderId="22" xfId="0" applyFont="1" applyBorder="1"/>
    <xf numFmtId="0" fontId="9" fillId="11" borderId="22" xfId="0" applyFont="1" applyFill="1" applyBorder="1" applyAlignment="1">
      <alignment horizontal="center"/>
    </xf>
    <xf numFmtId="0" fontId="9" fillId="3" borderId="22" xfId="0" applyFont="1" applyFill="1" applyBorder="1"/>
    <xf numFmtId="0" fontId="9" fillId="3" borderId="9" xfId="0" applyFont="1" applyFill="1" applyBorder="1"/>
    <xf numFmtId="10" fontId="8" fillId="0" borderId="9" xfId="0" applyNumberFormat="1" applyFont="1" applyBorder="1"/>
    <xf numFmtId="10" fontId="9" fillId="11" borderId="9" xfId="0" applyNumberFormat="1" applyFont="1" applyFill="1" applyBorder="1"/>
    <xf numFmtId="0" fontId="9" fillId="11" borderId="9" xfId="0" applyFont="1" applyFill="1" applyBorder="1"/>
    <xf numFmtId="9" fontId="8" fillId="0" borderId="9" xfId="0" applyNumberFormat="1" applyFont="1" applyBorder="1"/>
    <xf numFmtId="9" fontId="9" fillId="11" borderId="9" xfId="0" applyNumberFormat="1" applyFont="1" applyFill="1" applyBorder="1"/>
    <xf numFmtId="0" fontId="12" fillId="7" borderId="9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5" fillId="3" borderId="0" xfId="0" applyFont="1" applyFill="1"/>
    <xf numFmtId="0" fontId="14" fillId="11" borderId="9" xfId="0" applyFont="1" applyFill="1" applyBorder="1" applyAlignment="1">
      <alignment horizontal="center"/>
    </xf>
    <xf numFmtId="0" fontId="9" fillId="0" borderId="22" xfId="0" applyFont="1" applyBorder="1"/>
    <xf numFmtId="0" fontId="8" fillId="12" borderId="22" xfId="0" applyFont="1" applyFill="1" applyBorder="1" applyAlignment="1">
      <alignment horizontal="center"/>
    </xf>
    <xf numFmtId="2" fontId="9" fillId="11" borderId="22" xfId="0" applyNumberFormat="1" applyFont="1" applyFill="1" applyBorder="1" applyAlignment="1">
      <alignment horizontal="center"/>
    </xf>
    <xf numFmtId="0" fontId="8" fillId="0" borderId="29" xfId="0" applyFont="1" applyBorder="1"/>
    <xf numFmtId="0" fontId="9" fillId="0" borderId="26" xfId="0" applyFont="1" applyBorder="1" applyAlignment="1">
      <alignment horizontal="center"/>
    </xf>
    <xf numFmtId="0" fontId="9" fillId="11" borderId="27" xfId="0" applyFont="1" applyFill="1" applyBorder="1" applyAlignment="1">
      <alignment horizontal="center"/>
    </xf>
    <xf numFmtId="0" fontId="9" fillId="0" borderId="10" xfId="0" applyFont="1" applyBorder="1"/>
    <xf numFmtId="0" fontId="8" fillId="0" borderId="10" xfId="0" applyFont="1" applyBorder="1" applyAlignment="1">
      <alignment horizontal="center"/>
    </xf>
    <xf numFmtId="2" fontId="9" fillId="11" borderId="10" xfId="0" applyNumberFormat="1" applyFont="1" applyFill="1" applyBorder="1" applyAlignment="1">
      <alignment horizontal="center"/>
    </xf>
    <xf numFmtId="10" fontId="8" fillId="0" borderId="22" xfId="0" applyNumberFormat="1" applyFont="1" applyBorder="1"/>
    <xf numFmtId="9" fontId="8" fillId="0" borderId="22" xfId="0" applyNumberFormat="1" applyFont="1" applyBorder="1"/>
    <xf numFmtId="9" fontId="9" fillId="11" borderId="22" xfId="0" applyNumberFormat="1" applyFont="1" applyFill="1" applyBorder="1"/>
    <xf numFmtId="164" fontId="9" fillId="0" borderId="29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8" fillId="9" borderId="9" xfId="0" applyFont="1" applyFill="1" applyBorder="1"/>
    <xf numFmtId="0" fontId="8" fillId="9" borderId="10" xfId="0" applyFont="1" applyFill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/>
    <xf numFmtId="10" fontId="0" fillId="11" borderId="17" xfId="0" applyNumberFormat="1" applyFill="1" applyBorder="1" applyAlignment="1">
      <alignment horizontal="center" vertical="center"/>
    </xf>
    <xf numFmtId="10" fontId="0" fillId="0" borderId="18" xfId="0" applyNumberFormat="1" applyBorder="1" applyAlignment="1">
      <alignment horizontal="center"/>
    </xf>
    <xf numFmtId="10" fontId="9" fillId="11" borderId="22" xfId="0" applyNumberFormat="1" applyFont="1" applyFill="1" applyBorder="1"/>
    <xf numFmtId="0" fontId="1" fillId="8" borderId="28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textRotation="255"/>
    </xf>
    <xf numFmtId="0" fontId="8" fillId="13" borderId="9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10" fontId="0" fillId="0" borderId="30" xfId="0" applyNumberFormat="1" applyBorder="1" applyAlignment="1">
      <alignment horizontal="center" vertical="center"/>
    </xf>
    <xf numFmtId="0" fontId="0" fillId="0" borderId="9" xfId="0" applyBorder="1"/>
    <xf numFmtId="0" fontId="2" fillId="11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vertical="center"/>
    </xf>
    <xf numFmtId="0" fontId="2" fillId="15" borderId="8" xfId="0" applyFont="1" applyFill="1" applyBorder="1" applyAlignment="1">
      <alignment vertical="center"/>
    </xf>
    <xf numFmtId="0" fontId="2" fillId="16" borderId="8" xfId="0" applyFont="1" applyFill="1" applyBorder="1" applyAlignment="1">
      <alignment vertical="center"/>
    </xf>
    <xf numFmtId="0" fontId="1" fillId="17" borderId="9" xfId="0" applyFont="1" applyFill="1" applyBorder="1" applyAlignment="1">
      <alignment horizontal="center" vertical="center"/>
    </xf>
    <xf numFmtId="0" fontId="16" fillId="0" borderId="0" xfId="0" applyFont="1"/>
    <xf numFmtId="0" fontId="1" fillId="0" borderId="22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/>
    </xf>
    <xf numFmtId="0" fontId="17" fillId="14" borderId="5" xfId="0" applyFont="1" applyFill="1" applyBorder="1" applyAlignment="1">
      <alignment vertical="center"/>
    </xf>
    <xf numFmtId="0" fontId="2" fillId="15" borderId="5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6" borderId="5" xfId="0" applyFont="1" applyFill="1" applyBorder="1" applyAlignment="1">
      <alignment vertical="center"/>
    </xf>
    <xf numFmtId="164" fontId="0" fillId="0" borderId="32" xfId="0" applyNumberFormat="1" applyBorder="1" applyAlignment="1">
      <alignment horizontal="center"/>
    </xf>
    <xf numFmtId="10" fontId="0" fillId="0" borderId="16" xfId="2" applyNumberFormat="1" applyFont="1" applyBorder="1" applyAlignment="1">
      <alignment horizontal="center" vertical="center"/>
    </xf>
    <xf numFmtId="2" fontId="0" fillId="11" borderId="33" xfId="0" applyNumberForma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11" borderId="36" xfId="0" applyNumberFormat="1" applyFill="1" applyBorder="1" applyAlignment="1">
      <alignment horizontal="center"/>
    </xf>
    <xf numFmtId="10" fontId="0" fillId="0" borderId="34" xfId="0" applyNumberFormat="1" applyBorder="1" applyAlignment="1">
      <alignment horizontal="center" vertical="center"/>
    </xf>
    <xf numFmtId="10" fontId="0" fillId="11" borderId="35" xfId="0" applyNumberFormat="1" applyFill="1" applyBorder="1" applyAlignment="1">
      <alignment horizontal="center" vertical="center"/>
    </xf>
    <xf numFmtId="10" fontId="0" fillId="11" borderId="36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14" fillId="3" borderId="9" xfId="0" applyFont="1" applyFill="1" applyBorder="1" applyAlignment="1">
      <alignment horizont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/>
    <xf numFmtId="10" fontId="3" fillId="3" borderId="0" xfId="0" applyNumberFormat="1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3" fillId="3" borderId="0" xfId="0" applyNumberFormat="1" applyFont="1" applyFill="1"/>
    <xf numFmtId="0" fontId="8" fillId="3" borderId="0" xfId="0" applyFont="1" applyFill="1"/>
    <xf numFmtId="0" fontId="5" fillId="3" borderId="7" xfId="0" applyFont="1" applyFill="1" applyBorder="1"/>
    <xf numFmtId="9" fontId="1" fillId="3" borderId="0" xfId="0" applyNumberFormat="1" applyFont="1" applyFill="1"/>
    <xf numFmtId="164" fontId="0" fillId="8" borderId="12" xfId="0" applyNumberFormat="1" applyFill="1" applyBorder="1" applyAlignment="1">
      <alignment horizontal="center"/>
    </xf>
    <xf numFmtId="0" fontId="3" fillId="9" borderId="1" xfId="0" applyFont="1" applyFill="1" applyBorder="1"/>
    <xf numFmtId="0" fontId="18" fillId="0" borderId="1" xfId="0" applyFont="1" applyBorder="1"/>
    <xf numFmtId="0" fontId="3" fillId="5" borderId="2" xfId="0" applyFont="1" applyFill="1" applyBorder="1"/>
    <xf numFmtId="0" fontId="3" fillId="5" borderId="3" xfId="0" applyFont="1" applyFill="1" applyBorder="1"/>
    <xf numFmtId="0" fontId="0" fillId="9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9" fillId="0" borderId="37" xfId="0" applyFont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5" borderId="9" xfId="0" applyFill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2" fontId="8" fillId="0" borderId="9" xfId="0" applyNumberFormat="1" applyFont="1" applyBorder="1"/>
    <xf numFmtId="164" fontId="8" fillId="0" borderId="9" xfId="0" applyNumberFormat="1" applyFont="1" applyBorder="1"/>
    <xf numFmtId="0" fontId="8" fillId="9" borderId="22" xfId="0" applyFont="1" applyFill="1" applyBorder="1"/>
    <xf numFmtId="0" fontId="13" fillId="3" borderId="29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10" fontId="0" fillId="0" borderId="9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7" fillId="10" borderId="29" xfId="0" applyFont="1" applyFill="1" applyBorder="1" applyAlignment="1">
      <alignment horizontal="center" wrapText="1"/>
    </xf>
    <xf numFmtId="0" fontId="7" fillId="10" borderId="26" xfId="0" applyFont="1" applyFill="1" applyBorder="1" applyAlignment="1">
      <alignment horizontal="center" wrapText="1"/>
    </xf>
    <xf numFmtId="0" fontId="7" fillId="10" borderId="37" xfId="0" applyFont="1" applyFill="1" applyBorder="1" applyAlignment="1">
      <alignment horizontal="center" wrapText="1"/>
    </xf>
    <xf numFmtId="0" fontId="7" fillId="10" borderId="27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 7" xfId="1" xr:uid="{F1FC4F3D-C62D-48D4-BA8C-F896B2A219D4}"/>
    <cellStyle name="Percent" xfId="2" builtinId="5"/>
  </cellStyles>
  <dxfs count="228"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BA547"/>
      <color rgb="FFFA6C50"/>
      <color rgb="FFAB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Analysis (GA-2)</a:t>
            </a:r>
            <a:br>
              <a:rPr lang="en-US"/>
            </a:br>
            <a:r>
              <a:rPr lang="en-US"/>
              <a:t>Number of Courses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A9-4A53-B9FA-8ABBC5D73B4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1-43ED-AF3A-1D3875355681}"/>
              </c:ext>
            </c:extLst>
          </c:dPt>
          <c:dLbls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1-43ED-AF3A-1D38753556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2f</c:v>
                </c:pt>
                <c:pt idx="6">
                  <c:v>2g</c:v>
                </c:pt>
                <c:pt idx="7">
                  <c:v>Average</c:v>
                </c:pt>
              </c:strCache>
            </c:strRef>
          </c:cat>
          <c:val>
            <c:numRef>
              <c:f>Analysis!$F$5:$M$5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2</c:v>
                </c:pt>
                <c:pt idx="3">
                  <c:v>21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 formatCode="0.00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9-4A53-B9FA-8ABBC5D7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431"/>
        <c:axId val="191088799"/>
      </c:barChart>
      <c:catAx>
        <c:axId val="1806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8799"/>
        <c:crosses val="autoZero"/>
        <c:auto val="1"/>
        <c:lblAlgn val="ctr"/>
        <c:lblOffset val="100"/>
        <c:noMultiLvlLbl val="0"/>
      </c:catAx>
      <c:valAx>
        <c:axId val="1910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Analysis (GA-2)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Analysis!$E$6</c:f>
              <c:strCache>
                <c:ptCount val="1"/>
                <c:pt idx="0">
                  <c:v>Number of CLO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A6-42B3-8E12-D8EB81069C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F-4487-A30F-A4AF74E108C5}"/>
              </c:ext>
            </c:extLst>
          </c:dPt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A6-42B3-8E12-D8EB81069CEC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3F-4487-A30F-A4AF74E108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2f</c:v>
                </c:pt>
                <c:pt idx="6">
                  <c:v>2g</c:v>
                </c:pt>
                <c:pt idx="7">
                  <c:v>Average</c:v>
                </c:pt>
              </c:strCache>
            </c:strRef>
          </c:cat>
          <c:val>
            <c:numRef>
              <c:f>Analysis!$F$6:$M$6</c:f>
              <c:numCache>
                <c:formatCode>General</c:formatCode>
                <c:ptCount val="8"/>
                <c:pt idx="0">
                  <c:v>10</c:v>
                </c:pt>
                <c:pt idx="1">
                  <c:v>32</c:v>
                </c:pt>
                <c:pt idx="2">
                  <c:v>2</c:v>
                </c:pt>
                <c:pt idx="3">
                  <c:v>43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 formatCode="0.00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6-42B3-8E12-D8EB8106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3295"/>
        <c:axId val="86564543"/>
      </c:barChart>
      <c:catAx>
        <c:axId val="865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4543"/>
        <c:crosses val="autoZero"/>
        <c:auto val="1"/>
        <c:lblAlgn val="ctr"/>
        <c:lblOffset val="100"/>
        <c:noMultiLvlLbl val="0"/>
      </c:catAx>
      <c:valAx>
        <c:axId val="865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Analysis </a:t>
            </a:r>
            <a:r>
              <a:rPr lang="en-US" baseline="0"/>
              <a:t>(GA-2)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Introduced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876-4F33-8628-0E523C29D5D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876-4F33-8628-0E523C29D5D6}"/>
              </c:ext>
            </c:extLst>
          </c:dPt>
          <c:dLbls>
            <c:dLbl>
              <c:idx val="7"/>
              <c:layout>
                <c:manualLayout>
                  <c:x val="-2.5000000000000001E-2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77-478F-9069-C31ABB985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2f</c:v>
                </c:pt>
                <c:pt idx="6">
                  <c:v>2g</c:v>
                </c:pt>
                <c:pt idx="7">
                  <c:v>Average</c:v>
                </c:pt>
              </c:strCache>
            </c:strRef>
          </c:cat>
          <c:val>
            <c:numRef>
              <c:f>Analysis!$F$7:$M$7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 formatCode="0.00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F33-8628-0E523C29D5D6}"/>
            </c:ext>
          </c:extLst>
        </c:ser>
        <c:ser>
          <c:idx val="1"/>
          <c:order val="1"/>
          <c:tx>
            <c:v>Developed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876-4F33-8628-0E523C29D5D6}"/>
              </c:ext>
            </c:extLst>
          </c:dPt>
          <c:dLbls>
            <c:dLbl>
              <c:idx val="7"/>
              <c:layout>
                <c:manualLayout>
                  <c:x val="-2.0370135052831988E-16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77-478F-9069-C31ABB985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2f</c:v>
                </c:pt>
                <c:pt idx="6">
                  <c:v>2g</c:v>
                </c:pt>
                <c:pt idx="7">
                  <c:v>Average</c:v>
                </c:pt>
              </c:strCache>
            </c:strRef>
          </c:cat>
          <c:val>
            <c:numRef>
              <c:f>Analysis!$F$8:$M$8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 formatCode="0.00">
                  <c:v>2.8333333333333335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6-4F33-8628-0E523C29D5D6}"/>
            </c:ext>
          </c:extLst>
        </c:ser>
        <c:ser>
          <c:idx val="2"/>
          <c:order val="2"/>
          <c:tx>
            <c:v>Applied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3.0555555555555555E-2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77-478F-9069-C31ABB985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2a</c:v>
                </c:pt>
                <c:pt idx="1">
                  <c:v>2b</c:v>
                </c:pt>
                <c:pt idx="2">
                  <c:v>2c</c:v>
                </c:pt>
                <c:pt idx="3">
                  <c:v>2d</c:v>
                </c:pt>
                <c:pt idx="4">
                  <c:v>2e</c:v>
                </c:pt>
                <c:pt idx="5">
                  <c:v>2f</c:v>
                </c:pt>
                <c:pt idx="6">
                  <c:v>2g</c:v>
                </c:pt>
                <c:pt idx="7">
                  <c:v>Average</c:v>
                </c:pt>
              </c:strCache>
            </c:strRef>
          </c:cat>
          <c:val>
            <c:numRef>
              <c:f>Analysis!$F$9:$M$9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 formatCode="0.00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6-4F33-8628-0E523C29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3120"/>
        <c:axId val="188702735"/>
      </c:barChart>
      <c:catAx>
        <c:axId val="19863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735"/>
        <c:crosses val="autoZero"/>
        <c:auto val="1"/>
        <c:lblAlgn val="ctr"/>
        <c:lblOffset val="100"/>
        <c:noMultiLvlLbl val="0"/>
      </c:catAx>
      <c:valAx>
        <c:axId val="1887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84667</xdr:rowOff>
    </xdr:from>
    <xdr:to>
      <xdr:col>22</xdr:col>
      <xdr:colOff>349250</xdr:colOff>
      <xdr:row>41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FE111B-4A9B-447C-AF73-12B0193E67F1}"/>
            </a:ext>
          </a:extLst>
        </xdr:cNvPr>
        <xdr:cNvSpPr/>
      </xdr:nvSpPr>
      <xdr:spPr>
        <a:xfrm>
          <a:off x="9937750" y="391584"/>
          <a:ext cx="5873750" cy="89111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109536</xdr:colOff>
      <xdr:row>28</xdr:row>
      <xdr:rowOff>76200</xdr:rowOff>
    </xdr:from>
    <xdr:to>
      <xdr:col>21</xdr:col>
      <xdr:colOff>587902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EE49-87C8-4FDF-9CB5-70AD9C70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2</xdr:row>
      <xdr:rowOff>19050</xdr:rowOff>
    </xdr:from>
    <xdr:to>
      <xdr:col>21</xdr:col>
      <xdr:colOff>606953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1F333-E9CC-45C0-B78F-53C0D84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119061</xdr:colOff>
      <xdr:row>15</xdr:row>
      <xdr:rowOff>47625</xdr:rowOff>
    </xdr:from>
    <xdr:to>
      <xdr:col>21</xdr:col>
      <xdr:colOff>597427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0918-2E8C-4801-80BF-2B7D9570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2"/>
  <sheetViews>
    <sheetView zoomScale="90" zoomScaleNormal="90" workbookViewId="0">
      <selection activeCell="E1" sqref="E1:O1"/>
    </sheetView>
  </sheetViews>
  <sheetFormatPr defaultRowHeight="15.75" x14ac:dyDescent="0.25"/>
  <cols>
    <col min="1" max="1" width="16.85546875" style="132" bestFit="1" customWidth="1"/>
    <col min="2" max="2" width="5.85546875" style="133" bestFit="1" customWidth="1"/>
    <col min="3" max="3" width="5.85546875" style="133" customWidth="1"/>
    <col min="4" max="4" width="9.140625" style="134" bestFit="1" customWidth="1"/>
    <col min="5" max="5" width="45.42578125" style="134" bestFit="1" customWidth="1"/>
    <col min="6" max="12" width="8.28515625" style="134" bestFit="1" customWidth="1"/>
    <col min="13" max="13" width="9" style="134" bestFit="1" customWidth="1"/>
    <col min="14" max="14" width="9.140625" style="134"/>
    <col min="15" max="15" width="13" style="134" customWidth="1"/>
    <col min="16" max="21" width="9.140625" style="134"/>
    <col min="22" max="22" width="10.5703125" style="134" customWidth="1"/>
    <col min="23" max="23" width="9.140625" style="134"/>
    <col min="24" max="24" width="12.140625" style="134" customWidth="1"/>
    <col min="25" max="30" width="9.140625" style="134"/>
    <col min="31" max="31" width="12.5703125" style="134" customWidth="1"/>
    <col min="32" max="16384" width="9.140625" style="134"/>
  </cols>
  <sheetData>
    <row r="1" spans="1:22" ht="24.75" thickTop="1" thickBot="1" x14ac:dyDescent="0.4">
      <c r="A1" s="1" t="s">
        <v>0</v>
      </c>
      <c r="B1" s="155" t="s">
        <v>1</v>
      </c>
      <c r="D1" s="133"/>
      <c r="E1" s="178" t="s">
        <v>2</v>
      </c>
      <c r="F1" s="179"/>
      <c r="G1" s="179"/>
      <c r="H1" s="179"/>
      <c r="I1" s="179"/>
      <c r="J1" s="179"/>
      <c r="K1" s="179"/>
      <c r="L1" s="179"/>
      <c r="M1" s="179"/>
      <c r="N1" s="179"/>
      <c r="O1" s="180"/>
    </row>
    <row r="2" spans="1:22" ht="17.25" thickTop="1" thickBot="1" x14ac:dyDescent="0.3">
      <c r="A2" s="2" t="s">
        <v>3</v>
      </c>
      <c r="B2" s="3" t="s">
        <v>4</v>
      </c>
      <c r="C2" s="134"/>
    </row>
    <row r="3" spans="1:22" ht="20.25" thickTop="1" thickBot="1" x14ac:dyDescent="0.35">
      <c r="A3" s="2" t="s">
        <v>5</v>
      </c>
      <c r="B3" s="3" t="s">
        <v>6</v>
      </c>
      <c r="C3" s="135"/>
      <c r="E3" s="173" t="s">
        <v>7</v>
      </c>
      <c r="F3" s="174"/>
      <c r="G3" s="174"/>
      <c r="H3" s="174"/>
      <c r="I3" s="174"/>
      <c r="J3" s="174"/>
      <c r="K3" s="174"/>
      <c r="L3" s="175"/>
      <c r="M3" s="176"/>
      <c r="O3" s="137"/>
      <c r="P3" s="177"/>
      <c r="Q3" s="177"/>
      <c r="R3" s="177"/>
      <c r="S3" s="177"/>
      <c r="T3" s="177"/>
      <c r="U3" s="177"/>
      <c r="V3" s="177"/>
    </row>
    <row r="4" spans="1:22" ht="17.25" thickTop="1" thickBot="1" x14ac:dyDescent="0.3">
      <c r="A4" s="2" t="s">
        <v>8</v>
      </c>
      <c r="B4" s="3" t="s">
        <v>9</v>
      </c>
      <c r="C4" s="68"/>
      <c r="E4" s="73"/>
      <c r="F4" s="74" t="s">
        <v>10</v>
      </c>
      <c r="G4" s="74" t="s">
        <v>11</v>
      </c>
      <c r="H4" s="74" t="s">
        <v>4</v>
      </c>
      <c r="I4" s="74" t="s">
        <v>6</v>
      </c>
      <c r="J4" s="74" t="s">
        <v>12</v>
      </c>
      <c r="K4" s="74" t="s">
        <v>13</v>
      </c>
      <c r="L4" s="154" t="s">
        <v>9</v>
      </c>
      <c r="M4" s="75" t="s">
        <v>14</v>
      </c>
      <c r="O4" s="137"/>
      <c r="P4" s="138"/>
      <c r="Q4" s="138"/>
      <c r="R4" s="138"/>
      <c r="S4" s="138"/>
      <c r="T4" s="138"/>
      <c r="U4" s="138"/>
      <c r="V4" s="138"/>
    </row>
    <row r="5" spans="1:22" ht="17.25" thickTop="1" thickBot="1" x14ac:dyDescent="0.3">
      <c r="A5" s="2" t="s">
        <v>15</v>
      </c>
      <c r="B5" s="4" t="s">
        <v>11</v>
      </c>
      <c r="C5" s="68"/>
      <c r="E5" s="70" t="s">
        <v>16</v>
      </c>
      <c r="F5" s="71">
        <f t="shared" ref="F5:L5" si="0">COUNTIF(F29:F76, "&gt;0")</f>
        <v>9</v>
      </c>
      <c r="G5" s="71">
        <f t="shared" si="0"/>
        <v>16</v>
      </c>
      <c r="H5" s="71">
        <f t="shared" si="0"/>
        <v>2</v>
      </c>
      <c r="I5" s="71">
        <f t="shared" si="0"/>
        <v>21</v>
      </c>
      <c r="J5" s="71">
        <f t="shared" si="0"/>
        <v>11</v>
      </c>
      <c r="K5" s="71">
        <f t="shared" si="0"/>
        <v>9</v>
      </c>
      <c r="L5" s="71">
        <f t="shared" si="0"/>
        <v>7</v>
      </c>
      <c r="M5" s="72">
        <f>AVERAGE(F5:K5)</f>
        <v>11.333333333333334</v>
      </c>
      <c r="O5" s="138"/>
      <c r="P5" s="139"/>
      <c r="Q5" s="139"/>
      <c r="R5" s="139"/>
      <c r="S5" s="139"/>
      <c r="T5" s="139"/>
      <c r="U5" s="139"/>
      <c r="V5" s="140"/>
    </row>
    <row r="6" spans="1:22" ht="17.25" thickTop="1" thickBot="1" x14ac:dyDescent="0.3">
      <c r="A6" s="2" t="s">
        <v>17</v>
      </c>
      <c r="B6" s="4" t="s">
        <v>6</v>
      </c>
      <c r="C6" s="68"/>
      <c r="E6" s="50" t="s">
        <v>18</v>
      </c>
      <c r="F6" s="96">
        <f>COUNTIF(B:B, "2a")</f>
        <v>10</v>
      </c>
      <c r="G6" s="96">
        <f>COUNTIF(B:B, "2b")</f>
        <v>32</v>
      </c>
      <c r="H6" s="96">
        <f>COUNTIF(B:B, "2c")</f>
        <v>2</v>
      </c>
      <c r="I6" s="96">
        <f>COUNTIF(B:B, "2d")</f>
        <v>43</v>
      </c>
      <c r="J6" s="96">
        <f>COUNTIF(B:B, "2e")</f>
        <v>13</v>
      </c>
      <c r="K6" s="96">
        <f>COUNTIF($B:$B, "2f")</f>
        <v>11</v>
      </c>
      <c r="L6" s="96">
        <f>COUNTIF($B:$B, "2g")</f>
        <v>7</v>
      </c>
      <c r="M6" s="52">
        <f t="shared" ref="M6:M9" si="1">AVERAGE(F6:K6)</f>
        <v>18.5</v>
      </c>
      <c r="O6" s="138"/>
      <c r="P6" s="177"/>
      <c r="Q6" s="177"/>
      <c r="R6" s="177"/>
      <c r="S6" s="177"/>
      <c r="T6" s="177"/>
      <c r="U6" s="177"/>
      <c r="V6" s="177"/>
    </row>
    <row r="7" spans="1:22" ht="17.25" thickTop="1" thickBot="1" x14ac:dyDescent="0.3">
      <c r="A7" s="2" t="s">
        <v>19</v>
      </c>
      <c r="B7" s="4" t="s">
        <v>6</v>
      </c>
      <c r="C7" s="68"/>
      <c r="E7" s="50" t="s">
        <v>20</v>
      </c>
      <c r="F7" s="51">
        <f>COUNTIF('Indicator Map'!$B$11:$M$11, "*a*")</f>
        <v>3</v>
      </c>
      <c r="G7" s="51">
        <f>COUNTIF('Indicator Map'!$B$11:$M$11, "*b*")</f>
        <v>7</v>
      </c>
      <c r="H7" s="51">
        <f>COUNTIF('Indicator Map'!$B$11:$M$11, "*c*")</f>
        <v>2</v>
      </c>
      <c r="I7" s="51">
        <f>COUNTIF('Indicator Map'!$B$11:$M$11, "*d*")</f>
        <v>7</v>
      </c>
      <c r="J7" s="51">
        <f>COUNTIF('Indicator Map'!$B$11:$M$11, "*e*")</f>
        <v>0</v>
      </c>
      <c r="K7" s="51">
        <f>COUNTIF('Indicator Map'!$B$11:$M$11, "*f*")</f>
        <v>1</v>
      </c>
      <c r="L7" s="51">
        <f>COUNTIF('Indicator Map'!$B$11:$M$11, "*g*")</f>
        <v>2</v>
      </c>
      <c r="M7" s="52">
        <f t="shared" si="1"/>
        <v>3.3333333333333335</v>
      </c>
      <c r="O7" s="141"/>
      <c r="P7" s="138"/>
      <c r="Q7" s="138"/>
      <c r="R7" s="138"/>
      <c r="S7" s="138"/>
      <c r="T7" s="138"/>
      <c r="U7" s="138"/>
      <c r="V7" s="138"/>
    </row>
    <row r="8" spans="1:22" ht="17.25" thickTop="1" thickBot="1" x14ac:dyDescent="0.3">
      <c r="A8" s="2" t="s">
        <v>21</v>
      </c>
      <c r="B8" s="4" t="s">
        <v>10</v>
      </c>
      <c r="C8" s="68"/>
      <c r="E8" s="50" t="s">
        <v>22</v>
      </c>
      <c r="F8" s="51">
        <f>COUNTIF('Indicator Map'!$B$14:$K$14, "*a*")</f>
        <v>2</v>
      </c>
      <c r="G8" s="51">
        <f>COUNTIF('Indicator Map'!$B$14:$K$14, "*b*")</f>
        <v>2</v>
      </c>
      <c r="H8" s="51">
        <f>COUNTIF('Indicator Map'!$B$14:$K$14, "*c*")</f>
        <v>0</v>
      </c>
      <c r="I8" s="51">
        <f>COUNTIF('Indicator Map'!$B$14:$K$14, "*d*")</f>
        <v>6</v>
      </c>
      <c r="J8" s="51">
        <f>COUNTIF('Indicator Map'!$B$14:$K$14, "*e*")</f>
        <v>5</v>
      </c>
      <c r="K8" s="51">
        <f>COUNTIF('Indicator Map'!$B$14:$K$14, "*f*")</f>
        <v>2</v>
      </c>
      <c r="L8" s="51">
        <f>COUNTIF('Indicator Map'!$B$14:$K$14, "*g*")</f>
        <v>3</v>
      </c>
      <c r="M8" s="52">
        <f t="shared" si="1"/>
        <v>2.8333333333333335</v>
      </c>
      <c r="O8" s="138"/>
      <c r="P8" s="142"/>
      <c r="Q8" s="142"/>
      <c r="R8" s="142"/>
      <c r="S8" s="142"/>
      <c r="T8" s="142"/>
      <c r="U8" s="142"/>
      <c r="V8" s="142"/>
    </row>
    <row r="9" spans="1:22" ht="17.25" thickTop="1" thickBot="1" x14ac:dyDescent="0.3">
      <c r="A9" s="2" t="s">
        <v>23</v>
      </c>
      <c r="B9" s="4" t="s">
        <v>13</v>
      </c>
      <c r="C9" s="68"/>
      <c r="E9" s="76" t="s">
        <v>24</v>
      </c>
      <c r="F9" s="77">
        <f>COUNTIF('Indicator Map'!$B$17:$K$17, "*a*")</f>
        <v>3</v>
      </c>
      <c r="G9" s="77">
        <f>COUNTIF('Indicator Map'!$B$17:$K$17, "*b*")</f>
        <v>7</v>
      </c>
      <c r="H9" s="77">
        <f>COUNTIF('Indicator Map'!$B$17:$K$17, "*c*")</f>
        <v>0</v>
      </c>
      <c r="I9" s="77">
        <f>COUNTIF('Indicator Map'!$B$17:$K$17, "*d*")</f>
        <v>8</v>
      </c>
      <c r="J9" s="77">
        <f>COUNTIF('Indicator Map'!$B$17:$K$17, "*e*")</f>
        <v>5</v>
      </c>
      <c r="K9" s="77">
        <f>COUNTIF('Indicator Map'!$B$17:$K$17, "*f*")</f>
        <v>5</v>
      </c>
      <c r="L9" s="77">
        <f>COUNTIF('Indicator Map'!$B$17:$K$17, "*g*")</f>
        <v>2</v>
      </c>
      <c r="M9" s="78">
        <f t="shared" si="1"/>
        <v>4.666666666666667</v>
      </c>
      <c r="O9" s="138"/>
      <c r="P9" s="142"/>
      <c r="Q9" s="142"/>
      <c r="R9" s="142"/>
      <c r="S9" s="142"/>
      <c r="T9" s="142"/>
      <c r="U9" s="142"/>
      <c r="V9" s="142"/>
    </row>
    <row r="10" spans="1:22" ht="17.25" thickTop="1" thickBot="1" x14ac:dyDescent="0.3">
      <c r="A10" s="2" t="s">
        <v>25</v>
      </c>
      <c r="B10" s="4" t="s">
        <v>6</v>
      </c>
      <c r="C10" s="68"/>
      <c r="E10" s="83" t="s">
        <v>26</v>
      </c>
      <c r="F10" s="74" t="s">
        <v>10</v>
      </c>
      <c r="G10" s="74" t="s">
        <v>11</v>
      </c>
      <c r="H10" s="74" t="s">
        <v>4</v>
      </c>
      <c r="I10" s="74" t="s">
        <v>6</v>
      </c>
      <c r="J10" s="74" t="s">
        <v>12</v>
      </c>
      <c r="K10" s="74" t="s">
        <v>13</v>
      </c>
      <c r="L10" s="154" t="s">
        <v>9</v>
      </c>
      <c r="M10" s="75" t="s">
        <v>14</v>
      </c>
      <c r="O10" s="138"/>
      <c r="P10" s="142"/>
      <c r="Q10" s="142"/>
      <c r="R10" s="142"/>
      <c r="S10" s="142"/>
      <c r="T10" s="142"/>
      <c r="U10" s="142"/>
      <c r="V10" s="142"/>
    </row>
    <row r="11" spans="1:22" ht="17.25" thickTop="1" thickBot="1" x14ac:dyDescent="0.3">
      <c r="A11" s="2" t="s">
        <v>27</v>
      </c>
      <c r="B11" s="4" t="s">
        <v>13</v>
      </c>
      <c r="C11" s="68"/>
      <c r="E11" s="55" t="s">
        <v>28</v>
      </c>
      <c r="F11" s="79" t="e">
        <f>'2a'!L55</f>
        <v>#DIV/0!</v>
      </c>
      <c r="G11" s="79" t="e">
        <f>'2b'!AH55</f>
        <v>#DIV/0!</v>
      </c>
      <c r="H11" s="79" t="e">
        <f>'2c'!D55</f>
        <v>#DIV/0!</v>
      </c>
      <c r="I11" s="79" t="e">
        <f>'2d'!AS55</f>
        <v>#DIV/0!</v>
      </c>
      <c r="J11" s="79" t="e">
        <f>'2e'!O55</f>
        <v>#DIV/0!</v>
      </c>
      <c r="K11" s="79" t="e">
        <f>'2f'!M55</f>
        <v>#DIV/0!</v>
      </c>
      <c r="L11" s="79" t="e">
        <f>'2g'!I55</f>
        <v>#DIV/0!</v>
      </c>
      <c r="M11" s="91" t="e">
        <f>AVERAGE(F11:K11)</f>
        <v>#DIV/0!</v>
      </c>
      <c r="O11" s="138"/>
      <c r="P11" s="142"/>
      <c r="Q11" s="142"/>
      <c r="R11" s="142"/>
      <c r="S11" s="142"/>
      <c r="T11" s="142"/>
      <c r="U11" s="142"/>
      <c r="V11" s="142"/>
    </row>
    <row r="12" spans="1:22" ht="17.25" thickTop="1" thickBot="1" x14ac:dyDescent="0.3">
      <c r="A12" s="2" t="s">
        <v>29</v>
      </c>
      <c r="B12" s="4" t="s">
        <v>6</v>
      </c>
      <c r="C12" s="68"/>
      <c r="E12" s="56" t="s">
        <v>30</v>
      </c>
      <c r="F12" s="57" t="e">
        <f>'2a'!L56</f>
        <v>#DIV/0!</v>
      </c>
      <c r="G12" s="57" t="e">
        <f>'2b'!AH56</f>
        <v>#DIV/0!</v>
      </c>
      <c r="H12" s="57" t="e">
        <f>'2c'!D56</f>
        <v>#DIV/0!</v>
      </c>
      <c r="I12" s="57" t="e">
        <f>'2d'!AS56</f>
        <v>#DIV/0!</v>
      </c>
      <c r="J12" s="79" t="e">
        <f>'2e'!O56</f>
        <v>#DIV/0!</v>
      </c>
      <c r="K12" s="79" t="e">
        <f>'2f'!M56</f>
        <v>#DIV/0!</v>
      </c>
      <c r="L12" s="79" t="e">
        <f>'2g'!H56</f>
        <v>#DIV/0!</v>
      </c>
      <c r="M12" s="91" t="e">
        <f t="shared" ref="M12:M14" si="2">AVERAGE(F12:K12)</f>
        <v>#DIV/0!</v>
      </c>
      <c r="O12" s="138"/>
      <c r="P12" s="142"/>
      <c r="Q12" s="142"/>
      <c r="R12" s="142"/>
      <c r="S12" s="142"/>
      <c r="T12" s="142"/>
      <c r="U12" s="142"/>
      <c r="V12" s="142"/>
    </row>
    <row r="13" spans="1:22" ht="17.25" thickTop="1" thickBot="1" x14ac:dyDescent="0.3">
      <c r="A13" s="2" t="s">
        <v>31</v>
      </c>
      <c r="B13" s="4" t="s">
        <v>12</v>
      </c>
      <c r="C13" s="68"/>
      <c r="E13" s="56" t="s">
        <v>32</v>
      </c>
      <c r="F13" s="57" t="e">
        <f>'2a'!L57</f>
        <v>#DIV/0!</v>
      </c>
      <c r="G13" s="57" t="e">
        <f>'2b'!AH57</f>
        <v>#DIV/0!</v>
      </c>
      <c r="H13" s="57" t="e">
        <f>'2c'!D57</f>
        <v>#DIV/0!</v>
      </c>
      <c r="I13" s="57" t="e">
        <f>'2d'!AS57</f>
        <v>#DIV/0!</v>
      </c>
      <c r="J13" s="79" t="e">
        <f>'2e'!O57</f>
        <v>#DIV/0!</v>
      </c>
      <c r="K13" s="79" t="e">
        <f>'2f'!M57</f>
        <v>#DIV/0!</v>
      </c>
      <c r="L13" s="79" t="e">
        <f>'2g'!H57</f>
        <v>#DIV/0!</v>
      </c>
      <c r="M13" s="91" t="e">
        <f t="shared" si="2"/>
        <v>#DIV/0!</v>
      </c>
      <c r="O13" s="138"/>
      <c r="P13" s="142"/>
      <c r="Q13" s="142"/>
      <c r="R13" s="142"/>
      <c r="S13" s="142"/>
      <c r="T13" s="142"/>
      <c r="U13" s="142"/>
      <c r="V13" s="142"/>
    </row>
    <row r="14" spans="1:22" ht="17.25" thickTop="1" thickBot="1" x14ac:dyDescent="0.3">
      <c r="A14" s="2" t="s">
        <v>33</v>
      </c>
      <c r="B14" s="4" t="s">
        <v>9</v>
      </c>
      <c r="C14" s="68"/>
      <c r="E14" s="56" t="s">
        <v>34</v>
      </c>
      <c r="F14" s="57" t="e">
        <f>'2a'!L58</f>
        <v>#DIV/0!</v>
      </c>
      <c r="G14" s="57" t="e">
        <f>'2b'!AH58</f>
        <v>#DIV/0!</v>
      </c>
      <c r="H14" s="57" t="e">
        <f>'2c'!D58</f>
        <v>#DIV/0!</v>
      </c>
      <c r="I14" s="57" t="e">
        <f>'2d'!AS58</f>
        <v>#DIV/0!</v>
      </c>
      <c r="J14" s="79" t="e">
        <f>'2e'!O58</f>
        <v>#DIV/0!</v>
      </c>
      <c r="K14" s="79" t="e">
        <f>'2f'!M58</f>
        <v>#DIV/0!</v>
      </c>
      <c r="L14" s="79" t="e">
        <f>'2g'!H58</f>
        <v>#DIV/0!</v>
      </c>
      <c r="M14" s="91" t="e">
        <f t="shared" si="2"/>
        <v>#DIV/0!</v>
      </c>
      <c r="O14" s="138"/>
      <c r="P14" s="142"/>
      <c r="Q14" s="142"/>
      <c r="R14" s="142"/>
      <c r="S14" s="142"/>
      <c r="T14" s="142"/>
      <c r="U14" s="142"/>
      <c r="V14" s="142"/>
    </row>
    <row r="15" spans="1:22" ht="17.25" thickTop="1" thickBot="1" x14ac:dyDescent="0.3">
      <c r="A15" s="2" t="s">
        <v>35</v>
      </c>
      <c r="B15" s="3" t="s">
        <v>11</v>
      </c>
      <c r="C15" s="68"/>
      <c r="E15" s="50" t="s">
        <v>36</v>
      </c>
      <c r="F15" s="57" t="e">
        <f t="shared" ref="F15:L15" si="3">SUM(F13:F14)</f>
        <v>#DIV/0!</v>
      </c>
      <c r="G15" s="57" t="e">
        <f t="shared" si="3"/>
        <v>#DIV/0!</v>
      </c>
      <c r="H15" s="57" t="e">
        <f t="shared" si="3"/>
        <v>#DIV/0!</v>
      </c>
      <c r="I15" s="57" t="e">
        <f t="shared" si="3"/>
        <v>#DIV/0!</v>
      </c>
      <c r="J15" s="57" t="e">
        <f t="shared" si="3"/>
        <v>#DIV/0!</v>
      </c>
      <c r="K15" s="57" t="e">
        <f t="shared" si="3"/>
        <v>#DIV/0!</v>
      </c>
      <c r="L15" s="57" t="e">
        <f t="shared" si="3"/>
        <v>#DIV/0!</v>
      </c>
      <c r="M15" s="58" t="e">
        <f>AVERAGE(F15:K15)</f>
        <v>#DIV/0!</v>
      </c>
    </row>
    <row r="16" spans="1:22" ht="17.25" thickTop="1" thickBot="1" x14ac:dyDescent="0.3">
      <c r="A16" s="2" t="s">
        <v>37</v>
      </c>
      <c r="B16" s="3" t="s">
        <v>12</v>
      </c>
      <c r="C16" s="68"/>
      <c r="E16" s="56" t="s">
        <v>38</v>
      </c>
      <c r="F16" s="161" t="e">
        <f>'2a'!B44</f>
        <v>#DIV/0!</v>
      </c>
      <c r="G16" s="161" t="e">
        <f>'2b'!B44</f>
        <v>#DIV/0!</v>
      </c>
      <c r="H16" s="48" t="e">
        <f>'2c'!B44</f>
        <v>#DIV/0!</v>
      </c>
      <c r="I16" s="161" t="e">
        <f>'2d'!B44</f>
        <v>#DIV/0!</v>
      </c>
      <c r="J16" s="160" t="e">
        <f>'2e'!B44</f>
        <v>#DIV/0!</v>
      </c>
      <c r="K16" s="161" t="e">
        <f>'2f'!B44</f>
        <v>#DIV/0!</v>
      </c>
      <c r="L16" s="161" t="e">
        <f>'2g'!B44</f>
        <v>#DIV/0!</v>
      </c>
      <c r="M16" s="59" t="e">
        <f>AVERAGE(F16:K16)</f>
        <v>#DIV/0!</v>
      </c>
    </row>
    <row r="17" spans="1:14" ht="17.25" thickTop="1" thickBot="1" x14ac:dyDescent="0.3">
      <c r="A17" s="2" t="s">
        <v>39</v>
      </c>
      <c r="B17" s="3" t="s">
        <v>6</v>
      </c>
      <c r="C17" s="68"/>
      <c r="E17" s="82" t="s">
        <v>40</v>
      </c>
      <c r="F17" s="74" t="s">
        <v>10</v>
      </c>
      <c r="G17" s="74" t="s">
        <v>11</v>
      </c>
      <c r="H17" s="74" t="s">
        <v>4</v>
      </c>
      <c r="I17" s="74" t="s">
        <v>6</v>
      </c>
      <c r="J17" s="74" t="s">
        <v>12</v>
      </c>
      <c r="K17" s="74" t="s">
        <v>13</v>
      </c>
      <c r="L17" s="154" t="s">
        <v>9</v>
      </c>
      <c r="M17" s="75" t="s">
        <v>14</v>
      </c>
    </row>
    <row r="18" spans="1:14" ht="17.25" thickTop="1" thickBot="1" x14ac:dyDescent="0.3">
      <c r="A18" s="2" t="s">
        <v>41</v>
      </c>
      <c r="B18" s="3" t="s">
        <v>13</v>
      </c>
      <c r="C18" s="68"/>
      <c r="E18" s="55" t="s">
        <v>42</v>
      </c>
      <c r="F18" s="80" t="e">
        <f>'2a'!B51/'2a'!I51</f>
        <v>#DIV/0!</v>
      </c>
      <c r="G18" s="80" t="e">
        <f>'2b'!B51/'2b'!I51</f>
        <v>#DIV/0!</v>
      </c>
      <c r="H18" s="80" t="e">
        <f>'2c'!B51/'2c'!I51</f>
        <v>#DIV/0!</v>
      </c>
      <c r="I18" s="80" t="e">
        <f>'2d'!B51/'2d'!I51</f>
        <v>#DIV/0!</v>
      </c>
      <c r="J18" s="80" t="e">
        <f>'2e'!B51/'2e'!I51</f>
        <v>#DIV/0!</v>
      </c>
      <c r="K18" s="80" t="e">
        <f>'2f'!B51/'2f'!I51</f>
        <v>#DIV/0!</v>
      </c>
      <c r="L18" s="80" t="e">
        <f>'2g'!B51/'2g'!I51</f>
        <v>#DIV/0!</v>
      </c>
      <c r="M18" s="81" t="e">
        <f>AVERAGE(F18:K18)</f>
        <v>#DIV/0!</v>
      </c>
      <c r="N18" s="143"/>
    </row>
    <row r="19" spans="1:14" ht="17.25" thickTop="1" thickBot="1" x14ac:dyDescent="0.3">
      <c r="A19" s="2" t="s">
        <v>43</v>
      </c>
      <c r="B19" s="3" t="s">
        <v>6</v>
      </c>
      <c r="C19" s="68"/>
      <c r="E19" s="56" t="s">
        <v>44</v>
      </c>
      <c r="F19" s="60" t="e">
        <f>'2a'!C51/'2a'!I51</f>
        <v>#DIV/0!</v>
      </c>
      <c r="G19" s="80" t="e">
        <f>'2b'!C51/'2b'!I51</f>
        <v>#DIV/0!</v>
      </c>
      <c r="H19" s="60" t="e">
        <f>'2c'!C51/'2c'!I51</f>
        <v>#DIV/0!</v>
      </c>
      <c r="I19" s="60" t="e">
        <f>'2d'!C51/'2d'!I51</f>
        <v>#DIV/0!</v>
      </c>
      <c r="J19" s="60" t="e">
        <f>'2e'!C51/'2e'!I51</f>
        <v>#DIV/0!</v>
      </c>
      <c r="K19" s="60" t="e">
        <f>'2f'!C51/'2f'!I51</f>
        <v>#DIV/0!</v>
      </c>
      <c r="L19" s="60" t="e">
        <f>'2g'!C51/'2g'!I51</f>
        <v>#DIV/0!</v>
      </c>
      <c r="M19" s="61" t="e">
        <f t="shared" ref="M19:M24" si="4">AVERAGE(F19:K19)</f>
        <v>#DIV/0!</v>
      </c>
      <c r="N19" s="143"/>
    </row>
    <row r="20" spans="1:14" ht="17.25" thickTop="1" thickBot="1" x14ac:dyDescent="0.3">
      <c r="A20" s="2" t="s">
        <v>45</v>
      </c>
      <c r="B20" s="3" t="s">
        <v>12</v>
      </c>
      <c r="C20" s="68"/>
      <c r="E20" s="56" t="s">
        <v>46</v>
      </c>
      <c r="F20" s="60" t="e">
        <f>'2a'!D51/'2a'!I51</f>
        <v>#DIV/0!</v>
      </c>
      <c r="G20" s="80" t="e">
        <f>'2b'!D51/'2b'!I51</f>
        <v>#DIV/0!</v>
      </c>
      <c r="H20" s="60" t="e">
        <f>'2c'!D51/'2c'!I51</f>
        <v>#DIV/0!</v>
      </c>
      <c r="I20" s="60" t="e">
        <f>'2d'!D51/'2d'!I51</f>
        <v>#DIV/0!</v>
      </c>
      <c r="J20" s="60" t="e">
        <f>'2e'!D51/'2e'!I51</f>
        <v>#DIV/0!</v>
      </c>
      <c r="K20" s="60" t="e">
        <f>'2f'!D51/'2f'!I51</f>
        <v>#DIV/0!</v>
      </c>
      <c r="L20" s="60" t="e">
        <f>'2g'!D51/'2g'!I51</f>
        <v>#DIV/0!</v>
      </c>
      <c r="M20" s="61" t="e">
        <f t="shared" si="4"/>
        <v>#DIV/0!</v>
      </c>
      <c r="N20" s="143"/>
    </row>
    <row r="21" spans="1:14" ht="17.25" thickTop="1" thickBot="1" x14ac:dyDescent="0.3">
      <c r="A21" s="2" t="s">
        <v>47</v>
      </c>
      <c r="B21" s="3" t="s">
        <v>12</v>
      </c>
      <c r="C21" s="68"/>
      <c r="E21" s="56" t="s">
        <v>48</v>
      </c>
      <c r="F21" s="60" t="e">
        <f>'2a'!E51/'2a'!I51</f>
        <v>#DIV/0!</v>
      </c>
      <c r="G21" s="80" t="e">
        <f>'2b'!E51/'2b'!I51</f>
        <v>#DIV/0!</v>
      </c>
      <c r="H21" s="60" t="e">
        <f>'2c'!E51/'2c'!I51</f>
        <v>#DIV/0!</v>
      </c>
      <c r="I21" s="60" t="e">
        <f>'2d'!E51/'2d'!I51</f>
        <v>#DIV/0!</v>
      </c>
      <c r="J21" s="60" t="e">
        <f>'2e'!E51/'2e'!I51</f>
        <v>#DIV/0!</v>
      </c>
      <c r="K21" s="60" t="e">
        <f>'2f'!E51/'2f'!I51</f>
        <v>#DIV/0!</v>
      </c>
      <c r="L21" s="60" t="e">
        <f>'2g'!E51/'2g'!I51</f>
        <v>#DIV/0!</v>
      </c>
      <c r="M21" s="61" t="e">
        <f t="shared" si="4"/>
        <v>#DIV/0!</v>
      </c>
      <c r="N21" s="143"/>
    </row>
    <row r="22" spans="1:14" ht="17.25" thickTop="1" thickBot="1" x14ac:dyDescent="0.3">
      <c r="A22" s="2" t="s">
        <v>49</v>
      </c>
      <c r="B22" s="3" t="s">
        <v>6</v>
      </c>
      <c r="C22" s="68"/>
      <c r="E22" s="50" t="s">
        <v>50</v>
      </c>
      <c r="F22" s="60" t="e">
        <f>'2a'!F51/'2a'!I51</f>
        <v>#DIV/0!</v>
      </c>
      <c r="G22" s="80" t="e">
        <f>'2b'!F51/'2b'!I51</f>
        <v>#DIV/0!</v>
      </c>
      <c r="H22" s="60" t="e">
        <f>'2c'!F51/'2c'!I51</f>
        <v>#DIV/0!</v>
      </c>
      <c r="I22" s="60" t="e">
        <f>'2d'!F51/'2d'!I51</f>
        <v>#DIV/0!</v>
      </c>
      <c r="J22" s="60" t="e">
        <f>'2e'!F51/'2e'!I51</f>
        <v>#DIV/0!</v>
      </c>
      <c r="K22" s="60" t="e">
        <f>'2f'!F51/'2f'!I51</f>
        <v>#DIV/0!</v>
      </c>
      <c r="L22" s="60" t="e">
        <f>'2g'!F51/'2g'!I51</f>
        <v>#DIV/0!</v>
      </c>
      <c r="M22" s="61" t="e">
        <f t="shared" si="4"/>
        <v>#DIV/0!</v>
      </c>
      <c r="N22" s="143"/>
    </row>
    <row r="23" spans="1:14" ht="17.25" thickTop="1" thickBot="1" x14ac:dyDescent="0.3">
      <c r="A23" s="2" t="s">
        <v>51</v>
      </c>
      <c r="B23" s="4" t="s">
        <v>10</v>
      </c>
      <c r="C23" s="68"/>
      <c r="E23" s="50" t="s">
        <v>52</v>
      </c>
      <c r="F23" s="60" t="e">
        <f>'2a'!G51/'2a'!I51</f>
        <v>#DIV/0!</v>
      </c>
      <c r="G23" s="80" t="e">
        <f>'2b'!G51/'2b'!I51</f>
        <v>#DIV/0!</v>
      </c>
      <c r="H23" s="60" t="e">
        <f>'2c'!G51/'2c'!I51</f>
        <v>#DIV/0!</v>
      </c>
      <c r="I23" s="60" t="e">
        <f>'2d'!G51/'2d'!I51</f>
        <v>#DIV/0!</v>
      </c>
      <c r="J23" s="60" t="e">
        <f>'2e'!G51/'2e'!I51</f>
        <v>#DIV/0!</v>
      </c>
      <c r="K23" s="60" t="e">
        <f>'2f'!G51/'2f'!I51</f>
        <v>#DIV/0!</v>
      </c>
      <c r="L23" s="60" t="e">
        <f>'2g'!G51/'2g'!I51</f>
        <v>#DIV/0!</v>
      </c>
      <c r="M23" s="61" t="e">
        <f t="shared" si="4"/>
        <v>#DIV/0!</v>
      </c>
      <c r="N23" s="143"/>
    </row>
    <row r="24" spans="1:14" ht="17.25" thickTop="1" thickBot="1" x14ac:dyDescent="0.3">
      <c r="A24" s="2" t="s">
        <v>53</v>
      </c>
      <c r="B24" s="4" t="s">
        <v>12</v>
      </c>
      <c r="C24" s="68"/>
      <c r="E24" s="56" t="s">
        <v>54</v>
      </c>
      <c r="F24" s="60" t="e">
        <f>'2a'!H51/'2a'!I51</f>
        <v>#DIV/0!</v>
      </c>
      <c r="G24" s="80" t="e">
        <f>'2b'!H51/'2b'!I51</f>
        <v>#DIV/0!</v>
      </c>
      <c r="H24" s="60" t="e">
        <f>'2c'!H51/'2c'!I51</f>
        <v>#DIV/0!</v>
      </c>
      <c r="I24" s="60" t="e">
        <f>'2d'!H51/'2d'!I51</f>
        <v>#DIV/0!</v>
      </c>
      <c r="J24" s="60" t="e">
        <f>'2e'!H51/'2e'!I51</f>
        <v>#DIV/0!</v>
      </c>
      <c r="K24" s="60" t="e">
        <f>'2f'!H51/'2f'!I51</f>
        <v>#DIV/0!</v>
      </c>
      <c r="L24" s="60" t="e">
        <f>'2g'!H51/'2g'!I51</f>
        <v>#DIV/0!</v>
      </c>
      <c r="M24" s="61" t="e">
        <f t="shared" si="4"/>
        <v>#DIV/0!</v>
      </c>
      <c r="N24" s="143"/>
    </row>
    <row r="25" spans="1:14" ht="17.25" thickTop="1" thickBot="1" x14ac:dyDescent="0.3">
      <c r="A25" s="2" t="s">
        <v>55</v>
      </c>
      <c r="B25" s="4" t="s">
        <v>9</v>
      </c>
      <c r="C25" s="68"/>
      <c r="M25" s="145"/>
      <c r="N25" s="143"/>
    </row>
    <row r="26" spans="1:14" ht="17.25" thickTop="1" thickBot="1" x14ac:dyDescent="0.3">
      <c r="A26" s="2" t="s">
        <v>56</v>
      </c>
      <c r="B26" s="4" t="s">
        <v>11</v>
      </c>
      <c r="C26" s="68"/>
      <c r="E26" s="143"/>
      <c r="F26" s="143"/>
      <c r="G26" s="143"/>
      <c r="H26" s="143"/>
      <c r="I26" s="143"/>
      <c r="J26" s="143"/>
      <c r="K26" s="143"/>
      <c r="L26" s="143"/>
      <c r="M26" s="143"/>
      <c r="N26" s="143"/>
    </row>
    <row r="27" spans="1:14" ht="17.25" thickTop="1" thickBot="1" x14ac:dyDescent="0.3">
      <c r="A27" s="2" t="s">
        <v>57</v>
      </c>
      <c r="B27" s="4" t="s">
        <v>13</v>
      </c>
      <c r="C27" s="68"/>
      <c r="F27" s="143"/>
      <c r="H27" s="143"/>
      <c r="I27" s="143"/>
      <c r="J27" s="143"/>
      <c r="K27" s="143"/>
      <c r="L27" s="143"/>
      <c r="M27" s="143"/>
      <c r="N27" s="143"/>
    </row>
    <row r="28" spans="1:14" ht="17.25" thickTop="1" thickBot="1" x14ac:dyDescent="0.3">
      <c r="A28" s="2" t="s">
        <v>58</v>
      </c>
      <c r="B28" s="4" t="s">
        <v>6</v>
      </c>
      <c r="D28" s="163" t="s">
        <v>59</v>
      </c>
      <c r="E28" s="164" t="s">
        <v>60</v>
      </c>
      <c r="F28" s="74" t="s">
        <v>10</v>
      </c>
      <c r="G28" s="74" t="s">
        <v>11</v>
      </c>
      <c r="H28" s="74" t="s">
        <v>4</v>
      </c>
      <c r="I28" s="74" t="s">
        <v>6</v>
      </c>
      <c r="J28" s="74" t="s">
        <v>12</v>
      </c>
      <c r="K28" s="74" t="s">
        <v>13</v>
      </c>
      <c r="L28" s="154" t="s">
        <v>9</v>
      </c>
      <c r="M28" s="165" t="s">
        <v>61</v>
      </c>
    </row>
    <row r="29" spans="1:14" ht="17.25" thickTop="1" thickBot="1" x14ac:dyDescent="0.3">
      <c r="A29" s="2" t="s">
        <v>62</v>
      </c>
      <c r="B29" s="4" t="s">
        <v>10</v>
      </c>
      <c r="D29" s="67">
        <f>COUNTIF(A:A, "CENG-2010*")</f>
        <v>3</v>
      </c>
      <c r="E29" s="67" t="s">
        <v>63</v>
      </c>
      <c r="F29" s="53">
        <f>COUNTIF('2a'!B1:K1, "CENG-2010*")</f>
        <v>0</v>
      </c>
      <c r="G29" s="53">
        <f>COUNTIF('2b'!$B$1:$AG$1, "CENG-2010*")</f>
        <v>0</v>
      </c>
      <c r="H29" s="53">
        <f>COUNTIF('2c'!B1:C1, "CENG-2010*")</f>
        <v>1</v>
      </c>
      <c r="I29" s="53">
        <f>COUNTIF('2d'!B1:AR1, "CENG-2010*")</f>
        <v>1</v>
      </c>
      <c r="J29" s="162">
        <f>COUNTIFS('2e'!B1:N1, "CENG-2010*")</f>
        <v>0</v>
      </c>
      <c r="K29" s="53">
        <f>COUNTIF('2f'!B1:L1, "CENG-2010*")</f>
        <v>0</v>
      </c>
      <c r="L29" s="53">
        <f>COUNTIF('2g'!B1:H1, "CENG-2010*")</f>
        <v>1</v>
      </c>
      <c r="M29" s="54">
        <f>SUM(F29:L29)</f>
        <v>3</v>
      </c>
    </row>
    <row r="30" spans="1:14" ht="17.25" thickTop="1" thickBot="1" x14ac:dyDescent="0.3">
      <c r="A30" s="2" t="s">
        <v>64</v>
      </c>
      <c r="B30" s="4" t="s">
        <v>6</v>
      </c>
      <c r="D30" s="62">
        <f>COUNTIF(A:A, "CENG-2030*")</f>
        <v>5</v>
      </c>
      <c r="E30" s="62" t="s">
        <v>65</v>
      </c>
      <c r="F30" s="48">
        <f>COUNTIF('2a'!B1:K1, "CENG-2030*")</f>
        <v>1</v>
      </c>
      <c r="G30" s="48">
        <f>COUNTIF('2b'!$B$1:$AG$1, "CENG-2030*")</f>
        <v>1</v>
      </c>
      <c r="H30" s="48">
        <f>COUNTIF('2c'!$B$1:$C$1, "CENG-2030*")</f>
        <v>0</v>
      </c>
      <c r="I30" s="48">
        <f>COUNTIF('2d'!$B$1:$AR$1, "CENG-2030*")</f>
        <v>2</v>
      </c>
      <c r="J30" s="84">
        <f>COUNTIFS('2e'!$B$1:$N$1, "CENG-2030*")</f>
        <v>0</v>
      </c>
      <c r="K30" s="48">
        <f>COUNTIF('2f'!$B$1:$L$1, "CENG-2030*")</f>
        <v>1</v>
      </c>
      <c r="L30" s="48">
        <f>COUNTIF('2g'!B1:H1, "CENG-2030*")</f>
        <v>0</v>
      </c>
      <c r="M30" s="49">
        <f t="shared" ref="M30:M31" si="5">SUM(F30:L30)</f>
        <v>5</v>
      </c>
    </row>
    <row r="31" spans="1:14" ht="17.25" thickTop="1" thickBot="1" x14ac:dyDescent="0.3">
      <c r="A31" s="2" t="s">
        <v>66</v>
      </c>
      <c r="B31" s="4" t="s">
        <v>6</v>
      </c>
      <c r="D31" s="62">
        <f>COUNTIF(A:A, "CENG-3010*")</f>
        <v>5</v>
      </c>
      <c r="E31" s="62" t="s">
        <v>67</v>
      </c>
      <c r="F31" s="48">
        <f>COUNTIF('2a'!B1:K1, "CENG-3010*")</f>
        <v>0</v>
      </c>
      <c r="G31" s="48">
        <f>COUNTIF('2b'!$B$1:$AG$1, "CENG-3010*")</f>
        <v>0</v>
      </c>
      <c r="H31" s="48">
        <f>COUNTIF('2c'!$B$1:$C$1, "CENG-3010*")</f>
        <v>0</v>
      </c>
      <c r="I31" s="48">
        <f>COUNTIF('2d'!$B$1:$AR$1, "CENG-3010*")</f>
        <v>2</v>
      </c>
      <c r="J31" s="84">
        <f>COUNTIFS('2e'!$B$1:$N$1, "CENG-3010*")</f>
        <v>1</v>
      </c>
      <c r="K31" s="48">
        <f>COUNTIF('2f'!$B$1:$L$1, "CENG-3010*")</f>
        <v>1</v>
      </c>
      <c r="L31" s="48">
        <f>COUNTIF('2g'!B1:H1, "CENG-3010*")</f>
        <v>1</v>
      </c>
      <c r="M31" s="49">
        <f t="shared" si="5"/>
        <v>5</v>
      </c>
    </row>
    <row r="32" spans="1:14" ht="17.25" thickTop="1" thickBot="1" x14ac:dyDescent="0.3">
      <c r="A32" s="2" t="s">
        <v>68</v>
      </c>
      <c r="B32" s="3" t="s">
        <v>9</v>
      </c>
      <c r="D32" s="62">
        <f>COUNTIF(A:A, "CENG-3020*")</f>
        <v>4</v>
      </c>
      <c r="E32" s="62" t="s">
        <v>69</v>
      </c>
      <c r="F32" s="48">
        <f>COUNTIF('2a'!B2:K2, "CENG 3020*")</f>
        <v>0</v>
      </c>
      <c r="G32" s="48">
        <f>COUNTIF('2b'!$B$1:$AG$1, "CENG-3020*")</f>
        <v>1</v>
      </c>
      <c r="H32" s="48">
        <f>COUNTIF('2c'!$B$1:$C$1, "CENG-3020*")</f>
        <v>0</v>
      </c>
      <c r="I32" s="48">
        <f>COUNTIF('2d'!$B$1:$AR$1, "CENG-3020*")</f>
        <v>1</v>
      </c>
      <c r="J32" s="84">
        <f>COUNTIFS('2e'!$B$1:$N$1, "CENG-3020*")</f>
        <v>1</v>
      </c>
      <c r="K32" s="48">
        <f>COUNTIF('2f'!$B$1:$L$1, "CENG-3020*")</f>
        <v>1</v>
      </c>
      <c r="L32" s="48">
        <f>COUNTIF('2g'!B2:H2, "CENG-3020*")</f>
        <v>0</v>
      </c>
      <c r="M32" s="49">
        <f t="shared" ref="M32" si="6">SUM(F32:L32)</f>
        <v>4</v>
      </c>
    </row>
    <row r="33" spans="1:13" ht="17.25" thickTop="1" thickBot="1" x14ac:dyDescent="0.3">
      <c r="A33" s="2" t="s">
        <v>70</v>
      </c>
      <c r="B33" s="3" t="s">
        <v>11</v>
      </c>
      <c r="D33" s="62">
        <f>COUNTIF(A:A, "CENG-3310*")</f>
        <v>4</v>
      </c>
      <c r="E33" s="62" t="s">
        <v>71</v>
      </c>
      <c r="F33" s="48">
        <f>COUNTIF('2a'!B1:K1, "CENG-3310*")</f>
        <v>0</v>
      </c>
      <c r="G33" s="48">
        <f>COUNTIF('2b'!$B$1:$AG$1, "CENG-3310*")</f>
        <v>0</v>
      </c>
      <c r="H33" s="48">
        <f>COUNTIF('2c'!$B$1:$C$1, "CENG-3310*")</f>
        <v>0</v>
      </c>
      <c r="I33" s="48">
        <f>COUNTIF('2d'!$B$1:$AR$1, "CENG-3310*")</f>
        <v>2</v>
      </c>
      <c r="J33" s="85">
        <f>COUNTIFS('2e'!$B$1:$N$1, "CENG-3310*")</f>
        <v>2</v>
      </c>
      <c r="K33" s="48">
        <f>COUNTIF('2f'!$B$1:$L$1, "CENG-3310*")</f>
        <v>0</v>
      </c>
      <c r="L33" s="48">
        <f>COUNTIF('2g'!B1:H1, "CENG-3310*")</f>
        <v>0</v>
      </c>
      <c r="M33" s="49">
        <f t="shared" ref="M33:M39" si="7">SUM(F33:L33)</f>
        <v>4</v>
      </c>
    </row>
    <row r="34" spans="1:13" ht="17.25" thickTop="1" thickBot="1" x14ac:dyDescent="0.3">
      <c r="A34" s="2" t="s">
        <v>72</v>
      </c>
      <c r="B34" s="3" t="s">
        <v>6</v>
      </c>
      <c r="D34" s="62">
        <f>COUNTIF(A:A, "CENG-4320*")</f>
        <v>0</v>
      </c>
      <c r="E34" s="62" t="s">
        <v>73</v>
      </c>
      <c r="F34" s="48">
        <f>COUNTIF('2a'!B1:K1, "CENG-4320*")</f>
        <v>0</v>
      </c>
      <c r="G34" s="48">
        <f>COUNTIF('2b'!$B$1:$AG$1, "CENG-4320*")</f>
        <v>0</v>
      </c>
      <c r="H34" s="48">
        <f>COUNTIF('2c'!$B$1:$C$1, "CENG-4320*")</f>
        <v>0</v>
      </c>
      <c r="I34" s="48">
        <f>COUNTIF('2d'!$B$1:$AR$1, "CENG-4320*")</f>
        <v>0</v>
      </c>
      <c r="J34" s="85">
        <f>COUNTIFS('2e'!$B$1:$N$1, "CENG-4320*")</f>
        <v>0</v>
      </c>
      <c r="K34" s="48">
        <f>COUNTIF('2f'!$B$1:$L$1, "CENG-4320*")</f>
        <v>0</v>
      </c>
      <c r="L34" s="48">
        <f>COUNTIF('2g'!B1:H1, "CENG-4320*")</f>
        <v>0</v>
      </c>
      <c r="M34" s="49">
        <f t="shared" si="7"/>
        <v>0</v>
      </c>
    </row>
    <row r="35" spans="1:13" ht="17.25" thickTop="1" thickBot="1" x14ac:dyDescent="0.3">
      <c r="A35" s="2" t="s">
        <v>74</v>
      </c>
      <c r="B35" s="3" t="s">
        <v>13</v>
      </c>
      <c r="D35" s="62">
        <f>COUNTIF(A:A, "CHEM-1520*")</f>
        <v>0</v>
      </c>
      <c r="E35" s="62" t="s">
        <v>75</v>
      </c>
      <c r="F35" s="48">
        <f>COUNTIF('2a'!B1:K1, "CHEM-1520*")</f>
        <v>0</v>
      </c>
      <c r="G35" s="48">
        <f>COUNTIF('2b'!$B$1:$AG$1, "CHEM-1520*")</f>
        <v>0</v>
      </c>
      <c r="H35" s="48">
        <f>COUNTIF('2c'!$B$1:$C$1, "CHEM-1520*")</f>
        <v>0</v>
      </c>
      <c r="I35" s="48">
        <f>COUNTIF('2d'!$B$1:$AR$1, "CHEM-1520*")</f>
        <v>0</v>
      </c>
      <c r="J35" s="85">
        <f>COUNTIFS('2e'!$B$1:$N$1, "CHEM-1520*")</f>
        <v>0</v>
      </c>
      <c r="K35" s="48">
        <f>COUNTIF('2f'!$B$1:$L$1, "CHEM-1520*")</f>
        <v>0</v>
      </c>
      <c r="L35" s="48">
        <f>COUNTIF('2g'!B1:H1, "CHEM-1520*")</f>
        <v>0</v>
      </c>
      <c r="M35" s="49">
        <f t="shared" si="7"/>
        <v>0</v>
      </c>
    </row>
    <row r="36" spans="1:13" ht="17.25" thickTop="1" thickBot="1" x14ac:dyDescent="0.3">
      <c r="A36" s="2" t="s">
        <v>76</v>
      </c>
      <c r="B36" s="3" t="s">
        <v>12</v>
      </c>
      <c r="D36" s="62">
        <f>COUNTIF(A:A, "CMNS-1290*")</f>
        <v>0</v>
      </c>
      <c r="E36" s="62" t="s">
        <v>77</v>
      </c>
      <c r="F36" s="48">
        <f>COUNTIF('2a'!B2:K2, "CMNS-1290*")</f>
        <v>0</v>
      </c>
      <c r="G36" s="48">
        <f>COUNTIF('2b'!$B$1:$AG$1, "CMNS-1290*")</f>
        <v>0</v>
      </c>
      <c r="H36" s="48">
        <f>COUNTIF('2c'!$B$1:$C$1, "CMNS-1290*")</f>
        <v>0</v>
      </c>
      <c r="I36" s="48">
        <f>COUNTIF('2d'!$B$1:$AR$1, "CMNS -290*")</f>
        <v>0</v>
      </c>
      <c r="J36" s="85">
        <f>COUNTIFS('2e'!$B$1:$N$1, "CMNS-1290*")</f>
        <v>0</v>
      </c>
      <c r="K36" s="48">
        <f>COUNTIF('2f'!$B$1:$L$1, "CMNS-1290*")</f>
        <v>0</v>
      </c>
      <c r="L36" s="48">
        <f>COUNTIF('2g'!B2:H2, "CMNS-1290*")</f>
        <v>0</v>
      </c>
      <c r="M36" s="49">
        <f t="shared" si="7"/>
        <v>0</v>
      </c>
    </row>
    <row r="37" spans="1:13" ht="17.25" thickTop="1" thickBot="1" x14ac:dyDescent="0.3">
      <c r="A37" s="2" t="s">
        <v>78</v>
      </c>
      <c r="B37" s="4" t="s">
        <v>11</v>
      </c>
      <c r="D37" s="62">
        <f>COUNTIF(A:A, "COMP-3410*")</f>
        <v>3</v>
      </c>
      <c r="E37" s="62" t="s">
        <v>79</v>
      </c>
      <c r="F37" s="48">
        <f>COUNTIF('2a'!B1:K1, "COMP-3410*")</f>
        <v>1</v>
      </c>
      <c r="G37" s="48">
        <f>COUNTIF('2b'!$B$1:$AG$1, "COMP-3410*")</f>
        <v>0</v>
      </c>
      <c r="H37" s="48">
        <f>COUNTIF('2c'!$B$1:$C$1, "COMP-3410*")</f>
        <v>0</v>
      </c>
      <c r="I37" s="48">
        <f>COUNTIF('2d'!$B$1:$AR$1, "COMP-3410*")</f>
        <v>0</v>
      </c>
      <c r="J37" s="85">
        <f>COUNTIFS('2e'!$B$1:$N$1, "COMP-3410*")</f>
        <v>1</v>
      </c>
      <c r="K37" s="48">
        <f>COUNTIF('2f'!$B$1:$L$1, "COMP-3410*")</f>
        <v>0</v>
      </c>
      <c r="L37" s="48">
        <f>COUNTIF('2g'!B1:H1, "COMP-3410*")</f>
        <v>1</v>
      </c>
      <c r="M37" s="49">
        <f t="shared" si="7"/>
        <v>3</v>
      </c>
    </row>
    <row r="38" spans="1:13" ht="17.25" thickTop="1" thickBot="1" x14ac:dyDescent="0.3">
      <c r="A38" s="2" t="s">
        <v>80</v>
      </c>
      <c r="B38" s="4" t="s">
        <v>6</v>
      </c>
      <c r="D38" s="62">
        <f>COUNTIF(A:A, "COMP-3610*")</f>
        <v>3</v>
      </c>
      <c r="E38" s="62" t="s">
        <v>81</v>
      </c>
      <c r="F38" s="48">
        <f>COUNTIF('2a'!$B$1:$K$1, "COMP-3610*")</f>
        <v>0</v>
      </c>
      <c r="G38" s="48">
        <f>COUNTIF('2b'!$B$1:$AG$1, "COMP-3610*")</f>
        <v>1</v>
      </c>
      <c r="H38" s="48">
        <f>COUNTIF('2c'!$B$1:$C$1, "COMP-3610*")</f>
        <v>0</v>
      </c>
      <c r="I38" s="48">
        <f>COUNTIF('2d'!$B$1:$AR$1, "COMP-3610*")</f>
        <v>1</v>
      </c>
      <c r="J38" s="85">
        <f>COUNTIFS('2e'!$B$1:$N$1, "COMP-3610*")</f>
        <v>0</v>
      </c>
      <c r="K38" s="48">
        <f>COUNTIF('2f'!$B$1:$L$1, "COMP-3610*")</f>
        <v>1</v>
      </c>
      <c r="L38" s="48">
        <f>COUNTIF('2g'!B1:H1, "COMP-3610*")</f>
        <v>0</v>
      </c>
      <c r="M38" s="49">
        <f t="shared" si="7"/>
        <v>3</v>
      </c>
    </row>
    <row r="39" spans="1:13" ht="17.25" thickTop="1" thickBot="1" x14ac:dyDescent="0.3">
      <c r="A39" s="2" t="s">
        <v>82</v>
      </c>
      <c r="B39" s="4" t="s">
        <v>6</v>
      </c>
      <c r="D39" s="62">
        <f>COUNTIF(A:A, "EENG-3010*")</f>
        <v>3</v>
      </c>
      <c r="E39" s="62" t="s">
        <v>83</v>
      </c>
      <c r="F39" s="48">
        <f>COUNTIF('2a'!B1:K1, "EENG-3010*")</f>
        <v>1</v>
      </c>
      <c r="G39" s="48">
        <f>COUNTIF('2b'!$B$1:$AG$1, "EENG-3010*")</f>
        <v>0</v>
      </c>
      <c r="H39" s="48">
        <f>COUNTIF('2c'!$B$1:$C$1, "EENG-3010*")</f>
        <v>0</v>
      </c>
      <c r="I39" s="48">
        <f>COUNTIF('2d'!$B$1:$AR$1, "EENG-3010*")</f>
        <v>2</v>
      </c>
      <c r="J39" s="85">
        <f>COUNTIFS('2e'!$B$1:$N$1, "EENG-3010*")</f>
        <v>0</v>
      </c>
      <c r="K39" s="48">
        <f>COUNTIF('2f'!$B$1:$L$1, "EENG-3010*")</f>
        <v>0</v>
      </c>
      <c r="L39" s="48">
        <f>COUNTIF('2g'!B1:H1, "EENG-3010*")</f>
        <v>0</v>
      </c>
      <c r="M39" s="49">
        <f t="shared" si="7"/>
        <v>3</v>
      </c>
    </row>
    <row r="40" spans="1:13" ht="17.25" thickTop="1" thickBot="1" x14ac:dyDescent="0.3">
      <c r="A40" s="2" t="s">
        <v>84</v>
      </c>
      <c r="B40" s="4" t="s">
        <v>11</v>
      </c>
      <c r="D40" s="62">
        <f>COUNTIF(A:A, "ENGL-1100*")</f>
        <v>0</v>
      </c>
      <c r="E40" s="62" t="s">
        <v>85</v>
      </c>
      <c r="F40" s="48">
        <f>COUNTIF('2a'!B1:K1, "ENGL-1100*")</f>
        <v>0</v>
      </c>
      <c r="G40" s="48">
        <f>COUNTIF('2b'!$B$1:$AG$1, "ENGL-1100*")</f>
        <v>0</v>
      </c>
      <c r="H40" s="48">
        <f>COUNTIF('2c'!$B$1:$C$1, "ENGL-1100*")</f>
        <v>0</v>
      </c>
      <c r="I40" s="48">
        <f>COUNTIF('2d'!$B$1:$AR$1, "ENGL-1100*")</f>
        <v>0</v>
      </c>
      <c r="J40" s="85">
        <f>COUNTIFS('2e'!$B$1:$N$1, "ENGL-1100*")</f>
        <v>0</v>
      </c>
      <c r="K40" s="48">
        <f>COUNTIF('2f'!$B$1:$L$1, "ENGL-1100*")</f>
        <v>0</v>
      </c>
      <c r="L40" s="48">
        <f>COUNTIF('2g'!B2:H2, "ENGL-1100*")</f>
        <v>0</v>
      </c>
      <c r="M40" s="49">
        <f t="shared" ref="M40:M47" si="8">SUM(F40:L40)</f>
        <v>0</v>
      </c>
    </row>
    <row r="41" spans="1:13" ht="17.25" thickTop="1" thickBot="1" x14ac:dyDescent="0.3">
      <c r="A41" s="2" t="s">
        <v>86</v>
      </c>
      <c r="B41" s="4" t="s">
        <v>6</v>
      </c>
      <c r="D41" s="62">
        <f>COUNTIF(A:A, "ENGR-1100*")</f>
        <v>0</v>
      </c>
      <c r="E41" s="62" t="s">
        <v>87</v>
      </c>
      <c r="F41" s="48">
        <f>COUNTIF('2a'!B1:K1, "ENGR-1100*")</f>
        <v>0</v>
      </c>
      <c r="G41" s="48">
        <f>COUNTIF('2b'!$B$1:$AG$1, "ENGR-1100*")</f>
        <v>0</v>
      </c>
      <c r="H41" s="48">
        <f>COUNTIF('2c'!$B$1:$C$1, "ENGR-1100*")</f>
        <v>0</v>
      </c>
      <c r="I41" s="48">
        <f>COUNTIF('2d'!$B$1:$AR$1, "ENGR-1100*")</f>
        <v>0</v>
      </c>
      <c r="J41" s="85">
        <f>COUNTIFS('2e'!$B$1:$N$1, "ENGR-1100*")</f>
        <v>0</v>
      </c>
      <c r="K41" s="48">
        <f>COUNTIF('2f'!$B$1:$L$1, "ENGR-1100*")</f>
        <v>0</v>
      </c>
      <c r="L41" s="48">
        <f>COUNTIF('2g'!B1:H1, "ENGR-1100*")</f>
        <v>0</v>
      </c>
      <c r="M41" s="49">
        <f t="shared" si="8"/>
        <v>0</v>
      </c>
    </row>
    <row r="42" spans="1:13" ht="17.25" thickTop="1" thickBot="1" x14ac:dyDescent="0.3">
      <c r="A42" s="2" t="s">
        <v>88</v>
      </c>
      <c r="B42" s="4" t="s">
        <v>6</v>
      </c>
      <c r="D42" s="62">
        <f>COUNTIF(A:A, "ENGR-1200*")</f>
        <v>0</v>
      </c>
      <c r="E42" s="62" t="s">
        <v>89</v>
      </c>
      <c r="F42" s="48">
        <f>COUNTIF('2a'!B1:K1, "ENGR-1200*")</f>
        <v>0</v>
      </c>
      <c r="G42" s="48">
        <f>COUNTIF('2b'!$B$1:$AG$1, "ENGR-1200*")</f>
        <v>0</v>
      </c>
      <c r="H42" s="48">
        <f>COUNTIF('2c'!$B$1:$C$1, "ENGR-1200*")</f>
        <v>0</v>
      </c>
      <c r="I42" s="48">
        <f>COUNTIF('2d'!$B$1:$AR$1, "ENGR-1200*")</f>
        <v>0</v>
      </c>
      <c r="J42" s="85">
        <f>COUNTIFS('2e'!$B$1:$N$1, "ENGR-1200*")</f>
        <v>0</v>
      </c>
      <c r="K42" s="48">
        <f>COUNTIF('2f'!$B$1:$L$1, "ENGR-1200*")</f>
        <v>0</v>
      </c>
      <c r="L42" s="48">
        <f>COUNTIF('2g'!B1:H1, "ENGR-1200*")</f>
        <v>0</v>
      </c>
      <c r="M42" s="49">
        <f t="shared" si="8"/>
        <v>0</v>
      </c>
    </row>
    <row r="43" spans="1:13" ht="17.25" thickTop="1" thickBot="1" x14ac:dyDescent="0.3">
      <c r="A43" s="2" t="s">
        <v>90</v>
      </c>
      <c r="B43" s="4" t="s">
        <v>6</v>
      </c>
      <c r="D43" s="62">
        <f>COUNTIF(A:A, "ENGR-2000*")</f>
        <v>5</v>
      </c>
      <c r="E43" s="62" t="s">
        <v>91</v>
      </c>
      <c r="F43" s="48">
        <f>COUNTIF('2a'!B1:K1, "ENGR-2000*")</f>
        <v>0</v>
      </c>
      <c r="G43" s="48">
        <f>COUNTIF('2b'!$B$1:$AG$1, "ENGR-2000*")</f>
        <v>1</v>
      </c>
      <c r="H43" s="48">
        <f>COUNTIF('2c'!$B$1:$C$1, "ENGR-2000*")</f>
        <v>0</v>
      </c>
      <c r="I43" s="48">
        <f>COUNTIF('2d'!$B$1:$AR$1, "ENGR-2000*")</f>
        <v>1</v>
      </c>
      <c r="J43" s="85">
        <f>COUNTIFS('2e'!$B$1:$N$1, "ENGR-2000*")</f>
        <v>1</v>
      </c>
      <c r="K43" s="48">
        <f>COUNTIF('2f'!$B$1:$L$1, "ENGR-2000*")</f>
        <v>1</v>
      </c>
      <c r="L43" s="48">
        <f>COUNTIF('2g'!B1:H1, "ENGR-2000*")</f>
        <v>1</v>
      </c>
      <c r="M43" s="49">
        <f t="shared" si="8"/>
        <v>5</v>
      </c>
    </row>
    <row r="44" spans="1:13" ht="17.25" thickTop="1" thickBot="1" x14ac:dyDescent="0.3">
      <c r="A44" s="2" t="s">
        <v>92</v>
      </c>
      <c r="B44" s="4" t="s">
        <v>6</v>
      </c>
      <c r="D44" s="62">
        <f>COUNTIF(A:A, "ENGR-2200*")</f>
        <v>0</v>
      </c>
      <c r="E44" s="62" t="s">
        <v>93</v>
      </c>
      <c r="F44" s="48">
        <f>COUNTIF('2a'!B1:K1, "ENGR-2200*")</f>
        <v>0</v>
      </c>
      <c r="G44" s="48">
        <f>COUNTIF('2b'!$B$1:$AG$1, "ENGR-2200*")</f>
        <v>0</v>
      </c>
      <c r="H44" s="48">
        <f>COUNTIF('2c'!$B$1:$C$1, "ENGR-2200*")</f>
        <v>0</v>
      </c>
      <c r="I44" s="48">
        <f>COUNTIF('2d'!$B$1:$AR$1, "ENGR-2200*")</f>
        <v>0</v>
      </c>
      <c r="J44" s="85">
        <f>COUNTIFS('2e'!$B$1:$N$1, "ENGR-2200*")</f>
        <v>0</v>
      </c>
      <c r="K44" s="48">
        <f>COUNTIF('2f'!$B$1:$L$1, "ENGR-2200*")</f>
        <v>0</v>
      </c>
      <c r="L44" s="48">
        <f>COUNTIF('2g'!B1:H1, "ENGR-2200*")</f>
        <v>0</v>
      </c>
      <c r="M44" s="49">
        <f t="shared" si="8"/>
        <v>0</v>
      </c>
    </row>
    <row r="45" spans="1:13" ht="17.25" thickTop="1" thickBot="1" x14ac:dyDescent="0.3">
      <c r="A45" s="2" t="s">
        <v>94</v>
      </c>
      <c r="B45" s="4" t="s">
        <v>6</v>
      </c>
      <c r="D45" s="62">
        <f>COUNTIF(A:A, "ENGR-2300*")</f>
        <v>0</v>
      </c>
      <c r="E45" s="62" t="s">
        <v>95</v>
      </c>
      <c r="F45" s="48">
        <f>COUNTIF('2a'!B1:K1, "ENGR-2300*")</f>
        <v>0</v>
      </c>
      <c r="G45" s="48">
        <f>COUNTIF('2b'!$B$1:$AG$1, "ENGR-2300*")</f>
        <v>0</v>
      </c>
      <c r="H45" s="48">
        <f>COUNTIF('2c'!$B$1:$C$1, "ENGR-2300*")</f>
        <v>0</v>
      </c>
      <c r="I45" s="48">
        <f>COUNTIF('2d'!$B$1:$AR$1, "ENGR-2300*")</f>
        <v>0</v>
      </c>
      <c r="J45" s="85">
        <f>COUNTIFS('2e'!$B$1:$N$1, "ENGR-2300*")</f>
        <v>0</v>
      </c>
      <c r="K45" s="48">
        <f>COUNTIF('2f'!$B$1:$L$1, "ENGR-2300*")</f>
        <v>0</v>
      </c>
      <c r="L45" s="48">
        <f>COUNTIF('2g'!B1:H1, "ENGR-2300*")</f>
        <v>0</v>
      </c>
      <c r="M45" s="49">
        <f t="shared" si="8"/>
        <v>0</v>
      </c>
    </row>
    <row r="46" spans="1:13" ht="17.25" thickTop="1" thickBot="1" x14ac:dyDescent="0.3">
      <c r="A46" s="2" t="s">
        <v>96</v>
      </c>
      <c r="B46" s="4" t="s">
        <v>6</v>
      </c>
      <c r="D46" s="62">
        <f>COUNTIF(A:A, "ENGR-2400*")</f>
        <v>0</v>
      </c>
      <c r="E46" s="62" t="s">
        <v>97</v>
      </c>
      <c r="F46" s="48">
        <f>COUNTIF('2a'!B1:K1, "ENGR-2400*")</f>
        <v>0</v>
      </c>
      <c r="G46" s="48">
        <f>COUNTIF('2b'!$B$1:$AG$1, "ENGR-2400*")</f>
        <v>0</v>
      </c>
      <c r="H46" s="48">
        <f>COUNTIF('2c'!$B$1:$C$1, "ENGR-2400*")</f>
        <v>0</v>
      </c>
      <c r="I46" s="48">
        <f>COUNTIF('2d'!$B$1:$AR$1, "ENGR-2400*")</f>
        <v>0</v>
      </c>
      <c r="J46" s="85">
        <f>COUNTIFS('2e'!$B$1:$N$1, "ENGR-2400*")</f>
        <v>0</v>
      </c>
      <c r="K46" s="48">
        <f>COUNTIF('2f'!$B$1:$L$1, "ENGR-2400*")</f>
        <v>0</v>
      </c>
      <c r="L46" s="48">
        <f>COUNTIF('2g'!B1:H1, "ENGR-2400*")</f>
        <v>0</v>
      </c>
      <c r="M46" s="49">
        <f t="shared" si="8"/>
        <v>0</v>
      </c>
    </row>
    <row r="47" spans="1:13" ht="17.25" thickTop="1" thickBot="1" x14ac:dyDescent="0.3">
      <c r="A47" s="2" t="s">
        <v>98</v>
      </c>
      <c r="B47" s="4" t="s">
        <v>6</v>
      </c>
      <c r="D47" s="62">
        <f>COUNTIF(A:A, "ENGR-3300*")</f>
        <v>0</v>
      </c>
      <c r="E47" s="62" t="s">
        <v>99</v>
      </c>
      <c r="F47" s="48">
        <f>COUNTIF('2a'!B1:K1, "ENGR-3300*")</f>
        <v>0</v>
      </c>
      <c r="G47" s="48">
        <f>COUNTIF('2b'!$B$1:$AG$1, "ENGR-3300*")</f>
        <v>0</v>
      </c>
      <c r="H47" s="48">
        <f>COUNTIF('2c'!$B$1:$C$1, "ENGR-3300*")</f>
        <v>0</v>
      </c>
      <c r="I47" s="48">
        <f>COUNTIF('2d'!$B$1:$AR$1, "ENGR-3300*")</f>
        <v>0</v>
      </c>
      <c r="J47" s="85">
        <f>COUNTIFS('2e'!$B$1:$N$1, "ENGR-3300*")</f>
        <v>0</v>
      </c>
      <c r="K47" s="48">
        <f>COUNTIF('2f'!$B$1:$L$1, "ENGR-3300*")</f>
        <v>0</v>
      </c>
      <c r="L47" s="48">
        <f>COUNTIF('2g'!B1:H1, "ENGR-3300*")</f>
        <v>0</v>
      </c>
      <c r="M47" s="49">
        <f t="shared" si="8"/>
        <v>0</v>
      </c>
    </row>
    <row r="48" spans="1:13" ht="17.25" thickTop="1" thickBot="1" x14ac:dyDescent="0.3">
      <c r="A48" s="2" t="s">
        <v>100</v>
      </c>
      <c r="B48" s="4" t="s">
        <v>6</v>
      </c>
      <c r="D48" s="62">
        <f>COUNTIF(A:A, "EPHY-1170*")</f>
        <v>2</v>
      </c>
      <c r="E48" s="63" t="s">
        <v>101</v>
      </c>
      <c r="F48" s="48">
        <f>COUNTIF('2a'!B1:K1, "EPHY-1170*")</f>
        <v>0</v>
      </c>
      <c r="G48" s="48">
        <f>COUNTIF('2b'!$B$1:$AG$1, "EPHY-1170*")</f>
        <v>1</v>
      </c>
      <c r="H48" s="48">
        <f>COUNTIF('2c'!$B$1:$C$1, "EPHY-1170*")</f>
        <v>0</v>
      </c>
      <c r="I48" s="48">
        <f>COUNTIF('2d'!$B$1:$AR$1, "EPHY-1170*")</f>
        <v>1</v>
      </c>
      <c r="J48" s="85">
        <f>COUNTIFS('2e'!$B$1:$N$1, "EPHY-1170*")</f>
        <v>0</v>
      </c>
      <c r="K48" s="48">
        <f>COUNTIF('2f'!$B$1:$L$1, "EPHY-1170*")</f>
        <v>0</v>
      </c>
      <c r="L48" s="48">
        <f>COUNTIF('2g'!B1:H1, "EPHY-1170*")</f>
        <v>0</v>
      </c>
      <c r="M48" s="49">
        <f t="shared" ref="M48:M62" si="9">SUM(F48:L48)</f>
        <v>2</v>
      </c>
    </row>
    <row r="49" spans="1:14" ht="17.25" thickTop="1" thickBot="1" x14ac:dyDescent="0.3">
      <c r="A49" s="2" t="s">
        <v>102</v>
      </c>
      <c r="B49" s="4" t="s">
        <v>6</v>
      </c>
      <c r="D49" s="62">
        <f>COUNTIF(A:A, "EPHY-1270*")</f>
        <v>4</v>
      </c>
      <c r="E49" s="62" t="s">
        <v>103</v>
      </c>
      <c r="F49" s="48">
        <f>COUNTIF('2a'!B1:K1, "EPHY-1270*")</f>
        <v>0</v>
      </c>
      <c r="G49" s="48">
        <f>COUNTIF('2b'!$B$1:$AG$1, "EPHY-1270*")</f>
        <v>1</v>
      </c>
      <c r="H49" s="48">
        <f>COUNTIF('2c'!$B$1:$C$1, "EPHY-1270*")</f>
        <v>0</v>
      </c>
      <c r="I49" s="48">
        <f>COUNTIF('2d'!$B$1:$AR$1, "EPHY-1270*")</f>
        <v>3</v>
      </c>
      <c r="J49" s="85">
        <f>COUNTIFS('2e'!$B$1:$N$1, "EPHY-1270*")</f>
        <v>0</v>
      </c>
      <c r="K49" s="48">
        <f>COUNTIF('2f'!$B$1:$L$1, "EPHY-1270*")</f>
        <v>0</v>
      </c>
      <c r="L49" s="48">
        <f>COUNTIF('2g'!B1:H1, "EPHY-1270*")</f>
        <v>0</v>
      </c>
      <c r="M49" s="49">
        <f t="shared" si="9"/>
        <v>4</v>
      </c>
    </row>
    <row r="50" spans="1:14" ht="17.25" thickTop="1" thickBot="1" x14ac:dyDescent="0.3">
      <c r="A50" s="2" t="s">
        <v>104</v>
      </c>
      <c r="B50" s="4" t="s">
        <v>6</v>
      </c>
      <c r="D50" s="62">
        <f>COUNTIF(A:A, "EPHY-1700*")</f>
        <v>7</v>
      </c>
      <c r="E50" s="62" t="s">
        <v>105</v>
      </c>
      <c r="F50" s="48">
        <f>COUNTIF('2a'!B1:K1, "EPHY-1700*")</f>
        <v>0</v>
      </c>
      <c r="G50" s="48">
        <f>COUNTIF('2b'!$B$1:$AG$1, "EPHY-1700*")</f>
        <v>0</v>
      </c>
      <c r="H50" s="48">
        <f>COUNTIF('2c'!$B$1:$C$1, "EPHY-1700*")</f>
        <v>0</v>
      </c>
      <c r="I50" s="48">
        <f>COUNTIF('2d'!$B$1:$AR$1, "EPHY-1700*")</f>
        <v>7</v>
      </c>
      <c r="J50" s="85">
        <f>COUNTIFS('2e'!$B$1:$N$1, "EPHY-1700*")</f>
        <v>0</v>
      </c>
      <c r="K50" s="48">
        <f>COUNTIF('2f'!$B$1:$L$1, "EPHY-1700*")</f>
        <v>0</v>
      </c>
      <c r="L50" s="48">
        <f>COUNTIF('2g'!B1:H1, "EPHY-1700*")</f>
        <v>0</v>
      </c>
      <c r="M50" s="49">
        <f t="shared" si="9"/>
        <v>7</v>
      </c>
    </row>
    <row r="51" spans="1:14" ht="17.25" thickTop="1" thickBot="1" x14ac:dyDescent="0.3">
      <c r="A51" s="2" t="s">
        <v>106</v>
      </c>
      <c r="B51" s="4" t="s">
        <v>11</v>
      </c>
      <c r="D51" s="62">
        <f>COUNTIF(A:A, "EPHY-2200*")</f>
        <v>0</v>
      </c>
      <c r="E51" s="62" t="s">
        <v>107</v>
      </c>
      <c r="F51" s="48">
        <f>COUNTIF('2a'!B1:K1, "EPHY-2200*")</f>
        <v>0</v>
      </c>
      <c r="G51" s="48">
        <f>COUNTIF('2b'!$B$1:$AG$1, "EPHY-2200*")</f>
        <v>0</v>
      </c>
      <c r="H51" s="48">
        <f>COUNTIF('2c'!$B$1:$C$1, "EPHY-2200*")</f>
        <v>0</v>
      </c>
      <c r="I51" s="48">
        <f>COUNTIF('2d'!$B$1:$AR$1, "EPHY-2200*")</f>
        <v>0</v>
      </c>
      <c r="J51" s="85">
        <f>COUNTIFS('2e'!$B$1:$N$1, "EPHY-2200*")</f>
        <v>0</v>
      </c>
      <c r="K51" s="48">
        <f>COUNTIF('2f'!$B$1:$L$1, "EPHY-2200*")</f>
        <v>0</v>
      </c>
      <c r="L51" s="48">
        <f>COUNTIF('2g'!B1:H1, "EPHY-2200*")</f>
        <v>0</v>
      </c>
      <c r="M51" s="49">
        <f t="shared" si="9"/>
        <v>0</v>
      </c>
    </row>
    <row r="52" spans="1:14" ht="17.25" thickTop="1" thickBot="1" x14ac:dyDescent="0.3">
      <c r="A52" s="2" t="s">
        <v>108</v>
      </c>
      <c r="B52" s="4" t="s">
        <v>6</v>
      </c>
      <c r="D52" s="62">
        <f>COUNTIF(A:A, "EPHY-2300*")</f>
        <v>3</v>
      </c>
      <c r="E52" s="64" t="s">
        <v>109</v>
      </c>
      <c r="F52" s="48">
        <f>COUNTIF('2a'!B1:K1, "EPHY-2300*")</f>
        <v>0</v>
      </c>
      <c r="G52" s="48">
        <f>COUNTIF('2b'!$B$1:$AG$1, "EPHY-2300*")</f>
        <v>1</v>
      </c>
      <c r="H52" s="48">
        <f>COUNTIF('2c'!$B$1:$C$1, "EPHY-2300*")</f>
        <v>0</v>
      </c>
      <c r="I52" s="48">
        <f>COUNTIF('2d'!$B$1:$AR$1, "EPHY-2300*")</f>
        <v>2</v>
      </c>
      <c r="J52" s="85">
        <f>COUNTIFS('2e'!$B$1:$N$1, "EPHY-2300*")</f>
        <v>0</v>
      </c>
      <c r="K52" s="48">
        <f>COUNTIF('2f'!$B$1:$L$1, "EPHY-2300*")</f>
        <v>0</v>
      </c>
      <c r="L52" s="48">
        <f>COUNTIF('2g'!B1:H1, "EPHY-2300*")</f>
        <v>0</v>
      </c>
      <c r="M52" s="49">
        <f t="shared" si="9"/>
        <v>3</v>
      </c>
    </row>
    <row r="53" spans="1:14" ht="17.25" thickTop="1" thickBot="1" x14ac:dyDescent="0.3">
      <c r="A53" s="2" t="s">
        <v>110</v>
      </c>
      <c r="B53" s="4" t="s">
        <v>11</v>
      </c>
      <c r="D53" s="62">
        <f>COUNTIF(A:A, "MATH-1130*")</f>
        <v>0</v>
      </c>
      <c r="E53" s="65" t="s">
        <v>111</v>
      </c>
      <c r="F53" s="48">
        <f>COUNTIF('2a'!B1:K1, "MATH-1130*")</f>
        <v>0</v>
      </c>
      <c r="G53" s="48">
        <f>COUNTIF('2b'!$B$1:$AG$1, "MATH-1130*")</f>
        <v>0</v>
      </c>
      <c r="H53" s="48">
        <f>COUNTIF('2c'!$B$1:$C$1, "MATH-1130*")</f>
        <v>0</v>
      </c>
      <c r="I53" s="48">
        <f>COUNTIF('2d'!$B$1:$AR$1, "MATH-1130*")</f>
        <v>0</v>
      </c>
      <c r="J53" s="85">
        <f>COUNTIFS('2e'!$B$1:$N$1, "MATH-1130*")</f>
        <v>0</v>
      </c>
      <c r="K53" s="48">
        <f>COUNTIF('2f'!$B$1:$L$1, "MATH-1130'*")</f>
        <v>0</v>
      </c>
      <c r="L53" s="48">
        <f>COUNTIF('2g'!B1:H1, "MATH-1130'*")</f>
        <v>0</v>
      </c>
      <c r="M53" s="49">
        <f t="shared" si="9"/>
        <v>0</v>
      </c>
    </row>
    <row r="54" spans="1:14" ht="17.25" thickTop="1" thickBot="1" x14ac:dyDescent="0.3">
      <c r="A54" s="2" t="s">
        <v>112</v>
      </c>
      <c r="B54" s="4" t="s">
        <v>11</v>
      </c>
      <c r="D54" s="62">
        <f>COUNTIF(A:A, "MATH-1230*")</f>
        <v>4</v>
      </c>
      <c r="E54" s="62" t="s">
        <v>113</v>
      </c>
      <c r="F54" s="48">
        <f>COUNTIF('2a'!B1:K1, "MATH-1230*")</f>
        <v>0</v>
      </c>
      <c r="G54" s="48">
        <f>COUNTIF('2b'!$B$1:$AG$1, "MATH-1230*")</f>
        <v>4</v>
      </c>
      <c r="H54" s="48">
        <f>COUNTIF('2c'!$B$1:$C$1, "MATH-1230*")</f>
        <v>0</v>
      </c>
      <c r="I54" s="48">
        <f>COUNTIF('2d'!$B$1:$AR$1, "MATH-1230*")</f>
        <v>0</v>
      </c>
      <c r="J54" s="85">
        <f>COUNTIFS('2e'!$B$1:$N$1, "MATH-1230*")</f>
        <v>0</v>
      </c>
      <c r="K54" s="48">
        <f>COUNTIF('2f'!$B$1:$L$1, "MATH-1230*")</f>
        <v>0</v>
      </c>
      <c r="L54" s="48">
        <f>COUNTIF('2g'!B1:H1, "MATH-1230*")</f>
        <v>0</v>
      </c>
      <c r="M54" s="49">
        <f t="shared" si="9"/>
        <v>4</v>
      </c>
    </row>
    <row r="55" spans="1:14" ht="17.25" thickTop="1" thickBot="1" x14ac:dyDescent="0.3">
      <c r="A55" s="2" t="s">
        <v>114</v>
      </c>
      <c r="B55" s="4" t="s">
        <v>11</v>
      </c>
      <c r="D55" s="62">
        <f>COUNTIF(A:A, "MATH-1300*")</f>
        <v>10</v>
      </c>
      <c r="E55" s="64" t="s">
        <v>115</v>
      </c>
      <c r="F55" s="48">
        <f>COUNTIF('2a'!B1:K1, "MATH-1300*")</f>
        <v>0</v>
      </c>
      <c r="G55" s="48">
        <f>COUNTIF('2b'!$B$1:$AG$1, "MATH-1300*")</f>
        <v>10</v>
      </c>
      <c r="H55" s="48">
        <f>COUNTIF('2c'!$B$1:$C$1, "MATH-1300*")</f>
        <v>0</v>
      </c>
      <c r="I55" s="48">
        <f>COUNTIF('2d'!$B$1:$AR$1, "MATH-1300*")</f>
        <v>0</v>
      </c>
      <c r="J55" s="85">
        <f>COUNTIFS('2e'!$B$1:$N$1, "MATH-1300*")</f>
        <v>0</v>
      </c>
      <c r="K55" s="48">
        <f>COUNTIF('2f'!$B$1:$L$1, "MATH-1300*")</f>
        <v>0</v>
      </c>
      <c r="L55" s="48">
        <f>COUNTIF('2g'!B1:H1, "MATH-1300*")</f>
        <v>0</v>
      </c>
      <c r="M55" s="49">
        <f t="shared" si="9"/>
        <v>10</v>
      </c>
    </row>
    <row r="56" spans="1:14" ht="17.25" thickTop="1" thickBot="1" x14ac:dyDescent="0.3">
      <c r="A56" s="2" t="s">
        <v>116</v>
      </c>
      <c r="B56" s="4" t="s">
        <v>11</v>
      </c>
      <c r="D56" s="62">
        <f>COUNTIF(A:A, "MATH-1700*")</f>
        <v>0</v>
      </c>
      <c r="E56" s="65" t="s">
        <v>117</v>
      </c>
      <c r="F56" s="48">
        <f>COUNTIF('2a'!B1:K1, "MATH-1700*")</f>
        <v>0</v>
      </c>
      <c r="G56" s="48">
        <f>COUNTIF('2b'!$B$1:$AG$1, "MATH-1700*")</f>
        <v>0</v>
      </c>
      <c r="H56" s="48">
        <f>COUNTIF('2c'!$B$1:$C$1, "MATH-1700*")</f>
        <v>0</v>
      </c>
      <c r="I56" s="48">
        <f>COUNTIF('2d'!$B$1:$AR$1, "MATH-1700*")</f>
        <v>0</v>
      </c>
      <c r="J56" s="85">
        <f>COUNTIFS('2e'!$B$1:$N$1, "MATH-1700*")</f>
        <v>0</v>
      </c>
      <c r="K56" s="48">
        <f>COUNTIF('2f'!$B$1:$L$1, "MATH-1700*")</f>
        <v>0</v>
      </c>
      <c r="L56" s="48">
        <f>COUNTIF('2g'!B1:H1, "MATH-1700*")</f>
        <v>0</v>
      </c>
      <c r="M56" s="49">
        <f t="shared" si="9"/>
        <v>0</v>
      </c>
    </row>
    <row r="57" spans="1:14" ht="17.25" thickTop="1" thickBot="1" x14ac:dyDescent="0.3">
      <c r="A57" s="2" t="s">
        <v>118</v>
      </c>
      <c r="B57" s="4" t="s">
        <v>11</v>
      </c>
      <c r="D57" s="62">
        <f>COUNTIF(A:A, "PHYS-2150*")</f>
        <v>5</v>
      </c>
      <c r="E57" s="65" t="s">
        <v>119</v>
      </c>
      <c r="F57" s="48">
        <f>COUNTIF('2a'!B1:K1, "PHYS-2150*")</f>
        <v>0</v>
      </c>
      <c r="G57" s="48">
        <f>COUNTIF('2b'!$B$1:$AG$1, "PHYS-2150*")</f>
        <v>0</v>
      </c>
      <c r="H57" s="48">
        <f>COUNTIF('2c'!$B$1:$C$1, "PHYS-2150*")</f>
        <v>0</v>
      </c>
      <c r="I57" s="48">
        <f>COUNTIF('2d'!$B$1:$AR$1, "PHYS-2150*")</f>
        <v>5</v>
      </c>
      <c r="J57" s="85">
        <f>COUNTIFS('2e'!$B$1:$N$1, "PHYS-2150*")</f>
        <v>0</v>
      </c>
      <c r="K57" s="48">
        <f>COUNTIF('2f'!$B$1:$L$1, "PHYS-2150*")</f>
        <v>0</v>
      </c>
      <c r="L57" s="48">
        <f>COUNTIF('2g'!B1:H1, "PHYS-2150*")</f>
        <v>0</v>
      </c>
      <c r="M57" s="49">
        <f t="shared" si="9"/>
        <v>5</v>
      </c>
    </row>
    <row r="58" spans="1:14" ht="17.25" thickTop="1" thickBot="1" x14ac:dyDescent="0.3">
      <c r="A58" s="2" t="s">
        <v>120</v>
      </c>
      <c r="B58" s="4" t="s">
        <v>11</v>
      </c>
      <c r="D58" s="62">
        <f>COUNTIF(A:A, "SENG-1110*")</f>
        <v>4</v>
      </c>
      <c r="E58" s="65" t="s">
        <v>121</v>
      </c>
      <c r="F58" s="48">
        <f>COUNTIF('2a'!B1:K1, "SENG-1110*")</f>
        <v>1</v>
      </c>
      <c r="G58" s="48">
        <f>COUNTIF('2b'!$B$1:$AG$1, "SENG-1110*")</f>
        <v>1</v>
      </c>
      <c r="H58" s="48">
        <f>COUNTIF('2c'!$B$1:$C$1, "SENG-1110*")</f>
        <v>1</v>
      </c>
      <c r="I58" s="48">
        <f>COUNTIF('2d'!$B$1:$AR$1, "SENG-1110*")</f>
        <v>1</v>
      </c>
      <c r="J58" s="85">
        <f>COUNTIFS('2e'!$B$1:$N$1, "SENG-1110*")</f>
        <v>0</v>
      </c>
      <c r="K58" s="48">
        <f>COUNTIF('2f'!$B$1:$L$1, "SENG-1110*")</f>
        <v>0</v>
      </c>
      <c r="L58" s="48">
        <f>COUNTIF('2g'!B1:H1, "SENG-1110*")</f>
        <v>0</v>
      </c>
      <c r="M58" s="49">
        <f t="shared" si="9"/>
        <v>4</v>
      </c>
    </row>
    <row r="59" spans="1:14" ht="17.25" thickTop="1" thickBot="1" x14ac:dyDescent="0.3">
      <c r="A59" s="2" t="s">
        <v>122</v>
      </c>
      <c r="B59" s="4" t="s">
        <v>11</v>
      </c>
      <c r="D59" s="62">
        <f>COUNTIF(A:A, "SENG-1210*")</f>
        <v>3</v>
      </c>
      <c r="E59" s="66" t="s">
        <v>123</v>
      </c>
      <c r="F59" s="48">
        <f>COUNTIF('2a'!B1:K1, "SENG-1210*")</f>
        <v>2</v>
      </c>
      <c r="G59" s="48">
        <f>COUNTIF('2b'!$B$1:$AG$1, "SENG-1210*")</f>
        <v>0</v>
      </c>
      <c r="H59" s="48">
        <f>COUNTIF('2c'!$B$1:$C$1, "SENG-1210*")</f>
        <v>0</v>
      </c>
      <c r="I59" s="48">
        <f>COUNTIF('2d'!$B$1:$AR$1, "SENG-1210*")</f>
        <v>0</v>
      </c>
      <c r="J59" s="85">
        <f>COUNTIFS('2e'!$B$1:$N$1, "SENG-1210*")</f>
        <v>0</v>
      </c>
      <c r="K59" s="48">
        <f>COUNTIF('2f'!$B$1:$L$1, "SENG-1210*")</f>
        <v>0</v>
      </c>
      <c r="L59" s="48">
        <f>COUNTIF('2g'!B1:H1, "SENG-1210*")</f>
        <v>1</v>
      </c>
      <c r="M59" s="49">
        <f t="shared" si="9"/>
        <v>3</v>
      </c>
    </row>
    <row r="60" spans="1:14" ht="17.25" thickTop="1" thickBot="1" x14ac:dyDescent="0.3">
      <c r="A60" s="2" t="s">
        <v>124</v>
      </c>
      <c r="B60" s="4" t="s">
        <v>11</v>
      </c>
      <c r="D60" s="62">
        <f>COUNTIF(A:A, "SENG-3110*")</f>
        <v>4</v>
      </c>
      <c r="E60" s="62" t="s">
        <v>125</v>
      </c>
      <c r="F60" s="48">
        <f>COUNTIF('2a'!B1:K1, "SENG-3110*")</f>
        <v>0</v>
      </c>
      <c r="G60" s="48">
        <f>COUNTIF('2b'!$B$1:$AG$1, "SENG-3110*")</f>
        <v>0</v>
      </c>
      <c r="H60" s="48">
        <f>COUNTIF('2c'!$B$1:$C$1, "SENG-3110*")</f>
        <v>0</v>
      </c>
      <c r="I60" s="48">
        <f>COUNTIF('2d'!$B$1:$AR$1, "SENG-3110*")</f>
        <v>3</v>
      </c>
      <c r="J60" s="85">
        <f>COUNTIFS('2e'!$B$1:$N$1, "SENG-3110*")</f>
        <v>1</v>
      </c>
      <c r="K60" s="48">
        <f>COUNTIF('2f'!$B$1:$L$1, "SENG-3110*")</f>
        <v>0</v>
      </c>
      <c r="L60" s="48">
        <f>COUNTIF('2g'!B1:H1, "SENG-3110*")</f>
        <v>0</v>
      </c>
      <c r="M60" s="49">
        <f t="shared" si="9"/>
        <v>4</v>
      </c>
    </row>
    <row r="61" spans="1:14" ht="17.25" thickTop="1" thickBot="1" x14ac:dyDescent="0.3">
      <c r="A61" s="2" t="s">
        <v>126</v>
      </c>
      <c r="B61" s="4" t="s">
        <v>11</v>
      </c>
      <c r="D61" s="62">
        <f>COUNTIF(A:A, "SENG-3120*")</f>
        <v>0</v>
      </c>
      <c r="E61" s="62" t="s">
        <v>127</v>
      </c>
      <c r="F61" s="48">
        <f>COUNTIF('2a'!B1:K1, "SENG-3120*")</f>
        <v>0</v>
      </c>
      <c r="G61" s="48">
        <f>COUNTIF('2b'!$B$1:$AG$1, "SENG-3120*")</f>
        <v>0</v>
      </c>
      <c r="H61" s="48">
        <f>COUNTIF('2c'!$B$1:$C$1, "SENG-3120*")</f>
        <v>0</v>
      </c>
      <c r="I61" s="48">
        <f>COUNTIF('2d'!$B$1:$AR$1, "SENG-3120*")</f>
        <v>0</v>
      </c>
      <c r="J61" s="85">
        <f>COUNTIFS('2e'!$B$1:$N$1, "SENG-3120*")</f>
        <v>0</v>
      </c>
      <c r="K61" s="48">
        <f>COUNTIF('2f'!$B$1:$L$1, "SENG-3120*")</f>
        <v>0</v>
      </c>
      <c r="L61" s="48">
        <f>COUNTIF('2g'!B1:H1, "SENG-3120*")</f>
        <v>0</v>
      </c>
      <c r="M61" s="49">
        <f t="shared" si="9"/>
        <v>0</v>
      </c>
    </row>
    <row r="62" spans="1:14" ht="17.25" thickTop="1" thickBot="1" x14ac:dyDescent="0.3">
      <c r="A62" s="2" t="s">
        <v>128</v>
      </c>
      <c r="B62" s="4" t="s">
        <v>11</v>
      </c>
      <c r="C62" s="68"/>
      <c r="D62" s="62">
        <f>COUNTIF(A:A, "SENG-3130*")</f>
        <v>0</v>
      </c>
      <c r="E62" s="62" t="s">
        <v>129</v>
      </c>
      <c r="F62" s="48">
        <f>COUNTIF('2a'!B1:K1, "SENG-3130*")</f>
        <v>0</v>
      </c>
      <c r="G62" s="48">
        <f>COUNTIF('2b'!$B$1:$AG$1, "SENG-3130*")</f>
        <v>0</v>
      </c>
      <c r="H62" s="48">
        <f>COUNTIF('2c'!$B$1:$C$1, "SENG-3130*")</f>
        <v>0</v>
      </c>
      <c r="I62" s="48">
        <f>COUNTIF('2d'!$B$1:$AR$1, "SENG-3130*")</f>
        <v>0</v>
      </c>
      <c r="J62" s="85">
        <f>COUNTIFS('2e'!$B$1:$N$1, "SENG-3130*")</f>
        <v>0</v>
      </c>
      <c r="K62" s="48">
        <f>COUNTIF('2f'!$B$1:$L$1, "SENG-3130*")</f>
        <v>0</v>
      </c>
      <c r="L62" s="48">
        <f>COUNTIF('2g'!B1:H1, "SENG-3130*")</f>
        <v>0</v>
      </c>
      <c r="M62" s="49">
        <f t="shared" si="9"/>
        <v>0</v>
      </c>
      <c r="N62" s="143"/>
    </row>
    <row r="63" spans="1:14" ht="17.25" thickTop="1" thickBot="1" x14ac:dyDescent="0.3">
      <c r="A63" s="2" t="s">
        <v>130</v>
      </c>
      <c r="B63" s="4" t="s">
        <v>11</v>
      </c>
      <c r="C63" s="68"/>
      <c r="D63" s="62">
        <f>COUNTIF(A:A, "SENG-3210*")</f>
        <v>0</v>
      </c>
      <c r="E63" s="62" t="s">
        <v>131</v>
      </c>
      <c r="F63" s="48">
        <f>COUNTIF('2a'!B2:K2, "SENG-3210*")</f>
        <v>0</v>
      </c>
      <c r="G63" s="48">
        <f>COUNTIF('2b'!$B$1:$AG$1, "SENG-3210*")</f>
        <v>0</v>
      </c>
      <c r="H63" s="48">
        <f>COUNTIF('2c'!$B$1:$C$1, "SENG-3210*")</f>
        <v>0</v>
      </c>
      <c r="I63" s="48">
        <f>COUNTIF('2d'!$B$1:$AR$1, "SENG-3210*")</f>
        <v>0</v>
      </c>
      <c r="J63" s="85">
        <f>COUNTIFS('2e'!$B$1:$N$1, "SENG-3210*")</f>
        <v>0</v>
      </c>
      <c r="K63" s="48">
        <f>COUNTIF('2f'!$B$1:$L$1, "SENG-3210*")</f>
        <v>0</v>
      </c>
      <c r="L63" s="48">
        <f>COUNTIF('2g'!B2:H2, "SENG-3210*")</f>
        <v>0</v>
      </c>
      <c r="M63" s="49">
        <f t="shared" ref="M63:M64" si="10">SUM(F63:L63)</f>
        <v>0</v>
      </c>
      <c r="N63" s="143"/>
    </row>
    <row r="64" spans="1:14" ht="17.25" thickTop="1" thickBot="1" x14ac:dyDescent="0.3">
      <c r="A64" s="2" t="s">
        <v>132</v>
      </c>
      <c r="B64" s="4" t="s">
        <v>11</v>
      </c>
      <c r="C64" s="68"/>
      <c r="D64" s="62">
        <f>COUNTIF(A:A, "SENG-4100*")</f>
        <v>0</v>
      </c>
      <c r="E64" s="67" t="s">
        <v>133</v>
      </c>
      <c r="F64" s="48">
        <f>COUNTIF('2a'!$B$1:$K$1, "SENG-4100*")</f>
        <v>0</v>
      </c>
      <c r="G64" s="48">
        <f>COUNTIF('2b'!$B$1:$AG$1, "SENG-4100*")</f>
        <v>0</v>
      </c>
      <c r="H64" s="48">
        <f>COUNTIF('2c'!$B$1:$C$1, "SENG-4100*")</f>
        <v>0</v>
      </c>
      <c r="I64" s="48">
        <f>COUNTIF('2d'!$B$1:$AR$1, "SENG-4100*")</f>
        <v>0</v>
      </c>
      <c r="J64" s="85">
        <f>COUNTIFS('2e'!$B$1:$N$1, "SENG-4100*")</f>
        <v>0</v>
      </c>
      <c r="K64" s="48">
        <f>COUNTIF('2f'!$B$1:$L$1, "SENG-4100*")</f>
        <v>0</v>
      </c>
      <c r="L64" s="48">
        <f>COUNTIF('2g'!B1:H1, "SENG-4100*")</f>
        <v>0</v>
      </c>
      <c r="M64" s="49">
        <f t="shared" si="10"/>
        <v>0</v>
      </c>
      <c r="N64" s="143"/>
    </row>
    <row r="65" spans="1:14" ht="17.25" thickTop="1" thickBot="1" x14ac:dyDescent="0.3">
      <c r="A65" s="2" t="s">
        <v>134</v>
      </c>
      <c r="B65" s="4" t="s">
        <v>11</v>
      </c>
      <c r="C65" s="68"/>
      <c r="D65" s="62">
        <f>COUNTIF(A:A, "SENG-4110*")</f>
        <v>4</v>
      </c>
      <c r="E65" s="67" t="s">
        <v>135</v>
      </c>
      <c r="F65" s="48">
        <f>COUNTIF('2a'!$B$1:$K$1, "SENG-4110*")</f>
        <v>0</v>
      </c>
      <c r="G65" s="48">
        <f>COUNTIF('2b'!$B$1:$AG$1, "SENG-4110*")</f>
        <v>0</v>
      </c>
      <c r="H65" s="48">
        <f>COUNTIF('2c'!$B$1:$C$1, "SENG-4110*")</f>
        <v>0</v>
      </c>
      <c r="I65" s="48">
        <f>COUNTIF('2d'!$B$1:$AR$1, "SENG-4110*")</f>
        <v>0</v>
      </c>
      <c r="J65" s="85">
        <f>COUNTIFS('2e'!$B$1:$N$1, "SENG-4110*")</f>
        <v>2</v>
      </c>
      <c r="K65" s="48">
        <f>COUNTIF('2f'!$B$1:$L$1, "SENG-4110*")</f>
        <v>2</v>
      </c>
      <c r="L65" s="48">
        <f>COUNTIF('2g'!B2:H2, "SENG-4110*")</f>
        <v>0</v>
      </c>
      <c r="M65" s="49">
        <f t="shared" ref="M65:M73" si="11">SUM(F65:L65)</f>
        <v>4</v>
      </c>
      <c r="N65" s="143"/>
    </row>
    <row r="66" spans="1:14" ht="17.25" thickTop="1" thickBot="1" x14ac:dyDescent="0.3">
      <c r="A66" s="2" t="s">
        <v>136</v>
      </c>
      <c r="B66" s="4" t="s">
        <v>11</v>
      </c>
      <c r="C66" s="68"/>
      <c r="D66" s="62">
        <f>COUNTIF(A:A, "SENG-4120*")</f>
        <v>5</v>
      </c>
      <c r="E66" s="67" t="s">
        <v>137</v>
      </c>
      <c r="F66" s="48">
        <f>COUNTIF('2a'!B1:K1, "SENG-4120*")</f>
        <v>0</v>
      </c>
      <c r="G66" s="48">
        <f>COUNTIF('2b'!$B$1:$AG$1, "SENG-4120*")</f>
        <v>1</v>
      </c>
      <c r="H66" s="48">
        <f>COUNTIF('2c'!$B$1:$C$1, "SENG-4120*")</f>
        <v>0</v>
      </c>
      <c r="I66" s="48">
        <f>COUNTIF('2d'!$B$1:$AR$1, "SENG-4120*")</f>
        <v>2</v>
      </c>
      <c r="J66" s="85">
        <f>COUNTIFS('2e'!$B$1:$N$1, "SENG-4120*")</f>
        <v>1</v>
      </c>
      <c r="K66" s="48">
        <f>COUNTIF('2f'!$B$1:$L$1, "SENG-4120*")</f>
        <v>1</v>
      </c>
      <c r="L66" s="48">
        <f>COUNTIF('2g'!B1:H1, "SENG-4120*")</f>
        <v>0</v>
      </c>
      <c r="M66" s="49">
        <f t="shared" si="11"/>
        <v>5</v>
      </c>
      <c r="N66" s="143"/>
    </row>
    <row r="67" spans="1:14" ht="17.25" thickTop="1" thickBot="1" x14ac:dyDescent="0.3">
      <c r="A67" s="2" t="s">
        <v>138</v>
      </c>
      <c r="B67" s="4" t="s">
        <v>6</v>
      </c>
      <c r="C67" s="68"/>
      <c r="D67" s="62">
        <f>COUNTIF(A:A, "SENG-4130*")</f>
        <v>3</v>
      </c>
      <c r="E67" s="62" t="s">
        <v>139</v>
      </c>
      <c r="F67" s="48">
        <f>COUNTIF('2a'!B1:K1, "SENG-4130*")</f>
        <v>0</v>
      </c>
      <c r="G67" s="48">
        <f>COUNTIF('2b'!$B$1:$AG$1, "SENG-4130*")</f>
        <v>1</v>
      </c>
      <c r="H67" s="48">
        <f>COUNTIF('2c'!$B$1:$C$1, "SENG-4130*")</f>
        <v>0</v>
      </c>
      <c r="I67" s="48">
        <f>COUNTIF('2d'!$B$1:$AR$1, "SENG-4130*")</f>
        <v>1</v>
      </c>
      <c r="J67" s="85">
        <f>COUNTIFS('2e'!$B$1:$N$1, "SENG-4130*")</f>
        <v>0</v>
      </c>
      <c r="K67" s="48">
        <f>COUNTIF('2f'!$B$1:$L$1, "SENG-4130*")</f>
        <v>0</v>
      </c>
      <c r="L67" s="48">
        <f>COUNTIF('2g'!B1:H1, "SENG-4130*")</f>
        <v>1</v>
      </c>
      <c r="M67" s="49">
        <f t="shared" si="11"/>
        <v>3</v>
      </c>
      <c r="N67" s="143"/>
    </row>
    <row r="68" spans="1:14" ht="17.25" thickTop="1" thickBot="1" x14ac:dyDescent="0.3">
      <c r="A68" s="2" t="s">
        <v>140</v>
      </c>
      <c r="B68" s="4" t="s">
        <v>6</v>
      </c>
      <c r="C68" s="68"/>
      <c r="D68" s="62">
        <f>COUNTIF(A:A, "SENG-4230*")</f>
        <v>0</v>
      </c>
      <c r="E68" s="62" t="s">
        <v>141</v>
      </c>
      <c r="F68" s="48">
        <f>COUNTIF('2a'!B1:K1, "SENG-4230*")</f>
        <v>0</v>
      </c>
      <c r="G68" s="48">
        <f>COUNTIF('2b'!$B$1:$AG$1, "SENG-4230*")</f>
        <v>0</v>
      </c>
      <c r="H68" s="48">
        <f>COUNTIF('2c'!$B$1:$C$1, "SENG-4230*")</f>
        <v>0</v>
      </c>
      <c r="I68" s="48">
        <f>COUNTIF('2d'!$B$1:$AR$1, "SENG-4230*")</f>
        <v>0</v>
      </c>
      <c r="J68" s="85">
        <f>COUNTIFS('2e'!$B$1:$N$1, "SENG-4230*")</f>
        <v>0</v>
      </c>
      <c r="K68" s="48">
        <f>COUNTIF('2f'!$B$1:$L$1, "SENG-4230*")</f>
        <v>0</v>
      </c>
      <c r="L68" s="48">
        <f>COUNTIF('2g'!B1:H1, "SENG-4230*")</f>
        <v>0</v>
      </c>
      <c r="M68" s="49">
        <f t="shared" si="11"/>
        <v>0</v>
      </c>
      <c r="N68" s="143"/>
    </row>
    <row r="69" spans="1:14" ht="17.25" thickTop="1" thickBot="1" x14ac:dyDescent="0.3">
      <c r="A69" s="2" t="s">
        <v>142</v>
      </c>
      <c r="B69" s="4" t="s">
        <v>6</v>
      </c>
      <c r="C69" s="68"/>
      <c r="D69" s="62">
        <f>COUNTIF(A:A, "SENG-4220*")</f>
        <v>3</v>
      </c>
      <c r="E69" s="62" t="s">
        <v>143</v>
      </c>
      <c r="F69" s="48">
        <f>COUNTIF('2a'!B1:K1, "SENG-4220*")</f>
        <v>0</v>
      </c>
      <c r="G69" s="48">
        <f>COUNTIF('2b'!$B$1:$AG$1, "SENG-4220*")</f>
        <v>1</v>
      </c>
      <c r="H69" s="48">
        <f>COUNTIF('2c'!$B$1:$C$1, "SENG-4220*")</f>
        <v>0</v>
      </c>
      <c r="I69" s="48">
        <f>COUNTIF('2d'!$B$1:$AR$1, "SENG-4220*")</f>
        <v>1</v>
      </c>
      <c r="J69" s="85">
        <f>COUNTIFS('2e'!$B$1:$N$1, "SENG-4220*")</f>
        <v>1</v>
      </c>
      <c r="K69" s="48">
        <f>COUNTIF('2f'!$B$1:$L$1, "SENG-4220*")</f>
        <v>0</v>
      </c>
      <c r="L69" s="48">
        <f>COUNTIF('2g'!B1:H1, "SENG-4220*")</f>
        <v>0</v>
      </c>
      <c r="M69" s="49">
        <f t="shared" si="11"/>
        <v>3</v>
      </c>
      <c r="N69" s="143"/>
    </row>
    <row r="70" spans="1:14" ht="17.25" thickTop="1" thickBot="1" x14ac:dyDescent="0.3">
      <c r="A70" s="2" t="s">
        <v>144</v>
      </c>
      <c r="B70" s="4" t="s">
        <v>6</v>
      </c>
      <c r="C70" s="68"/>
      <c r="D70" s="62">
        <f>COUNTIF(A:A, "SENG-4140*")</f>
        <v>0</v>
      </c>
      <c r="E70" s="62" t="s">
        <v>145</v>
      </c>
      <c r="F70" s="48">
        <f>COUNTIF('2a'!B1:K1, "SENG-4140*")</f>
        <v>0</v>
      </c>
      <c r="G70" s="48">
        <f>COUNTIF('2b'!$B$1:$AG$1, "SENG-4140*")</f>
        <v>0</v>
      </c>
      <c r="H70" s="48">
        <f>COUNTIF('2c'!$B$1:$C$1, "SENG-4140*")</f>
        <v>0</v>
      </c>
      <c r="I70" s="48">
        <f>COUNTIF('2d'!$B$1:$AR$1, "SENG-4140*")</f>
        <v>0</v>
      </c>
      <c r="J70" s="85">
        <f>COUNTIFS('2e'!$B$1:$N$1, "SENG-4140*")</f>
        <v>0</v>
      </c>
      <c r="K70" s="48">
        <f>COUNTIF('2f'!$B$1:$L$1, "SENG-4140*")</f>
        <v>0</v>
      </c>
      <c r="L70" s="48">
        <f>COUNTIF('2g'!B1:H1, "SENG-4140*")</f>
        <v>0</v>
      </c>
      <c r="M70" s="49">
        <f t="shared" si="11"/>
        <v>0</v>
      </c>
      <c r="N70" s="143"/>
    </row>
    <row r="71" spans="1:14" ht="17.25" thickTop="1" thickBot="1" x14ac:dyDescent="0.3">
      <c r="A71" s="2" t="s">
        <v>146</v>
      </c>
      <c r="B71" s="4" t="s">
        <v>6</v>
      </c>
      <c r="C71" s="68"/>
      <c r="D71" s="62">
        <f>COUNTIF(A:A, "SENG-4610*")</f>
        <v>2</v>
      </c>
      <c r="E71" s="62" t="s">
        <v>147</v>
      </c>
      <c r="F71" s="48">
        <f>COUNTIF('2a'!B1:K1, "SENG-4610*")</f>
        <v>0</v>
      </c>
      <c r="G71" s="48">
        <f>COUNTIF('2b'!$B$1:$AG$1, "SENG-4610*")</f>
        <v>1</v>
      </c>
      <c r="H71" s="48">
        <f>COUNTIF('2c'!$B$1:$C$1, "SENG-4610*")</f>
        <v>0</v>
      </c>
      <c r="I71" s="48">
        <f>COUNTIF('2d'!$B$1:$AR$1, "SENG-4610*")</f>
        <v>1</v>
      </c>
      <c r="J71" s="85">
        <f>COUNTIFS('2e'!$B$1:$N$1, "SENG-4610*")</f>
        <v>0</v>
      </c>
      <c r="K71" s="48">
        <f>COUNTIF('2f'!$B$1:$L$1, "SENG-4610*")</f>
        <v>0</v>
      </c>
      <c r="L71" s="48">
        <f>COUNTIF('2g'!B1:H1, "SENG-4610*")</f>
        <v>0</v>
      </c>
      <c r="M71" s="49">
        <f t="shared" si="11"/>
        <v>2</v>
      </c>
      <c r="N71" s="143"/>
    </row>
    <row r="72" spans="1:14" ht="17.25" thickTop="1" thickBot="1" x14ac:dyDescent="0.3">
      <c r="A72" s="156" t="s">
        <v>148</v>
      </c>
      <c r="B72" s="3" t="s">
        <v>4</v>
      </c>
      <c r="C72" s="68"/>
      <c r="D72" s="62">
        <f>COUNTIF(A:A, "SENG-4620*")</f>
        <v>4</v>
      </c>
      <c r="E72" s="62" t="s">
        <v>149</v>
      </c>
      <c r="F72" s="48">
        <f>COUNTIF('2a'!B1:K1, "SENG-4620*")</f>
        <v>1</v>
      </c>
      <c r="G72" s="48">
        <f>COUNTIF('2b'!$B$1:$AG$1, "SENG-4620*")</f>
        <v>0</v>
      </c>
      <c r="H72" s="48">
        <f>COUNTIF('2c'!$B$1:$C$1, "SENG-4620*")</f>
        <v>0</v>
      </c>
      <c r="I72" s="48">
        <f>COUNTIF('2d'!$B$1:$AR$1, "SENG-4620*")</f>
        <v>1</v>
      </c>
      <c r="J72" s="85">
        <f>COUNTIFS('2e'!$B$1:$N$1, "SENG-4620*")</f>
        <v>1</v>
      </c>
      <c r="K72" s="48">
        <f>COUNTIF('2f'!$B$1:$L$1, "SENG-4620*")</f>
        <v>0</v>
      </c>
      <c r="L72" s="48">
        <f>COUNTIF('2g'!B1:H1, "SENG-4620*")</f>
        <v>1</v>
      </c>
      <c r="M72" s="49">
        <f t="shared" si="11"/>
        <v>4</v>
      </c>
      <c r="N72" s="143"/>
    </row>
    <row r="73" spans="1:14" ht="17.25" thickTop="1" thickBot="1" x14ac:dyDescent="0.3">
      <c r="A73" s="2" t="s">
        <v>150</v>
      </c>
      <c r="B73" s="3" t="s">
        <v>10</v>
      </c>
      <c r="C73" s="68"/>
      <c r="D73" s="62">
        <f>COUNTIF(A:A, "SENG-4630*")</f>
        <v>3</v>
      </c>
      <c r="E73" s="62" t="s">
        <v>151</v>
      </c>
      <c r="F73" s="48">
        <f>COUNTIF('2a'!B1:K1, "SENG-4630*")</f>
        <v>1</v>
      </c>
      <c r="G73" s="48">
        <f>COUNTIF('2b'!$B$1:$AG$1, "SENG-4630*")</f>
        <v>2</v>
      </c>
      <c r="H73" s="48">
        <f>COUNTIF('2c'!$B$1:$C$1, "SENG-4630*")</f>
        <v>0</v>
      </c>
      <c r="I73" s="48">
        <f>COUNTIF('2d'!$B$1:$AR$1, "SENG-4630*")</f>
        <v>0</v>
      </c>
      <c r="J73" s="85">
        <f>COUNTIFS('2e'!$B$1:$N$1, "SENG-4630*")</f>
        <v>0</v>
      </c>
      <c r="K73" s="48">
        <f>COUNTIF('2f'!$B$1:$L$1, "SENG-4630*")</f>
        <v>0</v>
      </c>
      <c r="L73" s="48">
        <f>COUNTIF('2g'!B1:H1, "SENG-4630*")</f>
        <v>0</v>
      </c>
      <c r="M73" s="49">
        <f t="shared" si="11"/>
        <v>3</v>
      </c>
      <c r="N73" s="143"/>
    </row>
    <row r="74" spans="1:14" ht="17.25" thickTop="1" thickBot="1" x14ac:dyDescent="0.3">
      <c r="A74" s="2" t="s">
        <v>152</v>
      </c>
      <c r="B74" s="3" t="s">
        <v>11</v>
      </c>
      <c r="C74" s="68"/>
      <c r="D74" s="62">
        <f>COUNTIF(A:A, "SENG-4640*")</f>
        <v>5</v>
      </c>
      <c r="E74" s="62" t="s">
        <v>153</v>
      </c>
      <c r="F74" s="48">
        <f>COUNTIF('2a'!B1:K1, "SENG-4640*")</f>
        <v>1</v>
      </c>
      <c r="G74" s="48">
        <f>COUNTIF('2b'!$B$1:$AG$1, "SENG-4640*")</f>
        <v>0</v>
      </c>
      <c r="H74" s="48">
        <f>COUNTIF('2c'!$B$1:$C$1, "SENG-4640*")</f>
        <v>0</v>
      </c>
      <c r="I74" s="48">
        <f>COUNTIF('2d'!$B$1:$AR$1, "SENG-4640*")</f>
        <v>3</v>
      </c>
      <c r="J74" s="85">
        <f>COUNTIFS('2e'!$B$1:$N$1, "SENG-4640*")</f>
        <v>0</v>
      </c>
      <c r="K74" s="48">
        <f>COUNTIF('2f'!$B$1:$L$1, "SENG-4640*")</f>
        <v>1</v>
      </c>
      <c r="L74" s="48">
        <f>COUNTIF('2g'!B2:H2, "SENG-4640*")</f>
        <v>0</v>
      </c>
      <c r="M74" s="49">
        <f t="shared" ref="M74" si="12">SUM(F74:L74)</f>
        <v>5</v>
      </c>
      <c r="N74" s="143"/>
    </row>
    <row r="75" spans="1:14" ht="17.25" thickTop="1" thickBot="1" x14ac:dyDescent="0.3">
      <c r="A75" s="2" t="s">
        <v>154</v>
      </c>
      <c r="B75" s="3" t="s">
        <v>6</v>
      </c>
      <c r="C75" s="68"/>
      <c r="D75" s="62">
        <f>COUNTIF(A:A, "SENG-4650*")</f>
        <v>5</v>
      </c>
      <c r="E75" s="62" t="s">
        <v>155</v>
      </c>
      <c r="F75" s="48">
        <f>COUNTIF('2a'!B1:K1, "SENG-4650*")</f>
        <v>1</v>
      </c>
      <c r="G75" s="48">
        <f>COUNTIF('2b'!$B$1:$AG$1, "SENG-4650*")</f>
        <v>1</v>
      </c>
      <c r="H75" s="48">
        <f>COUNTIF('2c'!$B$1:$C$1, "SENG-4650*")</f>
        <v>0</v>
      </c>
      <c r="I75" s="48">
        <f>COUNTIF('2d'!$B$1:$AR$1, "SENG-4650*")</f>
        <v>0</v>
      </c>
      <c r="J75" s="85">
        <f>COUNTIFS('2e'!$B$1:$N$1, "SENG-4650*")</f>
        <v>1</v>
      </c>
      <c r="K75" s="48">
        <f>COUNTIF('2f'!$B$1:$L$1, "SENG-4650*")</f>
        <v>2</v>
      </c>
      <c r="L75" s="48">
        <f>COUNTIF('2g'!B1:H1, "SENG-4650*")</f>
        <v>0</v>
      </c>
      <c r="M75" s="49">
        <f>SUM(F75:L75)</f>
        <v>5</v>
      </c>
      <c r="N75" s="143"/>
    </row>
    <row r="76" spans="1:14" ht="17.25" thickTop="1" thickBot="1" x14ac:dyDescent="0.3">
      <c r="A76" s="2" t="s">
        <v>156</v>
      </c>
      <c r="B76" s="4" t="s">
        <v>10</v>
      </c>
      <c r="C76" s="68"/>
      <c r="D76" s="62">
        <f>COUNTIF(A:A, "SENG-4660*")</f>
        <v>0</v>
      </c>
      <c r="E76" s="62" t="s">
        <v>157</v>
      </c>
      <c r="F76" s="48">
        <f>COUNTIF('2a'!B1:K1, "SENG-4660*")</f>
        <v>0</v>
      </c>
      <c r="G76" s="48">
        <f>COUNTIF('2b'!$B$1:$AG$1, "SENG-4660*")</f>
        <v>0</v>
      </c>
      <c r="H76" s="48">
        <f>COUNTIF('2c'!$B$1:$C$1, "SENG-4660*")</f>
        <v>0</v>
      </c>
      <c r="I76" s="48">
        <f>COUNTIF('2d'!$B$1:$AR$1, "SENG-4660*")</f>
        <v>0</v>
      </c>
      <c r="J76" s="85">
        <f>COUNTIFS('2e'!$B$1:$N$1, "SENG-4660*")</f>
        <v>0</v>
      </c>
      <c r="K76" s="48">
        <f>COUNTIF('2f'!$B$1:$L$1, "SENG-4660*")</f>
        <v>0</v>
      </c>
      <c r="L76" s="48">
        <f>COUNTIF('2g'!B1:H1, "SENG-4660*")</f>
        <v>0</v>
      </c>
      <c r="M76" s="49">
        <f>SUM(F76:L76)</f>
        <v>0</v>
      </c>
      <c r="N76" s="143"/>
    </row>
    <row r="77" spans="1:14" ht="17.25" thickTop="1" thickBot="1" x14ac:dyDescent="0.3">
      <c r="A77" s="2" t="s">
        <v>158</v>
      </c>
      <c r="B77" s="4" t="s">
        <v>10</v>
      </c>
      <c r="C77" s="68"/>
      <c r="D77" s="62">
        <f>COUNTIF(A:A, "STAT-2230*")</f>
        <v>3</v>
      </c>
      <c r="E77" s="62" t="s">
        <v>159</v>
      </c>
      <c r="F77" s="48">
        <f>COUNTIF('2a'!$B$1:$K$1, "STAT-2230*")</f>
        <v>0</v>
      </c>
      <c r="G77" s="48">
        <f>COUNTIF('2b'!$B$1:$AG$1, "STAT-2230*")</f>
        <v>3</v>
      </c>
      <c r="H77" s="48">
        <f>COUNTIF('2c'!$B$1:$C$1, "STAT-2230*")</f>
        <v>0</v>
      </c>
      <c r="I77" s="48">
        <f>COUNTIF('2d'!$B$1:$AR$1, "STAT-2230*")</f>
        <v>0</v>
      </c>
      <c r="J77" s="85">
        <f>COUNTIFS('2e'!$B$1:$N$1, "STAT-2230*")</f>
        <v>0</v>
      </c>
      <c r="K77" s="48">
        <f>COUNTIF('2f'!$B$1:$L$1, "STAT-2230*")</f>
        <v>0</v>
      </c>
      <c r="L77" s="48">
        <f>COUNTIF('2g'!B1:H1, "STAT-2230*")</f>
        <v>0</v>
      </c>
      <c r="M77" s="49">
        <f>SUM(F77:L77)</f>
        <v>3</v>
      </c>
      <c r="N77" s="143"/>
    </row>
    <row r="78" spans="1:14" ht="17.25" thickTop="1" thickBot="1" x14ac:dyDescent="0.3">
      <c r="A78" s="2" t="s">
        <v>160</v>
      </c>
      <c r="B78" s="4" t="s">
        <v>9</v>
      </c>
      <c r="C78" s="68"/>
      <c r="D78" s="136">
        <f>SUM(D29:D77)</f>
        <v>118</v>
      </c>
      <c r="E78" s="62" t="s">
        <v>161</v>
      </c>
      <c r="F78" s="97">
        <f>SUM(F29:F77)</f>
        <v>10</v>
      </c>
      <c r="G78" s="97">
        <f t="shared" ref="G78:L78" si="13">SUM(G29:G77)</f>
        <v>32</v>
      </c>
      <c r="H78" s="97">
        <f t="shared" si="13"/>
        <v>2</v>
      </c>
      <c r="I78" s="97">
        <f t="shared" si="13"/>
        <v>43</v>
      </c>
      <c r="J78" s="97">
        <f t="shared" si="13"/>
        <v>13</v>
      </c>
      <c r="K78" s="97">
        <f t="shared" si="13"/>
        <v>11</v>
      </c>
      <c r="L78" s="97">
        <f t="shared" si="13"/>
        <v>7</v>
      </c>
      <c r="M78" s="69">
        <f>SUM(M29:M77)</f>
        <v>118</v>
      </c>
      <c r="N78" s="143"/>
    </row>
    <row r="79" spans="1:14" ht="17.25" thickTop="1" thickBot="1" x14ac:dyDescent="0.3">
      <c r="A79" s="2" t="s">
        <v>162</v>
      </c>
      <c r="B79" s="4" t="s">
        <v>12</v>
      </c>
      <c r="C79" s="68"/>
      <c r="E79" s="143"/>
      <c r="F79" s="143"/>
      <c r="G79" s="143"/>
      <c r="H79" s="143"/>
      <c r="I79" s="143"/>
      <c r="J79" s="143"/>
      <c r="K79" s="143"/>
      <c r="L79" s="143"/>
      <c r="M79" s="143"/>
      <c r="N79" s="143"/>
    </row>
    <row r="80" spans="1:14" ht="17.25" thickTop="1" thickBot="1" x14ac:dyDescent="0.3">
      <c r="A80" s="2" t="s">
        <v>163</v>
      </c>
      <c r="B80" s="4" t="s">
        <v>6</v>
      </c>
      <c r="C80" s="68"/>
      <c r="E80" s="143"/>
      <c r="F80" s="143"/>
      <c r="G80" s="143"/>
      <c r="H80" s="143"/>
      <c r="I80" s="143"/>
      <c r="J80" s="143"/>
      <c r="K80" s="143"/>
      <c r="L80" s="143"/>
      <c r="M80" s="143"/>
      <c r="N80" s="143"/>
    </row>
    <row r="81" spans="1:14" ht="17.25" thickTop="1" thickBot="1" x14ac:dyDescent="0.3">
      <c r="A81" s="2" t="s">
        <v>164</v>
      </c>
      <c r="B81" s="4" t="s">
        <v>6</v>
      </c>
      <c r="C81" s="68"/>
      <c r="E81" s="143"/>
      <c r="F81" s="143"/>
      <c r="G81" s="143"/>
      <c r="H81" s="143"/>
      <c r="I81" s="143"/>
      <c r="J81" s="143"/>
      <c r="K81" s="143"/>
      <c r="L81" s="143"/>
      <c r="M81" s="143"/>
      <c r="N81" s="143"/>
    </row>
    <row r="82" spans="1:14" ht="17.25" thickTop="1" thickBot="1" x14ac:dyDescent="0.3">
      <c r="A82" s="2" t="s">
        <v>165</v>
      </c>
      <c r="B82" s="4" t="s">
        <v>6</v>
      </c>
      <c r="C82" s="68"/>
      <c r="E82" s="143"/>
      <c r="F82" s="143"/>
      <c r="G82" s="143"/>
      <c r="H82" s="143"/>
      <c r="I82" s="143"/>
      <c r="J82" s="143"/>
      <c r="K82" s="143"/>
      <c r="L82" s="143"/>
      <c r="M82" s="143"/>
      <c r="N82" s="143"/>
    </row>
    <row r="83" spans="1:14" ht="17.25" thickTop="1" thickBot="1" x14ac:dyDescent="0.3">
      <c r="A83" s="2" t="s">
        <v>166</v>
      </c>
      <c r="B83" s="4" t="s">
        <v>13</v>
      </c>
      <c r="C83" s="68"/>
      <c r="E83" s="143"/>
      <c r="F83" s="143"/>
      <c r="G83" s="143"/>
      <c r="H83" s="143"/>
      <c r="I83" s="143"/>
      <c r="J83" s="143"/>
      <c r="K83" s="143"/>
      <c r="L83" s="143"/>
      <c r="M83" s="143"/>
      <c r="N83" s="143"/>
    </row>
    <row r="84" spans="1:14" ht="17.25" thickTop="1" thickBot="1" x14ac:dyDescent="0.3">
      <c r="A84" s="2" t="s">
        <v>167</v>
      </c>
      <c r="B84" s="4" t="s">
        <v>12</v>
      </c>
      <c r="C84" s="68"/>
      <c r="E84" s="143"/>
      <c r="F84" s="143"/>
      <c r="G84" s="143"/>
      <c r="H84" s="143"/>
      <c r="I84" s="143"/>
      <c r="J84" s="143"/>
      <c r="K84" s="143"/>
      <c r="L84" s="143"/>
      <c r="M84" s="143"/>
      <c r="N84" s="143"/>
    </row>
    <row r="85" spans="1:14" ht="17.25" thickTop="1" thickBot="1" x14ac:dyDescent="0.3">
      <c r="A85" s="2" t="s">
        <v>168</v>
      </c>
      <c r="B85" s="4" t="s">
        <v>12</v>
      </c>
      <c r="C85" s="68"/>
      <c r="E85" s="143"/>
      <c r="F85" s="143"/>
      <c r="G85" s="143"/>
      <c r="H85" s="143"/>
      <c r="I85" s="143"/>
      <c r="J85" s="143"/>
      <c r="K85" s="143"/>
      <c r="L85" s="143"/>
      <c r="M85" s="143"/>
      <c r="N85" s="143"/>
    </row>
    <row r="86" spans="1:14" ht="17.25" thickTop="1" thickBot="1" x14ac:dyDescent="0.3">
      <c r="A86" s="2" t="s">
        <v>169</v>
      </c>
      <c r="B86" s="4" t="s">
        <v>13</v>
      </c>
      <c r="C86" s="68"/>
      <c r="E86" s="143"/>
      <c r="F86" s="143"/>
      <c r="G86" s="143"/>
      <c r="H86" s="143"/>
      <c r="I86" s="143"/>
      <c r="J86" s="143"/>
      <c r="K86" s="143"/>
      <c r="L86" s="143"/>
      <c r="M86" s="143"/>
      <c r="N86" s="143"/>
    </row>
    <row r="87" spans="1:14" ht="17.25" thickTop="1" thickBot="1" x14ac:dyDescent="0.3">
      <c r="A87" s="2" t="s">
        <v>170</v>
      </c>
      <c r="B87" s="4" t="s">
        <v>11</v>
      </c>
      <c r="C87" s="68"/>
      <c r="E87" s="143"/>
      <c r="F87" s="143"/>
      <c r="G87" s="143"/>
      <c r="H87" s="143"/>
      <c r="I87" s="143"/>
      <c r="J87" s="143"/>
      <c r="K87" s="143"/>
      <c r="L87" s="143"/>
      <c r="M87" s="143"/>
      <c r="N87" s="143"/>
    </row>
    <row r="88" spans="1:14" ht="17.25" thickTop="1" thickBot="1" x14ac:dyDescent="0.3">
      <c r="A88" s="2" t="s">
        <v>171</v>
      </c>
      <c r="B88" s="4" t="s">
        <v>6</v>
      </c>
      <c r="C88" s="68"/>
      <c r="E88" s="143"/>
      <c r="F88" s="143"/>
      <c r="G88" s="143"/>
      <c r="H88" s="143"/>
      <c r="I88" s="143"/>
      <c r="J88" s="143"/>
      <c r="K88" s="143"/>
      <c r="L88" s="143"/>
      <c r="M88" s="143"/>
      <c r="N88" s="143"/>
    </row>
    <row r="89" spans="1:14" ht="17.25" thickTop="1" thickBot="1" x14ac:dyDescent="0.3">
      <c r="A89" s="2" t="s">
        <v>172</v>
      </c>
      <c r="B89" s="4" t="s">
        <v>6</v>
      </c>
      <c r="C89" s="68"/>
      <c r="E89" s="143"/>
      <c r="F89" s="143"/>
      <c r="G89" s="143"/>
      <c r="H89" s="143"/>
      <c r="I89" s="143"/>
      <c r="J89" s="143"/>
      <c r="K89" s="143"/>
      <c r="L89" s="143"/>
      <c r="M89" s="143"/>
      <c r="N89" s="143"/>
    </row>
    <row r="90" spans="1:14" ht="17.25" thickTop="1" thickBot="1" x14ac:dyDescent="0.3">
      <c r="A90" s="2" t="s">
        <v>173</v>
      </c>
      <c r="B90" s="4" t="s">
        <v>12</v>
      </c>
      <c r="C90" s="68"/>
      <c r="E90" s="143"/>
      <c r="F90" s="143"/>
      <c r="G90" s="143"/>
      <c r="H90" s="143"/>
      <c r="I90" s="143"/>
      <c r="J90" s="143"/>
      <c r="K90" s="143"/>
      <c r="L90" s="143"/>
      <c r="M90" s="143"/>
      <c r="N90" s="143"/>
    </row>
    <row r="91" spans="1:14" ht="17.25" thickTop="1" thickBot="1" x14ac:dyDescent="0.3">
      <c r="A91" s="2" t="s">
        <v>174</v>
      </c>
      <c r="B91" s="4" t="s">
        <v>13</v>
      </c>
      <c r="C91" s="68"/>
      <c r="E91" s="143"/>
      <c r="F91" s="143"/>
      <c r="G91" s="143"/>
      <c r="H91" s="143"/>
      <c r="I91" s="143"/>
      <c r="J91" s="143"/>
      <c r="K91" s="143"/>
      <c r="L91" s="143"/>
      <c r="M91" s="143"/>
      <c r="N91" s="143"/>
    </row>
    <row r="92" spans="1:14" ht="17.25" thickTop="1" thickBot="1" x14ac:dyDescent="0.3">
      <c r="A92" s="2" t="s">
        <v>175</v>
      </c>
      <c r="B92" s="4" t="s">
        <v>11</v>
      </c>
      <c r="C92" s="68"/>
      <c r="E92" s="143"/>
      <c r="F92" s="143"/>
      <c r="G92" s="143"/>
      <c r="H92" s="143"/>
      <c r="I92" s="143"/>
      <c r="J92" s="143"/>
      <c r="K92" s="143"/>
      <c r="L92" s="143"/>
      <c r="M92" s="143"/>
      <c r="N92" s="143"/>
    </row>
    <row r="93" spans="1:14" ht="17.25" thickTop="1" thickBot="1" x14ac:dyDescent="0.3">
      <c r="A93" s="2" t="s">
        <v>176</v>
      </c>
      <c r="B93" s="4" t="s">
        <v>9</v>
      </c>
      <c r="C93" s="68"/>
      <c r="E93" s="143"/>
      <c r="F93" s="143"/>
      <c r="G93" s="143"/>
      <c r="H93" s="143"/>
      <c r="I93" s="143"/>
      <c r="J93" s="143"/>
      <c r="K93" s="143"/>
      <c r="L93" s="143"/>
      <c r="M93" s="143"/>
      <c r="N93" s="143"/>
    </row>
    <row r="94" spans="1:14" ht="17.25" thickTop="1" thickBot="1" x14ac:dyDescent="0.3">
      <c r="A94" s="2" t="s">
        <v>177</v>
      </c>
      <c r="B94" s="4" t="s">
        <v>6</v>
      </c>
      <c r="C94" s="68"/>
      <c r="E94" s="143"/>
      <c r="F94" s="143"/>
      <c r="G94" s="143"/>
      <c r="H94" s="143"/>
      <c r="I94" s="143"/>
      <c r="J94" s="143"/>
      <c r="K94" s="143"/>
      <c r="L94" s="143"/>
      <c r="M94" s="143"/>
      <c r="N94" s="143"/>
    </row>
    <row r="95" spans="1:14" ht="17.25" thickTop="1" thickBot="1" x14ac:dyDescent="0.3">
      <c r="A95" s="2" t="s">
        <v>178</v>
      </c>
      <c r="B95" s="3" t="s">
        <v>6</v>
      </c>
      <c r="C95" s="68"/>
      <c r="E95" s="143"/>
      <c r="F95" s="143"/>
      <c r="G95" s="143"/>
      <c r="H95" s="143"/>
      <c r="I95" s="143"/>
      <c r="J95" s="143"/>
      <c r="K95" s="143"/>
      <c r="L95" s="143"/>
      <c r="M95" s="143"/>
      <c r="N95" s="143"/>
    </row>
    <row r="96" spans="1:14" ht="17.25" thickTop="1" thickBot="1" x14ac:dyDescent="0.3">
      <c r="A96" s="2" t="s">
        <v>179</v>
      </c>
      <c r="B96" s="3" t="s">
        <v>11</v>
      </c>
      <c r="C96" s="68"/>
      <c r="E96" s="143"/>
      <c r="F96" s="143"/>
      <c r="G96" s="143"/>
      <c r="H96" s="143"/>
      <c r="I96" s="143"/>
      <c r="J96" s="143"/>
      <c r="K96" s="143"/>
      <c r="L96" s="143"/>
      <c r="M96" s="143"/>
      <c r="N96" s="143"/>
    </row>
    <row r="97" spans="1:14" ht="17.25" thickTop="1" thickBot="1" x14ac:dyDescent="0.3">
      <c r="A97" s="2" t="s">
        <v>180</v>
      </c>
      <c r="B97" s="3" t="s">
        <v>12</v>
      </c>
      <c r="C97" s="68"/>
      <c r="E97" s="143"/>
      <c r="F97" s="143"/>
      <c r="G97" s="143"/>
      <c r="H97" s="143"/>
      <c r="I97" s="143"/>
      <c r="J97" s="143"/>
      <c r="K97" s="143"/>
      <c r="L97" s="143"/>
      <c r="M97" s="143"/>
      <c r="N97" s="143"/>
    </row>
    <row r="98" spans="1:14" ht="17.25" thickTop="1" thickBot="1" x14ac:dyDescent="0.3">
      <c r="A98" s="2" t="s">
        <v>181</v>
      </c>
      <c r="B98" s="3" t="s">
        <v>11</v>
      </c>
      <c r="C98" s="68"/>
      <c r="E98" s="143"/>
      <c r="F98" s="143"/>
      <c r="G98" s="143"/>
      <c r="H98" s="143"/>
      <c r="I98" s="143"/>
      <c r="J98" s="143"/>
      <c r="K98" s="143"/>
      <c r="L98" s="143"/>
      <c r="M98" s="143"/>
      <c r="N98" s="143"/>
    </row>
    <row r="99" spans="1:14" ht="17.25" thickTop="1" thickBot="1" x14ac:dyDescent="0.3">
      <c r="A99" s="2" t="s">
        <v>182</v>
      </c>
      <c r="B99" s="3" t="s">
        <v>6</v>
      </c>
      <c r="C99" s="68"/>
    </row>
    <row r="100" spans="1:14" ht="17.25" thickTop="1" thickBot="1" x14ac:dyDescent="0.3">
      <c r="A100" s="2" t="s">
        <v>183</v>
      </c>
      <c r="B100" s="3" t="s">
        <v>10</v>
      </c>
      <c r="C100" s="68"/>
    </row>
    <row r="101" spans="1:14" ht="17.25" thickTop="1" thickBot="1" x14ac:dyDescent="0.3">
      <c r="A101" s="2" t="s">
        <v>184</v>
      </c>
      <c r="B101" s="3" t="s">
        <v>6</v>
      </c>
      <c r="C101" s="68"/>
    </row>
    <row r="102" spans="1:14" ht="17.25" thickTop="1" thickBot="1" x14ac:dyDescent="0.3">
      <c r="A102" s="2" t="s">
        <v>185</v>
      </c>
      <c r="B102" s="3" t="s">
        <v>9</v>
      </c>
      <c r="C102" s="68"/>
    </row>
    <row r="103" spans="1:14" ht="17.25" thickTop="1" thickBot="1" x14ac:dyDescent="0.3">
      <c r="A103" s="2" t="s">
        <v>186</v>
      </c>
      <c r="B103" s="3" t="s">
        <v>12</v>
      </c>
      <c r="C103" s="68"/>
    </row>
    <row r="104" spans="1:14" ht="17.25" thickTop="1" thickBot="1" x14ac:dyDescent="0.3">
      <c r="A104" s="2" t="s">
        <v>187</v>
      </c>
      <c r="B104" s="3" t="s">
        <v>10</v>
      </c>
      <c r="C104" s="68"/>
    </row>
    <row r="105" spans="1:14" ht="17.25" thickTop="1" thickBot="1" x14ac:dyDescent="0.3">
      <c r="A105" s="2" t="s">
        <v>188</v>
      </c>
      <c r="B105" s="3" t="s">
        <v>11</v>
      </c>
      <c r="C105" s="68"/>
    </row>
    <row r="106" spans="1:14" ht="17.25" thickTop="1" thickBot="1" x14ac:dyDescent="0.3">
      <c r="A106" s="2" t="s">
        <v>189</v>
      </c>
      <c r="B106" s="3" t="s">
        <v>11</v>
      </c>
      <c r="C106" s="68"/>
    </row>
    <row r="107" spans="1:14" ht="17.25" thickTop="1" thickBot="1" x14ac:dyDescent="0.3">
      <c r="A107" s="2" t="s">
        <v>190</v>
      </c>
      <c r="B107" s="3" t="s">
        <v>10</v>
      </c>
      <c r="C107" s="68"/>
    </row>
    <row r="108" spans="1:14" ht="17.25" thickTop="1" thickBot="1" x14ac:dyDescent="0.3">
      <c r="A108" s="2" t="s">
        <v>191</v>
      </c>
      <c r="B108" s="3" t="s">
        <v>6</v>
      </c>
      <c r="C108" s="68"/>
    </row>
    <row r="109" spans="1:14" ht="17.25" thickTop="1" thickBot="1" x14ac:dyDescent="0.3">
      <c r="A109" s="2" t="s">
        <v>192</v>
      </c>
      <c r="B109" s="3" t="s">
        <v>6</v>
      </c>
      <c r="C109" s="68"/>
    </row>
    <row r="110" spans="1:14" ht="17.25" thickTop="1" thickBot="1" x14ac:dyDescent="0.3">
      <c r="A110" s="2" t="s">
        <v>193</v>
      </c>
      <c r="B110" s="3" t="s">
        <v>6</v>
      </c>
      <c r="C110" s="68"/>
    </row>
    <row r="111" spans="1:14" ht="17.25" thickTop="1" thickBot="1" x14ac:dyDescent="0.3">
      <c r="A111" s="2" t="s">
        <v>194</v>
      </c>
      <c r="B111" s="3" t="s">
        <v>13</v>
      </c>
      <c r="C111" s="68"/>
    </row>
    <row r="112" spans="1:14" ht="17.25" thickTop="1" thickBot="1" x14ac:dyDescent="0.3">
      <c r="A112" s="2" t="s">
        <v>195</v>
      </c>
      <c r="B112" s="3" t="s">
        <v>10</v>
      </c>
      <c r="C112" s="68"/>
    </row>
    <row r="113" spans="1:3" ht="17.25" thickTop="1" thickBot="1" x14ac:dyDescent="0.3">
      <c r="A113" s="2" t="s">
        <v>196</v>
      </c>
      <c r="B113" s="3" t="s">
        <v>11</v>
      </c>
      <c r="C113" s="68"/>
    </row>
    <row r="114" spans="1:3" ht="17.25" thickTop="1" thickBot="1" x14ac:dyDescent="0.3">
      <c r="A114" s="2" t="s">
        <v>197</v>
      </c>
      <c r="B114" s="3" t="s">
        <v>12</v>
      </c>
      <c r="C114" s="68"/>
    </row>
    <row r="115" spans="1:3" ht="17.25" thickTop="1" thickBot="1" x14ac:dyDescent="0.3">
      <c r="A115" s="2" t="s">
        <v>198</v>
      </c>
      <c r="B115" s="3" t="s">
        <v>13</v>
      </c>
      <c r="C115" s="68"/>
    </row>
    <row r="116" spans="1:3" ht="17.25" thickTop="1" thickBot="1" x14ac:dyDescent="0.3">
      <c r="A116" s="2" t="s">
        <v>199</v>
      </c>
      <c r="B116" s="3" t="s">
        <v>13</v>
      </c>
      <c r="C116" s="68"/>
    </row>
    <row r="117" spans="1:3" ht="17.25" thickTop="1" thickBot="1" x14ac:dyDescent="0.3">
      <c r="A117" s="2" t="s">
        <v>200</v>
      </c>
      <c r="B117" s="4" t="s">
        <v>11</v>
      </c>
      <c r="C117" s="68"/>
    </row>
    <row r="118" spans="1:3" ht="17.25" thickTop="1" thickBot="1" x14ac:dyDescent="0.3">
      <c r="A118" s="2" t="s">
        <v>201</v>
      </c>
      <c r="B118" s="4" t="s">
        <v>11</v>
      </c>
      <c r="C118" s="68"/>
    </row>
    <row r="119" spans="1:3" ht="17.25" thickTop="1" thickBot="1" x14ac:dyDescent="0.3">
      <c r="A119" s="2" t="s">
        <v>202</v>
      </c>
      <c r="B119" s="4" t="s">
        <v>11</v>
      </c>
      <c r="C119" s="68"/>
    </row>
    <row r="120" spans="1:3" ht="16.5" thickTop="1" x14ac:dyDescent="0.25">
      <c r="C120" s="68"/>
    </row>
    <row r="121" spans="1:3" x14ac:dyDescent="0.25">
      <c r="C121" s="68"/>
    </row>
    <row r="122" spans="1:3" x14ac:dyDescent="0.25">
      <c r="C122" s="68"/>
    </row>
    <row r="123" spans="1:3" x14ac:dyDescent="0.25">
      <c r="C123" s="68"/>
    </row>
    <row r="124" spans="1:3" x14ac:dyDescent="0.25">
      <c r="C124" s="68"/>
    </row>
    <row r="125" spans="1:3" x14ac:dyDescent="0.25">
      <c r="C125" s="68"/>
    </row>
    <row r="126" spans="1:3" x14ac:dyDescent="0.25">
      <c r="C126" s="68"/>
    </row>
    <row r="127" spans="1:3" x14ac:dyDescent="0.25">
      <c r="C127" s="68"/>
    </row>
    <row r="128" spans="1:3" x14ac:dyDescent="0.25">
      <c r="C128" s="68"/>
    </row>
    <row r="129" spans="3:3" x14ac:dyDescent="0.25">
      <c r="C129" s="68"/>
    </row>
    <row r="130" spans="3:3" x14ac:dyDescent="0.25">
      <c r="C130" s="68"/>
    </row>
    <row r="131" spans="3:3" x14ac:dyDescent="0.25">
      <c r="C131" s="68"/>
    </row>
    <row r="132" spans="3:3" x14ac:dyDescent="0.25">
      <c r="C132" s="68"/>
    </row>
    <row r="133" spans="3:3" x14ac:dyDescent="0.25">
      <c r="C133" s="68"/>
    </row>
    <row r="134" spans="3:3" x14ac:dyDescent="0.25">
      <c r="C134" s="68"/>
    </row>
    <row r="135" spans="3:3" x14ac:dyDescent="0.25">
      <c r="C135" s="68"/>
    </row>
    <row r="136" spans="3:3" x14ac:dyDescent="0.25">
      <c r="C136" s="68"/>
    </row>
    <row r="137" spans="3:3" x14ac:dyDescent="0.25">
      <c r="C137" s="68"/>
    </row>
    <row r="138" spans="3:3" x14ac:dyDescent="0.25">
      <c r="C138" s="68"/>
    </row>
    <row r="139" spans="3:3" x14ac:dyDescent="0.25">
      <c r="C139" s="68"/>
    </row>
    <row r="140" spans="3:3" x14ac:dyDescent="0.25">
      <c r="C140" s="68"/>
    </row>
    <row r="141" spans="3:3" x14ac:dyDescent="0.25">
      <c r="C141" s="68"/>
    </row>
    <row r="142" spans="3:3" x14ac:dyDescent="0.25">
      <c r="C142" s="68"/>
    </row>
    <row r="143" spans="3:3" x14ac:dyDescent="0.25">
      <c r="C143" s="68"/>
    </row>
    <row r="144" spans="3:3" x14ac:dyDescent="0.25">
      <c r="C144" s="68"/>
    </row>
    <row r="145" spans="3:3" x14ac:dyDescent="0.25">
      <c r="C145" s="68"/>
    </row>
    <row r="146" spans="3:3" x14ac:dyDescent="0.25">
      <c r="C146" s="68"/>
    </row>
    <row r="147" spans="3:3" x14ac:dyDescent="0.25">
      <c r="C147" s="68"/>
    </row>
    <row r="148" spans="3:3" x14ac:dyDescent="0.25">
      <c r="C148" s="68"/>
    </row>
    <row r="149" spans="3:3" x14ac:dyDescent="0.25">
      <c r="C149" s="68"/>
    </row>
    <row r="150" spans="3:3" x14ac:dyDescent="0.25">
      <c r="C150" s="68"/>
    </row>
    <row r="151" spans="3:3" x14ac:dyDescent="0.25">
      <c r="C151" s="68"/>
    </row>
    <row r="152" spans="3:3" x14ac:dyDescent="0.25">
      <c r="C152" s="68"/>
    </row>
    <row r="153" spans="3:3" x14ac:dyDescent="0.25">
      <c r="C153" s="68"/>
    </row>
    <row r="154" spans="3:3" x14ac:dyDescent="0.25">
      <c r="C154" s="68"/>
    </row>
    <row r="155" spans="3:3" x14ac:dyDescent="0.25">
      <c r="C155" s="68"/>
    </row>
    <row r="156" spans="3:3" x14ac:dyDescent="0.25">
      <c r="C156" s="68"/>
    </row>
    <row r="157" spans="3:3" x14ac:dyDescent="0.25">
      <c r="C157" s="68"/>
    </row>
    <row r="158" spans="3:3" x14ac:dyDescent="0.25">
      <c r="C158" s="68"/>
    </row>
    <row r="159" spans="3:3" x14ac:dyDescent="0.25">
      <c r="C159" s="68"/>
    </row>
    <row r="160" spans="3:3" x14ac:dyDescent="0.25">
      <c r="C160" s="68"/>
    </row>
    <row r="161" spans="3:5" x14ac:dyDescent="0.25">
      <c r="C161" s="68"/>
    </row>
    <row r="162" spans="3:5" x14ac:dyDescent="0.25">
      <c r="C162" s="68"/>
    </row>
    <row r="163" spans="3:5" x14ac:dyDescent="0.25">
      <c r="C163" s="68"/>
    </row>
    <row r="164" spans="3:5" x14ac:dyDescent="0.25">
      <c r="C164" s="68"/>
    </row>
    <row r="165" spans="3:5" x14ac:dyDescent="0.25">
      <c r="C165" s="68"/>
    </row>
    <row r="166" spans="3:5" x14ac:dyDescent="0.25">
      <c r="C166" s="68"/>
    </row>
    <row r="167" spans="3:5" x14ac:dyDescent="0.25">
      <c r="C167" s="68"/>
    </row>
    <row r="168" spans="3:5" x14ac:dyDescent="0.25">
      <c r="C168" s="68"/>
    </row>
    <row r="169" spans="3:5" x14ac:dyDescent="0.25">
      <c r="C169" s="68"/>
    </row>
    <row r="170" spans="3:5" x14ac:dyDescent="0.25">
      <c r="C170" s="68"/>
    </row>
    <row r="171" spans="3:5" x14ac:dyDescent="0.25">
      <c r="C171" s="68"/>
    </row>
    <row r="172" spans="3:5" ht="16.5" thickBot="1" x14ac:dyDescent="0.3">
      <c r="C172" s="68"/>
    </row>
    <row r="173" spans="3:5" ht="16.5" thickBot="1" x14ac:dyDescent="0.3">
      <c r="C173" s="68"/>
      <c r="E173" s="144"/>
    </row>
    <row r="174" spans="3:5" x14ac:dyDescent="0.25">
      <c r="C174" s="68"/>
    </row>
    <row r="175" spans="3:5" x14ac:dyDescent="0.25">
      <c r="C175" s="68"/>
    </row>
    <row r="176" spans="3:5" x14ac:dyDescent="0.25">
      <c r="C176" s="68"/>
    </row>
    <row r="177" spans="3:3" x14ac:dyDescent="0.25">
      <c r="C177" s="68"/>
    </row>
    <row r="178" spans="3:3" x14ac:dyDescent="0.25">
      <c r="C178" s="68"/>
    </row>
    <row r="179" spans="3:3" x14ac:dyDescent="0.25">
      <c r="C179" s="68"/>
    </row>
    <row r="180" spans="3:3" x14ac:dyDescent="0.25">
      <c r="C180" s="68"/>
    </row>
    <row r="181" spans="3:3" x14ac:dyDescent="0.25">
      <c r="C181" s="68"/>
    </row>
    <row r="182" spans="3:3" x14ac:dyDescent="0.25">
      <c r="C182" s="68"/>
    </row>
  </sheetData>
  <sortState xmlns:xlrd2="http://schemas.microsoft.com/office/spreadsheetml/2017/richdata2" ref="A4:B182">
    <sortCondition ref="B4:B182"/>
  </sortState>
  <mergeCells count="4">
    <mergeCell ref="E3:M3"/>
    <mergeCell ref="P3:V3"/>
    <mergeCell ref="P6:V6"/>
    <mergeCell ref="E1:O1"/>
  </mergeCells>
  <phoneticPr fontId="11" type="noConversion"/>
  <conditionalFormatting sqref="L65 F65 F29:M31 F33:M35 F37:M39 F48:M60 F63:M63 F66:M73 F75:M77">
    <cfRule type="containsBlanks" dxfId="227" priority="31">
      <formula>LEN(TRIM(F29))=0</formula>
    </cfRule>
  </conditionalFormatting>
  <conditionalFormatting sqref="L65 F65 F29:L31 F33:L35 F37:L39 F48:L60 F63:L63 F66:L73 F75:L77">
    <cfRule type="cellIs" dxfId="226" priority="29" operator="greaterThan">
      <formula>0</formula>
    </cfRule>
    <cfRule type="cellIs" dxfId="225" priority="30" operator="equal">
      <formula>0</formula>
    </cfRule>
  </conditionalFormatting>
  <conditionalFormatting sqref="G65:K65 M65">
    <cfRule type="containsBlanks" dxfId="224" priority="27">
      <formula>LEN(TRIM(G65))=0</formula>
    </cfRule>
  </conditionalFormatting>
  <conditionalFormatting sqref="G65:K65">
    <cfRule type="cellIs" dxfId="223" priority="25" operator="greaterThan">
      <formula>0</formula>
    </cfRule>
    <cfRule type="cellIs" dxfId="222" priority="26" operator="equal">
      <formula>0</formula>
    </cfRule>
  </conditionalFormatting>
  <conditionalFormatting sqref="F32:M32">
    <cfRule type="containsBlanks" dxfId="221" priority="24">
      <formula>LEN(TRIM(F32))=0</formula>
    </cfRule>
  </conditionalFormatting>
  <conditionalFormatting sqref="F32:L32">
    <cfRule type="cellIs" dxfId="220" priority="22" operator="greaterThan">
      <formula>0</formula>
    </cfRule>
    <cfRule type="cellIs" dxfId="219" priority="23" operator="equal">
      <formula>0</formula>
    </cfRule>
  </conditionalFormatting>
  <conditionalFormatting sqref="F36:M36">
    <cfRule type="containsBlanks" dxfId="218" priority="21">
      <formula>LEN(TRIM(F36))=0</formula>
    </cfRule>
  </conditionalFormatting>
  <conditionalFormatting sqref="F36:L36">
    <cfRule type="cellIs" dxfId="217" priority="19" operator="greaterThan">
      <formula>0</formula>
    </cfRule>
    <cfRule type="cellIs" dxfId="216" priority="20" operator="equal">
      <formula>0</formula>
    </cfRule>
  </conditionalFormatting>
  <conditionalFormatting sqref="F40:M47">
    <cfRule type="containsBlanks" dxfId="215" priority="18">
      <formula>LEN(TRIM(F40))=0</formula>
    </cfRule>
  </conditionalFormatting>
  <conditionalFormatting sqref="F40:L47">
    <cfRule type="cellIs" dxfId="214" priority="16" operator="greaterThan">
      <formula>0</formula>
    </cfRule>
    <cfRule type="cellIs" dxfId="213" priority="17" operator="equal">
      <formula>0</formula>
    </cfRule>
  </conditionalFormatting>
  <conditionalFormatting sqref="F61:M61">
    <cfRule type="containsBlanks" dxfId="212" priority="15">
      <formula>LEN(TRIM(F61))=0</formula>
    </cfRule>
  </conditionalFormatting>
  <conditionalFormatting sqref="F61:L61">
    <cfRule type="cellIs" dxfId="211" priority="13" operator="greaterThan">
      <formula>0</formula>
    </cfRule>
    <cfRule type="cellIs" dxfId="210" priority="14" operator="equal">
      <formula>0</formula>
    </cfRule>
  </conditionalFormatting>
  <conditionalFormatting sqref="F62:M62">
    <cfRule type="containsBlanks" dxfId="209" priority="12">
      <formula>LEN(TRIM(F62))=0</formula>
    </cfRule>
  </conditionalFormatting>
  <conditionalFormatting sqref="F62:L62">
    <cfRule type="cellIs" dxfId="208" priority="10" operator="greaterThan">
      <formula>0</formula>
    </cfRule>
    <cfRule type="cellIs" dxfId="207" priority="11" operator="equal">
      <formula>0</formula>
    </cfRule>
  </conditionalFormatting>
  <conditionalFormatting sqref="L64 F64">
    <cfRule type="containsBlanks" dxfId="206" priority="9">
      <formula>LEN(TRIM(F64))=0</formula>
    </cfRule>
  </conditionalFormatting>
  <conditionalFormatting sqref="L64 F64">
    <cfRule type="cellIs" dxfId="205" priority="7" operator="greaterThan">
      <formula>0</formula>
    </cfRule>
    <cfRule type="cellIs" dxfId="204" priority="8" operator="equal">
      <formula>0</formula>
    </cfRule>
  </conditionalFormatting>
  <conditionalFormatting sqref="G64:K64 M64">
    <cfRule type="containsBlanks" dxfId="203" priority="6">
      <formula>LEN(TRIM(G64))=0</formula>
    </cfRule>
  </conditionalFormatting>
  <conditionalFormatting sqref="G64:K64">
    <cfRule type="cellIs" dxfId="202" priority="4" operator="greaterThan">
      <formula>0</formula>
    </cfRule>
    <cfRule type="cellIs" dxfId="201" priority="5" operator="equal">
      <formula>0</formula>
    </cfRule>
  </conditionalFormatting>
  <conditionalFormatting sqref="F74:M74">
    <cfRule type="containsBlanks" dxfId="200" priority="3">
      <formula>LEN(TRIM(F74))=0</formula>
    </cfRule>
  </conditionalFormatting>
  <conditionalFormatting sqref="F74:L74">
    <cfRule type="cellIs" dxfId="199" priority="1" operator="greaterThan">
      <formula>0</formula>
    </cfRule>
    <cfRule type="cellIs" dxfId="198" priority="2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5B3F-632F-4612-ABBE-989F3275CE4D}">
  <dimension ref="A1:P65"/>
  <sheetViews>
    <sheetView topLeftCell="A23" zoomScale="70" zoomScaleNormal="70" workbookViewId="0">
      <selection activeCell="B55" sqref="B55:B58"/>
    </sheetView>
  </sheetViews>
  <sheetFormatPr defaultColWidth="17.42578125"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7" width="13.85546875" bestFit="1" customWidth="1"/>
    <col min="8" max="8" width="17.7109375" bestFit="1" customWidth="1"/>
    <col min="9" max="11" width="12.42578125" bestFit="1" customWidth="1"/>
    <col min="12" max="12" width="9.28515625" bestFit="1" customWidth="1"/>
    <col min="13" max="13" width="17.42578125" customWidth="1"/>
    <col min="16" max="16" width="4.28515625" bestFit="1" customWidth="1"/>
  </cols>
  <sheetData>
    <row r="1" spans="1:16" x14ac:dyDescent="0.25">
      <c r="A1" s="12" t="s">
        <v>203</v>
      </c>
      <c r="B1" s="152" t="s">
        <v>21</v>
      </c>
      <c r="C1" s="158" t="s">
        <v>51</v>
      </c>
      <c r="D1" s="158" t="s">
        <v>62</v>
      </c>
      <c r="E1" s="152" t="s">
        <v>204</v>
      </c>
      <c r="F1" s="152" t="s">
        <v>156</v>
      </c>
      <c r="G1" s="152" t="s">
        <v>158</v>
      </c>
      <c r="H1" s="151" t="s">
        <v>205</v>
      </c>
      <c r="I1" s="151" t="s">
        <v>206</v>
      </c>
      <c r="J1" s="151" t="s">
        <v>207</v>
      </c>
      <c r="K1" s="151" t="s">
        <v>208</v>
      </c>
      <c r="L1" s="14">
        <f>COUNTA(B1:K1)</f>
        <v>10</v>
      </c>
    </row>
    <row r="2" spans="1:16" ht="30" x14ac:dyDescent="0.25">
      <c r="A2" s="15" t="s">
        <v>209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>
        <f>COUNTIF(B2:K2, "&lt;&gt;")</f>
        <v>0</v>
      </c>
    </row>
    <row r="3" spans="1:16" x14ac:dyDescent="0.25">
      <c r="A3" s="16">
        <v>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81"/>
      <c r="P3" s="108" t="s">
        <v>210</v>
      </c>
    </row>
    <row r="4" spans="1:16" x14ac:dyDescent="0.25">
      <c r="A4" s="16">
        <v>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82"/>
      <c r="P4" s="108" t="s">
        <v>211</v>
      </c>
    </row>
    <row r="5" spans="1:16" x14ac:dyDescent="0.25">
      <c r="A5" s="16">
        <v>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82"/>
      <c r="P5" s="108" t="s">
        <v>212</v>
      </c>
    </row>
    <row r="6" spans="1:16" x14ac:dyDescent="0.25">
      <c r="A6" s="16">
        <v>4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82"/>
      <c r="P6" s="108" t="s">
        <v>213</v>
      </c>
    </row>
    <row r="7" spans="1:16" x14ac:dyDescent="0.25">
      <c r="A7" s="16">
        <v>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82"/>
      <c r="P7" s="108" t="s">
        <v>214</v>
      </c>
    </row>
    <row r="8" spans="1:16" x14ac:dyDescent="0.25">
      <c r="A8" s="16">
        <v>6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82"/>
      <c r="P8" s="108" t="s">
        <v>215</v>
      </c>
    </row>
    <row r="9" spans="1:16" x14ac:dyDescent="0.25">
      <c r="A9" s="16">
        <v>7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82"/>
      <c r="P9" s="108" t="s">
        <v>216</v>
      </c>
    </row>
    <row r="10" spans="1:16" x14ac:dyDescent="0.25">
      <c r="A10" s="16">
        <v>8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82"/>
    </row>
    <row r="11" spans="1:16" x14ac:dyDescent="0.25">
      <c r="A11" s="16">
        <v>9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82"/>
    </row>
    <row r="12" spans="1:16" x14ac:dyDescent="0.25">
      <c r="A12" s="16">
        <v>10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82"/>
    </row>
    <row r="13" spans="1:16" x14ac:dyDescent="0.25">
      <c r="A13" s="16">
        <v>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82"/>
    </row>
    <row r="14" spans="1:16" x14ac:dyDescent="0.25">
      <c r="A14" s="16">
        <v>12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82"/>
    </row>
    <row r="15" spans="1:16" x14ac:dyDescent="0.25">
      <c r="A15" s="16">
        <v>13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82"/>
    </row>
    <row r="16" spans="1:16" x14ac:dyDescent="0.25">
      <c r="A16" s="16">
        <v>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82"/>
    </row>
    <row r="17" spans="1:12" x14ac:dyDescent="0.25">
      <c r="A17" s="16">
        <v>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82"/>
    </row>
    <row r="18" spans="1:12" x14ac:dyDescent="0.25">
      <c r="A18" s="16">
        <v>16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82"/>
    </row>
    <row r="19" spans="1:12" x14ac:dyDescent="0.25">
      <c r="A19" s="16">
        <v>17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82"/>
    </row>
    <row r="20" spans="1:12" x14ac:dyDescent="0.25">
      <c r="A20" s="16">
        <v>18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82"/>
    </row>
    <row r="21" spans="1:12" x14ac:dyDescent="0.25">
      <c r="A21" s="16">
        <v>19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82"/>
    </row>
    <row r="22" spans="1:12" x14ac:dyDescent="0.25">
      <c r="A22" s="18">
        <v>20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82"/>
    </row>
    <row r="23" spans="1:12" x14ac:dyDescent="0.25">
      <c r="A23" s="18">
        <v>21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82"/>
    </row>
    <row r="24" spans="1:12" x14ac:dyDescent="0.25">
      <c r="A24" s="16">
        <v>22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82"/>
    </row>
    <row r="25" spans="1:12" x14ac:dyDescent="0.25">
      <c r="A25" s="16">
        <v>23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82"/>
    </row>
    <row r="26" spans="1:12" x14ac:dyDescent="0.25">
      <c r="A26" s="16">
        <v>24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82"/>
    </row>
    <row r="27" spans="1:12" x14ac:dyDescent="0.25">
      <c r="A27" s="16">
        <v>25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82"/>
    </row>
    <row r="28" spans="1:12" x14ac:dyDescent="0.25">
      <c r="A28" s="18">
        <v>26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82"/>
    </row>
    <row r="29" spans="1:12" x14ac:dyDescent="0.25">
      <c r="A29" s="18">
        <v>27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82"/>
    </row>
    <row r="30" spans="1:12" x14ac:dyDescent="0.25">
      <c r="A30" s="16">
        <v>28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82"/>
    </row>
    <row r="31" spans="1:12" x14ac:dyDescent="0.25">
      <c r="A31" s="16">
        <v>29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82"/>
    </row>
    <row r="32" spans="1:12" x14ac:dyDescent="0.25">
      <c r="A32" s="16">
        <v>30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82"/>
    </row>
    <row r="33" spans="1:12" x14ac:dyDescent="0.25">
      <c r="A33" s="16">
        <v>31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82"/>
    </row>
    <row r="34" spans="1:12" x14ac:dyDescent="0.25">
      <c r="A34" s="16">
        <v>32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82"/>
    </row>
    <row r="35" spans="1:12" x14ac:dyDescent="0.25">
      <c r="A35" s="18">
        <v>33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82"/>
    </row>
    <row r="36" spans="1:12" x14ac:dyDescent="0.25">
      <c r="A36" s="18">
        <v>34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82"/>
    </row>
    <row r="37" spans="1:12" x14ac:dyDescent="0.25">
      <c r="A37" s="16">
        <v>35</v>
      </c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82"/>
    </row>
    <row r="38" spans="1:12" x14ac:dyDescent="0.25">
      <c r="A38" s="16">
        <v>36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82"/>
    </row>
    <row r="39" spans="1:12" x14ac:dyDescent="0.25">
      <c r="A39" s="16">
        <v>37</v>
      </c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82"/>
    </row>
    <row r="40" spans="1:12" x14ac:dyDescent="0.25">
      <c r="A40" s="16">
        <v>38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82"/>
    </row>
    <row r="41" spans="1:12" x14ac:dyDescent="0.25">
      <c r="A41" s="18">
        <v>39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82"/>
    </row>
    <row r="42" spans="1:12" ht="15.75" thickBot="1" x14ac:dyDescent="0.3">
      <c r="A42" s="18">
        <v>40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83"/>
    </row>
    <row r="43" spans="1:12" ht="15.75" thickTop="1" x14ac:dyDescent="0.25">
      <c r="A43" s="19" t="s">
        <v>14</v>
      </c>
      <c r="B43" s="172" t="e">
        <f>AVERAGE(B3:B42)</f>
        <v>#DIV/0!</v>
      </c>
      <c r="C43" s="172" t="e">
        <f t="shared" ref="C43:K43" si="0">AVERAGE(C3:C42)</f>
        <v>#DIV/0!</v>
      </c>
      <c r="D43" s="172" t="e">
        <f t="shared" si="0"/>
        <v>#DIV/0!</v>
      </c>
      <c r="E43" s="172" t="e">
        <f t="shared" si="0"/>
        <v>#DIV/0!</v>
      </c>
      <c r="F43" s="172" t="e">
        <f t="shared" si="0"/>
        <v>#DIV/0!</v>
      </c>
      <c r="G43" s="172" t="e">
        <f t="shared" si="0"/>
        <v>#DIV/0!</v>
      </c>
      <c r="H43" s="172" t="e">
        <f t="shared" si="0"/>
        <v>#DIV/0!</v>
      </c>
      <c r="I43" s="172" t="e">
        <f t="shared" si="0"/>
        <v>#DIV/0!</v>
      </c>
      <c r="J43" s="172" t="e">
        <f t="shared" si="0"/>
        <v>#DIV/0!</v>
      </c>
      <c r="K43" s="172" t="e">
        <f t="shared" si="0"/>
        <v>#DIV/0!</v>
      </c>
      <c r="L43" s="20"/>
    </row>
    <row r="44" spans="1:12" x14ac:dyDescent="0.25">
      <c r="A44" s="21" t="s">
        <v>217</v>
      </c>
      <c r="B44" s="166" t="e">
        <f>AVERAGEIF(B43:K43, "&lt;&gt;#DIV/0!")</f>
        <v>#DIV/0!</v>
      </c>
      <c r="C44" s="166"/>
      <c r="D44" s="166"/>
      <c r="E44" s="166"/>
      <c r="F44" s="166"/>
      <c r="G44" s="166"/>
      <c r="H44" s="166"/>
      <c r="I44" s="166"/>
      <c r="J44" s="166"/>
      <c r="K44" s="166"/>
      <c r="L44" s="17"/>
    </row>
    <row r="45" spans="1:12" x14ac:dyDescent="0.25">
      <c r="A45" s="21" t="s">
        <v>218</v>
      </c>
      <c r="B45" s="17">
        <f>COUNTIF(B3:B42, "&lt;&gt;")</f>
        <v>0</v>
      </c>
      <c r="C45" s="17">
        <f t="shared" ref="C45:K45" si="1">COUNTIF(C3:C42, "&lt;&gt;")</f>
        <v>0</v>
      </c>
      <c r="D45" s="17">
        <f t="shared" si="1"/>
        <v>0</v>
      </c>
      <c r="E45" s="17">
        <f t="shared" si="1"/>
        <v>0</v>
      </c>
      <c r="F45" s="17">
        <f t="shared" si="1"/>
        <v>0</v>
      </c>
      <c r="G45" s="17">
        <f t="shared" si="1"/>
        <v>0</v>
      </c>
      <c r="H45" s="17">
        <f t="shared" si="1"/>
        <v>0</v>
      </c>
      <c r="I45" s="17">
        <f t="shared" si="1"/>
        <v>0</v>
      </c>
      <c r="J45" s="17">
        <f t="shared" si="1"/>
        <v>0</v>
      </c>
      <c r="K45" s="17">
        <f t="shared" si="1"/>
        <v>0</v>
      </c>
      <c r="L45" s="24"/>
    </row>
    <row r="47" spans="1:12" x14ac:dyDescent="0.25">
      <c r="B47" s="9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</row>
    <row r="48" spans="1:12" x14ac:dyDescent="0.25">
      <c r="A48" s="101" t="s">
        <v>226</v>
      </c>
      <c r="B48" s="159">
        <f>COUNTIF($B$2, "A") + COUNTIF($E$2:$G$2, "A")</f>
        <v>0</v>
      </c>
      <c r="C48" s="159">
        <f>COUNTIF($B$2, "Q") + COUNTIF($E$2:$G$2, "Q")</f>
        <v>0</v>
      </c>
      <c r="D48" s="159">
        <f>COUNTIF($B$2, "M") + COUNTIF($E$2:$G$2, "M")</f>
        <v>0</v>
      </c>
      <c r="E48" s="159">
        <f>COUNTIF($B$2, "F") + COUNTIF($E$2:$G$2, "F")</f>
        <v>0</v>
      </c>
      <c r="F48" s="159">
        <f>COUNTIF($B$2, "P") + COUNTIF($E$2:$G$2, "P")</f>
        <v>0</v>
      </c>
      <c r="G48" s="159">
        <f>COUNTIF($B$2, "L") + COUNTIF($E$2:$G$2, "L")</f>
        <v>0</v>
      </c>
      <c r="H48" s="159">
        <f>COUNTIF($B$2, "OT") + COUNTIF($E$2:$G$2, "OT")</f>
        <v>0</v>
      </c>
      <c r="I48" s="12">
        <f t="shared" ref="I48:I50" si="2">SUM(B48:H48)</f>
        <v>0</v>
      </c>
    </row>
    <row r="49" spans="1:12" x14ac:dyDescent="0.25">
      <c r="A49" s="102" t="s">
        <v>227</v>
      </c>
      <c r="B49" s="16">
        <f>COUNTIF($C$2:$D$2,"A")</f>
        <v>0</v>
      </c>
      <c r="C49" s="16">
        <f>COUNTIF($C$2:$D$2,"Q")</f>
        <v>0</v>
      </c>
      <c r="D49" s="16">
        <f>COUNTIF($C$2:$D$2,"M")</f>
        <v>0</v>
      </c>
      <c r="E49" s="16">
        <f>COUNTIF($C$2:$D$2,"F")</f>
        <v>0</v>
      </c>
      <c r="F49" s="16">
        <f>COUNTIF($C$2:$D$2,"P")</f>
        <v>0</v>
      </c>
      <c r="G49" s="16">
        <f>COUNTIF($C$2:$D$2,"L")</f>
        <v>0</v>
      </c>
      <c r="H49" s="16">
        <f>COUNTIF($C$2:$D$2,"OT")</f>
        <v>0</v>
      </c>
      <c r="I49" s="12">
        <f t="shared" si="2"/>
        <v>0</v>
      </c>
    </row>
    <row r="50" spans="1:12" x14ac:dyDescent="0.25">
      <c r="A50" s="103" t="s">
        <v>228</v>
      </c>
      <c r="B50" s="16">
        <f>COUNTIF($H$2:$K$2, "A")</f>
        <v>0</v>
      </c>
      <c r="C50" s="16">
        <f>COUNTIF($H$2:$K$2, "Q")</f>
        <v>0</v>
      </c>
      <c r="D50" s="16">
        <f>COUNTIF($H$2:$K$2, "M")</f>
        <v>0</v>
      </c>
      <c r="E50" s="16">
        <f>COUNTIF($H$2:$K$2, "F")</f>
        <v>0</v>
      </c>
      <c r="F50" s="16">
        <f>COUNTIF($H$2:$K$2, "P")</f>
        <v>0</v>
      </c>
      <c r="G50" s="16">
        <f>COUNTIF($H$2:$K$2, "L")</f>
        <v>0</v>
      </c>
      <c r="H50" s="16">
        <f>COUNTIF($H$2:$K$2, "OT")</f>
        <v>0</v>
      </c>
      <c r="I50" s="12">
        <f t="shared" si="2"/>
        <v>0</v>
      </c>
    </row>
    <row r="51" spans="1:12" x14ac:dyDescent="0.25">
      <c r="A51" s="22" t="s">
        <v>61</v>
      </c>
      <c r="B51" s="12">
        <f>SUM(B48:B50)</f>
        <v>0</v>
      </c>
      <c r="C51" s="12">
        <f t="shared" ref="C51:H51" si="3">SUM(C48:C50)</f>
        <v>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0</v>
      </c>
      <c r="I51" s="12">
        <f>SUM(B51:H51)</f>
        <v>0</v>
      </c>
    </row>
    <row r="53" spans="1:12" ht="18.75" thickBot="1" x14ac:dyDescent="0.3">
      <c r="A53" s="27" t="s">
        <v>229</v>
      </c>
      <c r="B53" s="119"/>
      <c r="C53" s="119"/>
      <c r="D53" s="119"/>
      <c r="E53" s="119"/>
      <c r="F53" s="119"/>
      <c r="G53" s="119"/>
      <c r="H53" s="24"/>
      <c r="I53" s="24"/>
      <c r="J53" s="24"/>
      <c r="K53" s="24"/>
    </row>
    <row r="54" spans="1:12" ht="16.5" thickBot="1" x14ac:dyDescent="0.3">
      <c r="A54" s="25" t="s">
        <v>26</v>
      </c>
      <c r="B54" s="152" t="s">
        <v>21</v>
      </c>
      <c r="C54" s="158" t="s">
        <v>51</v>
      </c>
      <c r="D54" s="158" t="s">
        <v>62</v>
      </c>
      <c r="E54" s="152" t="s">
        <v>204</v>
      </c>
      <c r="F54" s="152" t="s">
        <v>156</v>
      </c>
      <c r="G54" s="152" t="s">
        <v>158</v>
      </c>
      <c r="H54" s="151" t="s">
        <v>205</v>
      </c>
      <c r="I54" s="151" t="s">
        <v>206</v>
      </c>
      <c r="J54" s="151" t="s">
        <v>207</v>
      </c>
      <c r="K54" s="151" t="s">
        <v>208</v>
      </c>
      <c r="L54" s="118" t="s">
        <v>14</v>
      </c>
    </row>
    <row r="55" spans="1:12" ht="16.5" thickBot="1" x14ac:dyDescent="0.3">
      <c r="A55" s="104" t="s">
        <v>28</v>
      </c>
      <c r="B55" s="117" t="e">
        <f>(COUNTIF(B3:B42, "&lt;=59%"))/B45</f>
        <v>#DIV/0!</v>
      </c>
      <c r="C55" s="117" t="e">
        <f t="shared" ref="C55:K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117" t="e">
        <f t="shared" si="4"/>
        <v>#DIV/0!</v>
      </c>
      <c r="L55" s="89" t="e">
        <f>AVERAGEIF(B55:K55, "&lt;&gt;#DIV/0!")</f>
        <v>#DIV/0!</v>
      </c>
    </row>
    <row r="56" spans="1:12" ht="16.5" thickBot="1" x14ac:dyDescent="0.3">
      <c r="A56" s="105" t="s">
        <v>30</v>
      </c>
      <c r="B56" s="120" t="e">
        <f>(COUNTIFS(B3:B42, "&gt;= 60%", B3:B42, "&lt;=69%" ))/B45</f>
        <v>#DIV/0!</v>
      </c>
      <c r="C56" s="120" t="e">
        <f t="shared" ref="C56:K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120" t="e">
        <f t="shared" si="5"/>
        <v>#DIV/0!</v>
      </c>
      <c r="L56" s="89" t="e">
        <f>AVERAGEIF(B56:K56, "&lt;&gt;#DIV/0!")</f>
        <v>#DIV/0!</v>
      </c>
    </row>
    <row r="57" spans="1:12" ht="16.5" thickBot="1" x14ac:dyDescent="0.3">
      <c r="A57" s="100" t="s">
        <v>32</v>
      </c>
      <c r="B57" s="120" t="e">
        <f>(COUNTIFS(B3:B42, "&gt;= 70%", B3:B42, "&lt;=79%" ))/B45</f>
        <v>#DIV/0!</v>
      </c>
      <c r="C57" s="120" t="e">
        <f t="shared" ref="C57:K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120" t="e">
        <f t="shared" si="6"/>
        <v>#DIV/0!</v>
      </c>
      <c r="J57" s="120" t="e">
        <f t="shared" si="6"/>
        <v>#DIV/0!</v>
      </c>
      <c r="K57" s="120" t="e">
        <f t="shared" si="6"/>
        <v>#DIV/0!</v>
      </c>
      <c r="L57" s="89" t="e">
        <f>AVERAGEIF(B57:K57, "&lt;&gt;#DIV/0!")</f>
        <v>#DIV/0!</v>
      </c>
    </row>
    <row r="58" spans="1:12" ht="16.5" thickBot="1" x14ac:dyDescent="0.3">
      <c r="A58" s="106" t="s">
        <v>34</v>
      </c>
      <c r="B58" s="120" t="e">
        <f>(COUNTIF(B3:B42,"&gt;= 80%")/B45)</f>
        <v>#DIV/0!</v>
      </c>
      <c r="C58" s="120" t="e">
        <f t="shared" ref="C58:K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0" t="e">
        <f t="shared" si="7"/>
        <v>#DIV/0!</v>
      </c>
      <c r="J58" s="120" t="e">
        <f t="shared" si="7"/>
        <v>#DIV/0!</v>
      </c>
      <c r="K58" s="120" t="e">
        <f t="shared" si="7"/>
        <v>#DIV/0!</v>
      </c>
      <c r="L58" s="89" t="e">
        <f>AVERAGEIF(B58:K58, "&lt;&gt;#DIV/0!")</f>
        <v>#DIV/0!</v>
      </c>
    </row>
    <row r="59" spans="1:12" ht="15.75" thickBot="1" x14ac:dyDescent="0.3">
      <c r="A59" s="26"/>
      <c r="B59" s="121">
        <f>SUMIF(B55:B58, "&lt;&gt;#DIV/0!")</f>
        <v>0</v>
      </c>
      <c r="C59" s="98">
        <f t="shared" ref="C59:L59" si="8">SUMIF(C55:C58, "&lt;&gt;#DIV/0!")</f>
        <v>0</v>
      </c>
      <c r="D59" s="98">
        <f t="shared" si="8"/>
        <v>0</v>
      </c>
      <c r="E59" s="98">
        <f t="shared" si="8"/>
        <v>0</v>
      </c>
      <c r="F59" s="98">
        <f t="shared" si="8"/>
        <v>0</v>
      </c>
      <c r="G59" s="98">
        <f t="shared" si="8"/>
        <v>0</v>
      </c>
      <c r="H59" s="98">
        <f t="shared" si="8"/>
        <v>0</v>
      </c>
      <c r="I59" s="98">
        <f t="shared" si="8"/>
        <v>0</v>
      </c>
      <c r="J59" s="98">
        <f t="shared" si="8"/>
        <v>0</v>
      </c>
      <c r="K59" s="98">
        <f t="shared" si="8"/>
        <v>0</v>
      </c>
      <c r="L59" s="98">
        <f t="shared" si="8"/>
        <v>0</v>
      </c>
    </row>
    <row r="60" spans="1:12" ht="15.75" thickBot="1" x14ac:dyDescent="0.3"/>
    <row r="61" spans="1:12" ht="15.75" thickBot="1" x14ac:dyDescent="0.3">
      <c r="A61" s="28"/>
      <c r="B61" s="30" t="s">
        <v>230</v>
      </c>
      <c r="C61" s="30" t="s">
        <v>231</v>
      </c>
    </row>
    <row r="62" spans="1:12" ht="16.5" thickBot="1" x14ac:dyDescent="0.3">
      <c r="A62" s="29" t="s">
        <v>34</v>
      </c>
      <c r="B62" s="32" t="s">
        <v>232</v>
      </c>
      <c r="C62" s="31">
        <v>100</v>
      </c>
    </row>
    <row r="63" spans="1:12" ht="16.5" thickBot="1" x14ac:dyDescent="0.3">
      <c r="A63" s="29" t="s">
        <v>32</v>
      </c>
      <c r="B63" s="32" t="s">
        <v>233</v>
      </c>
      <c r="C63" s="31">
        <v>79</v>
      </c>
    </row>
    <row r="64" spans="1:12" ht="16.5" thickBot="1" x14ac:dyDescent="0.3">
      <c r="A64" s="29" t="s">
        <v>30</v>
      </c>
      <c r="B64" s="32" t="s">
        <v>234</v>
      </c>
      <c r="C64" s="31">
        <v>69</v>
      </c>
    </row>
    <row r="65" spans="1:3" ht="16.5" thickBot="1" x14ac:dyDescent="0.3">
      <c r="A65" s="29" t="s">
        <v>28</v>
      </c>
      <c r="B65" s="32" t="s">
        <v>235</v>
      </c>
      <c r="C65" s="31">
        <v>59</v>
      </c>
    </row>
  </sheetData>
  <mergeCells count="1">
    <mergeCell ref="L3:L42"/>
  </mergeCells>
  <phoneticPr fontId="11" type="noConversion"/>
  <conditionalFormatting sqref="B3:K2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7" priority="170" operator="greaterThanOrEqual">
      <formula>80</formula>
    </cfRule>
    <cfRule type="containsBlanks" dxfId="196" priority="171" stopIfTrue="1">
      <formula>LEN(TRIM(B3))=0</formula>
    </cfRule>
    <cfRule type="cellIs" dxfId="195" priority="172" operator="greaterThanOrEqual">
      <formula>80</formula>
    </cfRule>
    <cfRule type="cellIs" dxfId="194" priority="173" operator="between">
      <formula>70</formula>
      <formula>79</formula>
    </cfRule>
    <cfRule type="cellIs" dxfId="193" priority="174" operator="between">
      <formula>60</formula>
      <formula>69</formula>
    </cfRule>
    <cfRule type="cellIs" dxfId="192" priority="175" operator="between">
      <formula>0</formula>
      <formula>59</formula>
    </cfRule>
  </conditionalFormatting>
  <conditionalFormatting sqref="B23:K2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1" priority="177" operator="greaterThanOrEqual">
      <formula>80</formula>
    </cfRule>
    <cfRule type="containsBlanks" dxfId="190" priority="178" stopIfTrue="1">
      <formula>LEN(TRIM(B23))=0</formula>
    </cfRule>
    <cfRule type="cellIs" dxfId="189" priority="179" operator="greaterThanOrEqual">
      <formula>80</formula>
    </cfRule>
    <cfRule type="cellIs" dxfId="188" priority="180" operator="between">
      <formula>70</formula>
      <formula>79</formula>
    </cfRule>
    <cfRule type="cellIs" dxfId="187" priority="181" operator="between">
      <formula>60</formula>
      <formula>69</formula>
    </cfRule>
    <cfRule type="cellIs" dxfId="186" priority="182" operator="between">
      <formula>0</formula>
      <formula>59</formula>
    </cfRule>
  </conditionalFormatting>
  <conditionalFormatting sqref="B24:K2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5" priority="184" operator="greaterThanOrEqual">
      <formula>80</formula>
    </cfRule>
    <cfRule type="containsBlanks" dxfId="184" priority="185" stopIfTrue="1">
      <formula>LEN(TRIM(B24))=0</formula>
    </cfRule>
    <cfRule type="cellIs" dxfId="183" priority="186" operator="greaterThanOrEqual">
      <formula>80</formula>
    </cfRule>
    <cfRule type="cellIs" dxfId="182" priority="187" operator="between">
      <formula>70</formula>
      <formula>79</formula>
    </cfRule>
    <cfRule type="cellIs" dxfId="181" priority="188" operator="between">
      <formula>60</formula>
      <formula>69</formula>
    </cfRule>
    <cfRule type="cellIs" dxfId="180" priority="189" operator="between">
      <formula>0</formula>
      <formula>59</formula>
    </cfRule>
  </conditionalFormatting>
  <conditionalFormatting sqref="B29:K2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" priority="191" operator="greaterThanOrEqual">
      <formula>80</formula>
    </cfRule>
    <cfRule type="containsBlanks" dxfId="178" priority="192" stopIfTrue="1">
      <formula>LEN(TRIM(B29))=0</formula>
    </cfRule>
    <cfRule type="cellIs" dxfId="177" priority="193" operator="greaterThanOrEqual">
      <formula>80</formula>
    </cfRule>
    <cfRule type="cellIs" dxfId="176" priority="194" operator="between">
      <formula>70</formula>
      <formula>79</formula>
    </cfRule>
    <cfRule type="cellIs" dxfId="175" priority="195" operator="between">
      <formula>60</formula>
      <formula>69</formula>
    </cfRule>
    <cfRule type="cellIs" dxfId="174" priority="196" operator="between">
      <formula>0</formula>
      <formula>59</formula>
    </cfRule>
  </conditionalFormatting>
  <conditionalFormatting sqref="B30:K3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" priority="198" operator="greaterThanOrEqual">
      <formula>80</formula>
    </cfRule>
    <cfRule type="containsBlanks" dxfId="172" priority="199" stopIfTrue="1">
      <formula>LEN(TRIM(B30))=0</formula>
    </cfRule>
    <cfRule type="cellIs" dxfId="171" priority="200" operator="greaterThanOrEqual">
      <formula>80</formula>
    </cfRule>
    <cfRule type="cellIs" dxfId="170" priority="201" operator="between">
      <formula>70</formula>
      <formula>79</formula>
    </cfRule>
    <cfRule type="cellIs" dxfId="169" priority="202" operator="between">
      <formula>60</formula>
      <formula>69</formula>
    </cfRule>
    <cfRule type="cellIs" dxfId="168" priority="203" operator="between">
      <formula>0</formula>
      <formula>59</formula>
    </cfRule>
  </conditionalFormatting>
  <conditionalFormatting sqref="B36:K3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7" priority="205" operator="greaterThanOrEqual">
      <formula>80</formula>
    </cfRule>
    <cfRule type="containsBlanks" dxfId="166" priority="206" stopIfTrue="1">
      <formula>LEN(TRIM(B36))=0</formula>
    </cfRule>
    <cfRule type="cellIs" dxfId="165" priority="207" operator="greaterThanOrEqual">
      <formula>80</formula>
    </cfRule>
    <cfRule type="cellIs" dxfId="164" priority="208" operator="between">
      <formula>70</formula>
      <formula>79</formula>
    </cfRule>
    <cfRule type="cellIs" dxfId="163" priority="209" operator="between">
      <formula>60</formula>
      <formula>69</formula>
    </cfRule>
    <cfRule type="cellIs" dxfId="162" priority="210" operator="between">
      <formula>0</formula>
      <formula>59</formula>
    </cfRule>
  </conditionalFormatting>
  <conditionalFormatting sqref="B37:K41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1" priority="212" operator="greaterThanOrEqual">
      <formula>80</formula>
    </cfRule>
    <cfRule type="containsBlanks" dxfId="160" priority="213" stopIfTrue="1">
      <formula>LEN(TRIM(B37))=0</formula>
    </cfRule>
    <cfRule type="cellIs" dxfId="159" priority="214" operator="greaterThanOrEqual">
      <formula>80</formula>
    </cfRule>
    <cfRule type="cellIs" dxfId="158" priority="215" operator="between">
      <formula>70</formula>
      <formula>79</formula>
    </cfRule>
    <cfRule type="cellIs" dxfId="157" priority="216" operator="between">
      <formula>60</formula>
      <formula>69</formula>
    </cfRule>
    <cfRule type="cellIs" dxfId="156" priority="217" operator="between">
      <formula>0</formula>
      <formula>59</formula>
    </cfRule>
  </conditionalFormatting>
  <conditionalFormatting sqref="B42:K42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5" priority="219" operator="greaterThanOrEqual">
      <formula>80</formula>
    </cfRule>
    <cfRule type="containsBlanks" dxfId="154" priority="220" stopIfTrue="1">
      <formula>LEN(TRIM(B42))=0</formula>
    </cfRule>
    <cfRule type="cellIs" dxfId="153" priority="221" operator="greaterThanOrEqual">
      <formula>80</formula>
    </cfRule>
    <cfRule type="cellIs" dxfId="152" priority="222" operator="between">
      <formula>70</formula>
      <formula>79</formula>
    </cfRule>
    <cfRule type="cellIs" dxfId="151" priority="223" operator="between">
      <formula>60</formula>
      <formula>69</formula>
    </cfRule>
    <cfRule type="cellIs" dxfId="150" priority="224" operator="between">
      <formula>0</formula>
      <formula>59</formula>
    </cfRule>
  </conditionalFormatting>
  <dataValidations count="1">
    <dataValidation type="list" allowBlank="1" showInputMessage="1" showErrorMessage="1" sqref="B2:K2" xr:uid="{3DE80BE3-E999-4C58-A25E-C60AF2D1D99A}">
      <formula1>$P$3:$P$10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308B-E3A9-4B1E-A418-545F57350095}">
  <dimension ref="A1:AJ65"/>
  <sheetViews>
    <sheetView topLeftCell="A21" zoomScale="70" zoomScaleNormal="70" workbookViewId="0">
      <selection activeCell="B55" sqref="B55:B58"/>
    </sheetView>
  </sheetViews>
  <sheetFormatPr defaultColWidth="16.5703125" defaultRowHeight="15" x14ac:dyDescent="0.25"/>
  <cols>
    <col min="1" max="1" width="44.85546875" bestFit="1" customWidth="1"/>
    <col min="2" max="2" width="18.85546875" bestFit="1" customWidth="1"/>
    <col min="3" max="3" width="14.85546875" bestFit="1" customWidth="1"/>
    <col min="4" max="4" width="15.85546875" bestFit="1" customWidth="1"/>
    <col min="5" max="5" width="17.7109375" bestFit="1" customWidth="1"/>
    <col min="6" max="6" width="14.28515625" bestFit="1" customWidth="1"/>
    <col min="7" max="7" width="14.5703125" bestFit="1" customWidth="1"/>
    <col min="8" max="8" width="17.7109375" bestFit="1" customWidth="1"/>
    <col min="9" max="9" width="14.42578125" bestFit="1" customWidth="1"/>
    <col min="10" max="12" width="14.85546875" bestFit="1" customWidth="1"/>
    <col min="13" max="13" width="14.42578125" bestFit="1" customWidth="1"/>
    <col min="14" max="21" width="14.85546875" bestFit="1" customWidth="1"/>
    <col min="22" max="22" width="15.7109375" bestFit="1" customWidth="1"/>
    <col min="23" max="23" width="14" bestFit="1" customWidth="1"/>
    <col min="24" max="24" width="14.85546875" bestFit="1" customWidth="1"/>
    <col min="25" max="25" width="12.5703125" bestFit="1" customWidth="1"/>
    <col min="26" max="26" width="13" bestFit="1" customWidth="1"/>
    <col min="27" max="27" width="12.5703125" bestFit="1" customWidth="1"/>
    <col min="28" max="30" width="13" bestFit="1" customWidth="1"/>
    <col min="31" max="31" width="14.42578125" bestFit="1" customWidth="1"/>
    <col min="32" max="33" width="14.85546875" bestFit="1" customWidth="1"/>
    <col min="34" max="34" width="9.28515625" bestFit="1" customWidth="1"/>
    <col min="36" max="36" width="4.28515625" bestFit="1" customWidth="1"/>
  </cols>
  <sheetData>
    <row r="1" spans="1:36" x14ac:dyDescent="0.25">
      <c r="A1" s="12" t="s">
        <v>203</v>
      </c>
      <c r="B1" s="152" t="s">
        <v>15</v>
      </c>
      <c r="C1" s="151" t="s">
        <v>35</v>
      </c>
      <c r="D1" s="151" t="s">
        <v>56</v>
      </c>
      <c r="E1" s="157" t="s">
        <v>70</v>
      </c>
      <c r="F1" s="153" t="s">
        <v>78</v>
      </c>
      <c r="G1" s="153" t="s">
        <v>84</v>
      </c>
      <c r="H1" s="158" t="s">
        <v>106</v>
      </c>
      <c r="I1" s="152" t="s">
        <v>110</v>
      </c>
      <c r="J1" s="152" t="s">
        <v>112</v>
      </c>
      <c r="K1" s="152" t="s">
        <v>114</v>
      </c>
      <c r="L1" s="152" t="s">
        <v>116</v>
      </c>
      <c r="M1" s="152" t="s">
        <v>118</v>
      </c>
      <c r="N1" s="152" t="s">
        <v>122</v>
      </c>
      <c r="O1" s="152" t="s">
        <v>124</v>
      </c>
      <c r="P1" s="152" t="s">
        <v>126</v>
      </c>
      <c r="Q1" s="152" t="s">
        <v>128</v>
      </c>
      <c r="R1" s="152" t="s">
        <v>130</v>
      </c>
      <c r="S1" s="152" t="s">
        <v>132</v>
      </c>
      <c r="T1" s="152" t="s">
        <v>134</v>
      </c>
      <c r="U1" s="152" t="s">
        <v>136</v>
      </c>
      <c r="V1" s="152" t="s">
        <v>120</v>
      </c>
      <c r="W1" s="152" t="s">
        <v>152</v>
      </c>
      <c r="X1" s="151" t="s">
        <v>236</v>
      </c>
      <c r="Y1" s="151" t="s">
        <v>237</v>
      </c>
      <c r="Z1" s="151" t="s">
        <v>238</v>
      </c>
      <c r="AA1" s="151" t="s">
        <v>239</v>
      </c>
      <c r="AB1" s="151" t="s">
        <v>206</v>
      </c>
      <c r="AC1" s="151" t="s">
        <v>206</v>
      </c>
      <c r="AD1" s="151" t="s">
        <v>208</v>
      </c>
      <c r="AE1" s="152" t="s">
        <v>200</v>
      </c>
      <c r="AF1" s="152" t="s">
        <v>201</v>
      </c>
      <c r="AG1" s="152" t="s">
        <v>202</v>
      </c>
      <c r="AH1" s="33">
        <f>COUNTA(B1:AC1)</f>
        <v>28</v>
      </c>
    </row>
    <row r="2" spans="1:36" ht="30" x14ac:dyDescent="0.25">
      <c r="A2" s="15" t="s">
        <v>209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33">
        <f>COUNTIF(B2:AG2, "&lt;&gt;")</f>
        <v>0</v>
      </c>
    </row>
    <row r="3" spans="1:36" x14ac:dyDescent="0.25">
      <c r="A3" s="34">
        <v>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70"/>
      <c r="AE3" s="170"/>
      <c r="AF3" s="170"/>
      <c r="AG3" s="170"/>
      <c r="AH3" s="184"/>
    </row>
    <row r="4" spans="1:36" x14ac:dyDescent="0.25">
      <c r="A4" s="34">
        <v>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71"/>
      <c r="AE4" s="171"/>
      <c r="AF4" s="171"/>
      <c r="AG4" s="171"/>
      <c r="AH4" s="185"/>
    </row>
    <row r="5" spans="1:36" x14ac:dyDescent="0.25">
      <c r="A5" s="34">
        <v>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71"/>
      <c r="AE5" s="171"/>
      <c r="AF5" s="171"/>
      <c r="AG5" s="171"/>
      <c r="AH5" s="185"/>
    </row>
    <row r="6" spans="1:36" x14ac:dyDescent="0.25">
      <c r="A6" s="34">
        <v>4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71"/>
      <c r="AE6" s="171"/>
      <c r="AF6" s="171"/>
      <c r="AG6" s="171"/>
      <c r="AH6" s="185"/>
      <c r="AJ6" s="108" t="s">
        <v>210</v>
      </c>
    </row>
    <row r="7" spans="1:36" x14ac:dyDescent="0.25">
      <c r="A7" s="34">
        <v>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71"/>
      <c r="AE7" s="171"/>
      <c r="AF7" s="171"/>
      <c r="AG7" s="171"/>
      <c r="AH7" s="185"/>
      <c r="AJ7" s="108" t="s">
        <v>211</v>
      </c>
    </row>
    <row r="8" spans="1:36" x14ac:dyDescent="0.25">
      <c r="A8" s="34">
        <v>6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71"/>
      <c r="AE8" s="171"/>
      <c r="AF8" s="171"/>
      <c r="AG8" s="171"/>
      <c r="AH8" s="185"/>
      <c r="AJ8" s="108" t="s">
        <v>212</v>
      </c>
    </row>
    <row r="9" spans="1:36" x14ac:dyDescent="0.25">
      <c r="A9" s="34">
        <v>7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71"/>
      <c r="AE9" s="171"/>
      <c r="AF9" s="171"/>
      <c r="AG9" s="171"/>
      <c r="AH9" s="185"/>
      <c r="AJ9" s="108" t="s">
        <v>213</v>
      </c>
    </row>
    <row r="10" spans="1:36" x14ac:dyDescent="0.25">
      <c r="A10" s="34">
        <v>8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71"/>
      <c r="AE10" s="171"/>
      <c r="AF10" s="171"/>
      <c r="AG10" s="171"/>
      <c r="AH10" s="185"/>
      <c r="AJ10" s="108" t="s">
        <v>214</v>
      </c>
    </row>
    <row r="11" spans="1:36" x14ac:dyDescent="0.25">
      <c r="A11" s="34">
        <v>9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71"/>
      <c r="AE11" s="171"/>
      <c r="AF11" s="171"/>
      <c r="AG11" s="171"/>
      <c r="AH11" s="185"/>
      <c r="AJ11" s="108" t="s">
        <v>215</v>
      </c>
    </row>
    <row r="12" spans="1:36" x14ac:dyDescent="0.25">
      <c r="A12" s="34">
        <v>10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71"/>
      <c r="AE12" s="171"/>
      <c r="AF12" s="171"/>
      <c r="AG12" s="171"/>
      <c r="AH12" s="185"/>
      <c r="AJ12" s="108" t="s">
        <v>216</v>
      </c>
    </row>
    <row r="13" spans="1:36" x14ac:dyDescent="0.25">
      <c r="A13" s="34">
        <v>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71"/>
      <c r="AE13" s="171"/>
      <c r="AF13" s="171"/>
      <c r="AG13" s="171"/>
      <c r="AH13" s="185"/>
    </row>
    <row r="14" spans="1:36" x14ac:dyDescent="0.25">
      <c r="A14" s="34">
        <v>12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71"/>
      <c r="AE14" s="171"/>
      <c r="AF14" s="171"/>
      <c r="AG14" s="171"/>
      <c r="AH14" s="185"/>
    </row>
    <row r="15" spans="1:36" x14ac:dyDescent="0.25">
      <c r="A15" s="34">
        <v>13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71"/>
      <c r="AE15" s="171"/>
      <c r="AF15" s="171"/>
      <c r="AG15" s="171"/>
      <c r="AH15" s="185"/>
    </row>
    <row r="16" spans="1:36" x14ac:dyDescent="0.25">
      <c r="A16" s="34">
        <v>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71"/>
      <c r="AE16" s="171"/>
      <c r="AF16" s="171"/>
      <c r="AG16" s="171"/>
      <c r="AH16" s="185"/>
    </row>
    <row r="17" spans="1:34" x14ac:dyDescent="0.25">
      <c r="A17" s="34">
        <v>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71"/>
      <c r="AE17" s="171"/>
      <c r="AF17" s="171"/>
      <c r="AG17" s="171"/>
      <c r="AH17" s="185"/>
    </row>
    <row r="18" spans="1:34" x14ac:dyDescent="0.25">
      <c r="A18" s="34">
        <v>16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71"/>
      <c r="AE18" s="171"/>
      <c r="AF18" s="171"/>
      <c r="AG18" s="171"/>
      <c r="AH18" s="185"/>
    </row>
    <row r="19" spans="1:34" x14ac:dyDescent="0.25">
      <c r="A19" s="34">
        <v>17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71"/>
      <c r="AE19" s="171"/>
      <c r="AF19" s="171"/>
      <c r="AG19" s="171"/>
      <c r="AH19" s="185"/>
    </row>
    <row r="20" spans="1:34" x14ac:dyDescent="0.25">
      <c r="A20" s="34">
        <v>18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71"/>
      <c r="AE20" s="171"/>
      <c r="AF20" s="171"/>
      <c r="AG20" s="171"/>
      <c r="AH20" s="185"/>
    </row>
    <row r="21" spans="1:34" x14ac:dyDescent="0.25">
      <c r="A21" s="34">
        <v>19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71"/>
      <c r="AE21" s="171"/>
      <c r="AF21" s="171"/>
      <c r="AG21" s="171"/>
      <c r="AH21" s="185"/>
    </row>
    <row r="22" spans="1:34" x14ac:dyDescent="0.25">
      <c r="A22" s="34">
        <v>20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71"/>
      <c r="AE22" s="171"/>
      <c r="AF22" s="171"/>
      <c r="AG22" s="171"/>
      <c r="AH22" s="185"/>
    </row>
    <row r="23" spans="1:34" x14ac:dyDescent="0.25">
      <c r="A23" s="36">
        <v>21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71"/>
      <c r="AE23" s="171"/>
      <c r="AF23" s="171"/>
      <c r="AG23" s="171"/>
      <c r="AH23" s="185"/>
    </row>
    <row r="24" spans="1:34" x14ac:dyDescent="0.25">
      <c r="A24" s="36">
        <v>22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71"/>
      <c r="AE24" s="171"/>
      <c r="AF24" s="171"/>
      <c r="AG24" s="171"/>
      <c r="AH24" s="185"/>
    </row>
    <row r="25" spans="1:34" x14ac:dyDescent="0.25">
      <c r="A25" s="36">
        <v>23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71"/>
      <c r="AE25" s="171"/>
      <c r="AF25" s="171"/>
      <c r="AG25" s="171"/>
      <c r="AH25" s="185"/>
    </row>
    <row r="26" spans="1:34" x14ac:dyDescent="0.25">
      <c r="A26" s="36">
        <v>24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71"/>
      <c r="AE26" s="171"/>
      <c r="AF26" s="171"/>
      <c r="AG26" s="171"/>
      <c r="AH26" s="185"/>
    </row>
    <row r="27" spans="1:34" x14ac:dyDescent="0.25">
      <c r="A27" s="36">
        <v>25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71"/>
      <c r="AE27" s="171"/>
      <c r="AF27" s="171"/>
      <c r="AG27" s="171"/>
      <c r="AH27" s="185"/>
    </row>
    <row r="28" spans="1:34" x14ac:dyDescent="0.25">
      <c r="A28" s="36">
        <v>26</v>
      </c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71"/>
      <c r="AE28" s="171"/>
      <c r="AF28" s="171"/>
      <c r="AG28" s="171"/>
      <c r="AH28" s="185"/>
    </row>
    <row r="29" spans="1:34" x14ac:dyDescent="0.25">
      <c r="A29" s="36">
        <v>27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71"/>
      <c r="AE29" s="171"/>
      <c r="AF29" s="171"/>
      <c r="AG29" s="171"/>
      <c r="AH29" s="185"/>
    </row>
    <row r="30" spans="1:34" x14ac:dyDescent="0.25">
      <c r="A30" s="36">
        <v>28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71"/>
      <c r="AE30" s="171"/>
      <c r="AF30" s="171"/>
      <c r="AG30" s="171"/>
      <c r="AH30" s="185"/>
    </row>
    <row r="31" spans="1:34" x14ac:dyDescent="0.25">
      <c r="A31" s="36">
        <v>29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71"/>
      <c r="AE31" s="171"/>
      <c r="AF31" s="171"/>
      <c r="AG31" s="171"/>
      <c r="AH31" s="185"/>
    </row>
    <row r="32" spans="1:34" x14ac:dyDescent="0.25">
      <c r="A32" s="36">
        <v>30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71"/>
      <c r="AE32" s="171"/>
      <c r="AF32" s="171"/>
      <c r="AG32" s="171"/>
      <c r="AH32" s="185"/>
    </row>
    <row r="33" spans="1:34" x14ac:dyDescent="0.25">
      <c r="A33" s="36">
        <v>31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71"/>
      <c r="AE33" s="171"/>
      <c r="AF33" s="171"/>
      <c r="AG33" s="171"/>
      <c r="AH33" s="185"/>
    </row>
    <row r="34" spans="1:34" x14ac:dyDescent="0.25">
      <c r="A34" s="36">
        <v>32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71"/>
      <c r="AE34" s="171"/>
      <c r="AF34" s="171"/>
      <c r="AG34" s="171"/>
      <c r="AH34" s="185"/>
    </row>
    <row r="35" spans="1:34" x14ac:dyDescent="0.25">
      <c r="A35" s="36">
        <v>33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71"/>
      <c r="AE35" s="171"/>
      <c r="AF35" s="171"/>
      <c r="AG35" s="171"/>
      <c r="AH35" s="185"/>
    </row>
    <row r="36" spans="1:34" x14ac:dyDescent="0.25">
      <c r="A36" s="36">
        <v>34</v>
      </c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71"/>
      <c r="AE36" s="171"/>
      <c r="AF36" s="171"/>
      <c r="AG36" s="171"/>
      <c r="AH36" s="185"/>
    </row>
    <row r="37" spans="1:34" x14ac:dyDescent="0.25">
      <c r="A37" s="36">
        <v>35</v>
      </c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71"/>
      <c r="AE37" s="171"/>
      <c r="AF37" s="171"/>
      <c r="AG37" s="171"/>
      <c r="AH37" s="185"/>
    </row>
    <row r="38" spans="1:34" x14ac:dyDescent="0.25">
      <c r="A38" s="36">
        <v>36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71"/>
      <c r="AE38" s="171"/>
      <c r="AF38" s="171"/>
      <c r="AG38" s="171"/>
      <c r="AH38" s="185"/>
    </row>
    <row r="39" spans="1:34" x14ac:dyDescent="0.25">
      <c r="A39" s="36">
        <v>37</v>
      </c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71"/>
      <c r="AE39" s="171"/>
      <c r="AF39" s="171"/>
      <c r="AG39" s="171"/>
      <c r="AH39" s="185"/>
    </row>
    <row r="40" spans="1:34" x14ac:dyDescent="0.25">
      <c r="A40" s="36">
        <v>38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71"/>
      <c r="AE40" s="171"/>
      <c r="AF40" s="171"/>
      <c r="AG40" s="171"/>
      <c r="AH40" s="185"/>
    </row>
    <row r="41" spans="1:34" x14ac:dyDescent="0.25">
      <c r="A41" s="36">
        <v>39</v>
      </c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71"/>
      <c r="AE41" s="171"/>
      <c r="AF41" s="171"/>
      <c r="AG41" s="171"/>
      <c r="AH41" s="185"/>
    </row>
    <row r="42" spans="1:34" ht="15.75" thickBot="1" x14ac:dyDescent="0.3">
      <c r="A42" s="36">
        <v>40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71"/>
      <c r="AE42" s="171"/>
      <c r="AF42" s="171"/>
      <c r="AG42" s="171"/>
      <c r="AH42" s="186"/>
    </row>
    <row r="43" spans="1:34" ht="15.75" thickTop="1" x14ac:dyDescent="0.25">
      <c r="A43" s="37" t="s">
        <v>14</v>
      </c>
      <c r="B43" s="168" t="e">
        <f>AVERAGE(B3:B42)</f>
        <v>#DIV/0!</v>
      </c>
      <c r="C43" s="168" t="e">
        <f t="shared" ref="C43:AG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168" t="e">
        <f t="shared" si="0"/>
        <v>#DIV/0!</v>
      </c>
      <c r="J43" s="168" t="e">
        <f t="shared" si="0"/>
        <v>#DIV/0!</v>
      </c>
      <c r="K43" s="168" t="e">
        <f t="shared" si="0"/>
        <v>#DIV/0!</v>
      </c>
      <c r="L43" s="168" t="e">
        <f t="shared" si="0"/>
        <v>#DIV/0!</v>
      </c>
      <c r="M43" s="168" t="e">
        <f t="shared" si="0"/>
        <v>#DIV/0!</v>
      </c>
      <c r="N43" s="168" t="e">
        <f t="shared" si="0"/>
        <v>#DIV/0!</v>
      </c>
      <c r="O43" s="168" t="e">
        <f t="shared" si="0"/>
        <v>#DIV/0!</v>
      </c>
      <c r="P43" s="168" t="e">
        <f t="shared" si="0"/>
        <v>#DIV/0!</v>
      </c>
      <c r="Q43" s="168" t="e">
        <f t="shared" si="0"/>
        <v>#DIV/0!</v>
      </c>
      <c r="R43" s="168" t="e">
        <f t="shared" si="0"/>
        <v>#DIV/0!</v>
      </c>
      <c r="S43" s="168" t="e">
        <f t="shared" si="0"/>
        <v>#DIV/0!</v>
      </c>
      <c r="T43" s="168" t="e">
        <f t="shared" si="0"/>
        <v>#DIV/0!</v>
      </c>
      <c r="U43" s="168" t="e">
        <f t="shared" si="0"/>
        <v>#DIV/0!</v>
      </c>
      <c r="V43" s="168" t="e">
        <f t="shared" si="0"/>
        <v>#DIV/0!</v>
      </c>
      <c r="W43" s="168" t="e">
        <f t="shared" si="0"/>
        <v>#DIV/0!</v>
      </c>
      <c r="X43" s="168" t="e">
        <f t="shared" si="0"/>
        <v>#DIV/0!</v>
      </c>
      <c r="Y43" s="168" t="e">
        <f t="shared" si="0"/>
        <v>#DIV/0!</v>
      </c>
      <c r="Z43" s="168" t="e">
        <f t="shared" si="0"/>
        <v>#DIV/0!</v>
      </c>
      <c r="AA43" s="168" t="e">
        <f t="shared" si="0"/>
        <v>#DIV/0!</v>
      </c>
      <c r="AB43" s="168" t="e">
        <f t="shared" si="0"/>
        <v>#DIV/0!</v>
      </c>
      <c r="AC43" s="168" t="e">
        <f t="shared" si="0"/>
        <v>#DIV/0!</v>
      </c>
      <c r="AD43" s="168" t="e">
        <f t="shared" si="0"/>
        <v>#DIV/0!</v>
      </c>
      <c r="AE43" s="168" t="e">
        <f t="shared" si="0"/>
        <v>#DIV/0!</v>
      </c>
      <c r="AF43" s="168" t="e">
        <f t="shared" si="0"/>
        <v>#DIV/0!</v>
      </c>
      <c r="AG43" s="168" t="e">
        <f t="shared" si="0"/>
        <v>#DIV/0!</v>
      </c>
      <c r="AH43" s="38"/>
    </row>
    <row r="44" spans="1:34" x14ac:dyDescent="0.25">
      <c r="A44" s="39" t="s">
        <v>217</v>
      </c>
      <c r="B44" s="169" t="e">
        <f>AVERAGEIF(B43:AG43, "&lt;&gt;#DIV/0!")</f>
        <v>#DIV/0!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34"/>
    </row>
    <row r="45" spans="1:34" x14ac:dyDescent="0.25">
      <c r="A45" s="39" t="s">
        <v>218</v>
      </c>
      <c r="B45" s="35">
        <f>COUNTIF(B3:B42, "&lt;&gt;")</f>
        <v>0</v>
      </c>
      <c r="C45" s="35">
        <f t="shared" ref="C45:AG45" si="1">COUNTIF(C3:C42, "&lt;&gt;")</f>
        <v>0</v>
      </c>
      <c r="D45" s="35">
        <f t="shared" si="1"/>
        <v>0</v>
      </c>
      <c r="E45" s="35">
        <f t="shared" si="1"/>
        <v>0</v>
      </c>
      <c r="F45" s="35">
        <f t="shared" si="1"/>
        <v>0</v>
      </c>
      <c r="G45" s="35">
        <f t="shared" si="1"/>
        <v>0</v>
      </c>
      <c r="H45" s="35">
        <f t="shared" si="1"/>
        <v>0</v>
      </c>
      <c r="I45" s="35">
        <f t="shared" si="1"/>
        <v>0</v>
      </c>
      <c r="J45" s="35">
        <f t="shared" si="1"/>
        <v>0</v>
      </c>
      <c r="K45" s="35">
        <f t="shared" si="1"/>
        <v>0</v>
      </c>
      <c r="L45" s="35">
        <f t="shared" si="1"/>
        <v>0</v>
      </c>
      <c r="M45" s="35">
        <f t="shared" si="1"/>
        <v>0</v>
      </c>
      <c r="N45" s="35">
        <f t="shared" si="1"/>
        <v>0</v>
      </c>
      <c r="O45" s="35">
        <f t="shared" si="1"/>
        <v>0</v>
      </c>
      <c r="P45" s="35">
        <f t="shared" si="1"/>
        <v>0</v>
      </c>
      <c r="Q45" s="35">
        <f t="shared" si="1"/>
        <v>0</v>
      </c>
      <c r="R45" s="35">
        <f t="shared" si="1"/>
        <v>0</v>
      </c>
      <c r="S45" s="35">
        <f t="shared" si="1"/>
        <v>0</v>
      </c>
      <c r="T45" s="35">
        <f t="shared" si="1"/>
        <v>0</v>
      </c>
      <c r="U45" s="35">
        <f t="shared" si="1"/>
        <v>0</v>
      </c>
      <c r="V45" s="35">
        <f t="shared" si="1"/>
        <v>0</v>
      </c>
      <c r="W45" s="35">
        <f t="shared" si="1"/>
        <v>0</v>
      </c>
      <c r="X45" s="35">
        <f t="shared" si="1"/>
        <v>0</v>
      </c>
      <c r="Y45" s="35">
        <f t="shared" si="1"/>
        <v>0</v>
      </c>
      <c r="Z45" s="35">
        <f t="shared" si="1"/>
        <v>0</v>
      </c>
      <c r="AA45" s="35">
        <f t="shared" si="1"/>
        <v>0</v>
      </c>
      <c r="AB45" s="35">
        <f t="shared" si="1"/>
        <v>0</v>
      </c>
      <c r="AC45" s="35">
        <f t="shared" si="1"/>
        <v>0</v>
      </c>
      <c r="AD45" s="35">
        <f t="shared" si="1"/>
        <v>0</v>
      </c>
      <c r="AE45" s="35">
        <f t="shared" si="1"/>
        <v>0</v>
      </c>
      <c r="AF45" s="35">
        <f t="shared" si="1"/>
        <v>0</v>
      </c>
      <c r="AG45" s="35">
        <f t="shared" si="1"/>
        <v>0</v>
      </c>
      <c r="AH45" s="34"/>
    </row>
    <row r="47" spans="1:34" x14ac:dyDescent="0.25">
      <c r="B47" s="9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</row>
    <row r="48" spans="1:34" x14ac:dyDescent="0.25">
      <c r="A48" s="101" t="s">
        <v>226</v>
      </c>
      <c r="B48" s="16">
        <f>COUNTIF($B$2, "A") + COUNTIF($F$2:$G$2, "A") + COUNTIF(I2:$W$2, "A") + COUNTIF($AE$2:$AG$2, "A")</f>
        <v>0</v>
      </c>
      <c r="C48" s="16">
        <f>COUNTIF($B$2, "Q") + COUNTIF($F$2:$G$2, "Q") + COUNTIF(J2:$W$2, "Q") + COUNTIF($AE$2:$AG$2, "Q")</f>
        <v>0</v>
      </c>
      <c r="D48" s="16">
        <f>COUNTIF($B$2, "M") + COUNTIF($F$2:$G$2, "M") + COUNTIF(K2:$W$2, "M") + COUNTIF($AE$2:$AG$2, "M")</f>
        <v>0</v>
      </c>
      <c r="E48" s="16">
        <f>COUNTIF($B$2, "F") + COUNTIF($F$2:$G$2, "F") + COUNTIF(L2:$W$2, "F") + COUNTIF($AE$2:$AG$2, "F")</f>
        <v>0</v>
      </c>
      <c r="F48" s="16">
        <f>COUNTIF($B$2, "P") + COUNTIF($F$2:$G$2, "P") + COUNTIF(M2:$W$2, "P") + COUNTIF($AE$2:$AG$2, "P")</f>
        <v>0</v>
      </c>
      <c r="G48" s="16">
        <f>COUNTIF($B$2, "L") + COUNTIF($F$2:$G$2, "L") + COUNTIF(N2:$W$2, "L") + COUNTIF($AE$2:$AG$2, "L")</f>
        <v>0</v>
      </c>
      <c r="H48" s="16">
        <f>COUNTIF($B$2, "OT") + COUNTIF($F$2:$G$2, "OT") + COUNTIF(O2:$W$2, "OT") + COUNTIF($AE$2:$AG$2, "OT")</f>
        <v>0</v>
      </c>
      <c r="I48" s="12">
        <f t="shared" ref="I48:I50" si="2">SUM(B48:H48)</f>
        <v>0</v>
      </c>
    </row>
    <row r="49" spans="1:34" x14ac:dyDescent="0.25">
      <c r="A49" s="102" t="s">
        <v>227</v>
      </c>
      <c r="B49" s="16">
        <f>COUNTIF($E$2, "A") + COUNTIF($H$2, "A")</f>
        <v>0</v>
      </c>
      <c r="C49" s="16">
        <f>COUNTIF($E$2, "Q") + COUNTIF($H$2, "Q")</f>
        <v>0</v>
      </c>
      <c r="D49" s="16">
        <f>COUNTIF($E$2, "M") + COUNTIF($H$2, "M")</f>
        <v>0</v>
      </c>
      <c r="E49" s="16">
        <f>COUNTIF($E$2, "F") + COUNTIF($H$2, "F")</f>
        <v>0</v>
      </c>
      <c r="F49" s="16">
        <f>COUNTIF($E$2, "P") + COUNTIF($H$2, "P")</f>
        <v>0</v>
      </c>
      <c r="G49" s="16">
        <f>COUNTIF($E$2, "L") + COUNTIF($H$2, "L")</f>
        <v>0</v>
      </c>
      <c r="H49" s="16">
        <f>COUNTIF($E$2, "OT") + COUNTIF($H$2, "OT")</f>
        <v>0</v>
      </c>
      <c r="I49" s="12">
        <f t="shared" si="2"/>
        <v>0</v>
      </c>
    </row>
    <row r="50" spans="1:34" x14ac:dyDescent="0.25">
      <c r="A50" s="103" t="s">
        <v>228</v>
      </c>
      <c r="B50" s="16">
        <f>COUNTIF($C$2:$D$2, "A") + COUNTIF($X$2:$AD$2, "A")</f>
        <v>0</v>
      </c>
      <c r="C50" s="16">
        <f>COUNTIF($C$2:$D$2, "Q") + COUNTIF($X$2:$AD$2, "Q")</f>
        <v>0</v>
      </c>
      <c r="D50" s="16">
        <f>COUNTIF($C$2:$D$2, "M") + COUNTIF($X$2:$AD$2, "M")</f>
        <v>0</v>
      </c>
      <c r="E50" s="16">
        <f>COUNTIF($C$2:$D$2, "F") + COUNTIF($X$2:$AD$2, "F")</f>
        <v>0</v>
      </c>
      <c r="F50" s="16">
        <f>COUNTIF($C$2:$D$2, "P") + COUNTIF($X$2:$AD$2, "P")</f>
        <v>0</v>
      </c>
      <c r="G50" s="16">
        <f>COUNTIF($C$2:$D$2, "L") + COUNTIF($X$2:$AD$2, "L")</f>
        <v>0</v>
      </c>
      <c r="H50" s="16">
        <f>COUNTIF($C$2:$D$2, "OT") + COUNTIF($X$2:$AD$2, "OT")</f>
        <v>0</v>
      </c>
      <c r="I50" s="12">
        <f t="shared" si="2"/>
        <v>0</v>
      </c>
    </row>
    <row r="51" spans="1:34" x14ac:dyDescent="0.25">
      <c r="A51" s="22" t="s">
        <v>61</v>
      </c>
      <c r="B51" s="12">
        <f>SUM(B48:B50)</f>
        <v>0</v>
      </c>
      <c r="C51" s="12">
        <f t="shared" ref="C51:H51" si="3">SUM(C48:C50)</f>
        <v>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0</v>
      </c>
      <c r="I51" s="12">
        <f>SUM(B51:H51)</f>
        <v>0</v>
      </c>
    </row>
    <row r="52" spans="1:34" x14ac:dyDescent="0.25">
      <c r="A52" s="87"/>
      <c r="B52" s="28"/>
      <c r="C52" s="28"/>
      <c r="D52" s="28"/>
      <c r="E52" s="28"/>
      <c r="F52" s="28"/>
      <c r="G52" s="28"/>
      <c r="H52" s="28"/>
      <c r="I52" s="28"/>
    </row>
    <row r="53" spans="1:34" ht="18.75" thickBot="1" x14ac:dyDescent="0.3">
      <c r="A53" s="27" t="s">
        <v>229</v>
      </c>
    </row>
    <row r="54" spans="1:34" ht="16.5" thickBot="1" x14ac:dyDescent="0.3">
      <c r="A54" s="111" t="s">
        <v>26</v>
      </c>
      <c r="B54" s="152" t="s">
        <v>15</v>
      </c>
      <c r="C54" s="151" t="s">
        <v>35</v>
      </c>
      <c r="D54" s="151" t="s">
        <v>56</v>
      </c>
      <c r="E54" s="157" t="s">
        <v>70</v>
      </c>
      <c r="F54" s="153" t="s">
        <v>78</v>
      </c>
      <c r="G54" s="153" t="s">
        <v>84</v>
      </c>
      <c r="H54" s="158" t="s">
        <v>106</v>
      </c>
      <c r="I54" s="152" t="s">
        <v>110</v>
      </c>
      <c r="J54" s="152" t="s">
        <v>112</v>
      </c>
      <c r="K54" s="152" t="s">
        <v>114</v>
      </c>
      <c r="L54" s="152" t="s">
        <v>116</v>
      </c>
      <c r="M54" s="152" t="s">
        <v>118</v>
      </c>
      <c r="N54" s="152" t="s">
        <v>122</v>
      </c>
      <c r="O54" s="152" t="s">
        <v>124</v>
      </c>
      <c r="P54" s="152" t="s">
        <v>126</v>
      </c>
      <c r="Q54" s="152" t="s">
        <v>128</v>
      </c>
      <c r="R54" s="152" t="s">
        <v>130</v>
      </c>
      <c r="S54" s="152" t="s">
        <v>132</v>
      </c>
      <c r="T54" s="152" t="s">
        <v>134</v>
      </c>
      <c r="U54" s="152" t="s">
        <v>136</v>
      </c>
      <c r="V54" s="152" t="s">
        <v>120</v>
      </c>
      <c r="W54" s="152" t="s">
        <v>152</v>
      </c>
      <c r="X54" s="151" t="s">
        <v>236</v>
      </c>
      <c r="Y54" s="151" t="s">
        <v>237</v>
      </c>
      <c r="Z54" s="151" t="s">
        <v>238</v>
      </c>
      <c r="AA54" s="151" t="s">
        <v>239</v>
      </c>
      <c r="AB54" s="151" t="s">
        <v>206</v>
      </c>
      <c r="AC54" s="151" t="s">
        <v>206</v>
      </c>
      <c r="AD54" s="151" t="s">
        <v>208</v>
      </c>
      <c r="AE54" s="152" t="s">
        <v>200</v>
      </c>
      <c r="AF54" s="152" t="s">
        <v>201</v>
      </c>
      <c r="AG54" s="152" t="s">
        <v>202</v>
      </c>
      <c r="AH54" s="43" t="s">
        <v>14</v>
      </c>
    </row>
    <row r="55" spans="1:34" ht="16.5" thickBot="1" x14ac:dyDescent="0.3">
      <c r="A55" s="112" t="s">
        <v>28</v>
      </c>
      <c r="B55" s="117" t="e">
        <f>(COUNTIF(B3:B42, "&lt;=59%"))/B45</f>
        <v>#DIV/0!</v>
      </c>
      <c r="C55" s="117" t="e">
        <f t="shared" ref="C55:AG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117" t="e">
        <f t="shared" si="4"/>
        <v>#DIV/0!</v>
      </c>
      <c r="L55" s="117" t="e">
        <f t="shared" si="4"/>
        <v>#DIV/0!</v>
      </c>
      <c r="M55" s="117" t="e">
        <f t="shared" si="4"/>
        <v>#DIV/0!</v>
      </c>
      <c r="N55" s="117" t="e">
        <f t="shared" si="4"/>
        <v>#DIV/0!</v>
      </c>
      <c r="O55" s="117" t="e">
        <f t="shared" si="4"/>
        <v>#DIV/0!</v>
      </c>
      <c r="P55" s="117" t="e">
        <f t="shared" si="4"/>
        <v>#DIV/0!</v>
      </c>
      <c r="Q55" s="117" t="e">
        <f t="shared" si="4"/>
        <v>#DIV/0!</v>
      </c>
      <c r="R55" s="117" t="e">
        <f t="shared" si="4"/>
        <v>#DIV/0!</v>
      </c>
      <c r="S55" s="117" t="e">
        <f t="shared" si="4"/>
        <v>#DIV/0!</v>
      </c>
      <c r="T55" s="117" t="e">
        <f t="shared" si="4"/>
        <v>#DIV/0!</v>
      </c>
      <c r="U55" s="117" t="e">
        <f t="shared" si="4"/>
        <v>#DIV/0!</v>
      </c>
      <c r="V55" s="117" t="e">
        <f t="shared" si="4"/>
        <v>#DIV/0!</v>
      </c>
      <c r="W55" s="117" t="e">
        <f t="shared" si="4"/>
        <v>#DIV/0!</v>
      </c>
      <c r="X55" s="117" t="e">
        <f t="shared" si="4"/>
        <v>#DIV/0!</v>
      </c>
      <c r="Y55" s="117" t="e">
        <f t="shared" si="4"/>
        <v>#DIV/0!</v>
      </c>
      <c r="Z55" s="117" t="e">
        <f t="shared" si="4"/>
        <v>#DIV/0!</v>
      </c>
      <c r="AA55" s="117" t="e">
        <f t="shared" si="4"/>
        <v>#DIV/0!</v>
      </c>
      <c r="AB55" s="117" t="e">
        <f t="shared" si="4"/>
        <v>#DIV/0!</v>
      </c>
      <c r="AC55" s="117" t="e">
        <f t="shared" si="4"/>
        <v>#DIV/0!</v>
      </c>
      <c r="AD55" s="117" t="e">
        <f t="shared" si="4"/>
        <v>#DIV/0!</v>
      </c>
      <c r="AE55" s="117" t="e">
        <f t="shared" si="4"/>
        <v>#DIV/0!</v>
      </c>
      <c r="AF55" s="117" t="e">
        <f t="shared" si="4"/>
        <v>#DIV/0!</v>
      </c>
      <c r="AG55" s="117" t="e">
        <f t="shared" si="4"/>
        <v>#DIV/0!</v>
      </c>
      <c r="AH55" s="44" t="e">
        <f>AVERAGEIF(B55:AC55, "&lt;&gt;#DIV/0!")</f>
        <v>#DIV/0!</v>
      </c>
    </row>
    <row r="56" spans="1:34" ht="16.5" thickBot="1" x14ac:dyDescent="0.3">
      <c r="A56" s="113" t="s">
        <v>30</v>
      </c>
      <c r="B56" s="120" t="e">
        <f>(COUNTIFS(B3:B42, "&gt;= 60%", B3:B42, "&lt;=69%" ))/B45</f>
        <v>#DIV/0!</v>
      </c>
      <c r="C56" s="120" t="e">
        <f t="shared" ref="C56:AG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120" t="e">
        <f t="shared" si="5"/>
        <v>#DIV/0!</v>
      </c>
      <c r="L56" s="120" t="e">
        <f t="shared" si="5"/>
        <v>#DIV/0!</v>
      </c>
      <c r="M56" s="120" t="e">
        <f t="shared" si="5"/>
        <v>#DIV/0!</v>
      </c>
      <c r="N56" s="120" t="e">
        <f t="shared" si="5"/>
        <v>#DIV/0!</v>
      </c>
      <c r="O56" s="120" t="e">
        <f t="shared" si="5"/>
        <v>#DIV/0!</v>
      </c>
      <c r="P56" s="120" t="e">
        <f t="shared" si="5"/>
        <v>#DIV/0!</v>
      </c>
      <c r="Q56" s="120" t="e">
        <f t="shared" si="5"/>
        <v>#DIV/0!</v>
      </c>
      <c r="R56" s="120" t="e">
        <f t="shared" si="5"/>
        <v>#DIV/0!</v>
      </c>
      <c r="S56" s="120" t="e">
        <f t="shared" si="5"/>
        <v>#DIV/0!</v>
      </c>
      <c r="T56" s="120" t="e">
        <f t="shared" si="5"/>
        <v>#DIV/0!</v>
      </c>
      <c r="U56" s="120" t="e">
        <f t="shared" si="5"/>
        <v>#DIV/0!</v>
      </c>
      <c r="V56" s="120" t="e">
        <f t="shared" si="5"/>
        <v>#DIV/0!</v>
      </c>
      <c r="W56" s="120" t="e">
        <f t="shared" si="5"/>
        <v>#DIV/0!</v>
      </c>
      <c r="X56" s="120" t="e">
        <f t="shared" si="5"/>
        <v>#DIV/0!</v>
      </c>
      <c r="Y56" s="120" t="e">
        <f t="shared" si="5"/>
        <v>#DIV/0!</v>
      </c>
      <c r="Z56" s="120" t="e">
        <f t="shared" si="5"/>
        <v>#DIV/0!</v>
      </c>
      <c r="AA56" s="120" t="e">
        <f t="shared" si="5"/>
        <v>#DIV/0!</v>
      </c>
      <c r="AB56" s="120" t="e">
        <f t="shared" si="5"/>
        <v>#DIV/0!</v>
      </c>
      <c r="AC56" s="120" t="e">
        <f t="shared" si="5"/>
        <v>#DIV/0!</v>
      </c>
      <c r="AD56" s="120" t="e">
        <f t="shared" si="5"/>
        <v>#DIV/0!</v>
      </c>
      <c r="AE56" s="120" t="e">
        <f t="shared" si="5"/>
        <v>#DIV/0!</v>
      </c>
      <c r="AF56" s="120" t="e">
        <f t="shared" si="5"/>
        <v>#DIV/0!</v>
      </c>
      <c r="AG56" s="120" t="e">
        <f t="shared" si="5"/>
        <v>#DIV/0!</v>
      </c>
      <c r="AH56" s="44" t="e">
        <f t="shared" ref="AH56:AH58" si="6">AVERAGEIF(B56:AC56, "&lt;&gt;#DIV/0!")</f>
        <v>#DIV/0!</v>
      </c>
    </row>
    <row r="57" spans="1:34" ht="16.5" thickBot="1" x14ac:dyDescent="0.3">
      <c r="A57" s="114" t="s">
        <v>32</v>
      </c>
      <c r="B57" s="120" t="e">
        <f>(COUNTIFS(B3:B42, "&gt;= 70%", B3:B42, "&lt;=79%" ))/B45</f>
        <v>#DIV/0!</v>
      </c>
      <c r="C57" s="120" t="e">
        <f t="shared" ref="C57:AG57" si="7">(COUNTIFS(C3:C42, "&gt;= 70%", C3:C42, "&lt;=79%" ))/C45</f>
        <v>#DIV/0!</v>
      </c>
      <c r="D57" s="120" t="e">
        <f t="shared" si="7"/>
        <v>#DIV/0!</v>
      </c>
      <c r="E57" s="120" t="e">
        <f t="shared" si="7"/>
        <v>#DIV/0!</v>
      </c>
      <c r="F57" s="120" t="e">
        <f t="shared" si="7"/>
        <v>#DIV/0!</v>
      </c>
      <c r="G57" s="120" t="e">
        <f t="shared" si="7"/>
        <v>#DIV/0!</v>
      </c>
      <c r="H57" s="120" t="e">
        <f t="shared" si="7"/>
        <v>#DIV/0!</v>
      </c>
      <c r="I57" s="120" t="e">
        <f t="shared" si="7"/>
        <v>#DIV/0!</v>
      </c>
      <c r="J57" s="120" t="e">
        <f t="shared" si="7"/>
        <v>#DIV/0!</v>
      </c>
      <c r="K57" s="120" t="e">
        <f t="shared" si="7"/>
        <v>#DIV/0!</v>
      </c>
      <c r="L57" s="120" t="e">
        <f t="shared" si="7"/>
        <v>#DIV/0!</v>
      </c>
      <c r="M57" s="120" t="e">
        <f t="shared" si="7"/>
        <v>#DIV/0!</v>
      </c>
      <c r="N57" s="120" t="e">
        <f t="shared" si="7"/>
        <v>#DIV/0!</v>
      </c>
      <c r="O57" s="120" t="e">
        <f t="shared" si="7"/>
        <v>#DIV/0!</v>
      </c>
      <c r="P57" s="120" t="e">
        <f t="shared" si="7"/>
        <v>#DIV/0!</v>
      </c>
      <c r="Q57" s="120" t="e">
        <f t="shared" si="7"/>
        <v>#DIV/0!</v>
      </c>
      <c r="R57" s="120" t="e">
        <f t="shared" si="7"/>
        <v>#DIV/0!</v>
      </c>
      <c r="S57" s="120" t="e">
        <f t="shared" si="7"/>
        <v>#DIV/0!</v>
      </c>
      <c r="T57" s="120" t="e">
        <f t="shared" si="7"/>
        <v>#DIV/0!</v>
      </c>
      <c r="U57" s="120" t="e">
        <f t="shared" si="7"/>
        <v>#DIV/0!</v>
      </c>
      <c r="V57" s="120" t="e">
        <f t="shared" si="7"/>
        <v>#DIV/0!</v>
      </c>
      <c r="W57" s="120" t="e">
        <f t="shared" si="7"/>
        <v>#DIV/0!</v>
      </c>
      <c r="X57" s="120" t="e">
        <f t="shared" si="7"/>
        <v>#DIV/0!</v>
      </c>
      <c r="Y57" s="120" t="e">
        <f t="shared" si="7"/>
        <v>#DIV/0!</v>
      </c>
      <c r="Z57" s="120" t="e">
        <f t="shared" si="7"/>
        <v>#DIV/0!</v>
      </c>
      <c r="AA57" s="120" t="e">
        <f t="shared" si="7"/>
        <v>#DIV/0!</v>
      </c>
      <c r="AB57" s="120" t="e">
        <f t="shared" si="7"/>
        <v>#DIV/0!</v>
      </c>
      <c r="AC57" s="120" t="e">
        <f t="shared" si="7"/>
        <v>#DIV/0!</v>
      </c>
      <c r="AD57" s="120" t="e">
        <f t="shared" si="7"/>
        <v>#DIV/0!</v>
      </c>
      <c r="AE57" s="120" t="e">
        <f t="shared" si="7"/>
        <v>#DIV/0!</v>
      </c>
      <c r="AF57" s="120" t="e">
        <f t="shared" si="7"/>
        <v>#DIV/0!</v>
      </c>
      <c r="AG57" s="120" t="e">
        <f t="shared" si="7"/>
        <v>#DIV/0!</v>
      </c>
      <c r="AH57" s="44" t="e">
        <f t="shared" si="6"/>
        <v>#DIV/0!</v>
      </c>
    </row>
    <row r="58" spans="1:34" ht="16.5" thickBot="1" x14ac:dyDescent="0.3">
      <c r="A58" s="115" t="s">
        <v>34</v>
      </c>
      <c r="B58" s="120" t="e">
        <f>(COUNTIF(B3:B42,"&gt;= 80%")/B45)</f>
        <v>#DIV/0!</v>
      </c>
      <c r="C58" s="120" t="e">
        <f t="shared" ref="C58:AG58" si="8">(COUNTIF(C3:C42,"&gt;= 80%")/C45)</f>
        <v>#DIV/0!</v>
      </c>
      <c r="D58" s="120" t="e">
        <f t="shared" si="8"/>
        <v>#DIV/0!</v>
      </c>
      <c r="E58" s="120" t="e">
        <f t="shared" si="8"/>
        <v>#DIV/0!</v>
      </c>
      <c r="F58" s="120" t="e">
        <f t="shared" si="8"/>
        <v>#DIV/0!</v>
      </c>
      <c r="G58" s="120" t="e">
        <f t="shared" si="8"/>
        <v>#DIV/0!</v>
      </c>
      <c r="H58" s="120" t="e">
        <f t="shared" si="8"/>
        <v>#DIV/0!</v>
      </c>
      <c r="I58" s="120" t="e">
        <f t="shared" si="8"/>
        <v>#DIV/0!</v>
      </c>
      <c r="J58" s="120" t="e">
        <f t="shared" si="8"/>
        <v>#DIV/0!</v>
      </c>
      <c r="K58" s="120" t="e">
        <f t="shared" si="8"/>
        <v>#DIV/0!</v>
      </c>
      <c r="L58" s="120" t="e">
        <f t="shared" si="8"/>
        <v>#DIV/0!</v>
      </c>
      <c r="M58" s="120" t="e">
        <f t="shared" si="8"/>
        <v>#DIV/0!</v>
      </c>
      <c r="N58" s="120" t="e">
        <f t="shared" si="8"/>
        <v>#DIV/0!</v>
      </c>
      <c r="O58" s="120" t="e">
        <f t="shared" si="8"/>
        <v>#DIV/0!</v>
      </c>
      <c r="P58" s="120" t="e">
        <f t="shared" si="8"/>
        <v>#DIV/0!</v>
      </c>
      <c r="Q58" s="120" t="e">
        <f t="shared" si="8"/>
        <v>#DIV/0!</v>
      </c>
      <c r="R58" s="120" t="e">
        <f t="shared" si="8"/>
        <v>#DIV/0!</v>
      </c>
      <c r="S58" s="120" t="e">
        <f t="shared" si="8"/>
        <v>#DIV/0!</v>
      </c>
      <c r="T58" s="120" t="e">
        <f t="shared" si="8"/>
        <v>#DIV/0!</v>
      </c>
      <c r="U58" s="120" t="e">
        <f t="shared" si="8"/>
        <v>#DIV/0!</v>
      </c>
      <c r="V58" s="120" t="e">
        <f t="shared" si="8"/>
        <v>#DIV/0!</v>
      </c>
      <c r="W58" s="120" t="e">
        <f t="shared" si="8"/>
        <v>#DIV/0!</v>
      </c>
      <c r="X58" s="120" t="e">
        <f t="shared" si="8"/>
        <v>#DIV/0!</v>
      </c>
      <c r="Y58" s="120" t="e">
        <f t="shared" si="8"/>
        <v>#DIV/0!</v>
      </c>
      <c r="Z58" s="120" t="e">
        <f t="shared" si="8"/>
        <v>#DIV/0!</v>
      </c>
      <c r="AA58" s="120" t="e">
        <f t="shared" si="8"/>
        <v>#DIV/0!</v>
      </c>
      <c r="AB58" s="120" t="e">
        <f t="shared" si="8"/>
        <v>#DIV/0!</v>
      </c>
      <c r="AC58" s="120" t="e">
        <f t="shared" si="8"/>
        <v>#DIV/0!</v>
      </c>
      <c r="AD58" s="120" t="e">
        <f t="shared" si="8"/>
        <v>#DIV/0!</v>
      </c>
      <c r="AE58" s="120" t="e">
        <f t="shared" si="8"/>
        <v>#DIV/0!</v>
      </c>
      <c r="AF58" s="120" t="e">
        <f t="shared" si="8"/>
        <v>#DIV/0!</v>
      </c>
      <c r="AG58" s="120" t="e">
        <f t="shared" si="8"/>
        <v>#DIV/0!</v>
      </c>
      <c r="AH58" s="44" t="e">
        <f t="shared" si="6"/>
        <v>#DIV/0!</v>
      </c>
    </row>
    <row r="59" spans="1:34" ht="16.5" thickTop="1" thickBot="1" x14ac:dyDescent="0.3">
      <c r="A59" s="116"/>
      <c r="B59" s="90">
        <f>SUMIF(B55:B58, "&lt;&gt;#DIV/0!")</f>
        <v>0</v>
      </c>
      <c r="C59" s="42">
        <f t="shared" ref="C59:AC59" si="9">SUMIF(C55:C58, "&lt;&gt;#DIV/0!")</f>
        <v>0</v>
      </c>
      <c r="D59" s="42">
        <f t="shared" si="9"/>
        <v>0</v>
      </c>
      <c r="E59" s="42">
        <f t="shared" si="9"/>
        <v>0</v>
      </c>
      <c r="F59" s="42">
        <f t="shared" si="9"/>
        <v>0</v>
      </c>
      <c r="G59" s="42">
        <f t="shared" si="9"/>
        <v>0</v>
      </c>
      <c r="H59" s="42">
        <f t="shared" si="9"/>
        <v>0</v>
      </c>
      <c r="I59" s="42">
        <f t="shared" si="9"/>
        <v>0</v>
      </c>
      <c r="J59" s="42">
        <f t="shared" si="9"/>
        <v>0</v>
      </c>
      <c r="K59" s="42">
        <f t="shared" si="9"/>
        <v>0</v>
      </c>
      <c r="L59" s="42">
        <f t="shared" si="9"/>
        <v>0</v>
      </c>
      <c r="M59" s="42">
        <f t="shared" si="9"/>
        <v>0</v>
      </c>
      <c r="N59" s="42">
        <f t="shared" si="9"/>
        <v>0</v>
      </c>
      <c r="O59" s="42">
        <f t="shared" si="9"/>
        <v>0</v>
      </c>
      <c r="P59" s="42">
        <f t="shared" si="9"/>
        <v>0</v>
      </c>
      <c r="Q59" s="42">
        <f t="shared" si="9"/>
        <v>0</v>
      </c>
      <c r="R59" s="42">
        <f t="shared" si="9"/>
        <v>0</v>
      </c>
      <c r="S59" s="42">
        <f t="shared" si="9"/>
        <v>0</v>
      </c>
      <c r="T59" s="42">
        <f t="shared" si="9"/>
        <v>0</v>
      </c>
      <c r="U59" s="42">
        <f t="shared" si="9"/>
        <v>0</v>
      </c>
      <c r="V59" s="42">
        <f t="shared" si="9"/>
        <v>0</v>
      </c>
      <c r="W59" s="42">
        <f t="shared" si="9"/>
        <v>0</v>
      </c>
      <c r="X59" s="42">
        <f t="shared" si="9"/>
        <v>0</v>
      </c>
      <c r="Y59" s="42">
        <f t="shared" si="9"/>
        <v>0</v>
      </c>
      <c r="Z59" s="42">
        <f t="shared" si="9"/>
        <v>0</v>
      </c>
      <c r="AA59" s="42">
        <f t="shared" si="9"/>
        <v>0</v>
      </c>
      <c r="AB59" s="42">
        <f t="shared" si="9"/>
        <v>0</v>
      </c>
      <c r="AC59" s="42">
        <f t="shared" si="9"/>
        <v>0</v>
      </c>
      <c r="AD59" s="42">
        <f t="shared" ref="AD59:AH59" si="10">SUMIF(AD55:AD58, "&lt;&gt;#DIV/0!")</f>
        <v>0</v>
      </c>
      <c r="AE59" s="42">
        <f t="shared" si="10"/>
        <v>0</v>
      </c>
      <c r="AF59" s="42">
        <f t="shared" si="10"/>
        <v>0</v>
      </c>
      <c r="AG59" s="42">
        <f t="shared" si="10"/>
        <v>0</v>
      </c>
      <c r="AH59" s="42">
        <f t="shared" si="10"/>
        <v>0</v>
      </c>
    </row>
    <row r="60" spans="1:34" ht="15.75" thickBot="1" x14ac:dyDescent="0.3"/>
    <row r="61" spans="1:34" ht="15.75" thickBot="1" x14ac:dyDescent="0.3">
      <c r="A61" s="28"/>
      <c r="B61" s="45" t="s">
        <v>230</v>
      </c>
      <c r="C61" s="45" t="s">
        <v>231</v>
      </c>
    </row>
    <row r="62" spans="1:34" ht="16.5" thickBot="1" x14ac:dyDescent="0.3">
      <c r="A62" s="41" t="s">
        <v>34</v>
      </c>
      <c r="B62" s="47" t="s">
        <v>232</v>
      </c>
      <c r="C62" s="46">
        <v>100</v>
      </c>
    </row>
    <row r="63" spans="1:34" ht="16.5" thickBot="1" x14ac:dyDescent="0.3">
      <c r="A63" s="41" t="s">
        <v>32</v>
      </c>
      <c r="B63" s="47" t="s">
        <v>233</v>
      </c>
      <c r="C63" s="46">
        <v>79</v>
      </c>
    </row>
    <row r="64" spans="1:34" ht="16.5" thickBot="1" x14ac:dyDescent="0.3">
      <c r="A64" s="41" t="s">
        <v>30</v>
      </c>
      <c r="B64" s="47" t="s">
        <v>234</v>
      </c>
      <c r="C64" s="46">
        <v>69</v>
      </c>
    </row>
    <row r="65" spans="1:3" ht="16.5" thickBot="1" x14ac:dyDescent="0.3">
      <c r="A65" s="41" t="s">
        <v>28</v>
      </c>
      <c r="B65" s="47" t="s">
        <v>235</v>
      </c>
      <c r="C65" s="46">
        <v>59</v>
      </c>
    </row>
  </sheetData>
  <mergeCells count="1">
    <mergeCell ref="AH3:AH42"/>
  </mergeCells>
  <phoneticPr fontId="11" type="noConversion"/>
  <conditionalFormatting sqref="B3:AG2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9" priority="135" operator="greaterThanOrEqual">
      <formula>80</formula>
    </cfRule>
    <cfRule type="containsBlanks" dxfId="148" priority="136" stopIfTrue="1">
      <formula>LEN(TRIM(B3))=0</formula>
    </cfRule>
    <cfRule type="cellIs" dxfId="147" priority="137" operator="greaterThanOrEqual">
      <formula>80</formula>
    </cfRule>
    <cfRule type="cellIs" dxfId="146" priority="138" operator="between">
      <formula>70</formula>
      <formula>79</formula>
    </cfRule>
    <cfRule type="cellIs" dxfId="145" priority="139" operator="between">
      <formula>60</formula>
      <formula>69</formula>
    </cfRule>
    <cfRule type="cellIs" dxfId="144" priority="140" operator="between">
      <formula>0</formula>
      <formula>59</formula>
    </cfRule>
  </conditionalFormatting>
  <conditionalFormatting sqref="B24:AG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3" priority="128" operator="greaterThanOrEqual">
      <formula>80</formula>
    </cfRule>
    <cfRule type="containsBlanks" dxfId="142" priority="129" stopIfTrue="1">
      <formula>LEN(TRIM(B24))=0</formula>
    </cfRule>
    <cfRule type="cellIs" dxfId="141" priority="130" operator="greaterThanOrEqual">
      <formula>80</formula>
    </cfRule>
    <cfRule type="cellIs" dxfId="140" priority="131" operator="between">
      <formula>70</formula>
      <formula>79</formula>
    </cfRule>
    <cfRule type="cellIs" dxfId="139" priority="132" operator="between">
      <formula>60</formula>
      <formula>69</formula>
    </cfRule>
    <cfRule type="cellIs" dxfId="138" priority="133" operator="between">
      <formula>0</formula>
      <formula>59</formula>
    </cfRule>
  </conditionalFormatting>
  <conditionalFormatting sqref="B25:AG2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121" operator="greaterThanOrEqual">
      <formula>80</formula>
    </cfRule>
    <cfRule type="containsBlanks" dxfId="136" priority="122" stopIfTrue="1">
      <formula>LEN(TRIM(B25))=0</formula>
    </cfRule>
    <cfRule type="cellIs" dxfId="135" priority="123" operator="greaterThanOrEqual">
      <formula>80</formula>
    </cfRule>
    <cfRule type="cellIs" dxfId="134" priority="124" operator="between">
      <formula>70</formula>
      <formula>79</formula>
    </cfRule>
    <cfRule type="cellIs" dxfId="133" priority="125" operator="between">
      <formula>60</formula>
      <formula>69</formula>
    </cfRule>
    <cfRule type="cellIs" dxfId="132" priority="126" operator="between">
      <formula>0</formula>
      <formula>59</formula>
    </cfRule>
  </conditionalFormatting>
  <conditionalFormatting sqref="B26:AG2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1" priority="114" operator="greaterThanOrEqual">
      <formula>80</formula>
    </cfRule>
    <cfRule type="containsBlanks" dxfId="130" priority="115" stopIfTrue="1">
      <formula>LEN(TRIM(B26))=0</formula>
    </cfRule>
    <cfRule type="cellIs" dxfId="129" priority="116" operator="greaterThanOrEqual">
      <formula>80</formula>
    </cfRule>
    <cfRule type="cellIs" dxfId="128" priority="117" operator="between">
      <formula>70</formula>
      <formula>79</formula>
    </cfRule>
    <cfRule type="cellIs" dxfId="127" priority="118" operator="between">
      <formula>60</formula>
      <formula>69</formula>
    </cfRule>
    <cfRule type="cellIs" dxfId="126" priority="119" operator="between">
      <formula>0</formula>
      <formula>59</formula>
    </cfRule>
  </conditionalFormatting>
  <conditionalFormatting sqref="B27:AG2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5" priority="107" operator="greaterThanOrEqual">
      <formula>80</formula>
    </cfRule>
    <cfRule type="containsBlanks" dxfId="124" priority="108" stopIfTrue="1">
      <formula>LEN(TRIM(B27))=0</formula>
    </cfRule>
    <cfRule type="cellIs" dxfId="123" priority="109" operator="greaterThanOrEqual">
      <formula>80</formula>
    </cfRule>
    <cfRule type="cellIs" dxfId="122" priority="110" operator="between">
      <formula>70</formula>
      <formula>79</formula>
    </cfRule>
    <cfRule type="cellIs" dxfId="121" priority="111" operator="between">
      <formula>60</formula>
      <formula>69</formula>
    </cfRule>
    <cfRule type="cellIs" dxfId="120" priority="112" operator="between">
      <formula>0</formula>
      <formula>59</formula>
    </cfRule>
  </conditionalFormatting>
  <conditionalFormatting sqref="B28:AG2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100" operator="greaterThanOrEqual">
      <formula>80</formula>
    </cfRule>
    <cfRule type="containsBlanks" dxfId="118" priority="101" stopIfTrue="1">
      <formula>LEN(TRIM(B28))=0</formula>
    </cfRule>
    <cfRule type="cellIs" dxfId="117" priority="102" operator="greaterThanOrEqual">
      <formula>80</formula>
    </cfRule>
    <cfRule type="cellIs" dxfId="116" priority="103" operator="between">
      <formula>70</formula>
      <formula>79</formula>
    </cfRule>
    <cfRule type="cellIs" dxfId="115" priority="104" operator="between">
      <formula>60</formula>
      <formula>69</formula>
    </cfRule>
    <cfRule type="cellIs" dxfId="114" priority="105" operator="between">
      <formula>0</formula>
      <formula>59</formula>
    </cfRule>
  </conditionalFormatting>
  <conditionalFormatting sqref="B29:AG2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3" priority="93" operator="greaterThanOrEqual">
      <formula>80</formula>
    </cfRule>
    <cfRule type="containsBlanks" dxfId="112" priority="94" stopIfTrue="1">
      <formula>LEN(TRIM(B29))=0</formula>
    </cfRule>
    <cfRule type="cellIs" dxfId="111" priority="95" operator="greaterThanOrEqual">
      <formula>80</formula>
    </cfRule>
    <cfRule type="cellIs" dxfId="110" priority="96" operator="between">
      <formula>70</formula>
      <formula>79</formula>
    </cfRule>
    <cfRule type="cellIs" dxfId="109" priority="97" operator="between">
      <formula>60</formula>
      <formula>69</formula>
    </cfRule>
    <cfRule type="cellIs" dxfId="108" priority="98" operator="between">
      <formula>0</formula>
      <formula>59</formula>
    </cfRule>
  </conditionalFormatting>
  <conditionalFormatting sqref="B30:AG3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" priority="86" operator="greaterThanOrEqual">
      <formula>80</formula>
    </cfRule>
    <cfRule type="containsBlanks" dxfId="106" priority="87" stopIfTrue="1">
      <formula>LEN(TRIM(B30))=0</formula>
    </cfRule>
    <cfRule type="cellIs" dxfId="105" priority="88" operator="greaterThanOrEqual">
      <formula>80</formula>
    </cfRule>
    <cfRule type="cellIs" dxfId="104" priority="89" operator="between">
      <formula>70</formula>
      <formula>79</formula>
    </cfRule>
    <cfRule type="cellIs" dxfId="103" priority="90" operator="between">
      <formula>60</formula>
      <formula>69</formula>
    </cfRule>
    <cfRule type="cellIs" dxfId="102" priority="91" operator="between">
      <formula>0</formula>
      <formula>59</formula>
    </cfRule>
  </conditionalFormatting>
  <conditionalFormatting sqref="B31:AG3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" priority="79" operator="greaterThanOrEqual">
      <formula>80</formula>
    </cfRule>
    <cfRule type="containsBlanks" dxfId="100" priority="80" stopIfTrue="1">
      <formula>LEN(TRIM(B31))=0</formula>
    </cfRule>
    <cfRule type="cellIs" dxfId="99" priority="81" operator="greaterThanOrEqual">
      <formula>80</formula>
    </cfRule>
    <cfRule type="cellIs" dxfId="98" priority="82" operator="between">
      <formula>70</formula>
      <formula>79</formula>
    </cfRule>
    <cfRule type="cellIs" dxfId="97" priority="83" operator="between">
      <formula>60</formula>
      <formula>69</formula>
    </cfRule>
    <cfRule type="cellIs" dxfId="96" priority="84" operator="between">
      <formula>0</formula>
      <formula>59</formula>
    </cfRule>
  </conditionalFormatting>
  <conditionalFormatting sqref="B32:AG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5" priority="72" operator="greaterThanOrEqual">
      <formula>80</formula>
    </cfRule>
    <cfRule type="containsBlanks" dxfId="94" priority="73" stopIfTrue="1">
      <formula>LEN(TRIM(B32))=0</formula>
    </cfRule>
    <cfRule type="cellIs" dxfId="93" priority="74" operator="greaterThanOrEqual">
      <formula>80</formula>
    </cfRule>
    <cfRule type="cellIs" dxfId="92" priority="75" operator="between">
      <formula>70</formula>
      <formula>79</formula>
    </cfRule>
    <cfRule type="cellIs" dxfId="91" priority="76" operator="between">
      <formula>60</formula>
      <formula>69</formula>
    </cfRule>
    <cfRule type="cellIs" dxfId="90" priority="77" operator="between">
      <formula>0</formula>
      <formula>59</formula>
    </cfRule>
  </conditionalFormatting>
  <conditionalFormatting sqref="B33:AG3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9" priority="65" operator="greaterThanOrEqual">
      <formula>80</formula>
    </cfRule>
    <cfRule type="containsBlanks" dxfId="88" priority="66" stopIfTrue="1">
      <formula>LEN(TRIM(B33))=0</formula>
    </cfRule>
    <cfRule type="cellIs" dxfId="87" priority="67" operator="greaterThanOrEqual">
      <formula>80</formula>
    </cfRule>
    <cfRule type="cellIs" dxfId="86" priority="68" operator="between">
      <formula>70</formula>
      <formula>79</formula>
    </cfRule>
    <cfRule type="cellIs" dxfId="85" priority="69" operator="between">
      <formula>60</formula>
      <formula>69</formula>
    </cfRule>
    <cfRule type="cellIs" dxfId="84" priority="70" operator="between">
      <formula>0</formula>
      <formula>59</formula>
    </cfRule>
  </conditionalFormatting>
  <conditionalFormatting sqref="B34:AG3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3" priority="58" operator="greaterThanOrEqual">
      <formula>80</formula>
    </cfRule>
    <cfRule type="containsBlanks" dxfId="82" priority="59" stopIfTrue="1">
      <formula>LEN(TRIM(B34))=0</formula>
    </cfRule>
    <cfRule type="cellIs" dxfId="81" priority="60" operator="greaterThanOrEqual">
      <formula>80</formula>
    </cfRule>
    <cfRule type="cellIs" dxfId="80" priority="61" operator="between">
      <formula>70</formula>
      <formula>79</formula>
    </cfRule>
    <cfRule type="cellIs" dxfId="79" priority="62" operator="between">
      <formula>60</formula>
      <formula>69</formula>
    </cfRule>
    <cfRule type="cellIs" dxfId="78" priority="63" operator="between">
      <formula>0</formula>
      <formula>59</formula>
    </cfRule>
  </conditionalFormatting>
  <conditionalFormatting sqref="B35:AG3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51" operator="greaterThanOrEqual">
      <formula>80</formula>
    </cfRule>
    <cfRule type="containsBlanks" dxfId="76" priority="52" stopIfTrue="1">
      <formula>LEN(TRIM(B35))=0</formula>
    </cfRule>
    <cfRule type="cellIs" dxfId="75" priority="53" operator="greaterThanOrEqual">
      <formula>80</formula>
    </cfRule>
    <cfRule type="cellIs" dxfId="74" priority="54" operator="between">
      <formula>70</formula>
      <formula>79</formula>
    </cfRule>
    <cfRule type="cellIs" dxfId="73" priority="55" operator="between">
      <formula>60</formula>
      <formula>69</formula>
    </cfRule>
    <cfRule type="cellIs" dxfId="72" priority="56" operator="between">
      <formula>0</formula>
      <formula>59</formula>
    </cfRule>
  </conditionalFormatting>
  <conditionalFormatting sqref="B36:AG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44" operator="greaterThanOrEqual">
      <formula>80</formula>
    </cfRule>
    <cfRule type="containsBlanks" dxfId="70" priority="45" stopIfTrue="1">
      <formula>LEN(TRIM(B36))=0</formula>
    </cfRule>
    <cfRule type="cellIs" dxfId="69" priority="46" operator="greaterThanOrEqual">
      <formula>80</formula>
    </cfRule>
    <cfRule type="cellIs" dxfId="68" priority="47" operator="between">
      <formula>70</formula>
      <formula>79</formula>
    </cfRule>
    <cfRule type="cellIs" dxfId="67" priority="48" operator="between">
      <formula>60</formula>
      <formula>69</formula>
    </cfRule>
    <cfRule type="cellIs" dxfId="66" priority="49" operator="between">
      <formula>0</formula>
      <formula>59</formula>
    </cfRule>
  </conditionalFormatting>
  <conditionalFormatting sqref="B37:AG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37" operator="greaterThanOrEqual">
      <formula>80</formula>
    </cfRule>
    <cfRule type="containsBlanks" dxfId="64" priority="38" stopIfTrue="1">
      <formula>LEN(TRIM(B37))=0</formula>
    </cfRule>
    <cfRule type="cellIs" dxfId="63" priority="39" operator="greaterThanOrEqual">
      <formula>80</formula>
    </cfRule>
    <cfRule type="cellIs" dxfId="62" priority="40" operator="between">
      <formula>70</formula>
      <formula>79</formula>
    </cfRule>
    <cfRule type="cellIs" dxfId="61" priority="41" operator="between">
      <formula>60</formula>
      <formula>69</formula>
    </cfRule>
    <cfRule type="cellIs" dxfId="60" priority="42" operator="between">
      <formula>0</formula>
      <formula>59</formula>
    </cfRule>
  </conditionalFormatting>
  <conditionalFormatting sqref="B38:AG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30" operator="greaterThanOrEqual">
      <formula>80</formula>
    </cfRule>
    <cfRule type="containsBlanks" dxfId="58" priority="31" stopIfTrue="1">
      <formula>LEN(TRIM(B38))=0</formula>
    </cfRule>
    <cfRule type="cellIs" dxfId="57" priority="32" operator="greaterThanOrEqual">
      <formula>80</formula>
    </cfRule>
    <cfRule type="cellIs" dxfId="56" priority="33" operator="between">
      <formula>70</formula>
      <formula>79</formula>
    </cfRule>
    <cfRule type="cellIs" dxfId="55" priority="34" operator="between">
      <formula>60</formula>
      <formula>69</formula>
    </cfRule>
    <cfRule type="cellIs" dxfId="54" priority="35" operator="between">
      <formula>0</formula>
      <formula>59</formula>
    </cfRule>
  </conditionalFormatting>
  <conditionalFormatting sqref="B39:AG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23" operator="greaterThanOrEqual">
      <formula>80</formula>
    </cfRule>
    <cfRule type="containsBlanks" dxfId="52" priority="24" stopIfTrue="1">
      <formula>LEN(TRIM(B39))=0</formula>
    </cfRule>
    <cfRule type="cellIs" dxfId="51" priority="25" operator="greaterThanOrEqual">
      <formula>80</formula>
    </cfRule>
    <cfRule type="cellIs" dxfId="50" priority="26" operator="between">
      <formula>70</formula>
      <formula>79</formula>
    </cfRule>
    <cfRule type="cellIs" dxfId="49" priority="27" operator="between">
      <formula>60</formula>
      <formula>69</formula>
    </cfRule>
    <cfRule type="cellIs" dxfId="48" priority="28" operator="between">
      <formula>0</formula>
      <formula>59</formula>
    </cfRule>
  </conditionalFormatting>
  <conditionalFormatting sqref="B40:AG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16" operator="greaterThanOrEqual">
      <formula>80</formula>
    </cfRule>
    <cfRule type="containsBlanks" dxfId="46" priority="17" stopIfTrue="1">
      <formula>LEN(TRIM(B40))=0</formula>
    </cfRule>
    <cfRule type="cellIs" dxfId="45" priority="18" operator="greaterThanOrEqual">
      <formula>80</formula>
    </cfRule>
    <cfRule type="cellIs" dxfId="44" priority="19" operator="between">
      <formula>70</formula>
      <formula>79</formula>
    </cfRule>
    <cfRule type="cellIs" dxfId="43" priority="20" operator="between">
      <formula>60</formula>
      <formula>69</formula>
    </cfRule>
    <cfRule type="cellIs" dxfId="42" priority="21" operator="between">
      <formula>0</formula>
      <formula>59</formula>
    </cfRule>
  </conditionalFormatting>
  <conditionalFormatting sqref="B41:AG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9" operator="greaterThanOrEqual">
      <formula>80</formula>
    </cfRule>
    <cfRule type="containsBlanks" dxfId="40" priority="10" stopIfTrue="1">
      <formula>LEN(TRIM(B41))=0</formula>
    </cfRule>
    <cfRule type="cellIs" dxfId="39" priority="11" operator="greaterThanOrEqual">
      <formula>80</formula>
    </cfRule>
    <cfRule type="cellIs" dxfId="38" priority="12" operator="between">
      <formula>70</formula>
      <formula>79</formula>
    </cfRule>
    <cfRule type="cellIs" dxfId="37" priority="13" operator="between">
      <formula>60</formula>
      <formula>69</formula>
    </cfRule>
    <cfRule type="cellIs" dxfId="36" priority="14" operator="between">
      <formula>0</formula>
      <formula>59</formula>
    </cfRule>
  </conditionalFormatting>
  <conditionalFormatting sqref="B42:AG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2" operator="greaterThanOrEqual">
      <formula>80</formula>
    </cfRule>
    <cfRule type="containsBlanks" dxfId="34" priority="3" stopIfTrue="1">
      <formula>LEN(TRIM(B42))=0</formula>
    </cfRule>
    <cfRule type="cellIs" dxfId="33" priority="4" operator="greaterThanOrEqual">
      <formula>80</formula>
    </cfRule>
    <cfRule type="cellIs" dxfId="32" priority="5" operator="between">
      <formula>70</formula>
      <formula>79</formula>
    </cfRule>
    <cfRule type="cellIs" dxfId="31" priority="6" operator="between">
      <formula>60</formula>
      <formula>69</formula>
    </cfRule>
    <cfRule type="cellIs" dxfId="30" priority="7" operator="between">
      <formula>0</formula>
      <formula>59</formula>
    </cfRule>
  </conditionalFormatting>
  <dataValidations count="1">
    <dataValidation type="list" allowBlank="1" showInputMessage="1" showErrorMessage="1" sqref="B2:AG2" xr:uid="{3C3979B4-D864-4770-94F7-9F606EC8DC70}">
      <formula1>$AJ$6:$AJ$13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764-8917-48B5-929F-5DD2FA4256E4}">
  <dimension ref="A1:I65"/>
  <sheetViews>
    <sheetView topLeftCell="A22" zoomScale="70" zoomScaleNormal="70" workbookViewId="0">
      <selection activeCell="B55" sqref="B55:B58"/>
    </sheetView>
  </sheetViews>
  <sheetFormatPr defaultColWidth="9.28515625" defaultRowHeight="15" x14ac:dyDescent="0.25"/>
  <cols>
    <col min="1" max="1" width="44.85546875" bestFit="1" customWidth="1"/>
    <col min="2" max="2" width="18.85546875" bestFit="1" customWidth="1"/>
    <col min="3" max="3" width="13.42578125" bestFit="1" customWidth="1"/>
    <col min="4" max="4" width="15.85546875" bestFit="1" customWidth="1"/>
    <col min="5" max="5" width="17.7109375" bestFit="1" customWidth="1"/>
    <col min="6" max="6" width="13.85546875" bestFit="1" customWidth="1"/>
    <col min="7" max="7" width="9.7109375" bestFit="1" customWidth="1"/>
    <col min="8" max="8" width="17.7109375" bestFit="1" customWidth="1"/>
    <col min="9" max="9" width="7.42578125" bestFit="1" customWidth="1"/>
  </cols>
  <sheetData>
    <row r="1" spans="1:6" x14ac:dyDescent="0.25">
      <c r="A1" s="12" t="s">
        <v>203</v>
      </c>
      <c r="B1" s="152" t="s">
        <v>3</v>
      </c>
      <c r="C1" s="152" t="s">
        <v>148</v>
      </c>
      <c r="D1" s="33">
        <f>COUNTA(B1:C1)</f>
        <v>2</v>
      </c>
    </row>
    <row r="2" spans="1:6" ht="30" x14ac:dyDescent="0.25">
      <c r="A2" s="15" t="s">
        <v>209</v>
      </c>
      <c r="B2" s="12"/>
      <c r="C2" s="12"/>
      <c r="D2" s="33">
        <f>COUNTIF(B2:C2, "&lt;&gt;")</f>
        <v>0</v>
      </c>
    </row>
    <row r="3" spans="1:6" x14ac:dyDescent="0.25">
      <c r="A3" s="34">
        <v>1</v>
      </c>
      <c r="B3" s="166"/>
      <c r="C3" s="166"/>
      <c r="D3" s="184"/>
    </row>
    <row r="4" spans="1:6" x14ac:dyDescent="0.25">
      <c r="A4" s="34">
        <v>2</v>
      </c>
      <c r="B4" s="166"/>
      <c r="C4" s="166"/>
      <c r="D4" s="185"/>
      <c r="F4" s="108" t="s">
        <v>210</v>
      </c>
    </row>
    <row r="5" spans="1:6" x14ac:dyDescent="0.25">
      <c r="A5" s="34">
        <v>3</v>
      </c>
      <c r="B5" s="166"/>
      <c r="C5" s="166"/>
      <c r="D5" s="185"/>
      <c r="F5" s="108" t="s">
        <v>211</v>
      </c>
    </row>
    <row r="6" spans="1:6" x14ac:dyDescent="0.25">
      <c r="A6" s="34">
        <v>4</v>
      </c>
      <c r="B6" s="166"/>
      <c r="C6" s="166"/>
      <c r="D6" s="185"/>
      <c r="F6" s="108" t="s">
        <v>212</v>
      </c>
    </row>
    <row r="7" spans="1:6" x14ac:dyDescent="0.25">
      <c r="A7" s="34">
        <v>5</v>
      </c>
      <c r="B7" s="166"/>
      <c r="C7" s="166"/>
      <c r="D7" s="185"/>
      <c r="F7" s="108" t="s">
        <v>213</v>
      </c>
    </row>
    <row r="8" spans="1:6" x14ac:dyDescent="0.25">
      <c r="A8" s="34">
        <v>6</v>
      </c>
      <c r="B8" s="166"/>
      <c r="C8" s="166"/>
      <c r="D8" s="185"/>
      <c r="F8" s="108" t="s">
        <v>214</v>
      </c>
    </row>
    <row r="9" spans="1:6" x14ac:dyDescent="0.25">
      <c r="A9" s="34">
        <v>7</v>
      </c>
      <c r="B9" s="166"/>
      <c r="C9" s="166"/>
      <c r="D9" s="185"/>
      <c r="F9" s="108" t="s">
        <v>215</v>
      </c>
    </row>
    <row r="10" spans="1:6" x14ac:dyDescent="0.25">
      <c r="A10" s="34">
        <v>8</v>
      </c>
      <c r="B10" s="166"/>
      <c r="C10" s="166"/>
      <c r="D10" s="185"/>
      <c r="F10" s="108" t="s">
        <v>216</v>
      </c>
    </row>
    <row r="11" spans="1:6" x14ac:dyDescent="0.25">
      <c r="A11" s="34">
        <v>9</v>
      </c>
      <c r="B11" s="166"/>
      <c r="C11" s="166"/>
      <c r="D11" s="185"/>
    </row>
    <row r="12" spans="1:6" x14ac:dyDescent="0.25">
      <c r="A12" s="34">
        <v>10</v>
      </c>
      <c r="B12" s="166"/>
      <c r="C12" s="166"/>
      <c r="D12" s="185"/>
    </row>
    <row r="13" spans="1:6" x14ac:dyDescent="0.25">
      <c r="A13" s="34">
        <v>11</v>
      </c>
      <c r="B13" s="166"/>
      <c r="C13" s="166"/>
      <c r="D13" s="185"/>
    </row>
    <row r="14" spans="1:6" x14ac:dyDescent="0.25">
      <c r="A14" s="34">
        <v>12</v>
      </c>
      <c r="B14" s="166"/>
      <c r="C14" s="166"/>
      <c r="D14" s="185"/>
    </row>
    <row r="15" spans="1:6" x14ac:dyDescent="0.25">
      <c r="A15" s="34">
        <v>13</v>
      </c>
      <c r="B15" s="166"/>
      <c r="C15" s="166"/>
      <c r="D15" s="185"/>
    </row>
    <row r="16" spans="1:6" x14ac:dyDescent="0.25">
      <c r="A16" s="34">
        <v>14</v>
      </c>
      <c r="B16" s="166"/>
      <c r="C16" s="166"/>
      <c r="D16" s="185"/>
    </row>
    <row r="17" spans="1:4" x14ac:dyDescent="0.25">
      <c r="A17" s="34">
        <v>15</v>
      </c>
      <c r="B17" s="166"/>
      <c r="C17" s="166"/>
      <c r="D17" s="185"/>
    </row>
    <row r="18" spans="1:4" x14ac:dyDescent="0.25">
      <c r="A18" s="34">
        <v>16</v>
      </c>
      <c r="B18" s="166"/>
      <c r="C18" s="166"/>
      <c r="D18" s="185"/>
    </row>
    <row r="19" spans="1:4" x14ac:dyDescent="0.25">
      <c r="A19" s="34">
        <v>17</v>
      </c>
      <c r="B19" s="167"/>
      <c r="C19" s="167"/>
      <c r="D19" s="185"/>
    </row>
    <row r="20" spans="1:4" x14ac:dyDescent="0.25">
      <c r="A20" s="34">
        <v>18</v>
      </c>
      <c r="B20" s="167"/>
      <c r="C20" s="167"/>
      <c r="D20" s="185"/>
    </row>
    <row r="21" spans="1:4" x14ac:dyDescent="0.25">
      <c r="A21" s="34">
        <v>19</v>
      </c>
      <c r="B21" s="167"/>
      <c r="C21" s="167"/>
      <c r="D21" s="185"/>
    </row>
    <row r="22" spans="1:4" x14ac:dyDescent="0.25">
      <c r="A22" s="34">
        <v>20</v>
      </c>
      <c r="B22" s="167"/>
      <c r="C22" s="167"/>
      <c r="D22" s="185"/>
    </row>
    <row r="23" spans="1:4" x14ac:dyDescent="0.25">
      <c r="A23" s="34">
        <v>21</v>
      </c>
      <c r="B23" s="167"/>
      <c r="C23" s="167"/>
      <c r="D23" s="185"/>
    </row>
    <row r="24" spans="1:4" x14ac:dyDescent="0.25">
      <c r="A24" s="34">
        <v>22</v>
      </c>
      <c r="B24" s="167"/>
      <c r="C24" s="167"/>
      <c r="D24" s="185"/>
    </row>
    <row r="25" spans="1:4" x14ac:dyDescent="0.25">
      <c r="A25" s="34">
        <v>23</v>
      </c>
      <c r="B25" s="167"/>
      <c r="C25" s="167"/>
      <c r="D25" s="185"/>
    </row>
    <row r="26" spans="1:4" x14ac:dyDescent="0.25">
      <c r="A26" s="34">
        <v>24</v>
      </c>
      <c r="B26" s="167"/>
      <c r="C26" s="167"/>
      <c r="D26" s="185"/>
    </row>
    <row r="27" spans="1:4" x14ac:dyDescent="0.25">
      <c r="A27" s="34">
        <v>25</v>
      </c>
      <c r="B27" s="167"/>
      <c r="C27" s="167"/>
      <c r="D27" s="185"/>
    </row>
    <row r="28" spans="1:4" x14ac:dyDescent="0.25">
      <c r="A28" s="34">
        <v>26</v>
      </c>
      <c r="B28" s="167"/>
      <c r="C28" s="167"/>
      <c r="D28" s="185"/>
    </row>
    <row r="29" spans="1:4" x14ac:dyDescent="0.25">
      <c r="A29" s="34">
        <v>27</v>
      </c>
      <c r="B29" s="167"/>
      <c r="C29" s="167"/>
      <c r="D29" s="185"/>
    </row>
    <row r="30" spans="1:4" x14ac:dyDescent="0.25">
      <c r="A30" s="34">
        <v>28</v>
      </c>
      <c r="B30" s="167"/>
      <c r="C30" s="167"/>
      <c r="D30" s="185"/>
    </row>
    <row r="31" spans="1:4" x14ac:dyDescent="0.25">
      <c r="A31" s="34">
        <v>29</v>
      </c>
      <c r="B31" s="167"/>
      <c r="C31" s="167"/>
      <c r="D31" s="185"/>
    </row>
    <row r="32" spans="1:4" x14ac:dyDescent="0.25">
      <c r="A32" s="34">
        <v>30</v>
      </c>
      <c r="B32" s="167"/>
      <c r="C32" s="167"/>
      <c r="D32" s="185"/>
    </row>
    <row r="33" spans="1:9" x14ac:dyDescent="0.25">
      <c r="A33" s="34">
        <v>31</v>
      </c>
      <c r="B33" s="167"/>
      <c r="C33" s="167"/>
      <c r="D33" s="185"/>
    </row>
    <row r="34" spans="1:9" x14ac:dyDescent="0.25">
      <c r="A34" s="34">
        <v>32</v>
      </c>
      <c r="B34" s="167"/>
      <c r="C34" s="167"/>
      <c r="D34" s="185"/>
    </row>
    <row r="35" spans="1:9" x14ac:dyDescent="0.25">
      <c r="A35" s="34">
        <v>33</v>
      </c>
      <c r="B35" s="167"/>
      <c r="C35" s="167"/>
      <c r="D35" s="185"/>
    </row>
    <row r="36" spans="1:9" x14ac:dyDescent="0.25">
      <c r="A36" s="34">
        <v>34</v>
      </c>
      <c r="B36" s="167"/>
      <c r="C36" s="167"/>
      <c r="D36" s="185"/>
    </row>
    <row r="37" spans="1:9" x14ac:dyDescent="0.25">
      <c r="A37" s="34">
        <v>35</v>
      </c>
      <c r="B37" s="167"/>
      <c r="C37" s="167"/>
      <c r="D37" s="185"/>
    </row>
    <row r="38" spans="1:9" x14ac:dyDescent="0.25">
      <c r="A38" s="34">
        <v>36</v>
      </c>
      <c r="B38" s="167"/>
      <c r="C38" s="167"/>
      <c r="D38" s="185"/>
    </row>
    <row r="39" spans="1:9" x14ac:dyDescent="0.25">
      <c r="A39" s="34">
        <v>37</v>
      </c>
      <c r="B39" s="167"/>
      <c r="C39" s="167"/>
      <c r="D39" s="185"/>
    </row>
    <row r="40" spans="1:9" x14ac:dyDescent="0.25">
      <c r="A40" s="34">
        <v>38</v>
      </c>
      <c r="B40" s="167"/>
      <c r="C40" s="167"/>
      <c r="D40" s="185"/>
    </row>
    <row r="41" spans="1:9" x14ac:dyDescent="0.25">
      <c r="A41" s="34">
        <v>39</v>
      </c>
      <c r="B41" s="167"/>
      <c r="C41" s="167"/>
      <c r="D41" s="185"/>
    </row>
    <row r="42" spans="1:9" ht="15.75" thickBot="1" x14ac:dyDescent="0.3">
      <c r="A42" s="34">
        <v>40</v>
      </c>
      <c r="B42" s="167"/>
      <c r="C42" s="167"/>
      <c r="D42" s="186"/>
    </row>
    <row r="43" spans="1:9" ht="15.75" thickTop="1" x14ac:dyDescent="0.25">
      <c r="A43" s="109" t="s">
        <v>14</v>
      </c>
      <c r="B43" s="168" t="e">
        <f>AVERAGE(B2:B3)</f>
        <v>#DIV/0!</v>
      </c>
      <c r="C43" s="168" t="e">
        <f>AVERAGE(C3:C42)</f>
        <v>#DIV/0!</v>
      </c>
      <c r="D43" s="38"/>
    </row>
    <row r="44" spans="1:9" x14ac:dyDescent="0.25">
      <c r="A44" s="39" t="s">
        <v>217</v>
      </c>
      <c r="B44" s="169" t="e">
        <f>AVERAGEIF(B43:C43, "&lt;&gt;#DIV/0!")</f>
        <v>#DIV/0!</v>
      </c>
      <c r="C44" s="169"/>
      <c r="D44" s="35"/>
    </row>
    <row r="45" spans="1:9" x14ac:dyDescent="0.25">
      <c r="A45" s="39" t="s">
        <v>218</v>
      </c>
      <c r="B45" s="35">
        <f>COUNTIF(B3:B42, "&lt;&gt;")</f>
        <v>0</v>
      </c>
      <c r="C45" s="35">
        <f>COUNTIF(C3:C42, "&lt;&gt;")</f>
        <v>0</v>
      </c>
      <c r="D45" s="35"/>
    </row>
    <row r="47" spans="1:9" x14ac:dyDescent="0.25">
      <c r="B47" s="9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</row>
    <row r="48" spans="1:9" x14ac:dyDescent="0.25">
      <c r="A48" s="101" t="s">
        <v>226</v>
      </c>
      <c r="B48" s="16">
        <f>COUNTIF($B$2:$C$2, "A")</f>
        <v>0</v>
      </c>
      <c r="C48" s="16">
        <f>COUNTIF($B$2:$C$2, "Q")</f>
        <v>0</v>
      </c>
      <c r="D48" s="16">
        <f>COUNTIF($B$2:$C$2, "M")</f>
        <v>0</v>
      </c>
      <c r="E48" s="16">
        <f>COUNTIF($B$2:$C$2, "F")</f>
        <v>0</v>
      </c>
      <c r="F48" s="16">
        <f>COUNTIF($B$2:$C$2, "P")</f>
        <v>0</v>
      </c>
      <c r="G48" s="16">
        <f>COUNTIF($B$2:$C$2, "L")</f>
        <v>0</v>
      </c>
      <c r="H48" s="16">
        <f>COUNTIF($B$2:$C$2, "OT")</f>
        <v>0</v>
      </c>
      <c r="I48" s="12">
        <f>SUM(B48:H48)</f>
        <v>0</v>
      </c>
    </row>
    <row r="49" spans="1:9" x14ac:dyDescent="0.25">
      <c r="A49" s="107" t="s">
        <v>227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2">
        <f t="shared" ref="I49:I50" si="0">SUM(B49:H49)</f>
        <v>0</v>
      </c>
    </row>
    <row r="50" spans="1:9" x14ac:dyDescent="0.25">
      <c r="A50" s="103" t="s">
        <v>228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2">
        <f t="shared" si="0"/>
        <v>0</v>
      </c>
    </row>
    <row r="51" spans="1:9" x14ac:dyDescent="0.25">
      <c r="A51" s="22" t="s">
        <v>61</v>
      </c>
      <c r="B51" s="12">
        <f>SUM(B48:B50)</f>
        <v>0</v>
      </c>
      <c r="C51" s="12">
        <f t="shared" ref="C51:H51" si="1">SUM(C48:C50)</f>
        <v>0</v>
      </c>
      <c r="D51" s="12">
        <f t="shared" si="1"/>
        <v>0</v>
      </c>
      <c r="E51" s="12">
        <f t="shared" si="1"/>
        <v>0</v>
      </c>
      <c r="F51" s="12">
        <f t="shared" si="1"/>
        <v>0</v>
      </c>
      <c r="G51" s="12">
        <f t="shared" si="1"/>
        <v>0</v>
      </c>
      <c r="H51" s="12">
        <f t="shared" si="1"/>
        <v>0</v>
      </c>
      <c r="I51" s="12">
        <f>SUM(I48:I50)</f>
        <v>0</v>
      </c>
    </row>
    <row r="53" spans="1:9" ht="18.75" thickBot="1" x14ac:dyDescent="0.3">
      <c r="A53" s="88" t="s">
        <v>229</v>
      </c>
      <c r="C53" s="88"/>
      <c r="D53" s="86"/>
    </row>
    <row r="54" spans="1:9" ht="16.5" thickBot="1" x14ac:dyDescent="0.3">
      <c r="A54" s="40" t="s">
        <v>26</v>
      </c>
      <c r="B54" s="152" t="s">
        <v>3</v>
      </c>
      <c r="C54" s="152" t="s">
        <v>148</v>
      </c>
      <c r="D54" s="122" t="s">
        <v>14</v>
      </c>
    </row>
    <row r="55" spans="1:9" ht="16.5" thickBot="1" x14ac:dyDescent="0.3">
      <c r="A55" s="104" t="s">
        <v>28</v>
      </c>
      <c r="B55" s="117" t="e">
        <f>(COUNTIF(B3:B42, "&lt;=59%"))/B45</f>
        <v>#DIV/0!</v>
      </c>
      <c r="C55" s="117" t="e">
        <f>(COUNTIF(C3:C42, "&lt;=59%"))/C45</f>
        <v>#DIV/0!</v>
      </c>
      <c r="D55" s="44" t="e">
        <f>AVERAGEIF(B55:C55, "&lt;&gt;#DIV/0!")</f>
        <v>#DIV/0!</v>
      </c>
    </row>
    <row r="56" spans="1:9" ht="16.5" thickBot="1" x14ac:dyDescent="0.3">
      <c r="A56" s="105" t="s">
        <v>30</v>
      </c>
      <c r="B56" s="120" t="e">
        <f>(COUNTIFS(B3:B42, "&gt;= 60%", B3:B42, "&lt;=69%" ))/B45</f>
        <v>#DIV/0!</v>
      </c>
      <c r="C56" s="120" t="e">
        <f>(COUNTIFS(C3:C42, "&gt;= 60%", C3:C42, "&lt;=69%" ))/C45</f>
        <v>#DIV/0!</v>
      </c>
      <c r="D56" s="44" t="e">
        <f>AVERAGEIF(B56:C56, "&lt;&gt;#DIV/0!")</f>
        <v>#DIV/0!</v>
      </c>
    </row>
    <row r="57" spans="1:9" ht="16.5" thickBot="1" x14ac:dyDescent="0.3">
      <c r="A57" s="100" t="s">
        <v>32</v>
      </c>
      <c r="B57" s="120" t="e">
        <f>(COUNTIFS(B3:B42, "&gt;= 70%", B3:B42, "&lt;=79%" ))/B45</f>
        <v>#DIV/0!</v>
      </c>
      <c r="C57" s="120" t="e">
        <f>(COUNTIFS(C3:C42, "&gt;= 70%", C3:C42, "&lt;=79%" ))/C45</f>
        <v>#DIV/0!</v>
      </c>
      <c r="D57" s="44" t="e">
        <f>AVERAGEIF(B57:C57, "&lt;&gt;#DIV/0!")</f>
        <v>#DIV/0!</v>
      </c>
    </row>
    <row r="58" spans="1:9" ht="16.5" thickBot="1" x14ac:dyDescent="0.3">
      <c r="A58" s="106" t="s">
        <v>34</v>
      </c>
      <c r="B58" s="120" t="e">
        <f>(COUNTIF(B3:B42,"&gt;= 80%")/B45)</f>
        <v>#DIV/0!</v>
      </c>
      <c r="C58" s="120" t="e">
        <f>(COUNTIF(C3:C42,"&gt;= 80%")/C45)</f>
        <v>#DIV/0!</v>
      </c>
      <c r="D58" s="44" t="e">
        <f>AVERAGEIF(B58:C58, "&lt;&gt;#DIV/0!")</f>
        <v>#DIV/0!</v>
      </c>
    </row>
    <row r="59" spans="1:9" ht="16.5" thickTop="1" thickBot="1" x14ac:dyDescent="0.3">
      <c r="A59" s="47"/>
      <c r="B59" s="90">
        <f>SUMIF(B55:B58, "&lt;&gt;#DIV/0!")</f>
        <v>0</v>
      </c>
      <c r="C59" s="42">
        <f t="shared" ref="C59:D59" si="2">SUMIF(C55:C58, "&lt;&gt;#DIV/0!")</f>
        <v>0</v>
      </c>
      <c r="D59" s="42">
        <f t="shared" si="2"/>
        <v>0</v>
      </c>
    </row>
    <row r="60" spans="1:9" ht="15.75" thickBot="1" x14ac:dyDescent="0.3"/>
    <row r="61" spans="1:9" ht="15.75" thickBot="1" x14ac:dyDescent="0.3">
      <c r="A61" s="28"/>
      <c r="B61" s="45" t="s">
        <v>230</v>
      </c>
      <c r="C61" s="45" t="s">
        <v>231</v>
      </c>
    </row>
    <row r="62" spans="1:9" ht="16.5" thickBot="1" x14ac:dyDescent="0.3">
      <c r="A62" s="41" t="s">
        <v>34</v>
      </c>
      <c r="B62" s="47" t="s">
        <v>232</v>
      </c>
      <c r="C62" s="46">
        <v>100</v>
      </c>
    </row>
    <row r="63" spans="1:9" ht="16.5" thickBot="1" x14ac:dyDescent="0.3">
      <c r="A63" s="41" t="s">
        <v>32</v>
      </c>
      <c r="B63" s="47" t="s">
        <v>233</v>
      </c>
      <c r="C63" s="46">
        <v>79</v>
      </c>
    </row>
    <row r="64" spans="1:9" ht="16.5" thickBot="1" x14ac:dyDescent="0.3">
      <c r="A64" s="41" t="s">
        <v>30</v>
      </c>
      <c r="B64" s="47" t="s">
        <v>234</v>
      </c>
      <c r="C64" s="46">
        <v>69</v>
      </c>
    </row>
    <row r="65" spans="1:3" ht="16.5" thickBot="1" x14ac:dyDescent="0.3">
      <c r="A65" s="41" t="s">
        <v>28</v>
      </c>
      <c r="B65" s="47" t="s">
        <v>235</v>
      </c>
      <c r="C65" s="46">
        <v>59</v>
      </c>
    </row>
  </sheetData>
  <mergeCells count="1">
    <mergeCell ref="D3:D42"/>
  </mergeCells>
  <phoneticPr fontId="11" type="noConversion"/>
  <conditionalFormatting sqref="B3:C4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226" operator="greaterThanOrEqual">
      <formula>80</formula>
    </cfRule>
    <cfRule type="containsBlanks" dxfId="28" priority="227" stopIfTrue="1">
      <formula>LEN(TRIM(B3))=0</formula>
    </cfRule>
    <cfRule type="cellIs" dxfId="27" priority="228" operator="greaterThanOrEqual">
      <formula>80</formula>
    </cfRule>
    <cfRule type="cellIs" dxfId="26" priority="229" operator="between">
      <formula>70</formula>
      <formula>79</formula>
    </cfRule>
    <cfRule type="cellIs" dxfId="25" priority="230" operator="between">
      <formula>60</formula>
      <formula>69</formula>
    </cfRule>
    <cfRule type="cellIs" dxfId="24" priority="231" operator="between">
      <formula>0</formula>
      <formula>59</formula>
    </cfRule>
  </conditionalFormatting>
  <dataValidations count="1">
    <dataValidation type="list" allowBlank="1" showInputMessage="1" showErrorMessage="1" sqref="B2:C2" xr:uid="{EAD6C5CF-A7AB-4638-ABA8-4CF4E0B7A10F}">
      <formula1>$F$4:$F$11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450-C302-4C5A-8CEF-33676752C026}">
  <dimension ref="A1:AU65"/>
  <sheetViews>
    <sheetView topLeftCell="A24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5.28515625" bestFit="1" customWidth="1"/>
    <col min="4" max="4" width="15.85546875" bestFit="1" customWidth="1"/>
    <col min="5" max="5" width="17.7109375" bestFit="1" customWidth="1"/>
    <col min="6" max="6" width="14.85546875" bestFit="1" customWidth="1"/>
    <col min="7" max="7" width="15.28515625" bestFit="1" customWidth="1"/>
    <col min="8" max="8" width="17.7109375" bestFit="1" customWidth="1"/>
    <col min="9" max="9" width="14.85546875" bestFit="1" customWidth="1"/>
    <col min="10" max="10" width="15.28515625" bestFit="1" customWidth="1"/>
    <col min="11" max="12" width="14.5703125" bestFit="1" customWidth="1"/>
    <col min="13" max="13" width="15.28515625" bestFit="1" customWidth="1"/>
    <col min="14" max="15" width="14.28515625" bestFit="1" customWidth="1"/>
    <col min="16" max="17" width="14.5703125" bestFit="1" customWidth="1"/>
    <col min="18" max="18" width="14.28515625" bestFit="1" customWidth="1"/>
    <col min="19" max="24" width="14.5703125" bestFit="1" customWidth="1"/>
    <col min="25" max="26" width="15" bestFit="1" customWidth="1"/>
    <col min="27" max="27" width="14.42578125" bestFit="1" customWidth="1"/>
    <col min="28" max="31" width="14.85546875" bestFit="1" customWidth="1"/>
    <col min="32" max="32" width="14" bestFit="1" customWidth="1"/>
    <col min="33" max="35" width="14.42578125" bestFit="1" customWidth="1"/>
    <col min="36" max="37" width="14.85546875" bestFit="1" customWidth="1"/>
    <col min="38" max="38" width="12.5703125" bestFit="1" customWidth="1"/>
    <col min="39" max="39" width="13" bestFit="1" customWidth="1"/>
    <col min="40" max="40" width="12.5703125" bestFit="1" customWidth="1"/>
    <col min="41" max="44" width="13" bestFit="1" customWidth="1"/>
    <col min="45" max="45" width="9.28515625" bestFit="1" customWidth="1"/>
    <col min="47" max="47" width="4.28515625" bestFit="1" customWidth="1"/>
  </cols>
  <sheetData>
    <row r="1" spans="1:47" x14ac:dyDescent="0.25">
      <c r="A1" s="12" t="s">
        <v>203</v>
      </c>
      <c r="B1" s="152" t="s">
        <v>5</v>
      </c>
      <c r="C1" s="152" t="s">
        <v>17</v>
      </c>
      <c r="D1" s="152" t="s">
        <v>19</v>
      </c>
      <c r="E1" s="158" t="s">
        <v>25</v>
      </c>
      <c r="F1" s="158" t="s">
        <v>29</v>
      </c>
      <c r="G1" s="151" t="s">
        <v>39</v>
      </c>
      <c r="H1" s="158" t="s">
        <v>240</v>
      </c>
      <c r="I1" s="158" t="s">
        <v>49</v>
      </c>
      <c r="J1" s="151" t="s">
        <v>58</v>
      </c>
      <c r="K1" s="158" t="s">
        <v>64</v>
      </c>
      <c r="L1" s="158" t="s">
        <v>66</v>
      </c>
      <c r="M1" s="157" t="s">
        <v>72</v>
      </c>
      <c r="N1" s="153" t="s">
        <v>80</v>
      </c>
      <c r="O1" s="152" t="s">
        <v>82</v>
      </c>
      <c r="P1" s="152" t="s">
        <v>86</v>
      </c>
      <c r="Q1" s="152" t="s">
        <v>88</v>
      </c>
      <c r="R1" s="152" t="s">
        <v>90</v>
      </c>
      <c r="S1" s="152" t="s">
        <v>92</v>
      </c>
      <c r="T1" s="152" t="s">
        <v>94</v>
      </c>
      <c r="U1" s="152" t="s">
        <v>96</v>
      </c>
      <c r="V1" s="152" t="s">
        <v>98</v>
      </c>
      <c r="W1" s="152" t="s">
        <v>100</v>
      </c>
      <c r="X1" s="152" t="s">
        <v>102</v>
      </c>
      <c r="Y1" s="158" t="s">
        <v>104</v>
      </c>
      <c r="Z1" s="158" t="s">
        <v>108</v>
      </c>
      <c r="AA1" s="152" t="s">
        <v>138</v>
      </c>
      <c r="AB1" s="152" t="s">
        <v>140</v>
      </c>
      <c r="AC1" s="152" t="s">
        <v>142</v>
      </c>
      <c r="AD1" s="152" t="s">
        <v>144</v>
      </c>
      <c r="AE1" s="152" t="s">
        <v>146</v>
      </c>
      <c r="AF1" s="152" t="s">
        <v>154</v>
      </c>
      <c r="AG1" s="158" t="s">
        <v>163</v>
      </c>
      <c r="AH1" s="158" t="s">
        <v>164</v>
      </c>
      <c r="AI1" s="158" t="s">
        <v>165</v>
      </c>
      <c r="AJ1" s="151" t="s">
        <v>171</v>
      </c>
      <c r="AK1" s="151" t="s">
        <v>172</v>
      </c>
      <c r="AL1" s="151" t="s">
        <v>237</v>
      </c>
      <c r="AM1" s="151" t="s">
        <v>238</v>
      </c>
      <c r="AN1" s="151" t="s">
        <v>239</v>
      </c>
      <c r="AO1" s="151" t="s">
        <v>205</v>
      </c>
      <c r="AP1" s="151" t="s">
        <v>207</v>
      </c>
      <c r="AQ1" s="151" t="s">
        <v>207</v>
      </c>
      <c r="AR1" s="151" t="s">
        <v>207</v>
      </c>
      <c r="AS1" s="33">
        <f>COUNTA(B1:AB1)</f>
        <v>27</v>
      </c>
    </row>
    <row r="2" spans="1:47" ht="30" x14ac:dyDescent="0.25">
      <c r="A2" s="15" t="s">
        <v>209</v>
      </c>
      <c r="B2" s="1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33">
        <f>COUNTIF(B2:AR2, "&lt;&gt;")</f>
        <v>0</v>
      </c>
    </row>
    <row r="3" spans="1:47" x14ac:dyDescent="0.25">
      <c r="A3" s="16">
        <v>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81"/>
    </row>
    <row r="4" spans="1:47" x14ac:dyDescent="0.25">
      <c r="A4" s="16">
        <v>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82"/>
    </row>
    <row r="5" spans="1:47" x14ac:dyDescent="0.25">
      <c r="A5" s="16">
        <v>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82"/>
    </row>
    <row r="6" spans="1:47" x14ac:dyDescent="0.25">
      <c r="A6" s="16">
        <v>4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82"/>
      <c r="AU6" t="s">
        <v>210</v>
      </c>
    </row>
    <row r="7" spans="1:47" x14ac:dyDescent="0.25">
      <c r="A7" s="16">
        <v>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82"/>
      <c r="AU7" t="s">
        <v>211</v>
      </c>
    </row>
    <row r="8" spans="1:47" x14ac:dyDescent="0.25">
      <c r="A8" s="16">
        <v>6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82"/>
      <c r="AU8" t="s">
        <v>212</v>
      </c>
    </row>
    <row r="9" spans="1:47" x14ac:dyDescent="0.25">
      <c r="A9" s="16">
        <v>7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82"/>
      <c r="AU9" t="s">
        <v>213</v>
      </c>
    </row>
    <row r="10" spans="1:47" x14ac:dyDescent="0.25">
      <c r="A10" s="16">
        <v>8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82"/>
      <c r="AU10" t="s">
        <v>214</v>
      </c>
    </row>
    <row r="11" spans="1:47" x14ac:dyDescent="0.25">
      <c r="A11" s="16">
        <v>9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82"/>
      <c r="AU11" t="s">
        <v>215</v>
      </c>
    </row>
    <row r="12" spans="1:47" x14ac:dyDescent="0.25">
      <c r="A12" s="16">
        <v>10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82"/>
      <c r="AU12" t="s">
        <v>216</v>
      </c>
    </row>
    <row r="13" spans="1:47" x14ac:dyDescent="0.25">
      <c r="A13" s="16">
        <v>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82"/>
    </row>
    <row r="14" spans="1:47" x14ac:dyDescent="0.25">
      <c r="A14" s="16">
        <v>12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82"/>
    </row>
    <row r="15" spans="1:47" x14ac:dyDescent="0.25">
      <c r="A15" s="16">
        <v>13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82"/>
    </row>
    <row r="16" spans="1:47" x14ac:dyDescent="0.25">
      <c r="A16" s="16">
        <v>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82"/>
    </row>
    <row r="17" spans="1:45" x14ac:dyDescent="0.25">
      <c r="A17" s="16">
        <v>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82"/>
    </row>
    <row r="18" spans="1:45" x14ac:dyDescent="0.25">
      <c r="A18" s="16">
        <v>16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82"/>
    </row>
    <row r="19" spans="1:45" x14ac:dyDescent="0.25">
      <c r="A19" s="16">
        <v>17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82"/>
    </row>
    <row r="20" spans="1:45" x14ac:dyDescent="0.25">
      <c r="A20" s="16">
        <v>18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82"/>
    </row>
    <row r="21" spans="1:45" x14ac:dyDescent="0.25">
      <c r="A21" s="16">
        <v>19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82"/>
    </row>
    <row r="22" spans="1:45" x14ac:dyDescent="0.25">
      <c r="A22" s="16">
        <v>20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82"/>
    </row>
    <row r="23" spans="1:45" x14ac:dyDescent="0.25">
      <c r="A23" s="110">
        <v>21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82"/>
    </row>
    <row r="24" spans="1:45" x14ac:dyDescent="0.25">
      <c r="A24" s="110">
        <v>22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82"/>
    </row>
    <row r="25" spans="1:45" x14ac:dyDescent="0.25">
      <c r="A25" s="110">
        <v>23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82"/>
    </row>
    <row r="26" spans="1:45" x14ac:dyDescent="0.25">
      <c r="A26" s="110">
        <v>24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82"/>
    </row>
    <row r="27" spans="1:45" x14ac:dyDescent="0.25">
      <c r="A27" s="110">
        <v>25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82"/>
    </row>
    <row r="28" spans="1:45" x14ac:dyDescent="0.25">
      <c r="A28" s="110">
        <v>26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82"/>
    </row>
    <row r="29" spans="1:45" x14ac:dyDescent="0.25">
      <c r="A29" s="110">
        <v>27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82"/>
    </row>
    <row r="30" spans="1:45" x14ac:dyDescent="0.25">
      <c r="A30" s="110">
        <v>28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82"/>
    </row>
    <row r="31" spans="1:45" x14ac:dyDescent="0.25">
      <c r="A31" s="110">
        <v>29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82"/>
    </row>
    <row r="32" spans="1:45" x14ac:dyDescent="0.25">
      <c r="A32" s="110">
        <v>30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82"/>
    </row>
    <row r="33" spans="1:45" x14ac:dyDescent="0.25">
      <c r="A33" s="110">
        <v>31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82"/>
    </row>
    <row r="34" spans="1:45" x14ac:dyDescent="0.25">
      <c r="A34" s="110">
        <v>32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82"/>
    </row>
    <row r="35" spans="1:45" x14ac:dyDescent="0.25">
      <c r="A35" s="110">
        <v>33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82"/>
    </row>
    <row r="36" spans="1:45" x14ac:dyDescent="0.25">
      <c r="A36" s="110">
        <v>34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82"/>
    </row>
    <row r="37" spans="1:45" x14ac:dyDescent="0.25">
      <c r="A37" s="110">
        <v>35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82"/>
    </row>
    <row r="38" spans="1:45" x14ac:dyDescent="0.25">
      <c r="A38" s="110">
        <v>36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82"/>
    </row>
    <row r="39" spans="1:45" x14ac:dyDescent="0.25">
      <c r="A39" s="110">
        <v>37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82"/>
    </row>
    <row r="40" spans="1:45" x14ac:dyDescent="0.25">
      <c r="A40" s="110">
        <v>38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82"/>
    </row>
    <row r="41" spans="1:45" x14ac:dyDescent="0.25">
      <c r="A41" s="110">
        <v>39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82"/>
    </row>
    <row r="42" spans="1:45" ht="15.75" thickBot="1" x14ac:dyDescent="0.3">
      <c r="A42" s="110">
        <v>40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83"/>
    </row>
    <row r="43" spans="1:45" ht="15.75" thickTop="1" x14ac:dyDescent="0.25">
      <c r="A43" s="37" t="s">
        <v>14</v>
      </c>
      <c r="B43" s="172" t="e">
        <f>AVERAGE(B3:B42)</f>
        <v>#DIV/0!</v>
      </c>
      <c r="C43" s="172" t="e">
        <f t="shared" ref="C43:AR43" si="0">AVERAGE(C3:C42)</f>
        <v>#DIV/0!</v>
      </c>
      <c r="D43" s="172" t="e">
        <f t="shared" si="0"/>
        <v>#DIV/0!</v>
      </c>
      <c r="E43" s="172" t="e">
        <f t="shared" si="0"/>
        <v>#DIV/0!</v>
      </c>
      <c r="F43" s="172" t="e">
        <f t="shared" si="0"/>
        <v>#DIV/0!</v>
      </c>
      <c r="G43" s="172" t="e">
        <f t="shared" si="0"/>
        <v>#DIV/0!</v>
      </c>
      <c r="H43" s="172" t="e">
        <f t="shared" si="0"/>
        <v>#DIV/0!</v>
      </c>
      <c r="I43" s="172" t="e">
        <f t="shared" si="0"/>
        <v>#DIV/0!</v>
      </c>
      <c r="J43" s="172" t="e">
        <f t="shared" si="0"/>
        <v>#DIV/0!</v>
      </c>
      <c r="K43" s="172" t="e">
        <f t="shared" si="0"/>
        <v>#DIV/0!</v>
      </c>
      <c r="L43" s="172" t="e">
        <f t="shared" si="0"/>
        <v>#DIV/0!</v>
      </c>
      <c r="M43" s="172" t="e">
        <f t="shared" si="0"/>
        <v>#DIV/0!</v>
      </c>
      <c r="N43" s="172" t="e">
        <f t="shared" si="0"/>
        <v>#DIV/0!</v>
      </c>
      <c r="O43" s="172" t="e">
        <f t="shared" si="0"/>
        <v>#DIV/0!</v>
      </c>
      <c r="P43" s="172" t="e">
        <f t="shared" si="0"/>
        <v>#DIV/0!</v>
      </c>
      <c r="Q43" s="172" t="e">
        <f t="shared" si="0"/>
        <v>#DIV/0!</v>
      </c>
      <c r="R43" s="172" t="e">
        <f t="shared" si="0"/>
        <v>#DIV/0!</v>
      </c>
      <c r="S43" s="172" t="e">
        <f t="shared" si="0"/>
        <v>#DIV/0!</v>
      </c>
      <c r="T43" s="172" t="e">
        <f t="shared" si="0"/>
        <v>#DIV/0!</v>
      </c>
      <c r="U43" s="172" t="e">
        <f t="shared" si="0"/>
        <v>#DIV/0!</v>
      </c>
      <c r="V43" s="172" t="e">
        <f t="shared" si="0"/>
        <v>#DIV/0!</v>
      </c>
      <c r="W43" s="172" t="e">
        <f t="shared" si="0"/>
        <v>#DIV/0!</v>
      </c>
      <c r="X43" s="172" t="e">
        <f t="shared" si="0"/>
        <v>#DIV/0!</v>
      </c>
      <c r="Y43" s="172" t="e">
        <f t="shared" si="0"/>
        <v>#DIV/0!</v>
      </c>
      <c r="Z43" s="172" t="e">
        <f t="shared" si="0"/>
        <v>#DIV/0!</v>
      </c>
      <c r="AA43" s="172" t="e">
        <f t="shared" si="0"/>
        <v>#DIV/0!</v>
      </c>
      <c r="AB43" s="172" t="e">
        <f t="shared" si="0"/>
        <v>#DIV/0!</v>
      </c>
      <c r="AC43" s="172" t="e">
        <f t="shared" si="0"/>
        <v>#DIV/0!</v>
      </c>
      <c r="AD43" s="172" t="e">
        <f t="shared" si="0"/>
        <v>#DIV/0!</v>
      </c>
      <c r="AE43" s="172" t="e">
        <f t="shared" si="0"/>
        <v>#DIV/0!</v>
      </c>
      <c r="AF43" s="172" t="e">
        <f t="shared" si="0"/>
        <v>#DIV/0!</v>
      </c>
      <c r="AG43" s="172" t="e">
        <f t="shared" si="0"/>
        <v>#DIV/0!</v>
      </c>
      <c r="AH43" s="172" t="e">
        <f t="shared" si="0"/>
        <v>#DIV/0!</v>
      </c>
      <c r="AI43" s="172" t="e">
        <f t="shared" si="0"/>
        <v>#DIV/0!</v>
      </c>
      <c r="AJ43" s="172" t="e">
        <f t="shared" si="0"/>
        <v>#DIV/0!</v>
      </c>
      <c r="AK43" s="172" t="e">
        <f t="shared" si="0"/>
        <v>#DIV/0!</v>
      </c>
      <c r="AL43" s="172" t="e">
        <f t="shared" si="0"/>
        <v>#DIV/0!</v>
      </c>
      <c r="AM43" s="172" t="e">
        <f t="shared" si="0"/>
        <v>#DIV/0!</v>
      </c>
      <c r="AN43" s="172" t="e">
        <f t="shared" si="0"/>
        <v>#DIV/0!</v>
      </c>
      <c r="AO43" s="172" t="e">
        <f t="shared" si="0"/>
        <v>#DIV/0!</v>
      </c>
      <c r="AP43" s="172" t="e">
        <f t="shared" si="0"/>
        <v>#DIV/0!</v>
      </c>
      <c r="AQ43" s="172" t="e">
        <f t="shared" si="0"/>
        <v>#DIV/0!</v>
      </c>
      <c r="AR43" s="172" t="e">
        <f t="shared" si="0"/>
        <v>#DIV/0!</v>
      </c>
      <c r="AS43" s="20"/>
    </row>
    <row r="44" spans="1:45" x14ac:dyDescent="0.25">
      <c r="A44" s="39" t="s">
        <v>217</v>
      </c>
      <c r="B44" s="166" t="e">
        <f>AVERAGEIF(B43:AR43, "&lt;&gt;#DIV/0!")</f>
        <v>#DIV/0!</v>
      </c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7"/>
    </row>
    <row r="45" spans="1:45" x14ac:dyDescent="0.25">
      <c r="A45" s="39" t="s">
        <v>218</v>
      </c>
      <c r="B45" s="35">
        <f>COUNTIF(B3:B42, "&lt;&gt;")</f>
        <v>0</v>
      </c>
      <c r="C45" s="35">
        <f t="shared" ref="C45:AR45" si="1">COUNTIF(C3:C42, "&lt;&gt;")</f>
        <v>0</v>
      </c>
      <c r="D45" s="35">
        <f t="shared" si="1"/>
        <v>0</v>
      </c>
      <c r="E45" s="35">
        <f t="shared" si="1"/>
        <v>0</v>
      </c>
      <c r="F45" s="35">
        <f t="shared" si="1"/>
        <v>0</v>
      </c>
      <c r="G45" s="35">
        <f t="shared" si="1"/>
        <v>0</v>
      </c>
      <c r="H45" s="35">
        <f t="shared" si="1"/>
        <v>0</v>
      </c>
      <c r="I45" s="35">
        <f t="shared" si="1"/>
        <v>0</v>
      </c>
      <c r="J45" s="35">
        <f t="shared" si="1"/>
        <v>0</v>
      </c>
      <c r="K45" s="35">
        <f t="shared" si="1"/>
        <v>0</v>
      </c>
      <c r="L45" s="35">
        <f t="shared" si="1"/>
        <v>0</v>
      </c>
      <c r="M45" s="35">
        <f t="shared" si="1"/>
        <v>0</v>
      </c>
      <c r="N45" s="35">
        <f t="shared" si="1"/>
        <v>0</v>
      </c>
      <c r="O45" s="35">
        <f t="shared" si="1"/>
        <v>0</v>
      </c>
      <c r="P45" s="35">
        <f t="shared" si="1"/>
        <v>0</v>
      </c>
      <c r="Q45" s="35">
        <f t="shared" si="1"/>
        <v>0</v>
      </c>
      <c r="R45" s="35">
        <f t="shared" si="1"/>
        <v>0</v>
      </c>
      <c r="S45" s="35">
        <f t="shared" si="1"/>
        <v>0</v>
      </c>
      <c r="T45" s="35">
        <f t="shared" si="1"/>
        <v>0</v>
      </c>
      <c r="U45" s="35">
        <f t="shared" si="1"/>
        <v>0</v>
      </c>
      <c r="V45" s="35">
        <f t="shared" si="1"/>
        <v>0</v>
      </c>
      <c r="W45" s="35">
        <f t="shared" si="1"/>
        <v>0</v>
      </c>
      <c r="X45" s="35">
        <f t="shared" si="1"/>
        <v>0</v>
      </c>
      <c r="Y45" s="35">
        <f t="shared" si="1"/>
        <v>0</v>
      </c>
      <c r="Z45" s="35">
        <f t="shared" si="1"/>
        <v>0</v>
      </c>
      <c r="AA45" s="35">
        <f t="shared" si="1"/>
        <v>0</v>
      </c>
      <c r="AB45" s="35">
        <f t="shared" si="1"/>
        <v>0</v>
      </c>
      <c r="AC45" s="35">
        <f t="shared" si="1"/>
        <v>0</v>
      </c>
      <c r="AD45" s="35">
        <f t="shared" si="1"/>
        <v>0</v>
      </c>
      <c r="AE45" s="35">
        <f t="shared" si="1"/>
        <v>0</v>
      </c>
      <c r="AF45" s="35">
        <f t="shared" si="1"/>
        <v>0</v>
      </c>
      <c r="AG45" s="35">
        <f t="shared" si="1"/>
        <v>0</v>
      </c>
      <c r="AH45" s="35">
        <f t="shared" si="1"/>
        <v>0</v>
      </c>
      <c r="AI45" s="35">
        <f t="shared" si="1"/>
        <v>0</v>
      </c>
      <c r="AJ45" s="35">
        <f t="shared" si="1"/>
        <v>0</v>
      </c>
      <c r="AK45" s="35">
        <f t="shared" si="1"/>
        <v>0</v>
      </c>
      <c r="AL45" s="35">
        <f t="shared" si="1"/>
        <v>0</v>
      </c>
      <c r="AM45" s="35">
        <f t="shared" si="1"/>
        <v>0</v>
      </c>
      <c r="AN45" s="35">
        <f t="shared" si="1"/>
        <v>0</v>
      </c>
      <c r="AO45" s="35">
        <f t="shared" si="1"/>
        <v>0</v>
      </c>
      <c r="AP45" s="35">
        <f t="shared" si="1"/>
        <v>0</v>
      </c>
      <c r="AQ45" s="35">
        <f t="shared" si="1"/>
        <v>0</v>
      </c>
      <c r="AR45" s="35">
        <f t="shared" si="1"/>
        <v>0</v>
      </c>
      <c r="AS45" s="99"/>
    </row>
    <row r="46" spans="1:45" x14ac:dyDescent="0.25">
      <c r="A46" s="9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</row>
    <row r="47" spans="1:45" x14ac:dyDescent="0.25">
      <c r="A47" s="12"/>
      <c r="B47" s="2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</row>
    <row r="48" spans="1:45" x14ac:dyDescent="0.25">
      <c r="A48" s="101" t="s">
        <v>226</v>
      </c>
      <c r="B48" s="16">
        <f>COUNTIF($B$2:$D$2, "A")+COUNTIF($N$2:$X$2, "A") +COUNTIF($AA$2:$AF$2, "A")</f>
        <v>0</v>
      </c>
      <c r="C48" s="16">
        <f>COUNTIF($B$2:$D$2, "Q")+COUNTIF($N$2:$X$2, "Q") +COUNTIF($AA$2:$AF$2, "Q")</f>
        <v>0</v>
      </c>
      <c r="D48" s="16">
        <f>COUNTIF($B$2:$D$2, "M")+COUNTIF($N$2:$X$2, "M") +COUNTIF($AA$2:$AF$2, "M")</f>
        <v>0</v>
      </c>
      <c r="E48" s="16">
        <f>COUNTIF($B$2:$D$2, "F")+COUNTIF($N$2:$X$2, "F") +COUNTIF($AA$2:$AF$2, "F")</f>
        <v>0</v>
      </c>
      <c r="F48" s="16">
        <f>COUNTIF($B$2:$D$2, "P")+COUNTIF($N$2:$X$2, "P") +COUNTIF($AA$2:$AF$2, "P")</f>
        <v>0</v>
      </c>
      <c r="G48" s="16">
        <f>COUNTIF($B$2:$D$2, "L")+COUNTIF($N$2:$X$2, "L") +COUNTIF($AA$2:$AF$2, "L")</f>
        <v>0</v>
      </c>
      <c r="H48" s="16">
        <f>COUNTIF($B$2:$D$2, "OT")+COUNTIF($N$2:$X$2, "OT") +COUNTIF($AA$2:$AF$2, "OT")</f>
        <v>0</v>
      </c>
      <c r="I48" s="12">
        <f>SUM(B48:H48)</f>
        <v>0</v>
      </c>
    </row>
    <row r="49" spans="1:45" x14ac:dyDescent="0.25">
      <c r="A49" s="102" t="s">
        <v>227</v>
      </c>
      <c r="B49" s="16">
        <f>COUNTIF($E$2:$F$2, "A") + COUNTIF($H$2:$I$2, "A") +COUNTIF($K$2:$M$2, "A") + COUNTIF($Y$2:$Z$2, "A") + COUNTIF($AG$2:$AI$2, "A")</f>
        <v>0</v>
      </c>
      <c r="C49" s="16">
        <f>COUNTIF($E$2:$F$2, "Q") + COUNTIF($H$2:$I$2, "Q") +COUNTIF($K$2:$M$2, "Q") + COUNTIF($Y$2:$Z$2, "Q") + COUNTIF($AG$2:$AI$2, "Q")</f>
        <v>0</v>
      </c>
      <c r="D49" s="16">
        <f>COUNTIF($E$2:$F$2, "M") + COUNTIF($H$2:$I$2, "M") +COUNTIF($K$2:$M$2, "M") + COUNTIF($Y$2:$Z$2, "M") + COUNTIF($AG$2:$AI$2, "M")</f>
        <v>0</v>
      </c>
      <c r="E49" s="16">
        <f>COUNTIF($E$2:$F$2, "F") + COUNTIF($H$2:$I$2, "F") +COUNTIF($K$2:$M$2, "F") + COUNTIF($Y$2:$Z$2, "F") + COUNTIF($AG$2:$AI$2, "F")</f>
        <v>0</v>
      </c>
      <c r="F49" s="16">
        <f>COUNTIF($E$2:$F$2, "P") + COUNTIF($H$2:$I$2, "P") +COUNTIF($K$2:$M$2, "P") + COUNTIF($Y$2:$Z$2, "P") + COUNTIF($AG$2:$AI$2, "P")</f>
        <v>0</v>
      </c>
      <c r="G49" s="16">
        <f>COUNTIF($E$2:$F$2, "L") + COUNTIF($H$2:$I$2, "L") +COUNTIF($K$2:$M$2, "L") + COUNTIF($Y$2:$Z$2, "L") + COUNTIF($AG$2:$AI$2, "L")</f>
        <v>0</v>
      </c>
      <c r="H49" s="16">
        <f>COUNTIF($E$2:$F$2, "OT") + COUNTIF($H$2:$I$2, "OT") +COUNTIF($K$2:$M$2, "OT") + COUNTIF($Y$2:$Z$2, "OT") + COUNTIF($AG$2:$AI$2, "OT")</f>
        <v>0</v>
      </c>
      <c r="I49" s="12">
        <f t="shared" ref="I49:I50" si="2">SUM(B49:H49)</f>
        <v>0</v>
      </c>
    </row>
    <row r="50" spans="1:45" x14ac:dyDescent="0.25">
      <c r="A50" s="103" t="s">
        <v>228</v>
      </c>
      <c r="B50" s="16">
        <f>COUNTIF($AJ$2:$AR$2, "A")</f>
        <v>0</v>
      </c>
      <c r="C50" s="16">
        <f>COUNTIF($AJ$2:$AR$2, "Q")</f>
        <v>0</v>
      </c>
      <c r="D50" s="16">
        <f>COUNTIF($AJ$2:$AR$2, "M")</f>
        <v>0</v>
      </c>
      <c r="E50" s="16">
        <f>COUNTIF($AJ$2:$AR$2, "F")</f>
        <v>0</v>
      </c>
      <c r="F50" s="16">
        <f>COUNTIF($AJ$2:$AR$2, "P")</f>
        <v>0</v>
      </c>
      <c r="G50" s="16">
        <f>COUNTIF($AJ$2:$AR$2, "L")</f>
        <v>0</v>
      </c>
      <c r="H50" s="16">
        <f>COUNTIF($AJ$2:$AR$2, "OT")</f>
        <v>0</v>
      </c>
      <c r="I50" s="12">
        <f t="shared" si="2"/>
        <v>0</v>
      </c>
    </row>
    <row r="51" spans="1:45" x14ac:dyDescent="0.25">
      <c r="A51" s="22" t="s">
        <v>61</v>
      </c>
      <c r="B51" s="12">
        <f>SUM(B48:B50)</f>
        <v>0</v>
      </c>
      <c r="C51" s="12">
        <f t="shared" ref="C51:H51" si="3">SUM(C48:C50)</f>
        <v>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0</v>
      </c>
      <c r="I51" s="12">
        <f>SUM(I48:I50)</f>
        <v>0</v>
      </c>
    </row>
    <row r="53" spans="1:45" ht="18.75" thickBot="1" x14ac:dyDescent="0.3">
      <c r="A53" s="88" t="s">
        <v>229</v>
      </c>
      <c r="B53" s="88"/>
      <c r="C53" s="88"/>
      <c r="D53" s="88"/>
      <c r="E53" s="88"/>
      <c r="F53" s="88"/>
      <c r="H53" s="24"/>
      <c r="I53" s="24"/>
    </row>
    <row r="54" spans="1:45" ht="16.5" thickBot="1" x14ac:dyDescent="0.3">
      <c r="A54" s="111" t="s">
        <v>26</v>
      </c>
      <c r="B54" s="152" t="s">
        <v>5</v>
      </c>
      <c r="C54" s="152" t="s">
        <v>17</v>
      </c>
      <c r="D54" s="152" t="s">
        <v>19</v>
      </c>
      <c r="E54" s="158" t="s">
        <v>25</v>
      </c>
      <c r="F54" s="158" t="s">
        <v>29</v>
      </c>
      <c r="G54" s="151" t="s">
        <v>39</v>
      </c>
      <c r="H54" s="158" t="s">
        <v>240</v>
      </c>
      <c r="I54" s="158" t="s">
        <v>49</v>
      </c>
      <c r="J54" s="151" t="s">
        <v>58</v>
      </c>
      <c r="K54" s="158" t="s">
        <v>64</v>
      </c>
      <c r="L54" s="158" t="s">
        <v>66</v>
      </c>
      <c r="M54" s="157" t="s">
        <v>72</v>
      </c>
      <c r="N54" s="153" t="s">
        <v>80</v>
      </c>
      <c r="O54" s="152" t="s">
        <v>82</v>
      </c>
      <c r="P54" s="152" t="s">
        <v>86</v>
      </c>
      <c r="Q54" s="152" t="s">
        <v>88</v>
      </c>
      <c r="R54" s="152" t="s">
        <v>90</v>
      </c>
      <c r="S54" s="152" t="s">
        <v>92</v>
      </c>
      <c r="T54" s="152" t="s">
        <v>94</v>
      </c>
      <c r="U54" s="152" t="s">
        <v>96</v>
      </c>
      <c r="V54" s="152" t="s">
        <v>98</v>
      </c>
      <c r="W54" s="152" t="s">
        <v>100</v>
      </c>
      <c r="X54" s="152" t="s">
        <v>102</v>
      </c>
      <c r="Y54" s="158" t="s">
        <v>104</v>
      </c>
      <c r="Z54" s="158" t="s">
        <v>108</v>
      </c>
      <c r="AA54" s="152" t="s">
        <v>138</v>
      </c>
      <c r="AB54" s="152" t="s">
        <v>140</v>
      </c>
      <c r="AC54" s="152" t="s">
        <v>142</v>
      </c>
      <c r="AD54" s="152" t="s">
        <v>144</v>
      </c>
      <c r="AE54" s="152" t="s">
        <v>146</v>
      </c>
      <c r="AF54" s="152" t="s">
        <v>154</v>
      </c>
      <c r="AG54" s="158" t="s">
        <v>163</v>
      </c>
      <c r="AH54" s="158" t="s">
        <v>164</v>
      </c>
      <c r="AI54" s="158" t="s">
        <v>165</v>
      </c>
      <c r="AJ54" s="151" t="s">
        <v>171</v>
      </c>
      <c r="AK54" s="151" t="s">
        <v>172</v>
      </c>
      <c r="AL54" s="151" t="s">
        <v>237</v>
      </c>
      <c r="AM54" s="151" t="s">
        <v>238</v>
      </c>
      <c r="AN54" s="151" t="s">
        <v>239</v>
      </c>
      <c r="AO54" s="151" t="s">
        <v>205</v>
      </c>
      <c r="AP54" s="151" t="s">
        <v>207</v>
      </c>
      <c r="AQ54" s="151" t="s">
        <v>207</v>
      </c>
      <c r="AR54" s="151" t="s">
        <v>207</v>
      </c>
      <c r="AS54" s="43" t="s">
        <v>14</v>
      </c>
    </row>
    <row r="55" spans="1:45" ht="16.5" thickBot="1" x14ac:dyDescent="0.3">
      <c r="A55" s="112" t="s">
        <v>28</v>
      </c>
      <c r="B55" s="117" t="e">
        <f>(COUNTIF(B3:B42, "&lt;=59%"))/B45</f>
        <v>#DIV/0!</v>
      </c>
      <c r="C55" s="117" t="e">
        <f t="shared" ref="C55:AR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117" t="e">
        <f t="shared" si="4"/>
        <v>#DIV/0!</v>
      </c>
      <c r="L55" s="117" t="e">
        <f t="shared" si="4"/>
        <v>#DIV/0!</v>
      </c>
      <c r="M55" s="117" t="e">
        <f t="shared" si="4"/>
        <v>#DIV/0!</v>
      </c>
      <c r="N55" s="117" t="e">
        <f t="shared" si="4"/>
        <v>#DIV/0!</v>
      </c>
      <c r="O55" s="117" t="e">
        <f t="shared" si="4"/>
        <v>#DIV/0!</v>
      </c>
      <c r="P55" s="117" t="e">
        <f t="shared" si="4"/>
        <v>#DIV/0!</v>
      </c>
      <c r="Q55" s="117" t="e">
        <f t="shared" si="4"/>
        <v>#DIV/0!</v>
      </c>
      <c r="R55" s="117" t="e">
        <f t="shared" si="4"/>
        <v>#DIV/0!</v>
      </c>
      <c r="S55" s="117" t="e">
        <f t="shared" si="4"/>
        <v>#DIV/0!</v>
      </c>
      <c r="T55" s="117" t="e">
        <f t="shared" si="4"/>
        <v>#DIV/0!</v>
      </c>
      <c r="U55" s="117" t="e">
        <f t="shared" si="4"/>
        <v>#DIV/0!</v>
      </c>
      <c r="V55" s="117" t="e">
        <f t="shared" si="4"/>
        <v>#DIV/0!</v>
      </c>
      <c r="W55" s="117" t="e">
        <f t="shared" si="4"/>
        <v>#DIV/0!</v>
      </c>
      <c r="X55" s="117" t="e">
        <f t="shared" si="4"/>
        <v>#DIV/0!</v>
      </c>
      <c r="Y55" s="117" t="e">
        <f t="shared" si="4"/>
        <v>#DIV/0!</v>
      </c>
      <c r="Z55" s="117" t="e">
        <f t="shared" si="4"/>
        <v>#DIV/0!</v>
      </c>
      <c r="AA55" s="117" t="e">
        <f t="shared" si="4"/>
        <v>#DIV/0!</v>
      </c>
      <c r="AB55" s="117" t="e">
        <f t="shared" si="4"/>
        <v>#DIV/0!</v>
      </c>
      <c r="AC55" s="117" t="e">
        <f t="shared" si="4"/>
        <v>#DIV/0!</v>
      </c>
      <c r="AD55" s="117" t="e">
        <f t="shared" si="4"/>
        <v>#DIV/0!</v>
      </c>
      <c r="AE55" s="117" t="e">
        <f t="shared" si="4"/>
        <v>#DIV/0!</v>
      </c>
      <c r="AF55" s="117" t="e">
        <f t="shared" si="4"/>
        <v>#DIV/0!</v>
      </c>
      <c r="AG55" s="117" t="e">
        <f t="shared" si="4"/>
        <v>#DIV/0!</v>
      </c>
      <c r="AH55" s="117" t="e">
        <f t="shared" si="4"/>
        <v>#DIV/0!</v>
      </c>
      <c r="AI55" s="117" t="e">
        <f t="shared" si="4"/>
        <v>#DIV/0!</v>
      </c>
      <c r="AJ55" s="117" t="e">
        <f t="shared" si="4"/>
        <v>#DIV/0!</v>
      </c>
      <c r="AK55" s="117" t="e">
        <f t="shared" si="4"/>
        <v>#DIV/0!</v>
      </c>
      <c r="AL55" s="117" t="e">
        <f t="shared" si="4"/>
        <v>#DIV/0!</v>
      </c>
      <c r="AM55" s="117" t="e">
        <f t="shared" si="4"/>
        <v>#DIV/0!</v>
      </c>
      <c r="AN55" s="117" t="e">
        <f t="shared" si="4"/>
        <v>#DIV/0!</v>
      </c>
      <c r="AO55" s="117" t="e">
        <f t="shared" si="4"/>
        <v>#DIV/0!</v>
      </c>
      <c r="AP55" s="117" t="e">
        <f t="shared" si="4"/>
        <v>#DIV/0!</v>
      </c>
      <c r="AQ55" s="117" t="e">
        <f t="shared" si="4"/>
        <v>#DIV/0!</v>
      </c>
      <c r="AR55" s="117" t="e">
        <f t="shared" si="4"/>
        <v>#DIV/0!</v>
      </c>
      <c r="AS55" s="89" t="e">
        <f>AVERAGEIF(B55:AB55, "&lt;&gt;#DIV/0!")</f>
        <v>#DIV/0!</v>
      </c>
    </row>
    <row r="56" spans="1:45" ht="16.5" thickBot="1" x14ac:dyDescent="0.3">
      <c r="A56" s="113" t="s">
        <v>30</v>
      </c>
      <c r="B56" s="120" t="e">
        <f>(COUNTIFS(B3:B42, "&gt;= 60%", B3:B42, "&lt;=69%" ))/B45</f>
        <v>#DIV/0!</v>
      </c>
      <c r="C56" s="120" t="e">
        <f t="shared" ref="C56:AR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120" t="e">
        <f t="shared" si="5"/>
        <v>#DIV/0!</v>
      </c>
      <c r="L56" s="120" t="e">
        <f t="shared" si="5"/>
        <v>#DIV/0!</v>
      </c>
      <c r="M56" s="120" t="e">
        <f t="shared" si="5"/>
        <v>#DIV/0!</v>
      </c>
      <c r="N56" s="120" t="e">
        <f t="shared" si="5"/>
        <v>#DIV/0!</v>
      </c>
      <c r="O56" s="120" t="e">
        <f t="shared" si="5"/>
        <v>#DIV/0!</v>
      </c>
      <c r="P56" s="120" t="e">
        <f t="shared" si="5"/>
        <v>#DIV/0!</v>
      </c>
      <c r="Q56" s="120" t="e">
        <f t="shared" si="5"/>
        <v>#DIV/0!</v>
      </c>
      <c r="R56" s="120" t="e">
        <f t="shared" si="5"/>
        <v>#DIV/0!</v>
      </c>
      <c r="S56" s="120" t="e">
        <f t="shared" si="5"/>
        <v>#DIV/0!</v>
      </c>
      <c r="T56" s="120" t="e">
        <f t="shared" si="5"/>
        <v>#DIV/0!</v>
      </c>
      <c r="U56" s="120" t="e">
        <f t="shared" si="5"/>
        <v>#DIV/0!</v>
      </c>
      <c r="V56" s="120" t="e">
        <f t="shared" si="5"/>
        <v>#DIV/0!</v>
      </c>
      <c r="W56" s="120" t="e">
        <f t="shared" si="5"/>
        <v>#DIV/0!</v>
      </c>
      <c r="X56" s="120" t="e">
        <f t="shared" si="5"/>
        <v>#DIV/0!</v>
      </c>
      <c r="Y56" s="120" t="e">
        <f t="shared" si="5"/>
        <v>#DIV/0!</v>
      </c>
      <c r="Z56" s="120" t="e">
        <f t="shared" si="5"/>
        <v>#DIV/0!</v>
      </c>
      <c r="AA56" s="120" t="e">
        <f t="shared" si="5"/>
        <v>#DIV/0!</v>
      </c>
      <c r="AB56" s="120" t="e">
        <f t="shared" si="5"/>
        <v>#DIV/0!</v>
      </c>
      <c r="AC56" s="120" t="e">
        <f t="shared" si="5"/>
        <v>#DIV/0!</v>
      </c>
      <c r="AD56" s="120" t="e">
        <f t="shared" si="5"/>
        <v>#DIV/0!</v>
      </c>
      <c r="AE56" s="120" t="e">
        <f t="shared" si="5"/>
        <v>#DIV/0!</v>
      </c>
      <c r="AF56" s="120" t="e">
        <f t="shared" si="5"/>
        <v>#DIV/0!</v>
      </c>
      <c r="AG56" s="120" t="e">
        <f t="shared" si="5"/>
        <v>#DIV/0!</v>
      </c>
      <c r="AH56" s="120" t="e">
        <f t="shared" si="5"/>
        <v>#DIV/0!</v>
      </c>
      <c r="AI56" s="120" t="e">
        <f t="shared" si="5"/>
        <v>#DIV/0!</v>
      </c>
      <c r="AJ56" s="120" t="e">
        <f t="shared" si="5"/>
        <v>#DIV/0!</v>
      </c>
      <c r="AK56" s="120" t="e">
        <f t="shared" si="5"/>
        <v>#DIV/0!</v>
      </c>
      <c r="AL56" s="120" t="e">
        <f t="shared" si="5"/>
        <v>#DIV/0!</v>
      </c>
      <c r="AM56" s="120" t="e">
        <f t="shared" si="5"/>
        <v>#DIV/0!</v>
      </c>
      <c r="AN56" s="120" t="e">
        <f t="shared" si="5"/>
        <v>#DIV/0!</v>
      </c>
      <c r="AO56" s="120" t="e">
        <f t="shared" si="5"/>
        <v>#DIV/0!</v>
      </c>
      <c r="AP56" s="120" t="e">
        <f t="shared" si="5"/>
        <v>#DIV/0!</v>
      </c>
      <c r="AQ56" s="120" t="e">
        <f t="shared" si="5"/>
        <v>#DIV/0!</v>
      </c>
      <c r="AR56" s="120" t="e">
        <f t="shared" si="5"/>
        <v>#DIV/0!</v>
      </c>
      <c r="AS56" s="89" t="e">
        <f t="shared" ref="AS56:AS58" si="6">AVERAGEIF(B56:AB56, "&lt;&gt;#DIV/0!")</f>
        <v>#DIV/0!</v>
      </c>
    </row>
    <row r="57" spans="1:45" ht="16.5" thickBot="1" x14ac:dyDescent="0.3">
      <c r="A57" s="114" t="s">
        <v>32</v>
      </c>
      <c r="B57" s="120" t="e">
        <f>(COUNTIFS(B3:B42, "&gt;= 70%", B3:B42, "&lt;=79%" ))/B45</f>
        <v>#DIV/0!</v>
      </c>
      <c r="C57" s="120" t="e">
        <f t="shared" ref="C57:AR57" si="7">(COUNTIFS(C3:C42, "&gt;= 70%", C3:C42, "&lt;=79%" ))/C45</f>
        <v>#DIV/0!</v>
      </c>
      <c r="D57" s="120" t="e">
        <f t="shared" si="7"/>
        <v>#DIV/0!</v>
      </c>
      <c r="E57" s="120" t="e">
        <f t="shared" si="7"/>
        <v>#DIV/0!</v>
      </c>
      <c r="F57" s="120" t="e">
        <f t="shared" si="7"/>
        <v>#DIV/0!</v>
      </c>
      <c r="G57" s="120" t="e">
        <f t="shared" si="7"/>
        <v>#DIV/0!</v>
      </c>
      <c r="H57" s="120" t="e">
        <f t="shared" si="7"/>
        <v>#DIV/0!</v>
      </c>
      <c r="I57" s="120" t="e">
        <f t="shared" si="7"/>
        <v>#DIV/0!</v>
      </c>
      <c r="J57" s="120" t="e">
        <f t="shared" si="7"/>
        <v>#DIV/0!</v>
      </c>
      <c r="K57" s="120" t="e">
        <f t="shared" si="7"/>
        <v>#DIV/0!</v>
      </c>
      <c r="L57" s="120" t="e">
        <f t="shared" si="7"/>
        <v>#DIV/0!</v>
      </c>
      <c r="M57" s="120" t="e">
        <f t="shared" si="7"/>
        <v>#DIV/0!</v>
      </c>
      <c r="N57" s="120" t="e">
        <f t="shared" si="7"/>
        <v>#DIV/0!</v>
      </c>
      <c r="O57" s="120" t="e">
        <f t="shared" si="7"/>
        <v>#DIV/0!</v>
      </c>
      <c r="P57" s="120" t="e">
        <f t="shared" si="7"/>
        <v>#DIV/0!</v>
      </c>
      <c r="Q57" s="120" t="e">
        <f t="shared" si="7"/>
        <v>#DIV/0!</v>
      </c>
      <c r="R57" s="120" t="e">
        <f t="shared" si="7"/>
        <v>#DIV/0!</v>
      </c>
      <c r="S57" s="120" t="e">
        <f t="shared" si="7"/>
        <v>#DIV/0!</v>
      </c>
      <c r="T57" s="120" t="e">
        <f t="shared" si="7"/>
        <v>#DIV/0!</v>
      </c>
      <c r="U57" s="120" t="e">
        <f t="shared" si="7"/>
        <v>#DIV/0!</v>
      </c>
      <c r="V57" s="120" t="e">
        <f t="shared" si="7"/>
        <v>#DIV/0!</v>
      </c>
      <c r="W57" s="120" t="e">
        <f t="shared" si="7"/>
        <v>#DIV/0!</v>
      </c>
      <c r="X57" s="120" t="e">
        <f t="shared" si="7"/>
        <v>#DIV/0!</v>
      </c>
      <c r="Y57" s="120" t="e">
        <f t="shared" si="7"/>
        <v>#DIV/0!</v>
      </c>
      <c r="Z57" s="120" t="e">
        <f t="shared" si="7"/>
        <v>#DIV/0!</v>
      </c>
      <c r="AA57" s="120" t="e">
        <f t="shared" si="7"/>
        <v>#DIV/0!</v>
      </c>
      <c r="AB57" s="120" t="e">
        <f t="shared" si="7"/>
        <v>#DIV/0!</v>
      </c>
      <c r="AC57" s="120" t="e">
        <f t="shared" si="7"/>
        <v>#DIV/0!</v>
      </c>
      <c r="AD57" s="120" t="e">
        <f t="shared" si="7"/>
        <v>#DIV/0!</v>
      </c>
      <c r="AE57" s="120" t="e">
        <f t="shared" si="7"/>
        <v>#DIV/0!</v>
      </c>
      <c r="AF57" s="120" t="e">
        <f t="shared" si="7"/>
        <v>#DIV/0!</v>
      </c>
      <c r="AG57" s="120" t="e">
        <f t="shared" si="7"/>
        <v>#DIV/0!</v>
      </c>
      <c r="AH57" s="120" t="e">
        <f t="shared" si="7"/>
        <v>#DIV/0!</v>
      </c>
      <c r="AI57" s="120" t="e">
        <f t="shared" si="7"/>
        <v>#DIV/0!</v>
      </c>
      <c r="AJ57" s="120" t="e">
        <f t="shared" si="7"/>
        <v>#DIV/0!</v>
      </c>
      <c r="AK57" s="120" t="e">
        <f t="shared" si="7"/>
        <v>#DIV/0!</v>
      </c>
      <c r="AL57" s="120" t="e">
        <f t="shared" si="7"/>
        <v>#DIV/0!</v>
      </c>
      <c r="AM57" s="120" t="e">
        <f t="shared" si="7"/>
        <v>#DIV/0!</v>
      </c>
      <c r="AN57" s="120" t="e">
        <f t="shared" si="7"/>
        <v>#DIV/0!</v>
      </c>
      <c r="AO57" s="120" t="e">
        <f t="shared" si="7"/>
        <v>#DIV/0!</v>
      </c>
      <c r="AP57" s="120" t="e">
        <f t="shared" si="7"/>
        <v>#DIV/0!</v>
      </c>
      <c r="AQ57" s="120" t="e">
        <f t="shared" si="7"/>
        <v>#DIV/0!</v>
      </c>
      <c r="AR57" s="120" t="e">
        <f t="shared" si="7"/>
        <v>#DIV/0!</v>
      </c>
      <c r="AS57" s="89" t="e">
        <f t="shared" si="6"/>
        <v>#DIV/0!</v>
      </c>
    </row>
    <row r="58" spans="1:45" ht="16.5" thickBot="1" x14ac:dyDescent="0.3">
      <c r="A58" s="115" t="s">
        <v>34</v>
      </c>
      <c r="B58" s="120" t="e">
        <f>(COUNTIF(B3:B42,"&gt;= 80%")/B45)</f>
        <v>#DIV/0!</v>
      </c>
      <c r="C58" s="120" t="e">
        <f t="shared" ref="C58:AR58" si="8">(COUNTIF(C3:C42,"&gt;= 80%")/C45)</f>
        <v>#DIV/0!</v>
      </c>
      <c r="D58" s="120" t="e">
        <f t="shared" si="8"/>
        <v>#DIV/0!</v>
      </c>
      <c r="E58" s="120" t="e">
        <f t="shared" si="8"/>
        <v>#DIV/0!</v>
      </c>
      <c r="F58" s="120" t="e">
        <f t="shared" si="8"/>
        <v>#DIV/0!</v>
      </c>
      <c r="G58" s="120" t="e">
        <f t="shared" si="8"/>
        <v>#DIV/0!</v>
      </c>
      <c r="H58" s="120" t="e">
        <f t="shared" si="8"/>
        <v>#DIV/0!</v>
      </c>
      <c r="I58" s="120" t="e">
        <f t="shared" si="8"/>
        <v>#DIV/0!</v>
      </c>
      <c r="J58" s="120" t="e">
        <f t="shared" si="8"/>
        <v>#DIV/0!</v>
      </c>
      <c r="K58" s="120" t="e">
        <f t="shared" si="8"/>
        <v>#DIV/0!</v>
      </c>
      <c r="L58" s="120" t="e">
        <f t="shared" si="8"/>
        <v>#DIV/0!</v>
      </c>
      <c r="M58" s="120" t="e">
        <f t="shared" si="8"/>
        <v>#DIV/0!</v>
      </c>
      <c r="N58" s="120" t="e">
        <f t="shared" si="8"/>
        <v>#DIV/0!</v>
      </c>
      <c r="O58" s="120" t="e">
        <f t="shared" si="8"/>
        <v>#DIV/0!</v>
      </c>
      <c r="P58" s="120" t="e">
        <f t="shared" si="8"/>
        <v>#DIV/0!</v>
      </c>
      <c r="Q58" s="120" t="e">
        <f t="shared" si="8"/>
        <v>#DIV/0!</v>
      </c>
      <c r="R58" s="120" t="e">
        <f t="shared" si="8"/>
        <v>#DIV/0!</v>
      </c>
      <c r="S58" s="120" t="e">
        <f t="shared" si="8"/>
        <v>#DIV/0!</v>
      </c>
      <c r="T58" s="120" t="e">
        <f t="shared" si="8"/>
        <v>#DIV/0!</v>
      </c>
      <c r="U58" s="120" t="e">
        <f t="shared" si="8"/>
        <v>#DIV/0!</v>
      </c>
      <c r="V58" s="120" t="e">
        <f t="shared" si="8"/>
        <v>#DIV/0!</v>
      </c>
      <c r="W58" s="120" t="e">
        <f t="shared" si="8"/>
        <v>#DIV/0!</v>
      </c>
      <c r="X58" s="120" t="e">
        <f t="shared" si="8"/>
        <v>#DIV/0!</v>
      </c>
      <c r="Y58" s="120" t="e">
        <f t="shared" si="8"/>
        <v>#DIV/0!</v>
      </c>
      <c r="Z58" s="120" t="e">
        <f t="shared" si="8"/>
        <v>#DIV/0!</v>
      </c>
      <c r="AA58" s="120" t="e">
        <f t="shared" si="8"/>
        <v>#DIV/0!</v>
      </c>
      <c r="AB58" s="120" t="e">
        <f t="shared" si="8"/>
        <v>#DIV/0!</v>
      </c>
      <c r="AC58" s="120" t="e">
        <f t="shared" si="8"/>
        <v>#DIV/0!</v>
      </c>
      <c r="AD58" s="120" t="e">
        <f t="shared" si="8"/>
        <v>#DIV/0!</v>
      </c>
      <c r="AE58" s="120" t="e">
        <f t="shared" si="8"/>
        <v>#DIV/0!</v>
      </c>
      <c r="AF58" s="120" t="e">
        <f t="shared" si="8"/>
        <v>#DIV/0!</v>
      </c>
      <c r="AG58" s="120" t="e">
        <f t="shared" si="8"/>
        <v>#DIV/0!</v>
      </c>
      <c r="AH58" s="120" t="e">
        <f t="shared" si="8"/>
        <v>#DIV/0!</v>
      </c>
      <c r="AI58" s="120" t="e">
        <f t="shared" si="8"/>
        <v>#DIV/0!</v>
      </c>
      <c r="AJ58" s="120" t="e">
        <f t="shared" si="8"/>
        <v>#DIV/0!</v>
      </c>
      <c r="AK58" s="120" t="e">
        <f t="shared" si="8"/>
        <v>#DIV/0!</v>
      </c>
      <c r="AL58" s="120" t="e">
        <f t="shared" si="8"/>
        <v>#DIV/0!</v>
      </c>
      <c r="AM58" s="120" t="e">
        <f t="shared" si="8"/>
        <v>#DIV/0!</v>
      </c>
      <c r="AN58" s="120" t="e">
        <f t="shared" si="8"/>
        <v>#DIV/0!</v>
      </c>
      <c r="AO58" s="120" t="e">
        <f t="shared" si="8"/>
        <v>#DIV/0!</v>
      </c>
      <c r="AP58" s="120" t="e">
        <f t="shared" si="8"/>
        <v>#DIV/0!</v>
      </c>
      <c r="AQ58" s="120" t="e">
        <f t="shared" si="8"/>
        <v>#DIV/0!</v>
      </c>
      <c r="AR58" s="120" t="e">
        <f t="shared" si="8"/>
        <v>#DIV/0!</v>
      </c>
      <c r="AS58" s="131" t="e">
        <f t="shared" si="6"/>
        <v>#DIV/0!</v>
      </c>
    </row>
    <row r="59" spans="1:45" ht="15.75" thickBot="1" x14ac:dyDescent="0.3">
      <c r="A59" s="123"/>
      <c r="B59" s="121">
        <f>SUMIF(B55:B58, "&lt;&gt;#DIV/0!")</f>
        <v>0</v>
      </c>
      <c r="C59" s="129">
        <f t="shared" ref="C59:AB59" si="9">SUMIF(C55:C58, "&lt;&gt;#DIV/0!")</f>
        <v>0</v>
      </c>
      <c r="D59" s="129">
        <f t="shared" si="9"/>
        <v>0</v>
      </c>
      <c r="E59" s="129">
        <f t="shared" si="9"/>
        <v>0</v>
      </c>
      <c r="F59" s="129">
        <f t="shared" si="9"/>
        <v>0</v>
      </c>
      <c r="G59" s="129">
        <f t="shared" si="9"/>
        <v>0</v>
      </c>
      <c r="H59" s="129">
        <f t="shared" si="9"/>
        <v>0</v>
      </c>
      <c r="I59" s="129">
        <f t="shared" si="9"/>
        <v>0</v>
      </c>
      <c r="J59" s="129">
        <f t="shared" si="9"/>
        <v>0</v>
      </c>
      <c r="K59" s="129">
        <f t="shared" si="9"/>
        <v>0</v>
      </c>
      <c r="L59" s="129">
        <f t="shared" si="9"/>
        <v>0</v>
      </c>
      <c r="M59" s="129">
        <f t="shared" si="9"/>
        <v>0</v>
      </c>
      <c r="N59" s="129">
        <f t="shared" si="9"/>
        <v>0</v>
      </c>
      <c r="O59" s="129">
        <f t="shared" si="9"/>
        <v>0</v>
      </c>
      <c r="P59" s="129">
        <f t="shared" si="9"/>
        <v>0</v>
      </c>
      <c r="Q59" s="129">
        <f t="shared" si="9"/>
        <v>0</v>
      </c>
      <c r="R59" s="129">
        <f t="shared" si="9"/>
        <v>0</v>
      </c>
      <c r="S59" s="129">
        <f t="shared" si="9"/>
        <v>0</v>
      </c>
      <c r="T59" s="129">
        <f t="shared" si="9"/>
        <v>0</v>
      </c>
      <c r="U59" s="129">
        <f t="shared" si="9"/>
        <v>0</v>
      </c>
      <c r="V59" s="129">
        <f t="shared" si="9"/>
        <v>0</v>
      </c>
      <c r="W59" s="129">
        <f t="shared" si="9"/>
        <v>0</v>
      </c>
      <c r="X59" s="129">
        <f t="shared" si="9"/>
        <v>0</v>
      </c>
      <c r="Y59" s="129">
        <f t="shared" si="9"/>
        <v>0</v>
      </c>
      <c r="Z59" s="129">
        <f t="shared" si="9"/>
        <v>0</v>
      </c>
      <c r="AA59" s="129">
        <f t="shared" si="9"/>
        <v>0</v>
      </c>
      <c r="AB59" s="129">
        <f t="shared" si="9"/>
        <v>0</v>
      </c>
      <c r="AC59" s="129">
        <f t="shared" ref="AC59:AR59" si="10">SUMIF(AC55:AC58, "&lt;&gt;#DIV/0!")</f>
        <v>0</v>
      </c>
      <c r="AD59" s="129">
        <f t="shared" si="10"/>
        <v>0</v>
      </c>
      <c r="AE59" s="129">
        <f t="shared" si="10"/>
        <v>0</v>
      </c>
      <c r="AF59" s="129">
        <f t="shared" si="10"/>
        <v>0</v>
      </c>
      <c r="AG59" s="129">
        <f t="shared" si="10"/>
        <v>0</v>
      </c>
      <c r="AH59" s="129">
        <f t="shared" si="10"/>
        <v>0</v>
      </c>
      <c r="AI59" s="129">
        <f t="shared" si="10"/>
        <v>0</v>
      </c>
      <c r="AJ59" s="129">
        <f t="shared" si="10"/>
        <v>0</v>
      </c>
      <c r="AK59" s="129">
        <f t="shared" si="10"/>
        <v>0</v>
      </c>
      <c r="AL59" s="129">
        <f t="shared" si="10"/>
        <v>0</v>
      </c>
      <c r="AM59" s="129">
        <f t="shared" si="10"/>
        <v>0</v>
      </c>
      <c r="AN59" s="129">
        <f t="shared" si="10"/>
        <v>0</v>
      </c>
      <c r="AO59" s="129">
        <f t="shared" si="10"/>
        <v>0</v>
      </c>
      <c r="AP59" s="129">
        <f t="shared" si="10"/>
        <v>0</v>
      </c>
      <c r="AQ59" s="129">
        <f t="shared" si="10"/>
        <v>0</v>
      </c>
      <c r="AR59" s="129">
        <f t="shared" si="10"/>
        <v>0</v>
      </c>
      <c r="AS59" s="130"/>
    </row>
    <row r="60" spans="1:45" ht="15.75" thickBot="1" x14ac:dyDescent="0.3"/>
    <row r="61" spans="1:45" ht="15.75" thickBot="1" x14ac:dyDescent="0.3">
      <c r="A61" s="28"/>
      <c r="B61" s="45" t="s">
        <v>230</v>
      </c>
      <c r="C61" s="45" t="s">
        <v>231</v>
      </c>
    </row>
    <row r="62" spans="1:45" ht="16.5" thickBot="1" x14ac:dyDescent="0.3">
      <c r="A62" s="41" t="s">
        <v>34</v>
      </c>
      <c r="B62" s="47" t="s">
        <v>232</v>
      </c>
      <c r="C62" s="46">
        <v>100</v>
      </c>
    </row>
    <row r="63" spans="1:45" ht="16.5" thickBot="1" x14ac:dyDescent="0.3">
      <c r="A63" s="41" t="s">
        <v>32</v>
      </c>
      <c r="B63" s="47" t="s">
        <v>233</v>
      </c>
      <c r="C63" s="46">
        <v>79</v>
      </c>
    </row>
    <row r="64" spans="1:45" ht="16.5" thickBot="1" x14ac:dyDescent="0.3">
      <c r="A64" s="41" t="s">
        <v>30</v>
      </c>
      <c r="B64" s="47" t="s">
        <v>234</v>
      </c>
      <c r="C64" s="46">
        <v>69</v>
      </c>
    </row>
    <row r="65" spans="1:3" ht="16.5" thickBot="1" x14ac:dyDescent="0.3">
      <c r="A65" s="41" t="s">
        <v>28</v>
      </c>
      <c r="B65" s="47" t="s">
        <v>235</v>
      </c>
      <c r="C65" s="46">
        <v>59</v>
      </c>
    </row>
  </sheetData>
  <mergeCells count="1">
    <mergeCell ref="AS3:AS42"/>
  </mergeCells>
  <phoneticPr fontId="11" type="noConversion"/>
  <conditionalFormatting sqref="B3:AR4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49" operator="greaterThanOrEqual">
      <formula>80</formula>
    </cfRule>
    <cfRule type="containsBlanks" dxfId="22" priority="150" stopIfTrue="1">
      <formula>LEN(TRIM(B3))=0</formula>
    </cfRule>
    <cfRule type="cellIs" dxfId="21" priority="151" operator="greaterThanOrEqual">
      <formula>80</formula>
    </cfRule>
    <cfRule type="cellIs" dxfId="20" priority="152" operator="between">
      <formula>70</formula>
      <formula>79</formula>
    </cfRule>
    <cfRule type="cellIs" dxfId="19" priority="153" operator="between">
      <formula>60</formula>
      <formula>69</formula>
    </cfRule>
    <cfRule type="cellIs" dxfId="18" priority="154" operator="between">
      <formula>0</formula>
      <formula>59</formula>
    </cfRule>
  </conditionalFormatting>
  <dataValidations count="1">
    <dataValidation type="list" allowBlank="1" showInputMessage="1" showErrorMessage="1" sqref="B2:AR2" xr:uid="{08F0A79A-5877-4A35-B8B4-6CBABE902CF1}">
      <formula1>$AU$6:$AU$13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80B-F7FD-4BF4-A995-533A5C7F4ED0}">
  <dimension ref="A1:Q65"/>
  <sheetViews>
    <sheetView topLeftCell="A22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5703125" bestFit="1" customWidth="1"/>
    <col min="4" max="4" width="15.85546875" bestFit="1" customWidth="1"/>
    <col min="5" max="5" width="17.7109375" bestFit="1" customWidth="1"/>
    <col min="6" max="7" width="14.5703125" bestFit="1" customWidth="1"/>
    <col min="8" max="8" width="17.7109375" bestFit="1" customWidth="1"/>
    <col min="9" max="10" width="11.5703125" bestFit="1" customWidth="1"/>
    <col min="11" max="11" width="14.28515625" bestFit="1" customWidth="1"/>
    <col min="12" max="14" width="12.42578125" bestFit="1" customWidth="1"/>
    <col min="15" max="15" width="9.28515625" bestFit="1" customWidth="1"/>
    <col min="17" max="17" width="4.28515625" bestFit="1" customWidth="1"/>
  </cols>
  <sheetData>
    <row r="1" spans="1:17" x14ac:dyDescent="0.25">
      <c r="A1" s="12" t="s">
        <v>203</v>
      </c>
      <c r="B1" s="158" t="s">
        <v>31</v>
      </c>
      <c r="C1" s="158" t="s">
        <v>37</v>
      </c>
      <c r="D1" s="158" t="s">
        <v>45</v>
      </c>
      <c r="E1" s="158" t="s">
        <v>47</v>
      </c>
      <c r="F1" s="158" t="s">
        <v>53</v>
      </c>
      <c r="G1" s="157" t="s">
        <v>76</v>
      </c>
      <c r="H1" s="158" t="s">
        <v>162</v>
      </c>
      <c r="I1" s="151" t="s">
        <v>241</v>
      </c>
      <c r="J1" s="151" t="s">
        <v>241</v>
      </c>
      <c r="K1" s="151" t="s">
        <v>173</v>
      </c>
      <c r="L1" s="151" t="s">
        <v>238</v>
      </c>
      <c r="M1" s="151" t="s">
        <v>205</v>
      </c>
      <c r="N1" s="151" t="s">
        <v>208</v>
      </c>
      <c r="O1" s="33">
        <f>COUNTA(B1:N1)</f>
        <v>13</v>
      </c>
    </row>
    <row r="2" spans="1:17" ht="30" x14ac:dyDescent="0.25">
      <c r="A2" s="15" t="s">
        <v>209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33">
        <f>COUNTIF(B2:N2, "&lt;&gt;")</f>
        <v>0</v>
      </c>
    </row>
    <row r="3" spans="1:17" x14ac:dyDescent="0.25">
      <c r="A3" s="34">
        <v>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84"/>
    </row>
    <row r="4" spans="1:17" x14ac:dyDescent="0.25">
      <c r="A4" s="34">
        <v>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85"/>
    </row>
    <row r="5" spans="1:17" x14ac:dyDescent="0.25">
      <c r="A5" s="34">
        <v>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85"/>
    </row>
    <row r="6" spans="1:17" x14ac:dyDescent="0.25">
      <c r="A6" s="34">
        <v>4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85"/>
      <c r="Q6" s="108" t="s">
        <v>210</v>
      </c>
    </row>
    <row r="7" spans="1:17" x14ac:dyDescent="0.25">
      <c r="A7" s="34">
        <v>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85"/>
      <c r="Q7" s="108" t="s">
        <v>211</v>
      </c>
    </row>
    <row r="8" spans="1:17" x14ac:dyDescent="0.25">
      <c r="A8" s="34">
        <v>6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85"/>
      <c r="Q8" s="108" t="s">
        <v>212</v>
      </c>
    </row>
    <row r="9" spans="1:17" x14ac:dyDescent="0.25">
      <c r="A9" s="34">
        <v>7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85"/>
      <c r="Q9" s="108" t="s">
        <v>213</v>
      </c>
    </row>
    <row r="10" spans="1:17" x14ac:dyDescent="0.25">
      <c r="A10" s="34">
        <v>8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85"/>
      <c r="Q10" s="108" t="s">
        <v>214</v>
      </c>
    </row>
    <row r="11" spans="1:17" x14ac:dyDescent="0.25">
      <c r="A11" s="34">
        <v>9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85"/>
      <c r="Q11" s="108" t="s">
        <v>215</v>
      </c>
    </row>
    <row r="12" spans="1:17" x14ac:dyDescent="0.25">
      <c r="A12" s="34">
        <v>10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85"/>
      <c r="Q12" s="108" t="s">
        <v>216</v>
      </c>
    </row>
    <row r="13" spans="1:17" x14ac:dyDescent="0.25">
      <c r="A13" s="34">
        <v>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85"/>
    </row>
    <row r="14" spans="1:17" x14ac:dyDescent="0.25">
      <c r="A14" s="34">
        <v>12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85"/>
    </row>
    <row r="15" spans="1:17" x14ac:dyDescent="0.25">
      <c r="A15" s="34">
        <v>13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85"/>
    </row>
    <row r="16" spans="1:17" x14ac:dyDescent="0.25">
      <c r="A16" s="34">
        <v>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85"/>
    </row>
    <row r="17" spans="1:15" x14ac:dyDescent="0.25">
      <c r="A17" s="34">
        <v>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85"/>
    </row>
    <row r="18" spans="1:15" x14ac:dyDescent="0.25">
      <c r="A18" s="34">
        <v>16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85"/>
    </row>
    <row r="19" spans="1:15" x14ac:dyDescent="0.25">
      <c r="A19" s="34">
        <v>17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85"/>
    </row>
    <row r="20" spans="1:15" x14ac:dyDescent="0.25">
      <c r="A20" s="34">
        <v>18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85"/>
    </row>
    <row r="21" spans="1:15" x14ac:dyDescent="0.25">
      <c r="A21" s="34">
        <v>19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85"/>
    </row>
    <row r="22" spans="1:15" x14ac:dyDescent="0.25">
      <c r="A22" s="34">
        <v>20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85"/>
    </row>
    <row r="23" spans="1:15" x14ac:dyDescent="0.25">
      <c r="A23" s="34">
        <v>21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85"/>
    </row>
    <row r="24" spans="1:15" x14ac:dyDescent="0.25">
      <c r="A24" s="34">
        <v>22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85"/>
    </row>
    <row r="25" spans="1:15" x14ac:dyDescent="0.25">
      <c r="A25" s="34">
        <v>23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85"/>
    </row>
    <row r="26" spans="1:15" x14ac:dyDescent="0.25">
      <c r="A26" s="34">
        <v>24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85"/>
    </row>
    <row r="27" spans="1:15" x14ac:dyDescent="0.25">
      <c r="A27" s="34">
        <v>25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85"/>
    </row>
    <row r="28" spans="1:15" x14ac:dyDescent="0.25">
      <c r="A28" s="34">
        <v>26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85"/>
    </row>
    <row r="29" spans="1:15" x14ac:dyDescent="0.25">
      <c r="A29" s="34">
        <v>27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85"/>
    </row>
    <row r="30" spans="1:15" x14ac:dyDescent="0.25">
      <c r="A30" s="34">
        <v>28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85"/>
    </row>
    <row r="31" spans="1:15" x14ac:dyDescent="0.25">
      <c r="A31" s="34">
        <v>29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85"/>
    </row>
    <row r="32" spans="1:15" x14ac:dyDescent="0.25">
      <c r="A32" s="34">
        <v>30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85"/>
    </row>
    <row r="33" spans="1:15" x14ac:dyDescent="0.25">
      <c r="A33" s="34">
        <v>31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85"/>
    </row>
    <row r="34" spans="1:15" x14ac:dyDescent="0.25">
      <c r="A34" s="34">
        <v>32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85"/>
    </row>
    <row r="35" spans="1:15" x14ac:dyDescent="0.25">
      <c r="A35" s="34">
        <v>33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85"/>
    </row>
    <row r="36" spans="1:15" x14ac:dyDescent="0.25">
      <c r="A36" s="34">
        <v>34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85"/>
    </row>
    <row r="37" spans="1:15" x14ac:dyDescent="0.25">
      <c r="A37" s="34">
        <v>35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85"/>
    </row>
    <row r="38" spans="1:15" x14ac:dyDescent="0.25">
      <c r="A38" s="34">
        <v>36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85"/>
    </row>
    <row r="39" spans="1:15" x14ac:dyDescent="0.25">
      <c r="A39" s="34">
        <v>37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85"/>
    </row>
    <row r="40" spans="1:15" x14ac:dyDescent="0.25">
      <c r="A40" s="34">
        <v>38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85"/>
    </row>
    <row r="41" spans="1:15" x14ac:dyDescent="0.25">
      <c r="A41" s="34">
        <v>39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85"/>
    </row>
    <row r="42" spans="1:15" ht="15.75" thickBot="1" x14ac:dyDescent="0.3">
      <c r="A42" s="34">
        <v>40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86"/>
    </row>
    <row r="43" spans="1:15" ht="15.75" thickTop="1" x14ac:dyDescent="0.25">
      <c r="A43" s="109" t="s">
        <v>14</v>
      </c>
      <c r="B43" s="168" t="e">
        <f>AVERAGE(B3:B42)</f>
        <v>#DIV/0!</v>
      </c>
      <c r="C43" s="168" t="e">
        <f t="shared" ref="C43:N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168" t="e">
        <f t="shared" si="0"/>
        <v>#DIV/0!</v>
      </c>
      <c r="J43" s="168" t="e">
        <f t="shared" si="0"/>
        <v>#DIV/0!</v>
      </c>
      <c r="K43" s="168" t="e">
        <f t="shared" si="0"/>
        <v>#DIV/0!</v>
      </c>
      <c r="L43" s="168" t="e">
        <f t="shared" si="0"/>
        <v>#DIV/0!</v>
      </c>
      <c r="M43" s="168" t="e">
        <f t="shared" si="0"/>
        <v>#DIV/0!</v>
      </c>
      <c r="N43" s="168" t="e">
        <f t="shared" si="0"/>
        <v>#DIV/0!</v>
      </c>
      <c r="O43" s="38"/>
    </row>
    <row r="44" spans="1:15" x14ac:dyDescent="0.25">
      <c r="A44" s="39" t="s">
        <v>217</v>
      </c>
      <c r="B44" s="169" t="e">
        <f>AVERAGEIF(B43:N43, "&lt;&gt;#DIV/0!")</f>
        <v>#DIV/0!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35"/>
    </row>
    <row r="45" spans="1:15" x14ac:dyDescent="0.25">
      <c r="A45" s="39" t="s">
        <v>218</v>
      </c>
      <c r="B45" s="35">
        <f>COUNTIF(B3:B42, "&lt;&gt;")</f>
        <v>0</v>
      </c>
      <c r="C45" s="35">
        <f t="shared" ref="C45:N45" si="1">COUNTIF(C3:C42, "&lt;&gt;")</f>
        <v>0</v>
      </c>
      <c r="D45" s="35">
        <f t="shared" si="1"/>
        <v>0</v>
      </c>
      <c r="E45" s="35">
        <f t="shared" si="1"/>
        <v>0</v>
      </c>
      <c r="F45" s="35">
        <f t="shared" si="1"/>
        <v>0</v>
      </c>
      <c r="G45" s="35">
        <f t="shared" si="1"/>
        <v>0</v>
      </c>
      <c r="H45" s="35">
        <f t="shared" si="1"/>
        <v>0</v>
      </c>
      <c r="I45" s="35">
        <f t="shared" si="1"/>
        <v>0</v>
      </c>
      <c r="J45" s="35">
        <f t="shared" si="1"/>
        <v>0</v>
      </c>
      <c r="K45" s="35">
        <f t="shared" si="1"/>
        <v>0</v>
      </c>
      <c r="L45" s="35">
        <f t="shared" si="1"/>
        <v>0</v>
      </c>
      <c r="M45" s="35">
        <f t="shared" si="1"/>
        <v>0</v>
      </c>
      <c r="N45" s="35">
        <f t="shared" si="1"/>
        <v>0</v>
      </c>
    </row>
    <row r="47" spans="1:15" x14ac:dyDescent="0.25">
      <c r="A47" s="12"/>
      <c r="B47" s="2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</row>
    <row r="48" spans="1:15" x14ac:dyDescent="0.25">
      <c r="A48" s="101" t="s">
        <v>226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f>SUM(B48:H48)</f>
        <v>0</v>
      </c>
    </row>
    <row r="49" spans="1:15" x14ac:dyDescent="0.25">
      <c r="A49" s="102" t="s">
        <v>227</v>
      </c>
      <c r="B49" s="16">
        <f>COUNTIF($B$2:$H$2, "A")</f>
        <v>0</v>
      </c>
      <c r="C49" s="16">
        <f>COUNTIF($B$2:$H$2, "Q")</f>
        <v>0</v>
      </c>
      <c r="D49" s="16">
        <f>COUNTIF($B$2:$H$2, "M")</f>
        <v>0</v>
      </c>
      <c r="E49" s="16">
        <f>COUNTIF($B$2:$H$2, "F")</f>
        <v>0</v>
      </c>
      <c r="F49" s="16">
        <f>COUNTIF($B$2:$H$2, "P")</f>
        <v>0</v>
      </c>
      <c r="G49" s="16">
        <f>COUNTIF($B$2:$H$2, "L")</f>
        <v>0</v>
      </c>
      <c r="H49" s="16">
        <f>COUNTIF($B$2:$H$2, "OT")</f>
        <v>0</v>
      </c>
      <c r="I49" s="16">
        <f t="shared" ref="I49:I50" si="2">SUM(B49:H49)</f>
        <v>0</v>
      </c>
    </row>
    <row r="50" spans="1:15" x14ac:dyDescent="0.25">
      <c r="A50" s="103" t="s">
        <v>228</v>
      </c>
      <c r="B50" s="16">
        <f>COUNTIF($I$2:$N$2, "A")</f>
        <v>0</v>
      </c>
      <c r="C50" s="16">
        <f>COUNTIF($I$2:$N$2, "Q")</f>
        <v>0</v>
      </c>
      <c r="D50" s="16">
        <f>COUNTIF($I$2:$N$2, "M")</f>
        <v>0</v>
      </c>
      <c r="E50" s="16">
        <f>COUNTIF($I$2:$N$2, "F")</f>
        <v>0</v>
      </c>
      <c r="F50" s="16">
        <f>COUNTIF($I$2:$N$2, "P")</f>
        <v>0</v>
      </c>
      <c r="G50" s="16">
        <f>COUNTIF($I$2:$N$2, "L")</f>
        <v>0</v>
      </c>
      <c r="H50" s="16">
        <f>COUNTIF($I$2:$N$2, "OT")</f>
        <v>0</v>
      </c>
      <c r="I50" s="16">
        <f t="shared" si="2"/>
        <v>0</v>
      </c>
    </row>
    <row r="51" spans="1:15" x14ac:dyDescent="0.25">
      <c r="A51" s="22" t="s">
        <v>61</v>
      </c>
      <c r="B51" s="12">
        <f>SUM(B48:B50)</f>
        <v>0</v>
      </c>
      <c r="C51" s="12">
        <f t="shared" ref="C51:H51" si="3">SUM(C48:C50)</f>
        <v>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0</v>
      </c>
      <c r="I51" s="12">
        <f>SUM(I48:I50)</f>
        <v>0</v>
      </c>
    </row>
    <row r="53" spans="1:15" ht="18.75" thickBot="1" x14ac:dyDescent="0.3">
      <c r="A53" s="88" t="s">
        <v>229</v>
      </c>
      <c r="C53" s="88"/>
      <c r="D53" s="88"/>
      <c r="E53" s="88"/>
      <c r="F53" s="88"/>
      <c r="G53" s="88"/>
      <c r="H53" s="86"/>
      <c r="I53" s="86"/>
      <c r="J53" s="86"/>
      <c r="K53" s="86"/>
      <c r="L53" s="86"/>
      <c r="M53" s="86"/>
      <c r="N53" s="86"/>
    </row>
    <row r="54" spans="1:15" ht="16.5" thickBot="1" x14ac:dyDescent="0.3">
      <c r="A54" s="124" t="s">
        <v>26</v>
      </c>
      <c r="B54" s="158" t="s">
        <v>31</v>
      </c>
      <c r="C54" s="158" t="s">
        <v>37</v>
      </c>
      <c r="D54" s="158" t="s">
        <v>45</v>
      </c>
      <c r="E54" s="158" t="s">
        <v>47</v>
      </c>
      <c r="F54" s="158" t="s">
        <v>53</v>
      </c>
      <c r="G54" s="157" t="s">
        <v>76</v>
      </c>
      <c r="H54" s="158" t="s">
        <v>162</v>
      </c>
      <c r="I54" s="151" t="s">
        <v>241</v>
      </c>
      <c r="J54" s="151" t="s">
        <v>241</v>
      </c>
      <c r="K54" s="151" t="s">
        <v>173</v>
      </c>
      <c r="L54" s="151" t="s">
        <v>238</v>
      </c>
      <c r="M54" s="151" t="s">
        <v>205</v>
      </c>
      <c r="N54" s="151" t="s">
        <v>208</v>
      </c>
      <c r="O54" s="43" t="s">
        <v>14</v>
      </c>
    </row>
    <row r="55" spans="1:15" ht="16.5" thickBot="1" x14ac:dyDescent="0.3">
      <c r="A55" s="112" t="s">
        <v>28</v>
      </c>
      <c r="B55" s="117" t="e">
        <f>(COUNTIF(B3:B42, "&lt;=59%"))/B45</f>
        <v>#DIV/0!</v>
      </c>
      <c r="C55" s="117" t="e">
        <f t="shared" ref="C55:N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117" t="e">
        <f t="shared" si="4"/>
        <v>#DIV/0!</v>
      </c>
      <c r="L55" s="117" t="e">
        <f t="shared" si="4"/>
        <v>#DIV/0!</v>
      </c>
      <c r="M55" s="117" t="e">
        <f t="shared" si="4"/>
        <v>#DIV/0!</v>
      </c>
      <c r="N55" s="117" t="e">
        <f t="shared" si="4"/>
        <v>#DIV/0!</v>
      </c>
      <c r="O55" s="44" t="e">
        <f>AVERAGEIF(B55:N55, "&lt;&gt;#DIV/0!")</f>
        <v>#DIV/0!</v>
      </c>
    </row>
    <row r="56" spans="1:15" ht="16.5" thickBot="1" x14ac:dyDescent="0.3">
      <c r="A56" s="113" t="s">
        <v>30</v>
      </c>
      <c r="B56" s="120" t="e">
        <f>(COUNTIFS(B3:B42, "&gt;= 60%", B3:B42, "&lt;=69%" ))/B45</f>
        <v>#DIV/0!</v>
      </c>
      <c r="C56" s="120" t="e">
        <f t="shared" ref="C56:N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120" t="e">
        <f t="shared" si="5"/>
        <v>#DIV/0!</v>
      </c>
      <c r="L56" s="120" t="e">
        <f t="shared" si="5"/>
        <v>#DIV/0!</v>
      </c>
      <c r="M56" s="120" t="e">
        <f t="shared" si="5"/>
        <v>#DIV/0!</v>
      </c>
      <c r="N56" s="120" t="e">
        <f t="shared" si="5"/>
        <v>#DIV/0!</v>
      </c>
      <c r="O56" s="44" t="e">
        <f>AVERAGEIF(B56:N56, "&lt;&gt;#DIV/0!")</f>
        <v>#DIV/0!</v>
      </c>
    </row>
    <row r="57" spans="1:15" ht="16.5" thickBot="1" x14ac:dyDescent="0.3">
      <c r="A57" s="114" t="s">
        <v>32</v>
      </c>
      <c r="B57" s="120" t="e">
        <f>(COUNTIFS(B3:B42, "&gt;= 70%", B3:B42, "&lt;=79%" ))/B45</f>
        <v>#DIV/0!</v>
      </c>
      <c r="C57" s="120" t="e">
        <f t="shared" ref="C57:N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120" t="e">
        <f t="shared" si="6"/>
        <v>#DIV/0!</v>
      </c>
      <c r="J57" s="120" t="e">
        <f t="shared" si="6"/>
        <v>#DIV/0!</v>
      </c>
      <c r="K57" s="120" t="e">
        <f t="shared" si="6"/>
        <v>#DIV/0!</v>
      </c>
      <c r="L57" s="120" t="e">
        <f t="shared" si="6"/>
        <v>#DIV/0!</v>
      </c>
      <c r="M57" s="120" t="e">
        <f t="shared" si="6"/>
        <v>#DIV/0!</v>
      </c>
      <c r="N57" s="120" t="e">
        <f t="shared" si="6"/>
        <v>#DIV/0!</v>
      </c>
      <c r="O57" s="44" t="e">
        <f>AVERAGEIF(B57:N57, "&lt;&gt;#DIV/0!")</f>
        <v>#DIV/0!</v>
      </c>
    </row>
    <row r="58" spans="1:15" ht="16.5" thickBot="1" x14ac:dyDescent="0.3">
      <c r="A58" s="115" t="s">
        <v>34</v>
      </c>
      <c r="B58" s="120" t="e">
        <f>(COUNTIF(B3:B42,"&gt;= 80%")/B45)</f>
        <v>#DIV/0!</v>
      </c>
      <c r="C58" s="120" t="e">
        <f t="shared" ref="C58:N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0" t="e">
        <f t="shared" si="7"/>
        <v>#DIV/0!</v>
      </c>
      <c r="J58" s="120" t="e">
        <f t="shared" si="7"/>
        <v>#DIV/0!</v>
      </c>
      <c r="K58" s="120" t="e">
        <f t="shared" si="7"/>
        <v>#DIV/0!</v>
      </c>
      <c r="L58" s="120" t="e">
        <f t="shared" si="7"/>
        <v>#DIV/0!</v>
      </c>
      <c r="M58" s="120" t="e">
        <f t="shared" si="7"/>
        <v>#DIV/0!</v>
      </c>
      <c r="N58" s="120" t="e">
        <f t="shared" si="7"/>
        <v>#DIV/0!</v>
      </c>
      <c r="O58" s="128" t="e">
        <f>AVERAGEIF(B58:N58, "&lt;&gt;#DIV/0!")</f>
        <v>#DIV/0!</v>
      </c>
    </row>
    <row r="59" spans="1:15" ht="15.75" thickBot="1" x14ac:dyDescent="0.3">
      <c r="A59" s="125"/>
      <c r="B59" s="126">
        <f>SUMIF(B55:B58, "&lt;&gt;#DIV/0!")</f>
        <v>0</v>
      </c>
      <c r="C59" s="127">
        <f t="shared" ref="C59:O59" si="8">SUMIF(C55:C58, "&lt;&gt;#DIV/0!")</f>
        <v>0</v>
      </c>
      <c r="D59" s="127">
        <f t="shared" si="8"/>
        <v>0</v>
      </c>
      <c r="E59" s="127">
        <f t="shared" si="8"/>
        <v>0</v>
      </c>
      <c r="F59" s="127">
        <f t="shared" si="8"/>
        <v>0</v>
      </c>
      <c r="G59" s="127">
        <f t="shared" si="8"/>
        <v>0</v>
      </c>
      <c r="H59" s="127">
        <f t="shared" si="8"/>
        <v>0</v>
      </c>
      <c r="I59" s="127">
        <f t="shared" si="8"/>
        <v>0</v>
      </c>
      <c r="J59" s="127">
        <f t="shared" si="8"/>
        <v>0</v>
      </c>
      <c r="K59" s="127">
        <f t="shared" si="8"/>
        <v>0</v>
      </c>
      <c r="L59" s="127">
        <f t="shared" si="8"/>
        <v>0</v>
      </c>
      <c r="M59" s="127">
        <f t="shared" si="8"/>
        <v>0</v>
      </c>
      <c r="N59" s="127">
        <f t="shared" si="8"/>
        <v>0</v>
      </c>
      <c r="O59" s="127">
        <f t="shared" si="8"/>
        <v>0</v>
      </c>
    </row>
    <row r="60" spans="1:15" ht="15.75" thickBot="1" x14ac:dyDescent="0.3"/>
    <row r="61" spans="1:15" ht="15.75" thickBot="1" x14ac:dyDescent="0.3">
      <c r="A61" s="28"/>
      <c r="B61" s="45" t="s">
        <v>230</v>
      </c>
      <c r="C61" s="45" t="s">
        <v>231</v>
      </c>
    </row>
    <row r="62" spans="1:15" ht="16.5" thickBot="1" x14ac:dyDescent="0.3">
      <c r="A62" s="41" t="s">
        <v>34</v>
      </c>
      <c r="B62" s="47" t="s">
        <v>232</v>
      </c>
      <c r="C62" s="46">
        <v>100</v>
      </c>
    </row>
    <row r="63" spans="1:15" ht="16.5" thickBot="1" x14ac:dyDescent="0.3">
      <c r="A63" s="41" t="s">
        <v>32</v>
      </c>
      <c r="B63" s="47" t="s">
        <v>233</v>
      </c>
      <c r="C63" s="46">
        <v>79</v>
      </c>
    </row>
    <row r="64" spans="1:15" ht="16.5" thickBot="1" x14ac:dyDescent="0.3">
      <c r="A64" s="41" t="s">
        <v>30</v>
      </c>
      <c r="B64" s="47" t="s">
        <v>234</v>
      </c>
      <c r="C64" s="46">
        <v>69</v>
      </c>
    </row>
    <row r="65" spans="1:3" ht="16.5" thickBot="1" x14ac:dyDescent="0.3">
      <c r="A65" s="41" t="s">
        <v>28</v>
      </c>
      <c r="B65" s="47" t="s">
        <v>235</v>
      </c>
      <c r="C65" s="46">
        <v>59</v>
      </c>
    </row>
  </sheetData>
  <mergeCells count="1">
    <mergeCell ref="O3:O42"/>
  </mergeCells>
  <phoneticPr fontId="11" type="noConversion"/>
  <conditionalFormatting sqref="B3:N4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233" operator="greaterThanOrEqual">
      <formula>80</formula>
    </cfRule>
    <cfRule type="containsBlanks" dxfId="16" priority="234" stopIfTrue="1">
      <formula>LEN(TRIM(B3))=0</formula>
    </cfRule>
    <cfRule type="cellIs" dxfId="15" priority="235" operator="greaterThanOrEqual">
      <formula>80</formula>
    </cfRule>
    <cfRule type="cellIs" dxfId="14" priority="236" operator="between">
      <formula>70</formula>
      <formula>79</formula>
    </cfRule>
    <cfRule type="cellIs" dxfId="13" priority="237" operator="between">
      <formula>60</formula>
      <formula>69</formula>
    </cfRule>
    <cfRule type="cellIs" dxfId="12" priority="238" operator="between">
      <formula>0</formula>
      <formula>59</formula>
    </cfRule>
  </conditionalFormatting>
  <dataValidations count="1">
    <dataValidation type="list" allowBlank="1" showInputMessage="1" showErrorMessage="1" sqref="B2:N2" xr:uid="{1E3047DA-65EE-42AE-A8D2-1F43B8511085}">
      <formula1>$Q$6:$Q$13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D9D7-F1F5-44CF-9EE2-C7575E8599A2}">
  <dimension ref="A1:O65"/>
  <sheetViews>
    <sheetView topLeftCell="A25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85546875" bestFit="1" customWidth="1"/>
    <col min="4" max="4" width="15.85546875" bestFit="1" customWidth="1"/>
    <col min="5" max="5" width="17.7109375" bestFit="1" customWidth="1"/>
    <col min="6" max="6" width="15.28515625" bestFit="1" customWidth="1"/>
    <col min="7" max="7" width="12.140625" bestFit="1" customWidth="1"/>
    <col min="8" max="8" width="17.7109375" bestFit="1" customWidth="1"/>
    <col min="9" max="9" width="14.85546875" bestFit="1" customWidth="1"/>
    <col min="10" max="12" width="13" bestFit="1" customWidth="1"/>
    <col min="13" max="13" width="9.28515625" customWidth="1"/>
    <col min="15" max="15" width="4.28515625" bestFit="1" customWidth="1"/>
  </cols>
  <sheetData>
    <row r="1" spans="1:15" x14ac:dyDescent="0.25">
      <c r="A1" s="12" t="s">
        <v>203</v>
      </c>
      <c r="B1" s="152" t="s">
        <v>23</v>
      </c>
      <c r="C1" s="158" t="s">
        <v>27</v>
      </c>
      <c r="D1" s="151" t="s">
        <v>41</v>
      </c>
      <c r="E1" s="151" t="s">
        <v>57</v>
      </c>
      <c r="F1" s="157" t="s">
        <v>74</v>
      </c>
      <c r="G1" s="151" t="s">
        <v>241</v>
      </c>
      <c r="H1" s="151" t="s">
        <v>241</v>
      </c>
      <c r="I1" s="151" t="s">
        <v>174</v>
      </c>
      <c r="J1" s="151" t="s">
        <v>207</v>
      </c>
      <c r="K1" s="151" t="s">
        <v>208</v>
      </c>
      <c r="L1" s="151" t="s">
        <v>208</v>
      </c>
      <c r="M1" s="33">
        <f>COUNTA(B1:L1)</f>
        <v>11</v>
      </c>
    </row>
    <row r="2" spans="1:15" ht="30" x14ac:dyDescent="0.25">
      <c r="A2" s="15" t="s">
        <v>209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33">
        <f>COUNTIF(B2:L2, "&lt;&gt;")</f>
        <v>0</v>
      </c>
    </row>
    <row r="3" spans="1:15" x14ac:dyDescent="0.25">
      <c r="A3" s="34">
        <v>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84"/>
    </row>
    <row r="4" spans="1:15" x14ac:dyDescent="0.25">
      <c r="A4" s="34">
        <v>2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85"/>
      <c r="O4" s="108" t="s">
        <v>210</v>
      </c>
    </row>
    <row r="5" spans="1:15" x14ac:dyDescent="0.25">
      <c r="A5" s="34">
        <v>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85"/>
      <c r="O5" s="108" t="s">
        <v>211</v>
      </c>
    </row>
    <row r="6" spans="1:15" x14ac:dyDescent="0.25">
      <c r="A6" s="34">
        <v>4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85"/>
      <c r="O6" s="108" t="s">
        <v>212</v>
      </c>
    </row>
    <row r="7" spans="1:15" x14ac:dyDescent="0.25">
      <c r="A7" s="34">
        <v>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85"/>
      <c r="O7" s="108" t="s">
        <v>213</v>
      </c>
    </row>
    <row r="8" spans="1:15" x14ac:dyDescent="0.25">
      <c r="A8" s="34">
        <v>6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85"/>
      <c r="O8" s="108" t="s">
        <v>214</v>
      </c>
    </row>
    <row r="9" spans="1:15" x14ac:dyDescent="0.25">
      <c r="A9" s="34">
        <v>7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85"/>
      <c r="O9" s="108" t="s">
        <v>215</v>
      </c>
    </row>
    <row r="10" spans="1:15" x14ac:dyDescent="0.25">
      <c r="A10" s="34">
        <v>8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85"/>
      <c r="O10" s="108" t="s">
        <v>216</v>
      </c>
    </row>
    <row r="11" spans="1:15" x14ac:dyDescent="0.25">
      <c r="A11" s="34">
        <v>9</v>
      </c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85"/>
    </row>
    <row r="12" spans="1:15" x14ac:dyDescent="0.25">
      <c r="A12" s="34">
        <v>10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85"/>
    </row>
    <row r="13" spans="1:15" x14ac:dyDescent="0.25">
      <c r="A13" s="34">
        <v>11</v>
      </c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85"/>
    </row>
    <row r="14" spans="1:15" x14ac:dyDescent="0.25">
      <c r="A14" s="34">
        <v>12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85"/>
    </row>
    <row r="15" spans="1:15" x14ac:dyDescent="0.25">
      <c r="A15" s="34">
        <v>13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85"/>
    </row>
    <row r="16" spans="1:15" x14ac:dyDescent="0.25">
      <c r="A16" s="34">
        <v>14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85"/>
    </row>
    <row r="17" spans="1:13" x14ac:dyDescent="0.25">
      <c r="A17" s="34">
        <v>15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85"/>
    </row>
    <row r="18" spans="1:13" x14ac:dyDescent="0.25">
      <c r="A18" s="34">
        <v>16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85"/>
    </row>
    <row r="19" spans="1:13" x14ac:dyDescent="0.25">
      <c r="A19" s="34">
        <v>17</v>
      </c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85"/>
    </row>
    <row r="20" spans="1:13" x14ac:dyDescent="0.25">
      <c r="A20" s="34">
        <v>18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85"/>
    </row>
    <row r="21" spans="1:13" x14ac:dyDescent="0.25">
      <c r="A21" s="34">
        <v>19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85"/>
    </row>
    <row r="22" spans="1:13" ht="15.75" thickBot="1" x14ac:dyDescent="0.3">
      <c r="A22" s="34">
        <v>20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86"/>
    </row>
    <row r="23" spans="1:13" ht="15.75" thickTop="1" x14ac:dyDescent="0.25">
      <c r="A23" s="34">
        <v>21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84"/>
    </row>
    <row r="24" spans="1:13" x14ac:dyDescent="0.25">
      <c r="A24" s="34">
        <v>22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85"/>
    </row>
    <row r="25" spans="1:13" x14ac:dyDescent="0.25">
      <c r="A25" s="34">
        <v>23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85"/>
    </row>
    <row r="26" spans="1:13" x14ac:dyDescent="0.25">
      <c r="A26" s="34">
        <v>24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85"/>
    </row>
    <row r="27" spans="1:13" x14ac:dyDescent="0.25">
      <c r="A27" s="34">
        <v>25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85"/>
    </row>
    <row r="28" spans="1:13" x14ac:dyDescent="0.25">
      <c r="A28" s="34">
        <v>26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85"/>
    </row>
    <row r="29" spans="1:13" x14ac:dyDescent="0.25">
      <c r="A29" s="34">
        <v>27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85"/>
    </row>
    <row r="30" spans="1:13" x14ac:dyDescent="0.25">
      <c r="A30" s="34">
        <v>28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85"/>
    </row>
    <row r="31" spans="1:13" x14ac:dyDescent="0.25">
      <c r="A31" s="34">
        <v>29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85"/>
    </row>
    <row r="32" spans="1:13" x14ac:dyDescent="0.25">
      <c r="A32" s="34">
        <v>30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85"/>
    </row>
    <row r="33" spans="1:13" x14ac:dyDescent="0.25">
      <c r="A33" s="34">
        <v>31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85"/>
    </row>
    <row r="34" spans="1:13" x14ac:dyDescent="0.25">
      <c r="A34" s="34">
        <v>32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85"/>
    </row>
    <row r="35" spans="1:13" x14ac:dyDescent="0.25">
      <c r="A35" s="34">
        <v>33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85"/>
    </row>
    <row r="36" spans="1:13" x14ac:dyDescent="0.25">
      <c r="A36" s="34">
        <v>34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85"/>
    </row>
    <row r="37" spans="1:13" x14ac:dyDescent="0.25">
      <c r="A37" s="34">
        <v>35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85"/>
    </row>
    <row r="38" spans="1:13" x14ac:dyDescent="0.25">
      <c r="A38" s="34">
        <v>36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85"/>
    </row>
    <row r="39" spans="1:13" x14ac:dyDescent="0.25">
      <c r="A39" s="34">
        <v>37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85"/>
    </row>
    <row r="40" spans="1:13" x14ac:dyDescent="0.25">
      <c r="A40" s="34">
        <v>38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85"/>
    </row>
    <row r="41" spans="1:13" x14ac:dyDescent="0.25">
      <c r="A41" s="34">
        <v>39</v>
      </c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85"/>
    </row>
    <row r="42" spans="1:13" ht="15.75" thickBot="1" x14ac:dyDescent="0.3">
      <c r="A42" s="34">
        <v>40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86"/>
    </row>
    <row r="43" spans="1:13" ht="15.75" thickTop="1" x14ac:dyDescent="0.25">
      <c r="A43" s="109" t="s">
        <v>14</v>
      </c>
      <c r="B43" s="168" t="e">
        <f>AVERAGE(B3:B42)</f>
        <v>#DIV/0!</v>
      </c>
      <c r="C43" s="168" t="e">
        <f t="shared" ref="C43:L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168" t="e">
        <f t="shared" si="0"/>
        <v>#DIV/0!</v>
      </c>
      <c r="J43" s="168" t="e">
        <f t="shared" si="0"/>
        <v>#DIV/0!</v>
      </c>
      <c r="K43" s="168" t="e">
        <f t="shared" si="0"/>
        <v>#DIV/0!</v>
      </c>
      <c r="L43" s="168" t="e">
        <f t="shared" si="0"/>
        <v>#DIV/0!</v>
      </c>
      <c r="M43" s="38"/>
    </row>
    <row r="44" spans="1:13" x14ac:dyDescent="0.25">
      <c r="A44" s="39" t="s">
        <v>217</v>
      </c>
      <c r="B44" s="169" t="e">
        <f>AVERAGEIF(B43:L43, "&lt;&gt;#DIV/0!")</f>
        <v>#DIV/0!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35"/>
    </row>
    <row r="45" spans="1:13" x14ac:dyDescent="0.25">
      <c r="A45" s="39" t="s">
        <v>218</v>
      </c>
      <c r="B45" s="35">
        <f>COUNTIF(B3:B42, "&lt;&gt;")</f>
        <v>0</v>
      </c>
      <c r="C45" s="35">
        <f t="shared" ref="C45:L45" si="1">COUNTIF(C3:C42, "&lt;&gt;")</f>
        <v>0</v>
      </c>
      <c r="D45" s="35">
        <f t="shared" si="1"/>
        <v>0</v>
      </c>
      <c r="E45" s="35">
        <f t="shared" si="1"/>
        <v>0</v>
      </c>
      <c r="F45" s="35">
        <f t="shared" si="1"/>
        <v>0</v>
      </c>
      <c r="G45" s="35">
        <f t="shared" si="1"/>
        <v>0</v>
      </c>
      <c r="H45" s="35">
        <f t="shared" si="1"/>
        <v>0</v>
      </c>
      <c r="I45" s="35">
        <f t="shared" si="1"/>
        <v>0</v>
      </c>
      <c r="J45" s="35">
        <f t="shared" si="1"/>
        <v>0</v>
      </c>
      <c r="K45" s="35">
        <f t="shared" si="1"/>
        <v>0</v>
      </c>
      <c r="L45" s="35">
        <f t="shared" si="1"/>
        <v>0</v>
      </c>
      <c r="M45" s="35"/>
    </row>
    <row r="46" spans="1:13" x14ac:dyDescent="0.25">
      <c r="A46" s="93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</row>
    <row r="47" spans="1:13" x14ac:dyDescent="0.25">
      <c r="A47" s="12"/>
      <c r="B47" s="2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  <c r="J47" s="86"/>
      <c r="K47" s="86"/>
      <c r="L47" s="86"/>
      <c r="M47" s="86"/>
    </row>
    <row r="48" spans="1:13" x14ac:dyDescent="0.25">
      <c r="A48" s="101" t="s">
        <v>226</v>
      </c>
      <c r="B48" s="16">
        <f>COUNTIF($B$2, "A")</f>
        <v>0</v>
      </c>
      <c r="C48" s="16">
        <f>COUNTIF($B$2, "Q")</f>
        <v>0</v>
      </c>
      <c r="D48" s="16">
        <f>COUNTIF($B$2, "M")</f>
        <v>0</v>
      </c>
      <c r="E48" s="16">
        <f>COUNTIF($B$2, "F")</f>
        <v>0</v>
      </c>
      <c r="F48" s="16">
        <f>COUNTIF($B$2, "P")</f>
        <v>0</v>
      </c>
      <c r="G48" s="16">
        <f>COUNTIF($B$2, "L")</f>
        <v>0</v>
      </c>
      <c r="H48" s="16">
        <f>COUNTIF($B$2, "OT")</f>
        <v>0</v>
      </c>
      <c r="I48" s="12">
        <f>SUM(B48:H48)</f>
        <v>0</v>
      </c>
      <c r="J48" s="86"/>
      <c r="K48" s="86"/>
      <c r="L48" s="86"/>
      <c r="M48" s="86"/>
    </row>
    <row r="49" spans="1:13" x14ac:dyDescent="0.25">
      <c r="A49" s="102" t="s">
        <v>227</v>
      </c>
      <c r="B49" s="16">
        <f>COUNTIF($C$2, "A") + COUNTIF($F$2, "A")</f>
        <v>0</v>
      </c>
      <c r="C49" s="16">
        <f>COUNTIF($C$2, "Q") + COUNTIF($F$2, "Q")</f>
        <v>0</v>
      </c>
      <c r="D49" s="16">
        <f>COUNTIF($C$2, "M") + COUNTIF($F$2, "M")</f>
        <v>0</v>
      </c>
      <c r="E49" s="16">
        <f>COUNTIF($C$2, "F") + COUNTIF($F$2, "F")</f>
        <v>0</v>
      </c>
      <c r="F49" s="16">
        <f>COUNTIF($C$2, "P") + COUNTIF($F$2, "P")</f>
        <v>0</v>
      </c>
      <c r="G49" s="16">
        <f>COUNTIF($C$2, "L") + COUNTIF($F$2, "L")</f>
        <v>0</v>
      </c>
      <c r="H49" s="16">
        <f>COUNTIF($C$2, "OT") + COUNTIF($F$2, "OT")</f>
        <v>0</v>
      </c>
      <c r="I49" s="12">
        <f t="shared" ref="I49:I50" si="2">SUM(B49:H49)</f>
        <v>0</v>
      </c>
      <c r="J49" s="86"/>
      <c r="K49" s="86"/>
      <c r="L49" s="86"/>
      <c r="M49" s="86"/>
    </row>
    <row r="50" spans="1:13" x14ac:dyDescent="0.25">
      <c r="A50" s="103" t="s">
        <v>228</v>
      </c>
      <c r="B50" s="16">
        <f>COUNTIF($D$2:$E$2, "A") + COUNTIF($G$2:$L$2, "A")</f>
        <v>0</v>
      </c>
      <c r="C50" s="16">
        <f>COUNTIF($D$2:$E$2, "Q") + COUNTIF($G$2:$L$2, "Q")</f>
        <v>0</v>
      </c>
      <c r="D50" s="16">
        <f>COUNTIF($D$2:$E$2, "M") + COUNTIF($G$2:$L$2, "M")</f>
        <v>0</v>
      </c>
      <c r="E50" s="16">
        <f>COUNTIF($D$2:$E$2, "F") + COUNTIF($G$2:$L$2, "F")</f>
        <v>0</v>
      </c>
      <c r="F50" s="16">
        <f>COUNTIF($D$2:$E$2, "P") + COUNTIF($G$2:$L$2, "P")</f>
        <v>0</v>
      </c>
      <c r="G50" s="16">
        <f>COUNTIF($D$2:$E$2, "L") + COUNTIF($G$2:$L$2, "L")</f>
        <v>0</v>
      </c>
      <c r="H50" s="16">
        <f>COUNTIF($D$2:$E$2, "OT") + COUNTIF($G$2:$L$2, "OT")</f>
        <v>0</v>
      </c>
      <c r="I50" s="12">
        <f t="shared" si="2"/>
        <v>0</v>
      </c>
      <c r="J50" s="86"/>
      <c r="K50" s="86"/>
      <c r="L50" s="86"/>
      <c r="M50" s="86"/>
    </row>
    <row r="51" spans="1:13" x14ac:dyDescent="0.25">
      <c r="A51" s="22" t="s">
        <v>61</v>
      </c>
      <c r="B51" s="12">
        <f>SUM(B48:B50)</f>
        <v>0</v>
      </c>
      <c r="C51" s="12">
        <f t="shared" ref="C51:H51" si="3">SUM(C48:C50)</f>
        <v>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0</v>
      </c>
      <c r="I51" s="12">
        <f>SUM(I48:I50)</f>
        <v>0</v>
      </c>
      <c r="J51" s="86"/>
      <c r="K51" s="86"/>
      <c r="L51" s="86"/>
      <c r="M51" s="86"/>
    </row>
    <row r="53" spans="1:13" ht="18.75" thickBot="1" x14ac:dyDescent="0.3">
      <c r="A53" s="88" t="s">
        <v>229</v>
      </c>
      <c r="B53" s="88"/>
      <c r="C53" s="88"/>
      <c r="D53" s="88"/>
      <c r="E53" s="88"/>
      <c r="F53" s="88"/>
      <c r="H53" s="86"/>
      <c r="I53" s="86"/>
      <c r="J53" s="86"/>
      <c r="K53" s="86"/>
      <c r="L53" s="86"/>
    </row>
    <row r="54" spans="1:13" ht="16.5" thickBot="1" x14ac:dyDescent="0.3">
      <c r="A54" s="111" t="s">
        <v>26</v>
      </c>
      <c r="B54" s="152" t="s">
        <v>23</v>
      </c>
      <c r="C54" s="158" t="s">
        <v>27</v>
      </c>
      <c r="D54" s="151" t="s">
        <v>41</v>
      </c>
      <c r="E54" s="151" t="s">
        <v>57</v>
      </c>
      <c r="F54" s="157" t="s">
        <v>74</v>
      </c>
      <c r="G54" s="151" t="s">
        <v>241</v>
      </c>
      <c r="H54" s="151" t="s">
        <v>241</v>
      </c>
      <c r="I54" s="151" t="s">
        <v>174</v>
      </c>
      <c r="J54" s="151" t="s">
        <v>207</v>
      </c>
      <c r="K54" s="151" t="s">
        <v>208</v>
      </c>
      <c r="L54" s="151" t="s">
        <v>208</v>
      </c>
      <c r="M54" s="43" t="s">
        <v>14</v>
      </c>
    </row>
    <row r="55" spans="1:13" ht="16.5" thickBot="1" x14ac:dyDescent="0.3">
      <c r="A55" s="112" t="s">
        <v>28</v>
      </c>
      <c r="B55" s="117" t="e">
        <f>(COUNTIF(B3:B42, "&lt;=59%"))/B45</f>
        <v>#DIV/0!</v>
      </c>
      <c r="C55" s="117" t="e">
        <f t="shared" ref="C55:L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117" t="e">
        <f t="shared" si="4"/>
        <v>#DIV/0!</v>
      </c>
      <c r="J55" s="117" t="e">
        <f t="shared" si="4"/>
        <v>#DIV/0!</v>
      </c>
      <c r="K55" s="117" t="e">
        <f t="shared" si="4"/>
        <v>#DIV/0!</v>
      </c>
      <c r="L55" s="117" t="e">
        <f t="shared" si="4"/>
        <v>#DIV/0!</v>
      </c>
      <c r="M55" s="44" t="e">
        <f>AVERAGEIF(B55:L55, "&lt;&gt;#DIV/0!")</f>
        <v>#DIV/0!</v>
      </c>
    </row>
    <row r="56" spans="1:13" ht="16.5" thickBot="1" x14ac:dyDescent="0.3">
      <c r="A56" s="113" t="s">
        <v>30</v>
      </c>
      <c r="B56" s="120" t="e">
        <f>(COUNTIFS(B3:B42, "&gt;= 60%", B3:B42, "&lt;=69%" ))/B45</f>
        <v>#DIV/0!</v>
      </c>
      <c r="C56" s="120" t="e">
        <f t="shared" ref="C56:L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120" t="e">
        <f t="shared" si="5"/>
        <v>#DIV/0!</v>
      </c>
      <c r="J56" s="120" t="e">
        <f t="shared" si="5"/>
        <v>#DIV/0!</v>
      </c>
      <c r="K56" s="120" t="e">
        <f t="shared" si="5"/>
        <v>#DIV/0!</v>
      </c>
      <c r="L56" s="120" t="e">
        <f t="shared" si="5"/>
        <v>#DIV/0!</v>
      </c>
      <c r="M56" s="44" t="e">
        <f>AVERAGEIF(B56:L56, "&lt;&gt;#DIV/0!")</f>
        <v>#DIV/0!</v>
      </c>
    </row>
    <row r="57" spans="1:13" ht="16.5" thickBot="1" x14ac:dyDescent="0.3">
      <c r="A57" s="114" t="s">
        <v>32</v>
      </c>
      <c r="B57" s="120" t="e">
        <f>(COUNTIFS(B3:B42, "&gt;= 70%", B3:B42, "&lt;=79%" ))/B45</f>
        <v>#DIV/0!</v>
      </c>
      <c r="C57" s="120" t="e">
        <f t="shared" ref="C57:L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120" t="e">
        <f t="shared" si="6"/>
        <v>#DIV/0!</v>
      </c>
      <c r="J57" s="120" t="e">
        <f t="shared" si="6"/>
        <v>#DIV/0!</v>
      </c>
      <c r="K57" s="120" t="e">
        <f t="shared" si="6"/>
        <v>#DIV/0!</v>
      </c>
      <c r="L57" s="120" t="e">
        <f t="shared" si="6"/>
        <v>#DIV/0!</v>
      </c>
      <c r="M57" s="44" t="e">
        <f>AVERAGEIF(B57:L57, "&lt;&gt;#DIV/0!")</f>
        <v>#DIV/0!</v>
      </c>
    </row>
    <row r="58" spans="1:13" ht="16.5" thickBot="1" x14ac:dyDescent="0.3">
      <c r="A58" s="115" t="s">
        <v>34</v>
      </c>
      <c r="B58" s="120" t="e">
        <f>(COUNTIF(B3:B42,"&gt;= 80%")/B45)</f>
        <v>#DIV/0!</v>
      </c>
      <c r="C58" s="120" t="e">
        <f t="shared" ref="C58:L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0" t="e">
        <f t="shared" si="7"/>
        <v>#DIV/0!</v>
      </c>
      <c r="J58" s="120" t="e">
        <f t="shared" si="7"/>
        <v>#DIV/0!</v>
      </c>
      <c r="K58" s="120" t="e">
        <f t="shared" si="7"/>
        <v>#DIV/0!</v>
      </c>
      <c r="L58" s="120" t="e">
        <f t="shared" si="7"/>
        <v>#DIV/0!</v>
      </c>
      <c r="M58" s="128" t="e">
        <f>AVERAGEIF(B58:L58, "&lt;&gt;#DIV/0!")</f>
        <v>#DIV/0!</v>
      </c>
    </row>
    <row r="59" spans="1:13" ht="15.75" thickBot="1" x14ac:dyDescent="0.3">
      <c r="A59" s="116"/>
      <c r="B59" s="126">
        <f>SUMIF(B55:B58, "&lt;&gt;#DIV/0!")</f>
        <v>0</v>
      </c>
      <c r="C59" s="127">
        <f t="shared" ref="C59:M59" si="8">SUMIF(C55:C58, "&lt;&gt;#DIV/0!")</f>
        <v>0</v>
      </c>
      <c r="D59" s="127">
        <f t="shared" si="8"/>
        <v>0</v>
      </c>
      <c r="E59" s="127">
        <f t="shared" si="8"/>
        <v>0</v>
      </c>
      <c r="F59" s="127">
        <f t="shared" si="8"/>
        <v>0</v>
      </c>
      <c r="G59" s="127">
        <f t="shared" si="8"/>
        <v>0</v>
      </c>
      <c r="H59" s="127">
        <f t="shared" si="8"/>
        <v>0</v>
      </c>
      <c r="I59" s="127">
        <f t="shared" si="8"/>
        <v>0</v>
      </c>
      <c r="J59" s="127">
        <f t="shared" si="8"/>
        <v>0</v>
      </c>
      <c r="K59" s="127">
        <f t="shared" si="8"/>
        <v>0</v>
      </c>
      <c r="L59" s="127">
        <f t="shared" si="8"/>
        <v>0</v>
      </c>
      <c r="M59" s="127">
        <f t="shared" si="8"/>
        <v>0</v>
      </c>
    </row>
    <row r="60" spans="1:13" ht="15.75" thickBot="1" x14ac:dyDescent="0.3"/>
    <row r="61" spans="1:13" ht="15.75" thickBot="1" x14ac:dyDescent="0.3">
      <c r="A61" s="28"/>
      <c r="B61" s="45" t="s">
        <v>230</v>
      </c>
      <c r="C61" s="45" t="s">
        <v>231</v>
      </c>
    </row>
    <row r="62" spans="1:13" ht="16.5" thickBot="1" x14ac:dyDescent="0.3">
      <c r="A62" s="41" t="s">
        <v>34</v>
      </c>
      <c r="B62" s="47" t="s">
        <v>232</v>
      </c>
      <c r="C62" s="46">
        <v>100</v>
      </c>
    </row>
    <row r="63" spans="1:13" ht="16.5" thickBot="1" x14ac:dyDescent="0.3">
      <c r="A63" s="41" t="s">
        <v>32</v>
      </c>
      <c r="B63" s="47" t="s">
        <v>233</v>
      </c>
      <c r="C63" s="46">
        <v>79</v>
      </c>
    </row>
    <row r="64" spans="1:13" ht="16.5" thickBot="1" x14ac:dyDescent="0.3">
      <c r="A64" s="41" t="s">
        <v>30</v>
      </c>
      <c r="B64" s="47" t="s">
        <v>234</v>
      </c>
      <c r="C64" s="46">
        <v>69</v>
      </c>
    </row>
    <row r="65" spans="1:3" ht="16.5" thickBot="1" x14ac:dyDescent="0.3">
      <c r="A65" s="41" t="s">
        <v>28</v>
      </c>
      <c r="B65" s="47" t="s">
        <v>235</v>
      </c>
      <c r="C65" s="46">
        <v>59</v>
      </c>
    </row>
  </sheetData>
  <mergeCells count="2">
    <mergeCell ref="M3:M22"/>
    <mergeCell ref="M23:M42"/>
  </mergeCells>
  <phoneticPr fontId="11" type="noConversion"/>
  <conditionalFormatting sqref="B3:L4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240" operator="greaterThanOrEqual">
      <formula>80</formula>
    </cfRule>
    <cfRule type="containsBlanks" dxfId="10" priority="241" stopIfTrue="1">
      <formula>LEN(TRIM(B3))=0</formula>
    </cfRule>
    <cfRule type="cellIs" dxfId="9" priority="242" operator="greaterThanOrEqual">
      <formula>80</formula>
    </cfRule>
    <cfRule type="cellIs" dxfId="8" priority="243" operator="between">
      <formula>70</formula>
      <formula>79</formula>
    </cfRule>
    <cfRule type="cellIs" dxfId="7" priority="244" operator="between">
      <formula>60</formula>
      <formula>69</formula>
    </cfRule>
    <cfRule type="cellIs" dxfId="6" priority="245" operator="between">
      <formula>0</formula>
      <formula>59</formula>
    </cfRule>
  </conditionalFormatting>
  <dataValidations count="1">
    <dataValidation type="list" allowBlank="1" showInputMessage="1" showErrorMessage="1" sqref="B2:L2" xr:uid="{5948EC2E-77AB-4DD1-9BE1-7EF7E673A950}">
      <formula1>$O$4:$O$11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0822-8BB3-4851-8270-7EA772AA72CF}">
  <dimension ref="A1:K65"/>
  <sheetViews>
    <sheetView tabSelected="1" topLeftCell="A18" zoomScale="70" zoomScaleNormal="70" workbookViewId="0">
      <selection activeCell="B55" sqref="B55:H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85546875" bestFit="1" customWidth="1"/>
    <col min="4" max="4" width="15.85546875" bestFit="1" customWidth="1"/>
    <col min="5" max="5" width="17.7109375" bestFit="1" customWidth="1"/>
    <col min="6" max="6" width="14.42578125" bestFit="1" customWidth="1"/>
    <col min="7" max="7" width="12.5703125" bestFit="1" customWidth="1"/>
    <col min="8" max="8" width="17.7109375" bestFit="1" customWidth="1"/>
    <col min="9" max="9" width="9.28515625" bestFit="1" customWidth="1"/>
    <col min="11" max="11" width="4.28515625" bestFit="1" customWidth="1"/>
  </cols>
  <sheetData>
    <row r="1" spans="1:11" x14ac:dyDescent="0.25">
      <c r="A1" s="12" t="s">
        <v>203</v>
      </c>
      <c r="B1" s="152" t="s">
        <v>8</v>
      </c>
      <c r="C1" s="158" t="s">
        <v>33</v>
      </c>
      <c r="D1" s="158" t="s">
        <v>55</v>
      </c>
      <c r="E1" s="157" t="s">
        <v>68</v>
      </c>
      <c r="F1" s="152" t="s">
        <v>160</v>
      </c>
      <c r="G1" s="151" t="s">
        <v>237</v>
      </c>
      <c r="H1" s="151" t="s">
        <v>205</v>
      </c>
      <c r="I1" s="33">
        <f>COUNTA(B1:H1)</f>
        <v>7</v>
      </c>
    </row>
    <row r="2" spans="1:11" ht="30" x14ac:dyDescent="0.25">
      <c r="A2" s="15" t="s">
        <v>209</v>
      </c>
      <c r="B2" s="12"/>
      <c r="C2" s="12"/>
      <c r="D2" s="12"/>
      <c r="E2" s="12"/>
      <c r="F2" s="12"/>
      <c r="G2" s="12"/>
      <c r="H2" s="12"/>
      <c r="I2" s="33">
        <f>COUNTIF(B2:H2, "&lt;&gt;")</f>
        <v>0</v>
      </c>
    </row>
    <row r="3" spans="1:11" x14ac:dyDescent="0.25">
      <c r="A3" s="34">
        <v>1</v>
      </c>
      <c r="B3" s="166"/>
      <c r="C3" s="166"/>
      <c r="D3" s="166"/>
      <c r="E3" s="166"/>
      <c r="F3" s="166"/>
      <c r="G3" s="166"/>
      <c r="H3" s="166"/>
      <c r="I3" s="184"/>
    </row>
    <row r="4" spans="1:11" x14ac:dyDescent="0.25">
      <c r="A4" s="34">
        <v>2</v>
      </c>
      <c r="B4" s="166"/>
      <c r="C4" s="166"/>
      <c r="D4" s="166"/>
      <c r="E4" s="166"/>
      <c r="F4" s="166"/>
      <c r="G4" s="166"/>
      <c r="H4" s="166"/>
      <c r="I4" s="185"/>
      <c r="K4" s="108" t="s">
        <v>210</v>
      </c>
    </row>
    <row r="5" spans="1:11" x14ac:dyDescent="0.25">
      <c r="A5" s="34">
        <v>3</v>
      </c>
      <c r="B5" s="166"/>
      <c r="C5" s="166"/>
      <c r="D5" s="166"/>
      <c r="E5" s="166"/>
      <c r="F5" s="166"/>
      <c r="G5" s="166"/>
      <c r="H5" s="166"/>
      <c r="I5" s="185"/>
      <c r="K5" s="108" t="s">
        <v>211</v>
      </c>
    </row>
    <row r="6" spans="1:11" x14ac:dyDescent="0.25">
      <c r="A6" s="34">
        <v>4</v>
      </c>
      <c r="B6" s="166"/>
      <c r="C6" s="166"/>
      <c r="D6" s="166"/>
      <c r="E6" s="166"/>
      <c r="F6" s="166"/>
      <c r="G6" s="166"/>
      <c r="H6" s="166"/>
      <c r="I6" s="185"/>
      <c r="K6" s="108" t="s">
        <v>212</v>
      </c>
    </row>
    <row r="7" spans="1:11" x14ac:dyDescent="0.25">
      <c r="A7" s="34">
        <v>5</v>
      </c>
      <c r="B7" s="166"/>
      <c r="C7" s="166"/>
      <c r="D7" s="166"/>
      <c r="E7" s="166"/>
      <c r="F7" s="166"/>
      <c r="G7" s="166"/>
      <c r="H7" s="166"/>
      <c r="I7" s="185"/>
      <c r="K7" s="108" t="s">
        <v>213</v>
      </c>
    </row>
    <row r="8" spans="1:11" x14ac:dyDescent="0.25">
      <c r="A8" s="34">
        <v>6</v>
      </c>
      <c r="B8" s="166"/>
      <c r="C8" s="166"/>
      <c r="D8" s="166"/>
      <c r="E8" s="166"/>
      <c r="F8" s="166"/>
      <c r="G8" s="166"/>
      <c r="H8" s="166"/>
      <c r="I8" s="185"/>
      <c r="K8" s="108" t="s">
        <v>214</v>
      </c>
    </row>
    <row r="9" spans="1:11" x14ac:dyDescent="0.25">
      <c r="A9" s="34">
        <v>7</v>
      </c>
      <c r="B9" s="166"/>
      <c r="C9" s="166"/>
      <c r="D9" s="166"/>
      <c r="E9" s="166"/>
      <c r="F9" s="166"/>
      <c r="G9" s="166"/>
      <c r="H9" s="166"/>
      <c r="I9" s="185"/>
      <c r="K9" s="108" t="s">
        <v>215</v>
      </c>
    </row>
    <row r="10" spans="1:11" x14ac:dyDescent="0.25">
      <c r="A10" s="34">
        <v>8</v>
      </c>
      <c r="B10" s="166"/>
      <c r="C10" s="166"/>
      <c r="D10" s="166"/>
      <c r="E10" s="166"/>
      <c r="F10" s="166"/>
      <c r="G10" s="166"/>
      <c r="H10" s="166"/>
      <c r="I10" s="185"/>
      <c r="K10" s="108" t="s">
        <v>216</v>
      </c>
    </row>
    <row r="11" spans="1:11" x14ac:dyDescent="0.25">
      <c r="A11" s="34">
        <v>9</v>
      </c>
      <c r="B11" s="166"/>
      <c r="C11" s="166"/>
      <c r="D11" s="166"/>
      <c r="E11" s="166"/>
      <c r="F11" s="166"/>
      <c r="G11" s="166"/>
      <c r="H11" s="166"/>
      <c r="I11" s="185"/>
    </row>
    <row r="12" spans="1:11" x14ac:dyDescent="0.25">
      <c r="A12" s="34">
        <v>10</v>
      </c>
      <c r="B12" s="166"/>
      <c r="C12" s="166"/>
      <c r="D12" s="166"/>
      <c r="E12" s="166"/>
      <c r="F12" s="166"/>
      <c r="G12" s="166"/>
      <c r="H12" s="166"/>
      <c r="I12" s="185"/>
    </row>
    <row r="13" spans="1:11" x14ac:dyDescent="0.25">
      <c r="A13" s="34">
        <v>11</v>
      </c>
      <c r="B13" s="166"/>
      <c r="C13" s="166"/>
      <c r="D13" s="166"/>
      <c r="E13" s="166"/>
      <c r="F13" s="166"/>
      <c r="G13" s="166"/>
      <c r="H13" s="166"/>
      <c r="I13" s="185"/>
    </row>
    <row r="14" spans="1:11" x14ac:dyDescent="0.25">
      <c r="A14" s="34">
        <v>12</v>
      </c>
      <c r="B14" s="166"/>
      <c r="C14" s="166"/>
      <c r="D14" s="166"/>
      <c r="E14" s="166"/>
      <c r="F14" s="166"/>
      <c r="G14" s="166"/>
      <c r="H14" s="166"/>
      <c r="I14" s="185"/>
    </row>
    <row r="15" spans="1:11" x14ac:dyDescent="0.25">
      <c r="A15" s="34">
        <v>13</v>
      </c>
      <c r="B15" s="166"/>
      <c r="C15" s="166"/>
      <c r="D15" s="166"/>
      <c r="E15" s="166"/>
      <c r="F15" s="166"/>
      <c r="G15" s="166"/>
      <c r="H15" s="166"/>
      <c r="I15" s="185"/>
    </row>
    <row r="16" spans="1:11" x14ac:dyDescent="0.25">
      <c r="A16" s="34">
        <v>14</v>
      </c>
      <c r="B16" s="166"/>
      <c r="C16" s="166"/>
      <c r="D16" s="166"/>
      <c r="E16" s="166"/>
      <c r="F16" s="166"/>
      <c r="G16" s="166"/>
      <c r="H16" s="166"/>
      <c r="I16" s="185"/>
    </row>
    <row r="17" spans="1:9" x14ac:dyDescent="0.25">
      <c r="A17" s="34">
        <v>15</v>
      </c>
      <c r="B17" s="166"/>
      <c r="C17" s="166"/>
      <c r="D17" s="166"/>
      <c r="E17" s="166"/>
      <c r="F17" s="166"/>
      <c r="G17" s="166"/>
      <c r="H17" s="166"/>
      <c r="I17" s="185"/>
    </row>
    <row r="18" spans="1:9" x14ac:dyDescent="0.25">
      <c r="A18" s="34">
        <v>16</v>
      </c>
      <c r="B18" s="166"/>
      <c r="C18" s="166"/>
      <c r="D18" s="166"/>
      <c r="E18" s="166"/>
      <c r="F18" s="166"/>
      <c r="G18" s="166"/>
      <c r="H18" s="166"/>
      <c r="I18" s="185"/>
    </row>
    <row r="19" spans="1:9" x14ac:dyDescent="0.25">
      <c r="A19" s="34">
        <v>17</v>
      </c>
      <c r="B19" s="166"/>
      <c r="C19" s="166"/>
      <c r="D19" s="166"/>
      <c r="E19" s="166"/>
      <c r="F19" s="166"/>
      <c r="G19" s="166"/>
      <c r="H19" s="166"/>
      <c r="I19" s="185"/>
    </row>
    <row r="20" spans="1:9" x14ac:dyDescent="0.25">
      <c r="A20" s="34">
        <v>18</v>
      </c>
      <c r="B20" s="166"/>
      <c r="C20" s="166"/>
      <c r="D20" s="166"/>
      <c r="E20" s="166"/>
      <c r="F20" s="166"/>
      <c r="G20" s="166"/>
      <c r="H20" s="166"/>
      <c r="I20" s="185"/>
    </row>
    <row r="21" spans="1:9" x14ac:dyDescent="0.25">
      <c r="A21" s="34">
        <v>19</v>
      </c>
      <c r="B21" s="166"/>
      <c r="C21" s="166"/>
      <c r="D21" s="166"/>
      <c r="E21" s="166"/>
      <c r="F21" s="166"/>
      <c r="G21" s="166"/>
      <c r="H21" s="166"/>
      <c r="I21" s="185"/>
    </row>
    <row r="22" spans="1:9" ht="15.75" thickBot="1" x14ac:dyDescent="0.3">
      <c r="A22" s="34">
        <v>20</v>
      </c>
      <c r="B22" s="166"/>
      <c r="C22" s="166"/>
      <c r="D22" s="166"/>
      <c r="E22" s="166"/>
      <c r="F22" s="166"/>
      <c r="G22" s="166"/>
      <c r="H22" s="166"/>
      <c r="I22" s="186"/>
    </row>
    <row r="23" spans="1:9" ht="15.75" thickTop="1" x14ac:dyDescent="0.25">
      <c r="A23" s="34">
        <v>21</v>
      </c>
      <c r="B23" s="167"/>
      <c r="C23" s="167"/>
      <c r="D23" s="167"/>
      <c r="E23" s="167"/>
      <c r="F23" s="167"/>
      <c r="G23" s="167"/>
      <c r="H23" s="167"/>
      <c r="I23" s="146"/>
    </row>
    <row r="24" spans="1:9" x14ac:dyDescent="0.25">
      <c r="A24" s="34">
        <v>22</v>
      </c>
      <c r="B24" s="167"/>
      <c r="C24" s="167"/>
      <c r="D24" s="167"/>
      <c r="E24" s="167"/>
      <c r="F24" s="167"/>
      <c r="G24" s="167"/>
      <c r="H24" s="167"/>
      <c r="I24" s="146"/>
    </row>
    <row r="25" spans="1:9" x14ac:dyDescent="0.25">
      <c r="A25" s="34">
        <v>23</v>
      </c>
      <c r="B25" s="167"/>
      <c r="C25" s="167"/>
      <c r="D25" s="167"/>
      <c r="E25" s="167"/>
      <c r="F25" s="167"/>
      <c r="G25" s="167"/>
      <c r="H25" s="167"/>
      <c r="I25" s="146"/>
    </row>
    <row r="26" spans="1:9" x14ac:dyDescent="0.25">
      <c r="A26" s="34">
        <v>24</v>
      </c>
      <c r="B26" s="167"/>
      <c r="C26" s="167"/>
      <c r="D26" s="167"/>
      <c r="E26" s="167"/>
      <c r="F26" s="167"/>
      <c r="G26" s="167"/>
      <c r="H26" s="167"/>
      <c r="I26" s="146"/>
    </row>
    <row r="27" spans="1:9" x14ac:dyDescent="0.25">
      <c r="A27" s="34">
        <v>25</v>
      </c>
      <c r="B27" s="167"/>
      <c r="C27" s="167"/>
      <c r="D27" s="167"/>
      <c r="E27" s="167"/>
      <c r="F27" s="167"/>
      <c r="G27" s="167"/>
      <c r="H27" s="167"/>
      <c r="I27" s="146"/>
    </row>
    <row r="28" spans="1:9" x14ac:dyDescent="0.25">
      <c r="A28" s="34">
        <v>26</v>
      </c>
      <c r="B28" s="167"/>
      <c r="C28" s="167"/>
      <c r="D28" s="167"/>
      <c r="E28" s="167"/>
      <c r="F28" s="167"/>
      <c r="G28" s="167"/>
      <c r="H28" s="167"/>
      <c r="I28" s="146"/>
    </row>
    <row r="29" spans="1:9" x14ac:dyDescent="0.25">
      <c r="A29" s="34">
        <v>27</v>
      </c>
      <c r="B29" s="167"/>
      <c r="C29" s="167"/>
      <c r="D29" s="167"/>
      <c r="E29" s="167"/>
      <c r="F29" s="167"/>
      <c r="G29" s="167"/>
      <c r="H29" s="167"/>
      <c r="I29" s="146"/>
    </row>
    <row r="30" spans="1:9" x14ac:dyDescent="0.25">
      <c r="A30" s="34">
        <v>28</v>
      </c>
      <c r="B30" s="167"/>
      <c r="C30" s="167"/>
      <c r="D30" s="167"/>
      <c r="E30" s="167"/>
      <c r="F30" s="167"/>
      <c r="G30" s="167"/>
      <c r="H30" s="167"/>
      <c r="I30" s="146"/>
    </row>
    <row r="31" spans="1:9" x14ac:dyDescent="0.25">
      <c r="A31" s="34">
        <v>29</v>
      </c>
      <c r="B31" s="167"/>
      <c r="C31" s="167"/>
      <c r="D31" s="167"/>
      <c r="E31" s="167"/>
      <c r="F31" s="167"/>
      <c r="G31" s="167"/>
      <c r="H31" s="167"/>
      <c r="I31" s="146"/>
    </row>
    <row r="32" spans="1:9" x14ac:dyDescent="0.25">
      <c r="A32" s="34">
        <v>30</v>
      </c>
      <c r="B32" s="167"/>
      <c r="C32" s="167"/>
      <c r="D32" s="167"/>
      <c r="E32" s="167"/>
      <c r="F32" s="167"/>
      <c r="G32" s="167"/>
      <c r="H32" s="167"/>
      <c r="I32" s="146"/>
    </row>
    <row r="33" spans="1:9" x14ac:dyDescent="0.25">
      <c r="A33" s="34">
        <v>31</v>
      </c>
      <c r="B33" s="167"/>
      <c r="C33" s="167"/>
      <c r="D33" s="167"/>
      <c r="E33" s="167"/>
      <c r="F33" s="167"/>
      <c r="G33" s="167"/>
      <c r="H33" s="167"/>
      <c r="I33" s="146"/>
    </row>
    <row r="34" spans="1:9" x14ac:dyDescent="0.25">
      <c r="A34" s="34">
        <v>32</v>
      </c>
      <c r="B34" s="167"/>
      <c r="C34" s="167"/>
      <c r="D34" s="167"/>
      <c r="E34" s="167"/>
      <c r="F34" s="167"/>
      <c r="G34" s="167"/>
      <c r="H34" s="167"/>
      <c r="I34" s="146"/>
    </row>
    <row r="35" spans="1:9" x14ac:dyDescent="0.25">
      <c r="A35" s="34">
        <v>33</v>
      </c>
      <c r="B35" s="167"/>
      <c r="C35" s="167"/>
      <c r="D35" s="167"/>
      <c r="E35" s="167"/>
      <c r="F35" s="167"/>
      <c r="G35" s="167"/>
      <c r="H35" s="167"/>
      <c r="I35" s="146"/>
    </row>
    <row r="36" spans="1:9" x14ac:dyDescent="0.25">
      <c r="A36" s="34">
        <v>34</v>
      </c>
      <c r="B36" s="167"/>
      <c r="C36" s="167"/>
      <c r="D36" s="167"/>
      <c r="E36" s="167"/>
      <c r="F36" s="167"/>
      <c r="G36" s="167"/>
      <c r="H36" s="167"/>
      <c r="I36" s="146"/>
    </row>
    <row r="37" spans="1:9" x14ac:dyDescent="0.25">
      <c r="A37" s="34">
        <v>35</v>
      </c>
      <c r="B37" s="167"/>
      <c r="C37" s="167"/>
      <c r="D37" s="167"/>
      <c r="E37" s="167"/>
      <c r="F37" s="167"/>
      <c r="G37" s="167"/>
      <c r="H37" s="167"/>
      <c r="I37" s="146"/>
    </row>
    <row r="38" spans="1:9" x14ac:dyDescent="0.25">
      <c r="A38" s="34">
        <v>36</v>
      </c>
      <c r="B38" s="167"/>
      <c r="C38" s="167"/>
      <c r="D38" s="167"/>
      <c r="E38" s="167"/>
      <c r="F38" s="167"/>
      <c r="G38" s="167"/>
      <c r="H38" s="167"/>
      <c r="I38" s="146"/>
    </row>
    <row r="39" spans="1:9" x14ac:dyDescent="0.25">
      <c r="A39" s="34">
        <v>37</v>
      </c>
      <c r="B39" s="167"/>
      <c r="C39" s="167"/>
      <c r="D39" s="167"/>
      <c r="E39" s="167"/>
      <c r="F39" s="167"/>
      <c r="G39" s="167"/>
      <c r="H39" s="167"/>
      <c r="I39" s="146"/>
    </row>
    <row r="40" spans="1:9" x14ac:dyDescent="0.25">
      <c r="A40" s="34">
        <v>38</v>
      </c>
      <c r="B40" s="167"/>
      <c r="C40" s="167"/>
      <c r="D40" s="167"/>
      <c r="E40" s="167"/>
      <c r="F40" s="167"/>
      <c r="G40" s="167"/>
      <c r="H40" s="167"/>
      <c r="I40" s="146"/>
    </row>
    <row r="41" spans="1:9" x14ac:dyDescent="0.25">
      <c r="A41" s="34">
        <v>39</v>
      </c>
      <c r="B41" s="167"/>
      <c r="C41" s="167"/>
      <c r="D41" s="167"/>
      <c r="E41" s="167"/>
      <c r="F41" s="167"/>
      <c r="G41" s="167"/>
      <c r="H41" s="167"/>
      <c r="I41" s="146"/>
    </row>
    <row r="42" spans="1:9" ht="15.75" thickBot="1" x14ac:dyDescent="0.3">
      <c r="A42" s="34">
        <v>40</v>
      </c>
      <c r="B42" s="167"/>
      <c r="C42" s="167"/>
      <c r="D42" s="167"/>
      <c r="E42" s="167"/>
      <c r="F42" s="167"/>
      <c r="G42" s="167"/>
      <c r="H42" s="167"/>
      <c r="I42" s="146"/>
    </row>
    <row r="43" spans="1:9" ht="15.75" thickTop="1" x14ac:dyDescent="0.25">
      <c r="A43" s="109" t="s">
        <v>14</v>
      </c>
      <c r="B43" s="168" t="e">
        <f>AVERAGE(B3:B42)</f>
        <v>#DIV/0!</v>
      </c>
      <c r="C43" s="168" t="e">
        <f t="shared" ref="C43:H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38"/>
    </row>
    <row r="44" spans="1:9" x14ac:dyDescent="0.25">
      <c r="A44" s="39" t="s">
        <v>217</v>
      </c>
      <c r="B44" s="169" t="e">
        <f>AVERAGEIF(B43:H43, "&lt;&gt;#DIV/0!")</f>
        <v>#DIV/0!</v>
      </c>
      <c r="C44" s="169"/>
      <c r="D44" s="169"/>
      <c r="E44" s="169"/>
      <c r="F44" s="169"/>
      <c r="G44" s="169"/>
      <c r="H44" s="169"/>
      <c r="I44" s="35"/>
    </row>
    <row r="45" spans="1:9" x14ac:dyDescent="0.25">
      <c r="A45" s="39" t="s">
        <v>218</v>
      </c>
      <c r="B45" s="35">
        <f>COUNTIF(B3:B42, "&lt;&gt;")</f>
        <v>0</v>
      </c>
      <c r="C45" s="35">
        <f t="shared" ref="C45:H45" si="1">COUNTIF(C3:C42, "&lt;&gt;")</f>
        <v>0</v>
      </c>
      <c r="D45" s="35">
        <f t="shared" si="1"/>
        <v>0</v>
      </c>
      <c r="E45" s="35">
        <f t="shared" si="1"/>
        <v>0</v>
      </c>
      <c r="F45" s="35">
        <f t="shared" si="1"/>
        <v>0</v>
      </c>
      <c r="G45" s="35">
        <f t="shared" si="1"/>
        <v>0</v>
      </c>
      <c r="H45" s="35">
        <f t="shared" si="1"/>
        <v>0</v>
      </c>
      <c r="I45" s="35"/>
    </row>
    <row r="46" spans="1:9" x14ac:dyDescent="0.25">
      <c r="I46" s="86"/>
    </row>
    <row r="47" spans="1:9" x14ac:dyDescent="0.25">
      <c r="A47" s="12"/>
      <c r="B47" s="22" t="s">
        <v>219</v>
      </c>
      <c r="C47" s="22" t="s">
        <v>220</v>
      </c>
      <c r="D47" s="22" t="s">
        <v>221</v>
      </c>
      <c r="E47" s="22" t="s">
        <v>222</v>
      </c>
      <c r="F47" s="22" t="s">
        <v>223</v>
      </c>
      <c r="G47" s="22" t="s">
        <v>224</v>
      </c>
      <c r="H47" s="23" t="s">
        <v>225</v>
      </c>
      <c r="I47" s="23" t="s">
        <v>61</v>
      </c>
    </row>
    <row r="48" spans="1:9" x14ac:dyDescent="0.25">
      <c r="A48" s="101" t="s">
        <v>226</v>
      </c>
      <c r="B48" s="16">
        <f>COUNTIF($B$2, "A") + COUNTIF($F$2, "A")</f>
        <v>0</v>
      </c>
      <c r="C48" s="16">
        <f>COUNTIF($B$2, "Q") + COUNTIF($F$2, "Q")</f>
        <v>0</v>
      </c>
      <c r="D48" s="16">
        <f>COUNTIF($B$2, "M") + COUNTIF($F$2, "M")</f>
        <v>0</v>
      </c>
      <c r="E48" s="16">
        <f>COUNTIF($B$2, "F") + COUNTIF($F$2, "F")</f>
        <v>0</v>
      </c>
      <c r="F48" s="16">
        <f>COUNTIF($B$2, "P") + COUNTIF($F$2, "P")</f>
        <v>0</v>
      </c>
      <c r="G48" s="16">
        <f>COUNTIF($B$2, "L") + COUNTIF($F$2, "L")</f>
        <v>0</v>
      </c>
      <c r="H48" s="16">
        <f>COUNTIF($B$2, "OT") + COUNTIF($F$2, "OT")</f>
        <v>0</v>
      </c>
      <c r="I48" s="12">
        <f>SUM(B48:H48)</f>
        <v>0</v>
      </c>
    </row>
    <row r="49" spans="1:9" x14ac:dyDescent="0.25">
      <c r="A49" s="102" t="s">
        <v>227</v>
      </c>
      <c r="B49" s="16">
        <f>COUNTIF($C$2:$E$2, "A")</f>
        <v>0</v>
      </c>
      <c r="C49" s="16">
        <f>COUNTIF($C$2:$E$2, "Q")</f>
        <v>0</v>
      </c>
      <c r="D49" s="16">
        <f>COUNTIF($C$2:$E$2, "M")</f>
        <v>0</v>
      </c>
      <c r="E49" s="16">
        <f>COUNTIF($C$2:$E$2, "F")</f>
        <v>0</v>
      </c>
      <c r="F49" s="16">
        <f>COUNTIF($C$2:$E$2, "P")</f>
        <v>0</v>
      </c>
      <c r="G49" s="16">
        <f>COUNTIF($C$2:$E$2, "L")</f>
        <v>0</v>
      </c>
      <c r="H49" s="16">
        <f>COUNTIF($C$2:$E$2, "OT")</f>
        <v>0</v>
      </c>
      <c r="I49" s="12">
        <f t="shared" ref="I49:I50" si="2">SUM(B49:H49)</f>
        <v>0</v>
      </c>
    </row>
    <row r="50" spans="1:9" x14ac:dyDescent="0.25">
      <c r="A50" s="103" t="s">
        <v>228</v>
      </c>
      <c r="B50" s="16">
        <f>COUNTIF($G$2:$H$2, "A")</f>
        <v>0</v>
      </c>
      <c r="C50" s="16">
        <f>COUNTIF($G$2:$H$2, "Q")</f>
        <v>0</v>
      </c>
      <c r="D50" s="16">
        <f>COUNTIF($G$2:$H$2, "M")</f>
        <v>0</v>
      </c>
      <c r="E50" s="16">
        <f>COUNTIF($G$2:$H$2, "F")</f>
        <v>0</v>
      </c>
      <c r="F50" s="16">
        <f>COUNTIF($G$2:$H$2, "P")</f>
        <v>0</v>
      </c>
      <c r="G50" s="16">
        <f>COUNTIF($G$2:$H$2, "L")</f>
        <v>0</v>
      </c>
      <c r="H50" s="16">
        <f>COUNTIF($G$2:$H$2, "OT")</f>
        <v>0</v>
      </c>
      <c r="I50" s="12">
        <f t="shared" si="2"/>
        <v>0</v>
      </c>
    </row>
    <row r="51" spans="1:9" x14ac:dyDescent="0.25">
      <c r="A51" s="22" t="s">
        <v>61</v>
      </c>
      <c r="B51" s="12">
        <f>SUM(B48:B50)</f>
        <v>0</v>
      </c>
      <c r="C51" s="12">
        <f t="shared" ref="C51:H51" si="3">SUM(C48:C50)</f>
        <v>0</v>
      </c>
      <c r="D51" s="12">
        <f t="shared" si="3"/>
        <v>0</v>
      </c>
      <c r="E51" s="12">
        <f t="shared" si="3"/>
        <v>0</v>
      </c>
      <c r="F51" s="12">
        <f t="shared" si="3"/>
        <v>0</v>
      </c>
      <c r="G51" s="12">
        <f t="shared" si="3"/>
        <v>0</v>
      </c>
      <c r="H51" s="12">
        <f t="shared" si="3"/>
        <v>0</v>
      </c>
      <c r="I51" s="12">
        <f>SUM(I48:I50)</f>
        <v>0</v>
      </c>
    </row>
    <row r="53" spans="1:9" ht="18.75" thickBot="1" x14ac:dyDescent="0.3">
      <c r="A53" s="88" t="s">
        <v>229</v>
      </c>
      <c r="B53" s="88"/>
      <c r="C53" s="88"/>
      <c r="D53" s="88"/>
      <c r="E53" s="88"/>
      <c r="F53" s="88"/>
      <c r="H53" s="86"/>
    </row>
    <row r="54" spans="1:9" ht="16.5" thickBot="1" x14ac:dyDescent="0.3">
      <c r="A54" s="111" t="s">
        <v>26</v>
      </c>
      <c r="B54" s="152" t="s">
        <v>8</v>
      </c>
      <c r="C54" s="158" t="s">
        <v>33</v>
      </c>
      <c r="D54" s="158" t="s">
        <v>55</v>
      </c>
      <c r="E54" s="157" t="s">
        <v>68</v>
      </c>
      <c r="F54" s="152" t="s">
        <v>160</v>
      </c>
      <c r="G54" s="151" t="s">
        <v>237</v>
      </c>
      <c r="H54" s="151" t="s">
        <v>205</v>
      </c>
      <c r="I54" s="43" t="s">
        <v>14</v>
      </c>
    </row>
    <row r="55" spans="1:9" ht="16.5" thickBot="1" x14ac:dyDescent="0.3">
      <c r="A55" s="112" t="s">
        <v>28</v>
      </c>
      <c r="B55" s="117" t="e">
        <f>(COUNTIF(B3:B42, "&lt;=59%"))/B45</f>
        <v>#DIV/0!</v>
      </c>
      <c r="C55" s="117" t="e">
        <f t="shared" ref="C55:H55" si="4">(COUNTIF(C3:C42, "&lt;=59%"))/C45</f>
        <v>#DIV/0!</v>
      </c>
      <c r="D55" s="117" t="e">
        <f t="shared" si="4"/>
        <v>#DIV/0!</v>
      </c>
      <c r="E55" s="117" t="e">
        <f t="shared" si="4"/>
        <v>#DIV/0!</v>
      </c>
      <c r="F55" s="117" t="e">
        <f t="shared" si="4"/>
        <v>#DIV/0!</v>
      </c>
      <c r="G55" s="117" t="e">
        <f t="shared" si="4"/>
        <v>#DIV/0!</v>
      </c>
      <c r="H55" s="117" t="e">
        <f t="shared" si="4"/>
        <v>#DIV/0!</v>
      </c>
      <c r="I55" s="44" t="e">
        <f>AVERAGEIF(B55:H55, "&lt;&gt;#DIV/0!")</f>
        <v>#DIV/0!</v>
      </c>
    </row>
    <row r="56" spans="1:9" ht="16.5" thickBot="1" x14ac:dyDescent="0.3">
      <c r="A56" s="113" t="s">
        <v>30</v>
      </c>
      <c r="B56" s="120" t="e">
        <f>(COUNTIFS(B3:B42, "&gt;= 60%", B3:B42, "&lt;=69%" ))/B45</f>
        <v>#DIV/0!</v>
      </c>
      <c r="C56" s="120" t="e">
        <f t="shared" ref="C56:H56" si="5">(COUNTIFS(C3:C42, "&gt;= 60%", C3:C42, "&lt;=69%" ))/C45</f>
        <v>#DIV/0!</v>
      </c>
      <c r="D56" s="120" t="e">
        <f t="shared" si="5"/>
        <v>#DIV/0!</v>
      </c>
      <c r="E56" s="120" t="e">
        <f t="shared" si="5"/>
        <v>#DIV/0!</v>
      </c>
      <c r="F56" s="120" t="e">
        <f t="shared" si="5"/>
        <v>#DIV/0!</v>
      </c>
      <c r="G56" s="120" t="e">
        <f t="shared" si="5"/>
        <v>#DIV/0!</v>
      </c>
      <c r="H56" s="120" t="e">
        <f t="shared" si="5"/>
        <v>#DIV/0!</v>
      </c>
      <c r="I56" s="44" t="e">
        <f>AVERAGEIF(B56:H56, "&lt;&gt;#DIV/0!")</f>
        <v>#DIV/0!</v>
      </c>
    </row>
    <row r="57" spans="1:9" ht="16.5" thickBot="1" x14ac:dyDescent="0.3">
      <c r="A57" s="114" t="s">
        <v>32</v>
      </c>
      <c r="B57" s="120" t="e">
        <f>(COUNTIFS(B3:B42, "&gt;= 70%", B3:B42, "&lt;=79%" ))/B45</f>
        <v>#DIV/0!</v>
      </c>
      <c r="C57" s="120" t="e">
        <f t="shared" ref="C57:H57" si="6">(COUNTIFS(C3:C42, "&gt;= 70%", C3:C42, "&lt;=79%" ))/C45</f>
        <v>#DIV/0!</v>
      </c>
      <c r="D57" s="120" t="e">
        <f t="shared" si="6"/>
        <v>#DIV/0!</v>
      </c>
      <c r="E57" s="120" t="e">
        <f t="shared" si="6"/>
        <v>#DIV/0!</v>
      </c>
      <c r="F57" s="120" t="e">
        <f t="shared" si="6"/>
        <v>#DIV/0!</v>
      </c>
      <c r="G57" s="120" t="e">
        <f t="shared" si="6"/>
        <v>#DIV/0!</v>
      </c>
      <c r="H57" s="120" t="e">
        <f t="shared" si="6"/>
        <v>#DIV/0!</v>
      </c>
      <c r="I57" s="44" t="e">
        <f>AVERAGEIF(B57:H57, "&lt;&gt;#DIV/0!")</f>
        <v>#DIV/0!</v>
      </c>
    </row>
    <row r="58" spans="1:9" ht="16.5" thickBot="1" x14ac:dyDescent="0.3">
      <c r="A58" s="115" t="s">
        <v>34</v>
      </c>
      <c r="B58" s="120" t="e">
        <f>(COUNTIF(B3:B42,"&gt;= 80%")/B45)</f>
        <v>#DIV/0!</v>
      </c>
      <c r="C58" s="120" t="e">
        <f t="shared" ref="C58:H58" si="7">(COUNTIF(C3:C42,"&gt;= 80%")/C45)</f>
        <v>#DIV/0!</v>
      </c>
      <c r="D58" s="120" t="e">
        <f t="shared" si="7"/>
        <v>#DIV/0!</v>
      </c>
      <c r="E58" s="120" t="e">
        <f t="shared" si="7"/>
        <v>#DIV/0!</v>
      </c>
      <c r="F58" s="120" t="e">
        <f t="shared" si="7"/>
        <v>#DIV/0!</v>
      </c>
      <c r="G58" s="120" t="e">
        <f t="shared" si="7"/>
        <v>#DIV/0!</v>
      </c>
      <c r="H58" s="120" t="e">
        <f t="shared" si="7"/>
        <v>#DIV/0!</v>
      </c>
      <c r="I58" s="128" t="e">
        <f>AVERAGEIF(B58:H58, "&lt;&gt;#DIV/0!")</f>
        <v>#DIV/0!</v>
      </c>
    </row>
    <row r="59" spans="1:9" ht="15.75" thickBot="1" x14ac:dyDescent="0.3">
      <c r="A59" s="116"/>
      <c r="B59" s="126">
        <f>SUMIF(B55:B58, "&lt;&gt;#DIV/0!")</f>
        <v>0</v>
      </c>
      <c r="C59" s="127">
        <f t="shared" ref="C59:I59" si="8">SUMIF(C55:C58, "&lt;&gt;#DIV/0!")</f>
        <v>0</v>
      </c>
      <c r="D59" s="127">
        <f t="shared" si="8"/>
        <v>0</v>
      </c>
      <c r="E59" s="127">
        <f t="shared" si="8"/>
        <v>0</v>
      </c>
      <c r="F59" s="127">
        <f t="shared" si="8"/>
        <v>0</v>
      </c>
      <c r="G59" s="127">
        <f t="shared" si="8"/>
        <v>0</v>
      </c>
      <c r="H59" s="127">
        <f t="shared" si="8"/>
        <v>0</v>
      </c>
      <c r="I59" s="127">
        <f t="shared" si="8"/>
        <v>0</v>
      </c>
    </row>
    <row r="60" spans="1:9" ht="15.75" thickBot="1" x14ac:dyDescent="0.3"/>
    <row r="61" spans="1:9" ht="15.75" thickBot="1" x14ac:dyDescent="0.3">
      <c r="A61" s="28"/>
      <c r="B61" s="45" t="s">
        <v>230</v>
      </c>
      <c r="C61" s="45" t="s">
        <v>231</v>
      </c>
    </row>
    <row r="62" spans="1:9" ht="16.5" thickBot="1" x14ac:dyDescent="0.3">
      <c r="A62" s="41" t="s">
        <v>34</v>
      </c>
      <c r="B62" s="47" t="s">
        <v>232</v>
      </c>
      <c r="C62" s="46">
        <v>100</v>
      </c>
    </row>
    <row r="63" spans="1:9" ht="16.5" thickBot="1" x14ac:dyDescent="0.3">
      <c r="A63" s="41" t="s">
        <v>32</v>
      </c>
      <c r="B63" s="47" t="s">
        <v>233</v>
      </c>
      <c r="C63" s="46">
        <v>79</v>
      </c>
    </row>
    <row r="64" spans="1:9" ht="16.5" thickBot="1" x14ac:dyDescent="0.3">
      <c r="A64" s="41" t="s">
        <v>30</v>
      </c>
      <c r="B64" s="47" t="s">
        <v>234</v>
      </c>
      <c r="C64" s="46">
        <v>69</v>
      </c>
    </row>
    <row r="65" spans="1:3" ht="16.5" thickBot="1" x14ac:dyDescent="0.3">
      <c r="A65" s="41" t="s">
        <v>28</v>
      </c>
      <c r="B65" s="47" t="s">
        <v>235</v>
      </c>
      <c r="C65" s="46">
        <v>59</v>
      </c>
    </row>
  </sheetData>
  <mergeCells count="1">
    <mergeCell ref="I3:I22"/>
  </mergeCells>
  <conditionalFormatting sqref="B3:H4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54" operator="greaterThanOrEqual">
      <formula>80</formula>
    </cfRule>
    <cfRule type="containsBlanks" dxfId="4" priority="255" stopIfTrue="1">
      <formula>LEN(TRIM(B3))=0</formula>
    </cfRule>
    <cfRule type="cellIs" dxfId="3" priority="256" operator="greaterThanOrEqual">
      <formula>80</formula>
    </cfRule>
    <cfRule type="cellIs" dxfId="2" priority="257" operator="between">
      <formula>70</formula>
      <formula>79</formula>
    </cfRule>
    <cfRule type="cellIs" dxfId="1" priority="258" operator="between">
      <formula>60</formula>
      <formula>69</formula>
    </cfRule>
    <cfRule type="cellIs" dxfId="0" priority="259" operator="between">
      <formula>0</formula>
      <formula>59</formula>
    </cfRule>
  </conditionalFormatting>
  <dataValidations count="1">
    <dataValidation type="list" allowBlank="1" showInputMessage="1" showErrorMessage="1" sqref="B2:H2" xr:uid="{3A9E29E4-352D-4DDF-802D-72BE74F6DBE3}">
      <formula1>$K$4:$K$11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41C5-E997-495E-8E45-4A1C66017E6E}">
  <dimension ref="A1:AH18"/>
  <sheetViews>
    <sheetView zoomScale="80" zoomScaleNormal="80" workbookViewId="0">
      <selection activeCell="V7" sqref="V7"/>
    </sheetView>
  </sheetViews>
  <sheetFormatPr defaultRowHeight="15" x14ac:dyDescent="0.25"/>
  <cols>
    <col min="1" max="1" width="16.140625" bestFit="1" customWidth="1"/>
  </cols>
  <sheetData>
    <row r="1" spans="1:34" ht="18" x14ac:dyDescent="0.25">
      <c r="A1" s="187" t="s">
        <v>242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</row>
    <row r="2" spans="1:34" ht="16.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4" ht="157.5" customHeight="1" thickTop="1" thickBot="1" x14ac:dyDescent="0.3">
      <c r="A3" s="94" t="s">
        <v>243</v>
      </c>
      <c r="B3" s="95" t="s">
        <v>244</v>
      </c>
      <c r="C3" s="95" t="s">
        <v>245</v>
      </c>
      <c r="D3" s="95" t="s">
        <v>246</v>
      </c>
      <c r="E3" s="95" t="s">
        <v>247</v>
      </c>
      <c r="F3" s="95" t="s">
        <v>248</v>
      </c>
      <c r="G3" s="95" t="s">
        <v>249</v>
      </c>
      <c r="H3" s="95" t="s">
        <v>250</v>
      </c>
      <c r="I3" s="95" t="s">
        <v>251</v>
      </c>
      <c r="J3" s="95" t="s">
        <v>252</v>
      </c>
      <c r="K3" s="95" t="s">
        <v>253</v>
      </c>
      <c r="L3" s="95" t="s">
        <v>254</v>
      </c>
      <c r="M3" s="95" t="s">
        <v>255</v>
      </c>
      <c r="N3" s="95" t="s">
        <v>256</v>
      </c>
      <c r="O3" s="95" t="s">
        <v>257</v>
      </c>
      <c r="P3" s="95" t="s">
        <v>258</v>
      </c>
      <c r="Q3" s="95" t="s">
        <v>259</v>
      </c>
      <c r="R3" s="95" t="s">
        <v>260</v>
      </c>
      <c r="S3" s="95" t="s">
        <v>261</v>
      </c>
      <c r="T3" s="95" t="s">
        <v>262</v>
      </c>
      <c r="U3" s="95" t="s">
        <v>263</v>
      </c>
      <c r="V3" s="95" t="s">
        <v>264</v>
      </c>
      <c r="W3" s="95" t="s">
        <v>241</v>
      </c>
      <c r="X3" s="95" t="s">
        <v>237</v>
      </c>
      <c r="Y3" s="95" t="s">
        <v>238</v>
      </c>
      <c r="Z3" s="95" t="s">
        <v>239</v>
      </c>
      <c r="AA3" s="95" t="s">
        <v>205</v>
      </c>
      <c r="AB3" s="95" t="s">
        <v>206</v>
      </c>
      <c r="AC3" s="95" t="s">
        <v>207</v>
      </c>
      <c r="AD3" s="95" t="s">
        <v>208</v>
      </c>
      <c r="AE3" s="95" t="s">
        <v>206</v>
      </c>
      <c r="AF3" s="95" t="s">
        <v>208</v>
      </c>
      <c r="AG3" s="95" t="s">
        <v>265</v>
      </c>
      <c r="AH3" s="95" t="s">
        <v>266</v>
      </c>
    </row>
    <row r="4" spans="1:34" ht="17.25" thickTop="1" thickBot="1" x14ac:dyDescent="0.3">
      <c r="A4" s="5" t="s">
        <v>267</v>
      </c>
      <c r="B4" s="6" t="s">
        <v>268</v>
      </c>
      <c r="C4" s="6" t="s">
        <v>268</v>
      </c>
      <c r="D4" s="6" t="s">
        <v>268</v>
      </c>
      <c r="E4" s="6" t="s">
        <v>268</v>
      </c>
      <c r="F4" s="6" t="s">
        <v>268</v>
      </c>
      <c r="G4" s="6" t="s">
        <v>268</v>
      </c>
      <c r="H4" s="6" t="s">
        <v>268</v>
      </c>
      <c r="I4" s="6" t="s">
        <v>268</v>
      </c>
      <c r="J4" s="6" t="s">
        <v>268</v>
      </c>
      <c r="K4" s="6" t="s">
        <v>268</v>
      </c>
      <c r="L4" s="6" t="s">
        <v>268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7.25" thickTop="1" thickBot="1" x14ac:dyDescent="0.3">
      <c r="A5" s="5" t="s">
        <v>269</v>
      </c>
      <c r="B5" s="2" t="s">
        <v>270</v>
      </c>
      <c r="C5" s="2"/>
      <c r="D5" s="2"/>
      <c r="E5" s="9"/>
      <c r="F5" s="9"/>
      <c r="G5" s="9"/>
      <c r="H5" s="2"/>
      <c r="I5" s="2"/>
      <c r="J5" s="2"/>
      <c r="K5" s="2"/>
      <c r="L5" s="2"/>
      <c r="M5" s="10" t="s">
        <v>268</v>
      </c>
      <c r="N5" s="10" t="s">
        <v>268</v>
      </c>
      <c r="O5" s="10" t="s">
        <v>268</v>
      </c>
      <c r="P5" s="10" t="s">
        <v>268</v>
      </c>
      <c r="Q5" s="10" t="s">
        <v>268</v>
      </c>
      <c r="R5" s="10" t="s">
        <v>268</v>
      </c>
      <c r="S5" s="10" t="s">
        <v>268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7.25" thickTop="1" thickBot="1" x14ac:dyDescent="0.3">
      <c r="A6" s="5" t="s">
        <v>210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270</v>
      </c>
      <c r="T6" s="147" t="s">
        <v>268</v>
      </c>
      <c r="U6" s="147" t="s">
        <v>268</v>
      </c>
      <c r="V6" s="147" t="s">
        <v>268</v>
      </c>
      <c r="W6" s="147" t="s">
        <v>268</v>
      </c>
      <c r="X6" s="147" t="s">
        <v>268</v>
      </c>
      <c r="Y6" s="147" t="s">
        <v>268</v>
      </c>
      <c r="Z6" s="147" t="s">
        <v>268</v>
      </c>
      <c r="AA6" s="147" t="s">
        <v>268</v>
      </c>
      <c r="AB6" s="147" t="s">
        <v>268</v>
      </c>
      <c r="AC6" s="147" t="s">
        <v>268</v>
      </c>
      <c r="AD6" s="147" t="s">
        <v>268</v>
      </c>
      <c r="AE6" s="11" t="s">
        <v>268</v>
      </c>
      <c r="AF6" s="11" t="s">
        <v>268</v>
      </c>
      <c r="AG6" s="11" t="s">
        <v>268</v>
      </c>
      <c r="AH6" s="11" t="s">
        <v>268</v>
      </c>
    </row>
    <row r="7" spans="1:34" ht="17.25" thickTop="1" thickBot="1" x14ac:dyDescent="0.3">
      <c r="A7" s="5" t="s">
        <v>271</v>
      </c>
      <c r="B7" s="2" t="s">
        <v>272</v>
      </c>
      <c r="C7" s="2" t="s">
        <v>273</v>
      </c>
      <c r="D7" s="2" t="s">
        <v>274</v>
      </c>
      <c r="E7" s="2" t="s">
        <v>274</v>
      </c>
      <c r="F7" s="2" t="s">
        <v>275</v>
      </c>
      <c r="G7" s="2" t="s">
        <v>276</v>
      </c>
      <c r="H7" s="2" t="s">
        <v>273</v>
      </c>
      <c r="I7" s="2" t="s">
        <v>275</v>
      </c>
      <c r="J7" s="2" t="s">
        <v>277</v>
      </c>
      <c r="K7" s="2" t="s">
        <v>273</v>
      </c>
      <c r="L7" s="2" t="s">
        <v>278</v>
      </c>
      <c r="M7" s="2" t="s">
        <v>279</v>
      </c>
      <c r="N7" s="2" t="s">
        <v>274</v>
      </c>
      <c r="O7" s="2" t="s">
        <v>280</v>
      </c>
      <c r="P7" s="2" t="s">
        <v>281</v>
      </c>
      <c r="Q7" s="2" t="s">
        <v>282</v>
      </c>
      <c r="R7" s="2" t="s">
        <v>280</v>
      </c>
      <c r="S7" s="2" t="s">
        <v>283</v>
      </c>
      <c r="T7" s="2" t="s">
        <v>284</v>
      </c>
      <c r="U7" s="2" t="s">
        <v>285</v>
      </c>
      <c r="V7" s="2" t="s">
        <v>285</v>
      </c>
      <c r="W7" s="2" t="s">
        <v>286</v>
      </c>
      <c r="X7" s="2" t="s">
        <v>287</v>
      </c>
      <c r="Y7" s="2" t="s">
        <v>288</v>
      </c>
      <c r="Z7" s="2" t="s">
        <v>274</v>
      </c>
      <c r="AA7" s="2" t="s">
        <v>289</v>
      </c>
      <c r="AB7" s="2" t="s">
        <v>290</v>
      </c>
      <c r="AC7" s="2" t="s">
        <v>291</v>
      </c>
      <c r="AD7" s="2" t="s">
        <v>292</v>
      </c>
      <c r="AE7" s="2" t="s">
        <v>286</v>
      </c>
      <c r="AF7" s="2" t="s">
        <v>286</v>
      </c>
      <c r="AG7" s="2" t="s">
        <v>286</v>
      </c>
      <c r="AH7" s="2" t="s">
        <v>286</v>
      </c>
    </row>
    <row r="8" spans="1:34" ht="15.75" thickTop="1" x14ac:dyDescent="0.25"/>
    <row r="9" spans="1:34" ht="15.75" thickBot="1" x14ac:dyDescent="0.3"/>
    <row r="10" spans="1:34" ht="17.25" thickTop="1" thickBot="1" x14ac:dyDescent="0.3">
      <c r="A10" s="5" t="s">
        <v>267</v>
      </c>
      <c r="B10" s="6" t="s">
        <v>268</v>
      </c>
      <c r="C10" s="6" t="s">
        <v>268</v>
      </c>
      <c r="D10" s="6" t="s">
        <v>268</v>
      </c>
      <c r="E10" s="6" t="s">
        <v>268</v>
      </c>
      <c r="F10" s="6" t="s">
        <v>268</v>
      </c>
      <c r="G10" s="6" t="s">
        <v>268</v>
      </c>
      <c r="H10" s="6" t="s">
        <v>268</v>
      </c>
      <c r="I10" s="6" t="s">
        <v>268</v>
      </c>
      <c r="J10" s="6" t="s">
        <v>268</v>
      </c>
      <c r="K10" s="6" t="s">
        <v>268</v>
      </c>
      <c r="L10" s="6" t="s">
        <v>268</v>
      </c>
    </row>
    <row r="11" spans="1:34" ht="17.25" thickTop="1" thickBot="1" x14ac:dyDescent="0.3">
      <c r="A11" s="5" t="s">
        <v>271</v>
      </c>
      <c r="B11" s="2" t="s">
        <v>272</v>
      </c>
      <c r="C11" s="2" t="s">
        <v>273</v>
      </c>
      <c r="D11" s="2" t="s">
        <v>274</v>
      </c>
      <c r="E11" s="2" t="s">
        <v>274</v>
      </c>
      <c r="F11" s="2" t="s">
        <v>275</v>
      </c>
      <c r="G11" s="2" t="s">
        <v>276</v>
      </c>
      <c r="H11" s="2" t="s">
        <v>273</v>
      </c>
      <c r="I11" s="2" t="s">
        <v>275</v>
      </c>
      <c r="J11" s="2" t="s">
        <v>277</v>
      </c>
      <c r="K11" s="148" t="s">
        <v>273</v>
      </c>
      <c r="L11" s="2" t="s">
        <v>278</v>
      </c>
    </row>
    <row r="12" spans="1:34" ht="17.25" thickTop="1" thickBot="1" x14ac:dyDescent="0.3">
      <c r="M12" s="9"/>
    </row>
    <row r="13" spans="1:34" ht="17.25" thickTop="1" thickBot="1" x14ac:dyDescent="0.3">
      <c r="A13" s="5" t="s">
        <v>269</v>
      </c>
      <c r="B13" s="10" t="s">
        <v>268</v>
      </c>
      <c r="C13" s="10" t="s">
        <v>268</v>
      </c>
      <c r="D13" s="10" t="s">
        <v>268</v>
      </c>
      <c r="E13" s="10" t="s">
        <v>268</v>
      </c>
      <c r="F13" s="10" t="s">
        <v>268</v>
      </c>
      <c r="G13" s="149" t="s">
        <v>268</v>
      </c>
      <c r="H13" s="150" t="s">
        <v>268</v>
      </c>
      <c r="I13" s="9"/>
      <c r="J13" s="9"/>
      <c r="K13" s="9"/>
      <c r="L13" s="9"/>
      <c r="M13" s="9"/>
    </row>
    <row r="14" spans="1:34" ht="17.25" thickTop="1" thickBot="1" x14ac:dyDescent="0.3">
      <c r="A14" s="5" t="s">
        <v>271</v>
      </c>
      <c r="B14" s="2" t="s">
        <v>279</v>
      </c>
      <c r="C14" s="2" t="s">
        <v>274</v>
      </c>
      <c r="D14" s="2" t="s">
        <v>280</v>
      </c>
      <c r="E14" s="2" t="s">
        <v>281</v>
      </c>
      <c r="F14" s="2" t="s">
        <v>282</v>
      </c>
      <c r="G14" s="7" t="s">
        <v>280</v>
      </c>
      <c r="H14" s="8" t="s">
        <v>283</v>
      </c>
      <c r="I14" s="9"/>
      <c r="J14" s="9"/>
      <c r="K14" s="9"/>
      <c r="L14" s="9"/>
      <c r="M14" s="9"/>
    </row>
    <row r="15" spans="1:34" ht="17.25" thickTop="1" thickBot="1" x14ac:dyDescent="0.3">
      <c r="M15" s="9"/>
    </row>
    <row r="16" spans="1:34" ht="17.25" thickTop="1" thickBot="1" x14ac:dyDescent="0.3">
      <c r="A16" s="5" t="s">
        <v>210</v>
      </c>
      <c r="B16" s="147" t="s">
        <v>268</v>
      </c>
      <c r="C16" s="147" t="s">
        <v>268</v>
      </c>
      <c r="D16" s="147" t="s">
        <v>268</v>
      </c>
      <c r="E16" s="147" t="s">
        <v>268</v>
      </c>
      <c r="F16" s="147" t="s">
        <v>268</v>
      </c>
      <c r="G16" s="147" t="s">
        <v>268</v>
      </c>
      <c r="H16" s="147" t="s">
        <v>268</v>
      </c>
      <c r="I16" s="147" t="s">
        <v>268</v>
      </c>
      <c r="J16" s="147" t="s">
        <v>268</v>
      </c>
      <c r="K16" s="147" t="s">
        <v>268</v>
      </c>
      <c r="L16" s="147" t="s">
        <v>268</v>
      </c>
      <c r="M16" s="9"/>
    </row>
    <row r="17" spans="1:13" ht="17.25" thickTop="1" thickBot="1" x14ac:dyDescent="0.3">
      <c r="A17" s="5" t="s">
        <v>271</v>
      </c>
      <c r="B17" s="2" t="s">
        <v>284</v>
      </c>
      <c r="C17" s="2" t="s">
        <v>285</v>
      </c>
      <c r="D17" s="2" t="s">
        <v>285</v>
      </c>
      <c r="E17" s="2" t="s">
        <v>286</v>
      </c>
      <c r="F17" s="2" t="s">
        <v>287</v>
      </c>
      <c r="G17" s="2" t="s">
        <v>288</v>
      </c>
      <c r="H17" s="2" t="s">
        <v>274</v>
      </c>
      <c r="I17" s="2" t="s">
        <v>289</v>
      </c>
      <c r="J17" s="2" t="s">
        <v>290</v>
      </c>
      <c r="K17" s="2" t="s">
        <v>291</v>
      </c>
      <c r="L17" s="2" t="s">
        <v>292</v>
      </c>
      <c r="M17" s="9"/>
    </row>
    <row r="18" spans="1:13" ht="15.75" thickTop="1" x14ac:dyDescent="0.25"/>
  </sheetData>
  <mergeCells count="1">
    <mergeCell ref="A1:A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23DEEC-D64D-4C7D-9F2F-8983266EA0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E9AB9D-8D36-41E3-B9FC-2BCBCF488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bb07f-092f-49b1-9a1d-d223bd337d78"/>
    <ds:schemaRef ds:uri="a7104a0a-7dca-4b0e-8aea-6c2c6caf9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67B9D4-BB95-45D2-BB3D-3FF30E988505}">
  <ds:schemaRefs>
    <ds:schemaRef ds:uri="http://schemas.microsoft.com/office/2006/metadata/properties"/>
    <ds:schemaRef ds:uri="http://schemas.microsoft.com/office/infopath/2007/PartnerControls"/>
    <ds:schemaRef ds:uri="a7104a0a-7dca-4b0e-8aea-6c2c6caf948b"/>
    <ds:schemaRef ds:uri="31dbb07f-092f-49b1-9a1d-d223bd337d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</vt:lpstr>
      <vt:lpstr>2a</vt:lpstr>
      <vt:lpstr>2b</vt:lpstr>
      <vt:lpstr>2c</vt:lpstr>
      <vt:lpstr>2d</vt:lpstr>
      <vt:lpstr>2e</vt:lpstr>
      <vt:lpstr>2f</vt:lpstr>
      <vt:lpstr>2g</vt:lpstr>
      <vt:lpstr>Indicator Map</vt:lpstr>
    </vt:vector>
  </TitlesOfParts>
  <Manager/>
  <Company>Thompson Rivers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Fahmed</dc:creator>
  <cp:keywords/>
  <dc:description/>
  <cp:lastModifiedBy>varundel</cp:lastModifiedBy>
  <cp:revision/>
  <dcterms:created xsi:type="dcterms:W3CDTF">2021-08-10T23:02:18Z</dcterms:created>
  <dcterms:modified xsi:type="dcterms:W3CDTF">2022-07-21T21:38:22Z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